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omments2.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wb270851\Documents\projects\ID4D\"/>
    </mc:Choice>
  </mc:AlternateContent>
  <bookViews>
    <workbookView xWindow="-15" yWindow="-15" windowWidth="11580" windowHeight="11190" tabRatio="779"/>
  </bookViews>
  <sheets>
    <sheet name="Contents" sheetId="28" r:id="rId1"/>
    <sheet name="ID4D" sheetId="1" r:id="rId2"/>
    <sheet name="ID4D Stats" sheetId="25" r:id="rId3"/>
    <sheet name="Metadata" sheetId="10" r:id="rId4"/>
    <sheet name="summary" sheetId="34" r:id="rId5"/>
    <sheet name="stats" sheetId="35" r:id="rId6"/>
    <sheet name="ICAO ePassport" sheetId="27" r:id="rId7"/>
    <sheet name="CRVS" sheetId="18" r:id="rId8"/>
    <sheet name="UN Min" sheetId="15" r:id="rId9"/>
    <sheet name="RTI" sheetId="22" r:id="rId10"/>
    <sheet name="ID4D Projects" sheetId="21" r:id="rId11"/>
  </sheets>
  <definedNames>
    <definedName name="_xlnm._FilterDatabase" localSheetId="1" hidden="1">ID4D!$A$2:$IR$200</definedName>
    <definedName name="_xlnm.Print_Area" localSheetId="2">'ID4D Stats'!$AD$2:$AM$32</definedName>
  </definedNames>
  <calcPr calcId="152511"/>
  <pivotCaches>
    <pivotCache cacheId="0" r:id="rId12"/>
  </pivotCaches>
</workbook>
</file>

<file path=xl/calcChain.xml><?xml version="1.0" encoding="utf-8"?>
<calcChain xmlns="http://schemas.openxmlformats.org/spreadsheetml/2006/main">
  <c r="EW11" i="25" l="1"/>
  <c r="EW8" i="25"/>
  <c r="EW7" i="25"/>
  <c r="EW6" i="25"/>
  <c r="EW5" i="25"/>
  <c r="EW4" i="25"/>
  <c r="EW3" i="25"/>
  <c r="EV11" i="25"/>
  <c r="EV8" i="25"/>
  <c r="EV7" i="25"/>
  <c r="EV6" i="25"/>
  <c r="EV5" i="25"/>
  <c r="EV4" i="25"/>
  <c r="EV3" i="25"/>
  <c r="U92" i="25"/>
  <c r="U89" i="25"/>
  <c r="U88" i="25"/>
  <c r="U87" i="25"/>
  <c r="U86" i="25"/>
  <c r="U81" i="25"/>
  <c r="U78" i="25"/>
  <c r="U77" i="25"/>
  <c r="U76" i="25"/>
  <c r="U75" i="25"/>
  <c r="U70" i="25"/>
  <c r="U67" i="25"/>
  <c r="U66" i="25"/>
  <c r="U65" i="25"/>
  <c r="U64" i="25"/>
  <c r="U59" i="25"/>
  <c r="U56" i="25"/>
  <c r="U55" i="25"/>
  <c r="U54" i="25"/>
  <c r="U53" i="25"/>
  <c r="U47" i="25"/>
  <c r="U44" i="25"/>
  <c r="U43" i="25"/>
  <c r="U42" i="25"/>
  <c r="U41" i="25"/>
  <c r="U40" i="25"/>
  <c r="U39" i="25"/>
  <c r="U35" i="25"/>
  <c r="U32" i="25"/>
  <c r="U31" i="25"/>
  <c r="U30" i="25"/>
  <c r="U29" i="25"/>
  <c r="U28" i="25"/>
  <c r="U27" i="25"/>
  <c r="U23" i="25"/>
  <c r="U20" i="25"/>
  <c r="U19" i="25"/>
  <c r="U18" i="25"/>
  <c r="U17" i="25"/>
  <c r="U16" i="25"/>
  <c r="U15" i="25"/>
  <c r="U11" i="25"/>
  <c r="U8" i="25"/>
  <c r="U7" i="25"/>
  <c r="U6" i="25"/>
  <c r="U5" i="25"/>
  <c r="U4" i="25"/>
  <c r="U3" i="25"/>
  <c r="DR200" i="1" l="1"/>
  <c r="DQ200" i="1"/>
  <c r="DR198" i="1"/>
  <c r="DQ198" i="1"/>
  <c r="DR197" i="1"/>
  <c r="DQ197" i="1"/>
  <c r="DR196" i="1"/>
  <c r="DQ196" i="1"/>
  <c r="DR195" i="1"/>
  <c r="DQ195" i="1"/>
  <c r="DR194" i="1"/>
  <c r="DQ194" i="1"/>
  <c r="DR193" i="1"/>
  <c r="DQ193" i="1"/>
  <c r="DR192" i="1"/>
  <c r="DQ192" i="1"/>
  <c r="DR191" i="1"/>
  <c r="DQ191" i="1"/>
  <c r="DR190" i="1"/>
  <c r="DQ190" i="1"/>
  <c r="DR189" i="1"/>
  <c r="DQ189" i="1"/>
  <c r="DR188" i="1"/>
  <c r="DQ188" i="1"/>
  <c r="DR187" i="1"/>
  <c r="DQ187" i="1"/>
  <c r="DR186" i="1"/>
  <c r="DQ186" i="1"/>
  <c r="DR185" i="1"/>
  <c r="DQ185" i="1"/>
  <c r="DR184" i="1"/>
  <c r="DQ184" i="1"/>
  <c r="DR183" i="1"/>
  <c r="DQ183" i="1"/>
  <c r="DR182" i="1"/>
  <c r="DQ182" i="1"/>
  <c r="DR181" i="1"/>
  <c r="DQ181" i="1"/>
  <c r="DR180" i="1"/>
  <c r="DQ180" i="1"/>
  <c r="DR179" i="1"/>
  <c r="DQ179" i="1"/>
  <c r="DR178" i="1"/>
  <c r="DQ178" i="1"/>
  <c r="DR177" i="1"/>
  <c r="DQ177" i="1"/>
  <c r="DR176" i="1"/>
  <c r="DQ176" i="1"/>
  <c r="DR175" i="1"/>
  <c r="DQ175" i="1"/>
  <c r="DR174" i="1"/>
  <c r="DQ174" i="1"/>
  <c r="DR173" i="1"/>
  <c r="DQ173" i="1"/>
  <c r="DR172" i="1"/>
  <c r="DQ172" i="1"/>
  <c r="DR171" i="1"/>
  <c r="DQ171" i="1"/>
  <c r="DR170" i="1"/>
  <c r="DQ170" i="1"/>
  <c r="DR169" i="1"/>
  <c r="DQ169" i="1"/>
  <c r="DR168" i="1"/>
  <c r="DQ168" i="1"/>
  <c r="DR167" i="1"/>
  <c r="DQ167" i="1"/>
  <c r="DR166" i="1"/>
  <c r="DQ166" i="1"/>
  <c r="DR165" i="1"/>
  <c r="DQ165" i="1"/>
  <c r="DR164" i="1"/>
  <c r="DQ164" i="1"/>
  <c r="DR163" i="1"/>
  <c r="DQ163" i="1"/>
  <c r="DR162" i="1"/>
  <c r="DQ162" i="1"/>
  <c r="DR161" i="1"/>
  <c r="DQ161" i="1"/>
  <c r="DR160" i="1"/>
  <c r="DQ160" i="1"/>
  <c r="DR159" i="1"/>
  <c r="DQ159" i="1"/>
  <c r="DR158" i="1"/>
  <c r="DQ158" i="1"/>
  <c r="DR157" i="1"/>
  <c r="DQ157" i="1"/>
  <c r="DR156" i="1"/>
  <c r="DQ156" i="1"/>
  <c r="DR155" i="1"/>
  <c r="DQ155" i="1"/>
  <c r="DR154" i="1"/>
  <c r="DQ154" i="1"/>
  <c r="DR153" i="1"/>
  <c r="DQ153" i="1"/>
  <c r="DR152" i="1"/>
  <c r="DQ152" i="1"/>
  <c r="DR151" i="1"/>
  <c r="DQ151" i="1"/>
  <c r="DR150" i="1"/>
  <c r="DQ150" i="1"/>
  <c r="DR149" i="1"/>
  <c r="DQ149" i="1"/>
  <c r="DR148" i="1"/>
  <c r="DQ148" i="1"/>
  <c r="DR147" i="1"/>
  <c r="DQ147" i="1"/>
  <c r="DR146" i="1"/>
  <c r="DQ146" i="1"/>
  <c r="DR145" i="1"/>
  <c r="DQ145" i="1"/>
  <c r="DR144" i="1"/>
  <c r="DQ144" i="1"/>
  <c r="DR143" i="1"/>
  <c r="DQ143" i="1"/>
  <c r="DR142" i="1"/>
  <c r="DQ142" i="1"/>
  <c r="DR141" i="1"/>
  <c r="DQ141" i="1"/>
  <c r="DR140" i="1"/>
  <c r="DQ140" i="1"/>
  <c r="DR139" i="1"/>
  <c r="DQ139" i="1"/>
  <c r="DR138" i="1"/>
  <c r="DQ138" i="1"/>
  <c r="DR137" i="1"/>
  <c r="DQ137" i="1"/>
  <c r="DR136" i="1"/>
  <c r="DQ136" i="1"/>
  <c r="DR135" i="1"/>
  <c r="DQ135" i="1"/>
  <c r="DR134" i="1"/>
  <c r="DQ134" i="1"/>
  <c r="DR133" i="1"/>
  <c r="DQ133" i="1"/>
  <c r="DR132" i="1"/>
  <c r="DQ132" i="1"/>
  <c r="DR131" i="1"/>
  <c r="DQ131" i="1"/>
  <c r="DR130" i="1"/>
  <c r="DQ130" i="1"/>
  <c r="DR129" i="1"/>
  <c r="DQ129" i="1"/>
  <c r="DR128" i="1"/>
  <c r="DQ128" i="1"/>
  <c r="DR127" i="1"/>
  <c r="DQ127" i="1"/>
  <c r="DR126" i="1"/>
  <c r="DQ126" i="1"/>
  <c r="DR125" i="1"/>
  <c r="DQ125" i="1"/>
  <c r="DR124" i="1"/>
  <c r="DQ124" i="1"/>
  <c r="DR123" i="1"/>
  <c r="DQ123" i="1"/>
  <c r="DR122" i="1"/>
  <c r="DQ122" i="1"/>
  <c r="DR121" i="1"/>
  <c r="DQ121" i="1"/>
  <c r="DR120" i="1"/>
  <c r="DQ120" i="1"/>
  <c r="DR119" i="1"/>
  <c r="DQ119" i="1"/>
  <c r="DR118" i="1"/>
  <c r="DQ118" i="1"/>
  <c r="DR117" i="1"/>
  <c r="DQ117" i="1"/>
  <c r="DR116" i="1"/>
  <c r="DQ116" i="1"/>
  <c r="DR115" i="1"/>
  <c r="DQ115" i="1"/>
  <c r="DR114" i="1"/>
  <c r="DQ114" i="1"/>
  <c r="DR113" i="1"/>
  <c r="DQ113" i="1"/>
  <c r="DR112" i="1"/>
  <c r="DQ112" i="1"/>
  <c r="DR111" i="1"/>
  <c r="DQ111" i="1"/>
  <c r="DR110" i="1"/>
  <c r="DQ110" i="1"/>
  <c r="DR109" i="1"/>
  <c r="DQ109" i="1"/>
  <c r="DR108" i="1"/>
  <c r="DQ108" i="1"/>
  <c r="DR107" i="1"/>
  <c r="DQ107" i="1"/>
  <c r="DR106" i="1"/>
  <c r="DQ106" i="1"/>
  <c r="DR105" i="1"/>
  <c r="DQ105" i="1"/>
  <c r="DR104" i="1"/>
  <c r="DQ104" i="1"/>
  <c r="DR103" i="1"/>
  <c r="DQ103" i="1"/>
  <c r="DR102" i="1"/>
  <c r="DQ102" i="1"/>
  <c r="DR101" i="1"/>
  <c r="DQ101" i="1"/>
  <c r="DR100" i="1"/>
  <c r="DQ100" i="1"/>
  <c r="DR99" i="1"/>
  <c r="DQ99" i="1"/>
  <c r="DR98" i="1"/>
  <c r="DQ98" i="1"/>
  <c r="DR97" i="1"/>
  <c r="DQ97" i="1"/>
  <c r="DR96" i="1"/>
  <c r="DQ96" i="1"/>
  <c r="DR95" i="1"/>
  <c r="DQ95" i="1"/>
  <c r="DR94" i="1"/>
  <c r="DQ94" i="1"/>
  <c r="DR93" i="1"/>
  <c r="DQ93" i="1"/>
  <c r="DR92" i="1"/>
  <c r="DQ92" i="1"/>
  <c r="DR91" i="1"/>
  <c r="DQ91" i="1"/>
  <c r="DR90" i="1"/>
  <c r="DQ90" i="1"/>
  <c r="DR89" i="1"/>
  <c r="DQ89" i="1"/>
  <c r="DR88" i="1"/>
  <c r="DQ88" i="1"/>
  <c r="DR87" i="1"/>
  <c r="DQ87" i="1"/>
  <c r="DR86" i="1"/>
  <c r="DQ86" i="1"/>
  <c r="DR85" i="1"/>
  <c r="DQ85" i="1"/>
  <c r="DR84" i="1"/>
  <c r="DQ84" i="1"/>
  <c r="DR83" i="1"/>
  <c r="DQ83" i="1"/>
  <c r="DR82" i="1"/>
  <c r="DQ82" i="1"/>
  <c r="DR81" i="1"/>
  <c r="DQ81" i="1"/>
  <c r="DR80" i="1"/>
  <c r="DQ80" i="1"/>
  <c r="DR79" i="1"/>
  <c r="DQ79" i="1"/>
  <c r="DR78" i="1"/>
  <c r="DQ78" i="1"/>
  <c r="DR77" i="1"/>
  <c r="DQ77" i="1"/>
  <c r="DR76" i="1"/>
  <c r="DQ76" i="1"/>
  <c r="DR75" i="1"/>
  <c r="DQ75" i="1"/>
  <c r="DR74" i="1"/>
  <c r="DQ74" i="1"/>
  <c r="DR73" i="1"/>
  <c r="DQ73" i="1"/>
  <c r="DR72" i="1"/>
  <c r="DQ72" i="1"/>
  <c r="DR71" i="1"/>
  <c r="DQ71" i="1"/>
  <c r="DR70" i="1"/>
  <c r="DQ70" i="1"/>
  <c r="DR69" i="1"/>
  <c r="DQ69" i="1"/>
  <c r="DR68" i="1"/>
  <c r="DQ68" i="1"/>
  <c r="DR67" i="1"/>
  <c r="DQ67" i="1"/>
  <c r="DR66" i="1"/>
  <c r="DQ66" i="1"/>
  <c r="DR65" i="1"/>
  <c r="DQ65" i="1"/>
  <c r="DR64" i="1"/>
  <c r="DQ64" i="1"/>
  <c r="DR63" i="1"/>
  <c r="DQ63" i="1"/>
  <c r="DR62" i="1"/>
  <c r="DQ62" i="1"/>
  <c r="DR61" i="1"/>
  <c r="DQ61" i="1"/>
  <c r="DR60" i="1"/>
  <c r="DQ60" i="1"/>
  <c r="DR59" i="1"/>
  <c r="DQ59" i="1"/>
  <c r="DR58" i="1"/>
  <c r="DQ58" i="1"/>
  <c r="DR56" i="1"/>
  <c r="DQ56" i="1"/>
  <c r="DR55" i="1"/>
  <c r="DQ55" i="1"/>
  <c r="DR54" i="1"/>
  <c r="DQ54" i="1"/>
  <c r="DR53" i="1"/>
  <c r="DQ53" i="1"/>
  <c r="DR52" i="1"/>
  <c r="DQ52" i="1"/>
  <c r="DR51" i="1"/>
  <c r="DQ51" i="1"/>
  <c r="DR50" i="1"/>
  <c r="DQ50" i="1"/>
  <c r="DR49" i="1"/>
  <c r="DQ49" i="1"/>
  <c r="DR48" i="1"/>
  <c r="DQ48" i="1"/>
  <c r="DR47" i="1"/>
  <c r="DQ47" i="1"/>
  <c r="DR46" i="1"/>
  <c r="DQ46" i="1"/>
  <c r="DR45" i="1"/>
  <c r="DQ45" i="1"/>
  <c r="DR44" i="1"/>
  <c r="DQ44" i="1"/>
  <c r="DR43" i="1"/>
  <c r="DQ43" i="1"/>
  <c r="DR42" i="1"/>
  <c r="DQ42" i="1"/>
  <c r="DR41" i="1"/>
  <c r="DQ41" i="1"/>
  <c r="DR40" i="1"/>
  <c r="DQ40" i="1"/>
  <c r="DR39" i="1"/>
  <c r="DQ39" i="1"/>
  <c r="DR38" i="1"/>
  <c r="DQ38" i="1"/>
  <c r="DR37" i="1"/>
  <c r="DQ37" i="1"/>
  <c r="DR36" i="1"/>
  <c r="DQ36" i="1"/>
  <c r="DR35" i="1"/>
  <c r="DQ35" i="1"/>
  <c r="DR34" i="1"/>
  <c r="DQ34" i="1"/>
  <c r="DR33" i="1"/>
  <c r="DQ33" i="1"/>
  <c r="DR32" i="1"/>
  <c r="DQ32" i="1"/>
  <c r="DR31" i="1"/>
  <c r="DQ31" i="1"/>
  <c r="DR30" i="1"/>
  <c r="DQ30" i="1"/>
  <c r="DR29" i="1"/>
  <c r="DQ29" i="1"/>
  <c r="DR28" i="1"/>
  <c r="DQ28" i="1"/>
  <c r="DR27" i="1"/>
  <c r="DQ27" i="1"/>
  <c r="DR26" i="1"/>
  <c r="DQ26" i="1"/>
  <c r="DR25" i="1"/>
  <c r="DQ25" i="1"/>
  <c r="DR24" i="1"/>
  <c r="DQ24" i="1"/>
  <c r="DR23" i="1"/>
  <c r="DQ23" i="1"/>
  <c r="DR22" i="1"/>
  <c r="DQ22" i="1"/>
  <c r="DR21" i="1"/>
  <c r="DQ21" i="1"/>
  <c r="DR20" i="1"/>
  <c r="DQ20" i="1"/>
  <c r="DR19" i="1"/>
  <c r="DQ19" i="1"/>
  <c r="DR18" i="1"/>
  <c r="DQ18" i="1"/>
  <c r="DR17" i="1"/>
  <c r="DQ17" i="1"/>
  <c r="DR16" i="1"/>
  <c r="DQ16" i="1"/>
  <c r="DR15" i="1"/>
  <c r="DQ15" i="1"/>
  <c r="DR14" i="1"/>
  <c r="DQ14" i="1"/>
  <c r="DR13" i="1"/>
  <c r="DQ13" i="1"/>
  <c r="DR12" i="1"/>
  <c r="DQ12" i="1"/>
  <c r="DR11" i="1"/>
  <c r="DQ11" i="1"/>
  <c r="DR10" i="1"/>
  <c r="DQ10" i="1"/>
  <c r="DR9" i="1"/>
  <c r="DQ9" i="1"/>
  <c r="DR8" i="1"/>
  <c r="DQ8" i="1"/>
  <c r="DR7" i="1"/>
  <c r="DQ7" i="1"/>
  <c r="DR6" i="1"/>
  <c r="DQ6" i="1"/>
  <c r="DR5" i="1"/>
  <c r="DQ5" i="1"/>
  <c r="DR4" i="1"/>
  <c r="DQ4" i="1"/>
  <c r="DR3" i="1"/>
  <c r="DQ3" i="1"/>
  <c r="DV200" i="1"/>
  <c r="DX200" i="1" s="1"/>
  <c r="DU200" i="1"/>
  <c r="DW200" i="1" s="1"/>
  <c r="DV198" i="1"/>
  <c r="DX198" i="1" s="1"/>
  <c r="DU198" i="1"/>
  <c r="DW198" i="1" s="1"/>
  <c r="DV197" i="1"/>
  <c r="DX197" i="1" s="1"/>
  <c r="DU197" i="1"/>
  <c r="DW197" i="1" s="1"/>
  <c r="DV196" i="1"/>
  <c r="DX196" i="1" s="1"/>
  <c r="DU196" i="1"/>
  <c r="DW196" i="1" s="1"/>
  <c r="DV195" i="1"/>
  <c r="DX195" i="1" s="1"/>
  <c r="DU195" i="1"/>
  <c r="DW195" i="1" s="1"/>
  <c r="DV194" i="1"/>
  <c r="DX194" i="1" s="1"/>
  <c r="DU194" i="1"/>
  <c r="DW194" i="1" s="1"/>
  <c r="DV193" i="1"/>
  <c r="DX193" i="1" s="1"/>
  <c r="DU193" i="1"/>
  <c r="DW193" i="1" s="1"/>
  <c r="DV192" i="1"/>
  <c r="DX192" i="1" s="1"/>
  <c r="DU192" i="1"/>
  <c r="DW192" i="1" s="1"/>
  <c r="DV191" i="1"/>
  <c r="DX191" i="1" s="1"/>
  <c r="DU191" i="1"/>
  <c r="DW191" i="1" s="1"/>
  <c r="DV190" i="1"/>
  <c r="DX190" i="1" s="1"/>
  <c r="DU190" i="1"/>
  <c r="DW190" i="1" s="1"/>
  <c r="DV189" i="1"/>
  <c r="DX189" i="1" s="1"/>
  <c r="DU189" i="1"/>
  <c r="DW189" i="1" s="1"/>
  <c r="DV188" i="1"/>
  <c r="DX188" i="1" s="1"/>
  <c r="DU188" i="1"/>
  <c r="DW188" i="1" s="1"/>
  <c r="DV187" i="1"/>
  <c r="DX187" i="1" s="1"/>
  <c r="DU187" i="1"/>
  <c r="DW187" i="1" s="1"/>
  <c r="DV186" i="1"/>
  <c r="DX186" i="1" s="1"/>
  <c r="DU186" i="1"/>
  <c r="DW186" i="1" s="1"/>
  <c r="DV185" i="1"/>
  <c r="DX185" i="1" s="1"/>
  <c r="DU185" i="1"/>
  <c r="DW185" i="1" s="1"/>
  <c r="DV184" i="1"/>
  <c r="DX184" i="1" s="1"/>
  <c r="DU184" i="1"/>
  <c r="DW184" i="1" s="1"/>
  <c r="DV183" i="1"/>
  <c r="DX183" i="1" s="1"/>
  <c r="DU183" i="1"/>
  <c r="DW183" i="1" s="1"/>
  <c r="DV182" i="1"/>
  <c r="DX182" i="1" s="1"/>
  <c r="DU182" i="1"/>
  <c r="DW182" i="1" s="1"/>
  <c r="DV181" i="1"/>
  <c r="DX181" i="1" s="1"/>
  <c r="DU181" i="1"/>
  <c r="DW181" i="1" s="1"/>
  <c r="DV180" i="1"/>
  <c r="DX180" i="1" s="1"/>
  <c r="DU180" i="1"/>
  <c r="DW180" i="1" s="1"/>
  <c r="DV179" i="1"/>
  <c r="DX179" i="1" s="1"/>
  <c r="DU179" i="1"/>
  <c r="DW179" i="1" s="1"/>
  <c r="DV178" i="1"/>
  <c r="DX178" i="1" s="1"/>
  <c r="DU178" i="1"/>
  <c r="DW178" i="1" s="1"/>
  <c r="DV177" i="1"/>
  <c r="DX177" i="1" s="1"/>
  <c r="DU177" i="1"/>
  <c r="DW177" i="1" s="1"/>
  <c r="DV176" i="1"/>
  <c r="DX176" i="1" s="1"/>
  <c r="DU176" i="1"/>
  <c r="DW176" i="1" s="1"/>
  <c r="DV175" i="1"/>
  <c r="DX175" i="1" s="1"/>
  <c r="DU175" i="1"/>
  <c r="DW175" i="1" s="1"/>
  <c r="DV174" i="1"/>
  <c r="DX174" i="1" s="1"/>
  <c r="DU174" i="1"/>
  <c r="DW174" i="1" s="1"/>
  <c r="DV173" i="1"/>
  <c r="DX173" i="1" s="1"/>
  <c r="DU173" i="1"/>
  <c r="DW173" i="1" s="1"/>
  <c r="DV172" i="1"/>
  <c r="DX172" i="1" s="1"/>
  <c r="DU172" i="1"/>
  <c r="DW172" i="1" s="1"/>
  <c r="DV171" i="1"/>
  <c r="DX171" i="1" s="1"/>
  <c r="DU171" i="1"/>
  <c r="DW171" i="1" s="1"/>
  <c r="DV170" i="1"/>
  <c r="DX170" i="1" s="1"/>
  <c r="DU170" i="1"/>
  <c r="DW170" i="1" s="1"/>
  <c r="DV169" i="1"/>
  <c r="DX169" i="1" s="1"/>
  <c r="DU169" i="1"/>
  <c r="DW169" i="1" s="1"/>
  <c r="DV168" i="1"/>
  <c r="DX168" i="1" s="1"/>
  <c r="DU168" i="1"/>
  <c r="DW168" i="1" s="1"/>
  <c r="DV167" i="1"/>
  <c r="DX167" i="1" s="1"/>
  <c r="DU167" i="1"/>
  <c r="DW167" i="1" s="1"/>
  <c r="DV166" i="1"/>
  <c r="DX166" i="1" s="1"/>
  <c r="DU166" i="1"/>
  <c r="DW166" i="1" s="1"/>
  <c r="DV165" i="1"/>
  <c r="DX165" i="1" s="1"/>
  <c r="DU165" i="1"/>
  <c r="DW165" i="1" s="1"/>
  <c r="DV164" i="1"/>
  <c r="DX164" i="1" s="1"/>
  <c r="DU164" i="1"/>
  <c r="DW164" i="1" s="1"/>
  <c r="DV163" i="1"/>
  <c r="DX163" i="1" s="1"/>
  <c r="DU163" i="1"/>
  <c r="DW163" i="1" s="1"/>
  <c r="DV162" i="1"/>
  <c r="DX162" i="1" s="1"/>
  <c r="DU162" i="1"/>
  <c r="DW162" i="1" s="1"/>
  <c r="DV161" i="1"/>
  <c r="DX161" i="1" s="1"/>
  <c r="DU161" i="1"/>
  <c r="DW161" i="1" s="1"/>
  <c r="DV160" i="1"/>
  <c r="DX160" i="1" s="1"/>
  <c r="DU160" i="1"/>
  <c r="DW160" i="1" s="1"/>
  <c r="DV159" i="1"/>
  <c r="DX159" i="1" s="1"/>
  <c r="DU159" i="1"/>
  <c r="DW159" i="1" s="1"/>
  <c r="DV158" i="1"/>
  <c r="DX158" i="1" s="1"/>
  <c r="DU158" i="1"/>
  <c r="DW158" i="1" s="1"/>
  <c r="DV157" i="1"/>
  <c r="DX157" i="1" s="1"/>
  <c r="DU157" i="1"/>
  <c r="DW157" i="1" s="1"/>
  <c r="DV156" i="1"/>
  <c r="DX156" i="1" s="1"/>
  <c r="DU156" i="1"/>
  <c r="DW156" i="1" s="1"/>
  <c r="DV155" i="1"/>
  <c r="DX155" i="1" s="1"/>
  <c r="DU155" i="1"/>
  <c r="DW155" i="1" s="1"/>
  <c r="DV154" i="1"/>
  <c r="DX154" i="1" s="1"/>
  <c r="DU154" i="1"/>
  <c r="DW154" i="1" s="1"/>
  <c r="DV153" i="1"/>
  <c r="DX153" i="1" s="1"/>
  <c r="DU153" i="1"/>
  <c r="DW153" i="1" s="1"/>
  <c r="DV152" i="1"/>
  <c r="DX152" i="1" s="1"/>
  <c r="DU152" i="1"/>
  <c r="DW152" i="1" s="1"/>
  <c r="DV151" i="1"/>
  <c r="DX151" i="1" s="1"/>
  <c r="DU151" i="1"/>
  <c r="DW151" i="1" s="1"/>
  <c r="DV150" i="1"/>
  <c r="DX150" i="1" s="1"/>
  <c r="DU150" i="1"/>
  <c r="DW150" i="1" s="1"/>
  <c r="DV149" i="1"/>
  <c r="DX149" i="1" s="1"/>
  <c r="DU149" i="1"/>
  <c r="DW149" i="1" s="1"/>
  <c r="DV148" i="1"/>
  <c r="DX148" i="1" s="1"/>
  <c r="DU148" i="1"/>
  <c r="DW148" i="1" s="1"/>
  <c r="DV147" i="1"/>
  <c r="DX147" i="1" s="1"/>
  <c r="DU147" i="1"/>
  <c r="DW147" i="1" s="1"/>
  <c r="DV146" i="1"/>
  <c r="DX146" i="1" s="1"/>
  <c r="DU146" i="1"/>
  <c r="DW146" i="1" s="1"/>
  <c r="DV145" i="1"/>
  <c r="DX145" i="1" s="1"/>
  <c r="DU145" i="1"/>
  <c r="DW145" i="1" s="1"/>
  <c r="DV144" i="1"/>
  <c r="DX144" i="1" s="1"/>
  <c r="DU144" i="1"/>
  <c r="DW144" i="1" s="1"/>
  <c r="DV143" i="1"/>
  <c r="DX143" i="1" s="1"/>
  <c r="DU143" i="1"/>
  <c r="DW143" i="1" s="1"/>
  <c r="DV142" i="1"/>
  <c r="DX142" i="1" s="1"/>
  <c r="DU142" i="1"/>
  <c r="DW142" i="1" s="1"/>
  <c r="DV141" i="1"/>
  <c r="DX141" i="1" s="1"/>
  <c r="DU141" i="1"/>
  <c r="DW141" i="1" s="1"/>
  <c r="DV140" i="1"/>
  <c r="DX140" i="1" s="1"/>
  <c r="DU140" i="1"/>
  <c r="DW140" i="1" s="1"/>
  <c r="DV139" i="1"/>
  <c r="DX139" i="1" s="1"/>
  <c r="DU139" i="1"/>
  <c r="DW139" i="1" s="1"/>
  <c r="DV138" i="1"/>
  <c r="DX138" i="1" s="1"/>
  <c r="DU138" i="1"/>
  <c r="DW138" i="1" s="1"/>
  <c r="DV137" i="1"/>
  <c r="DX137" i="1" s="1"/>
  <c r="DU137" i="1"/>
  <c r="DW137" i="1" s="1"/>
  <c r="DV136" i="1"/>
  <c r="DX136" i="1" s="1"/>
  <c r="DU136" i="1"/>
  <c r="DW136" i="1" s="1"/>
  <c r="DV135" i="1"/>
  <c r="DX135" i="1" s="1"/>
  <c r="DU135" i="1"/>
  <c r="DW135" i="1" s="1"/>
  <c r="DV134" i="1"/>
  <c r="DX134" i="1" s="1"/>
  <c r="DU134" i="1"/>
  <c r="DW134" i="1" s="1"/>
  <c r="DV133" i="1"/>
  <c r="DX133" i="1" s="1"/>
  <c r="DU133" i="1"/>
  <c r="DW133" i="1" s="1"/>
  <c r="DV132" i="1"/>
  <c r="DX132" i="1" s="1"/>
  <c r="DU132" i="1"/>
  <c r="DW132" i="1" s="1"/>
  <c r="DV131" i="1"/>
  <c r="DX131" i="1" s="1"/>
  <c r="DU131" i="1"/>
  <c r="DW131" i="1" s="1"/>
  <c r="DV130" i="1"/>
  <c r="DX130" i="1" s="1"/>
  <c r="DU130" i="1"/>
  <c r="DW130" i="1" s="1"/>
  <c r="DV129" i="1"/>
  <c r="DX129" i="1" s="1"/>
  <c r="DU129" i="1"/>
  <c r="DW129" i="1" s="1"/>
  <c r="DV128" i="1"/>
  <c r="DX128" i="1" s="1"/>
  <c r="DU128" i="1"/>
  <c r="DW128" i="1" s="1"/>
  <c r="DV127" i="1"/>
  <c r="DX127" i="1" s="1"/>
  <c r="DU127" i="1"/>
  <c r="DW127" i="1" s="1"/>
  <c r="DV126" i="1"/>
  <c r="DX126" i="1" s="1"/>
  <c r="DU126" i="1"/>
  <c r="DW126" i="1" s="1"/>
  <c r="DV125" i="1"/>
  <c r="DX125" i="1" s="1"/>
  <c r="DU125" i="1"/>
  <c r="DW125" i="1" s="1"/>
  <c r="DV124" i="1"/>
  <c r="DX124" i="1" s="1"/>
  <c r="DU124" i="1"/>
  <c r="DW124" i="1" s="1"/>
  <c r="DV123" i="1"/>
  <c r="DX123" i="1" s="1"/>
  <c r="DU123" i="1"/>
  <c r="DW123" i="1" s="1"/>
  <c r="DV122" i="1"/>
  <c r="DX122" i="1" s="1"/>
  <c r="DU122" i="1"/>
  <c r="DW122" i="1" s="1"/>
  <c r="DV121" i="1"/>
  <c r="DX121" i="1" s="1"/>
  <c r="DU121" i="1"/>
  <c r="DW121" i="1" s="1"/>
  <c r="DV120" i="1"/>
  <c r="DX120" i="1" s="1"/>
  <c r="DU120" i="1"/>
  <c r="DW120" i="1" s="1"/>
  <c r="DV119" i="1"/>
  <c r="DX119" i="1" s="1"/>
  <c r="DU119" i="1"/>
  <c r="DW119" i="1" s="1"/>
  <c r="DV118" i="1"/>
  <c r="DX118" i="1" s="1"/>
  <c r="DU118" i="1"/>
  <c r="DW118" i="1" s="1"/>
  <c r="DV117" i="1"/>
  <c r="DX117" i="1" s="1"/>
  <c r="DU117" i="1"/>
  <c r="DW117" i="1" s="1"/>
  <c r="DV116" i="1"/>
  <c r="DX116" i="1" s="1"/>
  <c r="DU116" i="1"/>
  <c r="DW116" i="1" s="1"/>
  <c r="DV115" i="1"/>
  <c r="DX115" i="1" s="1"/>
  <c r="DU115" i="1"/>
  <c r="DW115" i="1" s="1"/>
  <c r="DV114" i="1"/>
  <c r="DX114" i="1" s="1"/>
  <c r="DU114" i="1"/>
  <c r="DW114" i="1" s="1"/>
  <c r="DV113" i="1"/>
  <c r="DX113" i="1" s="1"/>
  <c r="DU113" i="1"/>
  <c r="DW113" i="1" s="1"/>
  <c r="DV112" i="1"/>
  <c r="DX112" i="1" s="1"/>
  <c r="DU112" i="1"/>
  <c r="DW112" i="1" s="1"/>
  <c r="DV111" i="1"/>
  <c r="DX111" i="1" s="1"/>
  <c r="DU111" i="1"/>
  <c r="DW111" i="1" s="1"/>
  <c r="DV110" i="1"/>
  <c r="DX110" i="1" s="1"/>
  <c r="DU110" i="1"/>
  <c r="DW110" i="1" s="1"/>
  <c r="DV109" i="1"/>
  <c r="DX109" i="1" s="1"/>
  <c r="DU109" i="1"/>
  <c r="DW109" i="1" s="1"/>
  <c r="DV108" i="1"/>
  <c r="DX108" i="1" s="1"/>
  <c r="DU108" i="1"/>
  <c r="DW108" i="1" s="1"/>
  <c r="DV107" i="1"/>
  <c r="DX107" i="1" s="1"/>
  <c r="DU107" i="1"/>
  <c r="DW107" i="1" s="1"/>
  <c r="DV106" i="1"/>
  <c r="DX106" i="1" s="1"/>
  <c r="DU106" i="1"/>
  <c r="DW106" i="1" s="1"/>
  <c r="DV105" i="1"/>
  <c r="DX105" i="1" s="1"/>
  <c r="DU105" i="1"/>
  <c r="DW105" i="1" s="1"/>
  <c r="DV104" i="1"/>
  <c r="DX104" i="1" s="1"/>
  <c r="DU104" i="1"/>
  <c r="DW104" i="1" s="1"/>
  <c r="DV103" i="1"/>
  <c r="DX103" i="1" s="1"/>
  <c r="DU103" i="1"/>
  <c r="DW103" i="1" s="1"/>
  <c r="DV102" i="1"/>
  <c r="DX102" i="1" s="1"/>
  <c r="DU102" i="1"/>
  <c r="DW102" i="1" s="1"/>
  <c r="DV101" i="1"/>
  <c r="DX101" i="1" s="1"/>
  <c r="DU101" i="1"/>
  <c r="DW101" i="1" s="1"/>
  <c r="DV100" i="1"/>
  <c r="DX100" i="1" s="1"/>
  <c r="DU100" i="1"/>
  <c r="DW100" i="1" s="1"/>
  <c r="DV99" i="1"/>
  <c r="DX99" i="1" s="1"/>
  <c r="DU99" i="1"/>
  <c r="DW99" i="1" s="1"/>
  <c r="DV98" i="1"/>
  <c r="DX98" i="1" s="1"/>
  <c r="DU98" i="1"/>
  <c r="DW98" i="1" s="1"/>
  <c r="DV97" i="1"/>
  <c r="DX97" i="1" s="1"/>
  <c r="DU97" i="1"/>
  <c r="DW97" i="1" s="1"/>
  <c r="DV96" i="1"/>
  <c r="DX96" i="1" s="1"/>
  <c r="DU96" i="1"/>
  <c r="DW96" i="1" s="1"/>
  <c r="DV95" i="1"/>
  <c r="DX95" i="1" s="1"/>
  <c r="DU95" i="1"/>
  <c r="DW95" i="1" s="1"/>
  <c r="DV94" i="1"/>
  <c r="DX94" i="1" s="1"/>
  <c r="DU94" i="1"/>
  <c r="DW94" i="1" s="1"/>
  <c r="DV93" i="1"/>
  <c r="DX93" i="1" s="1"/>
  <c r="DU93" i="1"/>
  <c r="DW93" i="1" s="1"/>
  <c r="DV92" i="1"/>
  <c r="DX92" i="1" s="1"/>
  <c r="DU92" i="1"/>
  <c r="DW92" i="1" s="1"/>
  <c r="DV91" i="1"/>
  <c r="DX91" i="1" s="1"/>
  <c r="DU91" i="1"/>
  <c r="DW91" i="1" s="1"/>
  <c r="DV90" i="1"/>
  <c r="DX90" i="1" s="1"/>
  <c r="DU90" i="1"/>
  <c r="DW90" i="1" s="1"/>
  <c r="DV89" i="1"/>
  <c r="DX89" i="1" s="1"/>
  <c r="DU89" i="1"/>
  <c r="DW89" i="1" s="1"/>
  <c r="DV88" i="1"/>
  <c r="DX88" i="1" s="1"/>
  <c r="DU88" i="1"/>
  <c r="DW88" i="1" s="1"/>
  <c r="DV87" i="1"/>
  <c r="DX87" i="1" s="1"/>
  <c r="DU87" i="1"/>
  <c r="DW87" i="1" s="1"/>
  <c r="DV86" i="1"/>
  <c r="DX86" i="1" s="1"/>
  <c r="DU86" i="1"/>
  <c r="DW86" i="1" s="1"/>
  <c r="DV85" i="1"/>
  <c r="DX85" i="1" s="1"/>
  <c r="DU85" i="1"/>
  <c r="DW85" i="1" s="1"/>
  <c r="DV84" i="1"/>
  <c r="DX84" i="1" s="1"/>
  <c r="DU84" i="1"/>
  <c r="DW84" i="1" s="1"/>
  <c r="DV83" i="1"/>
  <c r="DX83" i="1" s="1"/>
  <c r="DU83" i="1"/>
  <c r="DW83" i="1" s="1"/>
  <c r="DV82" i="1"/>
  <c r="DX82" i="1" s="1"/>
  <c r="DU82" i="1"/>
  <c r="DW82" i="1" s="1"/>
  <c r="DV81" i="1"/>
  <c r="DX81" i="1" s="1"/>
  <c r="DU81" i="1"/>
  <c r="DW81" i="1" s="1"/>
  <c r="DV80" i="1"/>
  <c r="DX80" i="1" s="1"/>
  <c r="DU80" i="1"/>
  <c r="DW80" i="1" s="1"/>
  <c r="DV79" i="1"/>
  <c r="DX79" i="1" s="1"/>
  <c r="DU79" i="1"/>
  <c r="DW79" i="1" s="1"/>
  <c r="DV78" i="1"/>
  <c r="DX78" i="1" s="1"/>
  <c r="DU78" i="1"/>
  <c r="DW78" i="1" s="1"/>
  <c r="DV77" i="1"/>
  <c r="DX77" i="1" s="1"/>
  <c r="DU77" i="1"/>
  <c r="DW77" i="1" s="1"/>
  <c r="DV76" i="1"/>
  <c r="DX76" i="1" s="1"/>
  <c r="DU76" i="1"/>
  <c r="DW76" i="1" s="1"/>
  <c r="DV75" i="1"/>
  <c r="DX75" i="1" s="1"/>
  <c r="DU75" i="1"/>
  <c r="DW75" i="1" s="1"/>
  <c r="DV74" i="1"/>
  <c r="DX74" i="1" s="1"/>
  <c r="DU74" i="1"/>
  <c r="DW74" i="1" s="1"/>
  <c r="DV73" i="1"/>
  <c r="DX73" i="1" s="1"/>
  <c r="DU73" i="1"/>
  <c r="DW73" i="1" s="1"/>
  <c r="DV72" i="1"/>
  <c r="DX72" i="1" s="1"/>
  <c r="DU72" i="1"/>
  <c r="DW72" i="1" s="1"/>
  <c r="DV71" i="1"/>
  <c r="DX71" i="1" s="1"/>
  <c r="DU71" i="1"/>
  <c r="DW71" i="1" s="1"/>
  <c r="DV70" i="1"/>
  <c r="DX70" i="1" s="1"/>
  <c r="DU70" i="1"/>
  <c r="DW70" i="1" s="1"/>
  <c r="DV69" i="1"/>
  <c r="DX69" i="1" s="1"/>
  <c r="DU69" i="1"/>
  <c r="DW69" i="1" s="1"/>
  <c r="DV68" i="1"/>
  <c r="DX68" i="1" s="1"/>
  <c r="DU68" i="1"/>
  <c r="DW68" i="1" s="1"/>
  <c r="DV67" i="1"/>
  <c r="DX67" i="1" s="1"/>
  <c r="DU67" i="1"/>
  <c r="DW67" i="1" s="1"/>
  <c r="DV66" i="1"/>
  <c r="DX66" i="1" s="1"/>
  <c r="DU66" i="1"/>
  <c r="DW66" i="1" s="1"/>
  <c r="DV65" i="1"/>
  <c r="DX65" i="1" s="1"/>
  <c r="DU65" i="1"/>
  <c r="DW65" i="1" s="1"/>
  <c r="DV64" i="1"/>
  <c r="DX64" i="1" s="1"/>
  <c r="DU64" i="1"/>
  <c r="DW64" i="1" s="1"/>
  <c r="DV63" i="1"/>
  <c r="DX63" i="1" s="1"/>
  <c r="DU63" i="1"/>
  <c r="DW63" i="1" s="1"/>
  <c r="DV62" i="1"/>
  <c r="DX62" i="1" s="1"/>
  <c r="DU62" i="1"/>
  <c r="DW62" i="1" s="1"/>
  <c r="DV61" i="1"/>
  <c r="DX61" i="1" s="1"/>
  <c r="DU61" i="1"/>
  <c r="DW61" i="1" s="1"/>
  <c r="DV60" i="1"/>
  <c r="DX60" i="1" s="1"/>
  <c r="DU60" i="1"/>
  <c r="DW60" i="1" s="1"/>
  <c r="DV59" i="1"/>
  <c r="DX59" i="1" s="1"/>
  <c r="DU59" i="1"/>
  <c r="DW59" i="1" s="1"/>
  <c r="DV58" i="1"/>
  <c r="DX58" i="1" s="1"/>
  <c r="DU58" i="1"/>
  <c r="DW58" i="1" s="1"/>
  <c r="DV56" i="1"/>
  <c r="DX56" i="1" s="1"/>
  <c r="DU56" i="1"/>
  <c r="DW56" i="1" s="1"/>
  <c r="DV55" i="1"/>
  <c r="DX55" i="1" s="1"/>
  <c r="DU55" i="1"/>
  <c r="DW55" i="1" s="1"/>
  <c r="DV54" i="1"/>
  <c r="DX54" i="1" s="1"/>
  <c r="DU54" i="1"/>
  <c r="DW54" i="1" s="1"/>
  <c r="DV53" i="1"/>
  <c r="DX53" i="1" s="1"/>
  <c r="DU53" i="1"/>
  <c r="DW53" i="1" s="1"/>
  <c r="DV52" i="1"/>
  <c r="DX52" i="1" s="1"/>
  <c r="DU52" i="1"/>
  <c r="DW52" i="1" s="1"/>
  <c r="DV51" i="1"/>
  <c r="DX51" i="1" s="1"/>
  <c r="DU51" i="1"/>
  <c r="DW51" i="1" s="1"/>
  <c r="DV50" i="1"/>
  <c r="DX50" i="1" s="1"/>
  <c r="DU50" i="1"/>
  <c r="DW50" i="1" s="1"/>
  <c r="DV49" i="1"/>
  <c r="DX49" i="1" s="1"/>
  <c r="DU49" i="1"/>
  <c r="DW49" i="1" s="1"/>
  <c r="DV48" i="1"/>
  <c r="DX48" i="1" s="1"/>
  <c r="DU48" i="1"/>
  <c r="DW48" i="1" s="1"/>
  <c r="DV47" i="1"/>
  <c r="DX47" i="1" s="1"/>
  <c r="DU47" i="1"/>
  <c r="DW47" i="1" s="1"/>
  <c r="DV46" i="1"/>
  <c r="DX46" i="1" s="1"/>
  <c r="DU46" i="1"/>
  <c r="DW46" i="1" s="1"/>
  <c r="DV45" i="1"/>
  <c r="DX45" i="1" s="1"/>
  <c r="DU45" i="1"/>
  <c r="DW45" i="1" s="1"/>
  <c r="DV44" i="1"/>
  <c r="DX44" i="1" s="1"/>
  <c r="DU44" i="1"/>
  <c r="DW44" i="1" s="1"/>
  <c r="DV43" i="1"/>
  <c r="DX43" i="1" s="1"/>
  <c r="DU43" i="1"/>
  <c r="DW43" i="1" s="1"/>
  <c r="DV42" i="1"/>
  <c r="DX42" i="1" s="1"/>
  <c r="DU42" i="1"/>
  <c r="DW42" i="1" s="1"/>
  <c r="DV41" i="1"/>
  <c r="DX41" i="1" s="1"/>
  <c r="DU41" i="1"/>
  <c r="DW41" i="1" s="1"/>
  <c r="DV40" i="1"/>
  <c r="DX40" i="1" s="1"/>
  <c r="DU40" i="1"/>
  <c r="DW40" i="1" s="1"/>
  <c r="DV39" i="1"/>
  <c r="DX39" i="1" s="1"/>
  <c r="DU39" i="1"/>
  <c r="DW39" i="1" s="1"/>
  <c r="DV38" i="1"/>
  <c r="DX38" i="1" s="1"/>
  <c r="DU38" i="1"/>
  <c r="DW38" i="1" s="1"/>
  <c r="DV37" i="1"/>
  <c r="DX37" i="1" s="1"/>
  <c r="DU37" i="1"/>
  <c r="DW37" i="1" s="1"/>
  <c r="DV36" i="1"/>
  <c r="DX36" i="1" s="1"/>
  <c r="DU36" i="1"/>
  <c r="DW36" i="1" s="1"/>
  <c r="DV35" i="1"/>
  <c r="DX35" i="1" s="1"/>
  <c r="DU35" i="1"/>
  <c r="DW35" i="1" s="1"/>
  <c r="DV34" i="1"/>
  <c r="DX34" i="1" s="1"/>
  <c r="DU34" i="1"/>
  <c r="DW34" i="1" s="1"/>
  <c r="DV33" i="1"/>
  <c r="DX33" i="1" s="1"/>
  <c r="DU33" i="1"/>
  <c r="DW33" i="1" s="1"/>
  <c r="DV32" i="1"/>
  <c r="DX32" i="1" s="1"/>
  <c r="DU32" i="1"/>
  <c r="DW32" i="1" s="1"/>
  <c r="DV31" i="1"/>
  <c r="DX31" i="1" s="1"/>
  <c r="DU31" i="1"/>
  <c r="DW31" i="1" s="1"/>
  <c r="DV30" i="1"/>
  <c r="DX30" i="1" s="1"/>
  <c r="DU30" i="1"/>
  <c r="DW30" i="1" s="1"/>
  <c r="DV29" i="1"/>
  <c r="DX29" i="1" s="1"/>
  <c r="DU29" i="1"/>
  <c r="DW29" i="1" s="1"/>
  <c r="DV28" i="1"/>
  <c r="DX28" i="1" s="1"/>
  <c r="DU28" i="1"/>
  <c r="DW28" i="1" s="1"/>
  <c r="DV27" i="1"/>
  <c r="DX27" i="1" s="1"/>
  <c r="DU27" i="1"/>
  <c r="DW27" i="1" s="1"/>
  <c r="DV26" i="1"/>
  <c r="DX26" i="1" s="1"/>
  <c r="DU26" i="1"/>
  <c r="DW26" i="1" s="1"/>
  <c r="DV25" i="1"/>
  <c r="DX25" i="1" s="1"/>
  <c r="DU25" i="1"/>
  <c r="DW25" i="1" s="1"/>
  <c r="DV24" i="1"/>
  <c r="DX24" i="1" s="1"/>
  <c r="DU24" i="1"/>
  <c r="DW24" i="1" s="1"/>
  <c r="DV23" i="1"/>
  <c r="DX23" i="1" s="1"/>
  <c r="DU23" i="1"/>
  <c r="DW23" i="1" s="1"/>
  <c r="DV22" i="1"/>
  <c r="DX22" i="1" s="1"/>
  <c r="DU22" i="1"/>
  <c r="DW22" i="1" s="1"/>
  <c r="DV21" i="1"/>
  <c r="DX21" i="1" s="1"/>
  <c r="DU21" i="1"/>
  <c r="DW21" i="1" s="1"/>
  <c r="DV20" i="1"/>
  <c r="DX20" i="1" s="1"/>
  <c r="DU20" i="1"/>
  <c r="DW20" i="1" s="1"/>
  <c r="DV19" i="1"/>
  <c r="DX19" i="1" s="1"/>
  <c r="DU19" i="1"/>
  <c r="DW19" i="1" s="1"/>
  <c r="DV18" i="1"/>
  <c r="DX18" i="1" s="1"/>
  <c r="DU18" i="1"/>
  <c r="DW18" i="1" s="1"/>
  <c r="DV17" i="1"/>
  <c r="DX17" i="1" s="1"/>
  <c r="DU17" i="1"/>
  <c r="DW17" i="1" s="1"/>
  <c r="DV16" i="1"/>
  <c r="DX16" i="1" s="1"/>
  <c r="DU16" i="1"/>
  <c r="DW16" i="1" s="1"/>
  <c r="DV15" i="1"/>
  <c r="DX15" i="1" s="1"/>
  <c r="DU15" i="1"/>
  <c r="DW15" i="1" s="1"/>
  <c r="DV14" i="1"/>
  <c r="DX14" i="1" s="1"/>
  <c r="DU14" i="1"/>
  <c r="DW14" i="1" s="1"/>
  <c r="DV13" i="1"/>
  <c r="DX13" i="1" s="1"/>
  <c r="DU13" i="1"/>
  <c r="DW13" i="1" s="1"/>
  <c r="DV12" i="1"/>
  <c r="DX12" i="1" s="1"/>
  <c r="DU12" i="1"/>
  <c r="DW12" i="1" s="1"/>
  <c r="DV11" i="1"/>
  <c r="DX11" i="1" s="1"/>
  <c r="DU11" i="1"/>
  <c r="DW11" i="1" s="1"/>
  <c r="DV10" i="1"/>
  <c r="DX10" i="1" s="1"/>
  <c r="DU10" i="1"/>
  <c r="DW10" i="1" s="1"/>
  <c r="DV9" i="1"/>
  <c r="DX9" i="1" s="1"/>
  <c r="DU9" i="1"/>
  <c r="DW9" i="1" s="1"/>
  <c r="DV8" i="1"/>
  <c r="DX8" i="1" s="1"/>
  <c r="DU8" i="1"/>
  <c r="DW8" i="1" s="1"/>
  <c r="DV7" i="1"/>
  <c r="DX7" i="1" s="1"/>
  <c r="DU7" i="1"/>
  <c r="DW7" i="1" s="1"/>
  <c r="DV6" i="1"/>
  <c r="DX6" i="1" s="1"/>
  <c r="DU6" i="1"/>
  <c r="DW6" i="1" s="1"/>
  <c r="DV5" i="1"/>
  <c r="DX5" i="1" s="1"/>
  <c r="DU5" i="1"/>
  <c r="DW5" i="1" s="1"/>
  <c r="DV4" i="1"/>
  <c r="DX4" i="1" s="1"/>
  <c r="DU4" i="1"/>
  <c r="DW4" i="1" s="1"/>
  <c r="DV3" i="1"/>
  <c r="DX3" i="1" s="1"/>
  <c r="DU3" i="1"/>
  <c r="DW3" i="1" s="1"/>
  <c r="CY211" i="1" l="1"/>
  <c r="CX211" i="1"/>
  <c r="CW211" i="1"/>
  <c r="BX200" i="1"/>
  <c r="BX199" i="1"/>
  <c r="BX198" i="1"/>
  <c r="BX197" i="1"/>
  <c r="BX196" i="1"/>
  <c r="BX195" i="1"/>
  <c r="BX194" i="1"/>
  <c r="BX193" i="1"/>
  <c r="BX192" i="1"/>
  <c r="BX191" i="1"/>
  <c r="BX190" i="1"/>
  <c r="BX189" i="1"/>
  <c r="BX188" i="1"/>
  <c r="BX187" i="1"/>
  <c r="BX186" i="1"/>
  <c r="BX185" i="1"/>
  <c r="BX184" i="1"/>
  <c r="BX183" i="1"/>
  <c r="BX182" i="1"/>
  <c r="BX181" i="1"/>
  <c r="BX180" i="1"/>
  <c r="BX179" i="1"/>
  <c r="BX178" i="1"/>
  <c r="BX177" i="1"/>
  <c r="BX176" i="1"/>
  <c r="BX175" i="1"/>
  <c r="BX174" i="1"/>
  <c r="BX173" i="1"/>
  <c r="BX172" i="1"/>
  <c r="BX171" i="1"/>
  <c r="BX170" i="1"/>
  <c r="BX169" i="1"/>
  <c r="BX168" i="1"/>
  <c r="BX167" i="1"/>
  <c r="BX166" i="1"/>
  <c r="BX165" i="1"/>
  <c r="BX164" i="1"/>
  <c r="BX163" i="1"/>
  <c r="BX162" i="1"/>
  <c r="BX161" i="1"/>
  <c r="BX160" i="1"/>
  <c r="BX159" i="1"/>
  <c r="BX158" i="1"/>
  <c r="BX157" i="1"/>
  <c r="BX156" i="1"/>
  <c r="BX155" i="1"/>
  <c r="BX154" i="1"/>
  <c r="BX153" i="1"/>
  <c r="BX152" i="1"/>
  <c r="BX151" i="1"/>
  <c r="BX150" i="1"/>
  <c r="BX149" i="1"/>
  <c r="BX148" i="1"/>
  <c r="BX147" i="1"/>
  <c r="BX146" i="1"/>
  <c r="BX145" i="1"/>
  <c r="BX144" i="1"/>
  <c r="BX143" i="1"/>
  <c r="BX142" i="1"/>
  <c r="BX141" i="1"/>
  <c r="BX140" i="1"/>
  <c r="BX139" i="1"/>
  <c r="BX138" i="1"/>
  <c r="BX137" i="1"/>
  <c r="BX136" i="1"/>
  <c r="BX135" i="1"/>
  <c r="BX134" i="1"/>
  <c r="BX133" i="1"/>
  <c r="BX132" i="1"/>
  <c r="BX131" i="1"/>
  <c r="BX130" i="1"/>
  <c r="BX129" i="1"/>
  <c r="BX128" i="1"/>
  <c r="BX127" i="1"/>
  <c r="BX126" i="1"/>
  <c r="BX125" i="1"/>
  <c r="BX124" i="1"/>
  <c r="BX123" i="1"/>
  <c r="BX122" i="1"/>
  <c r="BX121" i="1"/>
  <c r="BX120" i="1"/>
  <c r="BX119" i="1"/>
  <c r="BX118" i="1"/>
  <c r="BX117" i="1"/>
  <c r="BX116" i="1"/>
  <c r="BX115" i="1"/>
  <c r="BX114" i="1"/>
  <c r="BX113" i="1"/>
  <c r="BX112" i="1"/>
  <c r="BX111" i="1"/>
  <c r="BX110" i="1"/>
  <c r="BX109" i="1"/>
  <c r="BX108" i="1"/>
  <c r="BX107" i="1"/>
  <c r="BX106" i="1"/>
  <c r="BX105" i="1"/>
  <c r="BX104" i="1"/>
  <c r="BX103" i="1"/>
  <c r="BX102" i="1"/>
  <c r="BX101" i="1"/>
  <c r="BX100" i="1"/>
  <c r="BX99" i="1"/>
  <c r="BX98" i="1"/>
  <c r="BX97" i="1"/>
  <c r="BX96" i="1"/>
  <c r="BX95" i="1"/>
  <c r="BX94" i="1"/>
  <c r="BX93" i="1"/>
  <c r="BX92" i="1"/>
  <c r="BX91" i="1"/>
  <c r="BX90" i="1"/>
  <c r="BX89" i="1"/>
  <c r="BX88" i="1"/>
  <c r="BX87" i="1"/>
  <c r="BX86" i="1"/>
  <c r="BX85" i="1"/>
  <c r="BX84" i="1"/>
  <c r="BX83" i="1"/>
  <c r="BX82" i="1"/>
  <c r="BX81" i="1"/>
  <c r="BX80" i="1"/>
  <c r="BX79" i="1"/>
  <c r="BX78" i="1"/>
  <c r="BX77" i="1"/>
  <c r="BX76" i="1"/>
  <c r="BX75" i="1"/>
  <c r="BX74" i="1"/>
  <c r="BX73" i="1"/>
  <c r="BX72" i="1"/>
  <c r="BX71" i="1"/>
  <c r="BX70" i="1"/>
  <c r="BX69" i="1"/>
  <c r="BX68" i="1"/>
  <c r="BX67" i="1"/>
  <c r="BX66" i="1"/>
  <c r="BX65" i="1"/>
  <c r="BX64" i="1"/>
  <c r="BX63" i="1"/>
  <c r="BX62" i="1"/>
  <c r="BX61" i="1"/>
  <c r="BX60" i="1"/>
  <c r="BX59" i="1"/>
  <c r="BX58" i="1"/>
  <c r="BX57" i="1"/>
  <c r="BX56" i="1"/>
  <c r="BX55" i="1"/>
  <c r="BX54" i="1"/>
  <c r="BX53" i="1"/>
  <c r="BX52" i="1"/>
  <c r="BX51" i="1"/>
  <c r="BX50" i="1"/>
  <c r="BX49" i="1"/>
  <c r="BX48" i="1"/>
  <c r="BX47" i="1"/>
  <c r="BX46" i="1"/>
  <c r="BX45" i="1"/>
  <c r="BX44" i="1"/>
  <c r="BX43" i="1"/>
  <c r="BX42" i="1"/>
  <c r="BX41" i="1"/>
  <c r="BX40" i="1"/>
  <c r="BX39" i="1"/>
  <c r="BX38" i="1"/>
  <c r="BX37" i="1"/>
  <c r="BX36" i="1"/>
  <c r="BX35" i="1"/>
  <c r="BX34" i="1"/>
  <c r="BX33" i="1"/>
  <c r="BX32" i="1"/>
  <c r="BX31" i="1"/>
  <c r="BX30" i="1"/>
  <c r="BX29" i="1"/>
  <c r="BX28" i="1"/>
  <c r="BX27" i="1"/>
  <c r="BX26" i="1"/>
  <c r="BX25" i="1"/>
  <c r="BX24" i="1"/>
  <c r="BX23" i="1"/>
  <c r="BX22" i="1"/>
  <c r="BX21" i="1"/>
  <c r="BX20" i="1"/>
  <c r="BX19" i="1"/>
  <c r="BX18" i="1"/>
  <c r="BX17" i="1"/>
  <c r="BX16" i="1"/>
  <c r="BX15" i="1"/>
  <c r="BX14" i="1"/>
  <c r="BX13" i="1"/>
  <c r="BX12" i="1"/>
  <c r="BX11" i="1"/>
  <c r="BX10" i="1"/>
  <c r="BX9" i="1"/>
  <c r="BX8" i="1"/>
  <c r="BX7" i="1"/>
  <c r="BX6" i="1"/>
  <c r="BX5" i="1"/>
  <c r="BX4" i="1"/>
  <c r="BT200" i="1"/>
  <c r="BT199" i="1"/>
  <c r="BT198" i="1"/>
  <c r="BT197" i="1"/>
  <c r="BT196" i="1"/>
  <c r="BT195" i="1"/>
  <c r="BT194" i="1"/>
  <c r="BT193" i="1"/>
  <c r="BT192" i="1"/>
  <c r="BT191" i="1"/>
  <c r="BT190" i="1"/>
  <c r="BT189" i="1"/>
  <c r="BT188" i="1"/>
  <c r="BT187" i="1"/>
  <c r="BT186" i="1"/>
  <c r="BT185" i="1"/>
  <c r="BT184" i="1"/>
  <c r="BT183" i="1"/>
  <c r="BT182" i="1"/>
  <c r="BT181" i="1"/>
  <c r="BT180" i="1"/>
  <c r="BT179" i="1"/>
  <c r="BT178" i="1"/>
  <c r="BT177" i="1"/>
  <c r="BT176" i="1"/>
  <c r="BT175" i="1"/>
  <c r="BT174" i="1"/>
  <c r="BT173" i="1"/>
  <c r="BT172" i="1"/>
  <c r="BT171" i="1"/>
  <c r="BT170" i="1"/>
  <c r="BT169" i="1"/>
  <c r="BT168" i="1"/>
  <c r="BT167" i="1"/>
  <c r="BT166" i="1"/>
  <c r="BT165" i="1"/>
  <c r="BT164" i="1"/>
  <c r="BT163" i="1"/>
  <c r="BT162" i="1"/>
  <c r="BT161" i="1"/>
  <c r="BT160" i="1"/>
  <c r="BT159" i="1"/>
  <c r="BT158" i="1"/>
  <c r="BT157" i="1"/>
  <c r="BT156" i="1"/>
  <c r="BT155" i="1"/>
  <c r="BT154" i="1"/>
  <c r="BT153" i="1"/>
  <c r="BT152" i="1"/>
  <c r="BT151" i="1"/>
  <c r="BT150" i="1"/>
  <c r="BT149" i="1"/>
  <c r="BT148" i="1"/>
  <c r="BT147" i="1"/>
  <c r="BT146" i="1"/>
  <c r="BT145" i="1"/>
  <c r="BT144" i="1"/>
  <c r="BT143" i="1"/>
  <c r="BT142" i="1"/>
  <c r="BT141" i="1"/>
  <c r="BT140" i="1"/>
  <c r="BT139" i="1"/>
  <c r="BT138" i="1"/>
  <c r="BT137" i="1"/>
  <c r="BT136" i="1"/>
  <c r="BT135" i="1"/>
  <c r="BT134" i="1"/>
  <c r="BT133" i="1"/>
  <c r="BT132" i="1"/>
  <c r="BT131" i="1"/>
  <c r="BT130" i="1"/>
  <c r="BT129" i="1"/>
  <c r="BT128" i="1"/>
  <c r="BT127" i="1"/>
  <c r="BT126" i="1"/>
  <c r="BT125" i="1"/>
  <c r="BT124" i="1"/>
  <c r="BT123" i="1"/>
  <c r="BT122" i="1"/>
  <c r="BT121" i="1"/>
  <c r="BT120" i="1"/>
  <c r="BT119" i="1"/>
  <c r="BT118" i="1"/>
  <c r="BT117" i="1"/>
  <c r="BT116" i="1"/>
  <c r="BT115" i="1"/>
  <c r="BT114" i="1"/>
  <c r="BT113" i="1"/>
  <c r="BT112" i="1"/>
  <c r="BT111" i="1"/>
  <c r="BT110" i="1"/>
  <c r="BT109" i="1"/>
  <c r="BT108" i="1"/>
  <c r="BT107" i="1"/>
  <c r="BT106" i="1"/>
  <c r="BT105" i="1"/>
  <c r="BT104" i="1"/>
  <c r="BT103" i="1"/>
  <c r="BT102" i="1"/>
  <c r="BT101" i="1"/>
  <c r="BT100" i="1"/>
  <c r="BT99" i="1"/>
  <c r="BT98" i="1"/>
  <c r="BT97" i="1"/>
  <c r="BT96" i="1"/>
  <c r="BT95" i="1"/>
  <c r="BT94" i="1"/>
  <c r="BT93" i="1"/>
  <c r="BT92" i="1"/>
  <c r="BT91" i="1"/>
  <c r="BT90" i="1"/>
  <c r="BT89" i="1"/>
  <c r="BT88" i="1"/>
  <c r="BT87" i="1"/>
  <c r="BT86" i="1"/>
  <c r="BT85" i="1"/>
  <c r="BT84" i="1"/>
  <c r="BT83" i="1"/>
  <c r="BT82" i="1"/>
  <c r="BT81" i="1"/>
  <c r="BT80" i="1"/>
  <c r="BT79" i="1"/>
  <c r="BT78" i="1"/>
  <c r="BT77" i="1"/>
  <c r="BT76" i="1"/>
  <c r="BT75" i="1"/>
  <c r="BT74" i="1"/>
  <c r="BT73" i="1"/>
  <c r="BT72" i="1"/>
  <c r="BT71" i="1"/>
  <c r="BT70" i="1"/>
  <c r="BT69" i="1"/>
  <c r="BT68" i="1"/>
  <c r="BT67" i="1"/>
  <c r="BT66" i="1"/>
  <c r="BT65" i="1"/>
  <c r="BT64" i="1"/>
  <c r="BT63" i="1"/>
  <c r="BT62" i="1"/>
  <c r="BT61" i="1"/>
  <c r="BT60" i="1"/>
  <c r="BT59" i="1"/>
  <c r="BT58" i="1"/>
  <c r="BT57" i="1"/>
  <c r="BT56" i="1"/>
  <c r="BT55" i="1"/>
  <c r="BT54" i="1"/>
  <c r="BT53" i="1"/>
  <c r="BT52" i="1"/>
  <c r="BT51" i="1"/>
  <c r="BT50" i="1"/>
  <c r="BT49" i="1"/>
  <c r="BT48" i="1"/>
  <c r="BT47" i="1"/>
  <c r="BT46" i="1"/>
  <c r="BT45" i="1"/>
  <c r="BT44" i="1"/>
  <c r="BT43" i="1"/>
  <c r="BT42" i="1"/>
  <c r="BT41" i="1"/>
  <c r="BT40" i="1"/>
  <c r="BT39" i="1"/>
  <c r="BT38" i="1"/>
  <c r="BT37" i="1"/>
  <c r="BT36" i="1"/>
  <c r="BT35" i="1"/>
  <c r="BT34" i="1"/>
  <c r="BT33" i="1"/>
  <c r="BT32" i="1"/>
  <c r="BT31" i="1"/>
  <c r="BT30" i="1"/>
  <c r="BT29" i="1"/>
  <c r="BT28" i="1"/>
  <c r="BT27" i="1"/>
  <c r="BT26" i="1"/>
  <c r="BT25" i="1"/>
  <c r="BT24" i="1"/>
  <c r="BT23" i="1"/>
  <c r="BT22" i="1"/>
  <c r="BT21" i="1"/>
  <c r="BT20" i="1"/>
  <c r="BT19" i="1"/>
  <c r="BT18" i="1"/>
  <c r="BT17" i="1"/>
  <c r="BT16" i="1"/>
  <c r="BT15" i="1"/>
  <c r="BT14" i="1"/>
  <c r="BT13" i="1"/>
  <c r="BT12" i="1"/>
  <c r="BT11" i="1"/>
  <c r="BT10" i="1"/>
  <c r="BT9" i="1"/>
  <c r="BT8" i="1"/>
  <c r="BT7" i="1"/>
  <c r="BT6" i="1"/>
  <c r="BT5" i="1"/>
  <c r="BT4" i="1"/>
  <c r="BP200" i="1"/>
  <c r="BP199" i="1"/>
  <c r="BP198" i="1"/>
  <c r="BP197" i="1"/>
  <c r="BP196" i="1"/>
  <c r="BP195" i="1"/>
  <c r="BP194" i="1"/>
  <c r="BP193" i="1"/>
  <c r="BP192" i="1"/>
  <c r="BP191" i="1"/>
  <c r="BP190" i="1"/>
  <c r="BP189" i="1"/>
  <c r="BP188" i="1"/>
  <c r="BP187" i="1"/>
  <c r="BP186" i="1"/>
  <c r="BP185" i="1"/>
  <c r="BP184" i="1"/>
  <c r="BP183" i="1"/>
  <c r="BP182" i="1"/>
  <c r="BP181" i="1"/>
  <c r="BP180" i="1"/>
  <c r="BP179" i="1"/>
  <c r="BP178" i="1"/>
  <c r="BP177" i="1"/>
  <c r="BP176" i="1"/>
  <c r="BP175" i="1"/>
  <c r="BP174" i="1"/>
  <c r="BP173" i="1"/>
  <c r="BP172" i="1"/>
  <c r="BP171" i="1"/>
  <c r="BP170" i="1"/>
  <c r="BP169" i="1"/>
  <c r="BP168" i="1"/>
  <c r="BP167" i="1"/>
  <c r="BP166" i="1"/>
  <c r="BP165" i="1"/>
  <c r="BP164" i="1"/>
  <c r="BP163" i="1"/>
  <c r="BP162" i="1"/>
  <c r="BP161" i="1"/>
  <c r="BP160" i="1"/>
  <c r="BP159" i="1"/>
  <c r="BP158" i="1"/>
  <c r="BP157" i="1"/>
  <c r="BP156" i="1"/>
  <c r="BP155" i="1"/>
  <c r="BP154" i="1"/>
  <c r="BP153" i="1"/>
  <c r="BP152" i="1"/>
  <c r="BP151" i="1"/>
  <c r="BP150" i="1"/>
  <c r="BP149" i="1"/>
  <c r="BP148" i="1"/>
  <c r="BP147" i="1"/>
  <c r="BP146" i="1"/>
  <c r="BP145" i="1"/>
  <c r="BP144" i="1"/>
  <c r="BP143" i="1"/>
  <c r="BP142" i="1"/>
  <c r="BP141" i="1"/>
  <c r="BP140" i="1"/>
  <c r="BP139" i="1"/>
  <c r="BP138" i="1"/>
  <c r="BP137" i="1"/>
  <c r="BP136" i="1"/>
  <c r="BP135" i="1"/>
  <c r="BP134" i="1"/>
  <c r="BP133" i="1"/>
  <c r="BP132" i="1"/>
  <c r="BP131" i="1"/>
  <c r="BP130" i="1"/>
  <c r="BP129" i="1"/>
  <c r="BP128" i="1"/>
  <c r="BP127" i="1"/>
  <c r="BP126" i="1"/>
  <c r="BP125" i="1"/>
  <c r="BP124" i="1"/>
  <c r="BP123" i="1"/>
  <c r="BP122" i="1"/>
  <c r="BP121" i="1"/>
  <c r="BP120" i="1"/>
  <c r="BP119" i="1"/>
  <c r="BP118" i="1"/>
  <c r="BP117" i="1"/>
  <c r="BP116" i="1"/>
  <c r="BP115" i="1"/>
  <c r="BP114" i="1"/>
  <c r="BP113" i="1"/>
  <c r="BP112" i="1"/>
  <c r="BP111" i="1"/>
  <c r="BP110" i="1"/>
  <c r="BP109" i="1"/>
  <c r="BP108" i="1"/>
  <c r="BP107" i="1"/>
  <c r="BP106" i="1"/>
  <c r="BP105" i="1"/>
  <c r="BP104" i="1"/>
  <c r="BP103" i="1"/>
  <c r="BP102" i="1"/>
  <c r="BP101" i="1"/>
  <c r="BP100" i="1"/>
  <c r="BP99" i="1"/>
  <c r="BP98" i="1"/>
  <c r="BP97" i="1"/>
  <c r="BP96" i="1"/>
  <c r="BP95" i="1"/>
  <c r="BP94" i="1"/>
  <c r="BP93" i="1"/>
  <c r="BP92" i="1"/>
  <c r="BP91" i="1"/>
  <c r="BP90" i="1"/>
  <c r="BP89" i="1"/>
  <c r="BP88" i="1"/>
  <c r="BP87" i="1"/>
  <c r="BP86" i="1"/>
  <c r="BP85" i="1"/>
  <c r="BP84" i="1"/>
  <c r="BP83" i="1"/>
  <c r="BP82" i="1"/>
  <c r="BP81" i="1"/>
  <c r="BP80" i="1"/>
  <c r="BP79" i="1"/>
  <c r="BP78" i="1"/>
  <c r="BP77" i="1"/>
  <c r="BP76" i="1"/>
  <c r="BP75" i="1"/>
  <c r="BP74" i="1"/>
  <c r="BP73" i="1"/>
  <c r="BP72" i="1"/>
  <c r="BP71" i="1"/>
  <c r="BP70" i="1"/>
  <c r="BP69" i="1"/>
  <c r="BP68" i="1"/>
  <c r="BP67" i="1"/>
  <c r="BP66" i="1"/>
  <c r="BP65" i="1"/>
  <c r="BP64" i="1"/>
  <c r="BP63" i="1"/>
  <c r="BP62" i="1"/>
  <c r="BP61" i="1"/>
  <c r="BP60" i="1"/>
  <c r="BP59" i="1"/>
  <c r="BP58" i="1"/>
  <c r="BP57" i="1"/>
  <c r="BP56" i="1"/>
  <c r="BP55" i="1"/>
  <c r="BP54" i="1"/>
  <c r="BP53" i="1"/>
  <c r="BP52" i="1"/>
  <c r="BP51" i="1"/>
  <c r="BP50" i="1"/>
  <c r="BP49" i="1"/>
  <c r="BP48" i="1"/>
  <c r="BP47" i="1"/>
  <c r="BP46" i="1"/>
  <c r="BP45" i="1"/>
  <c r="BP44" i="1"/>
  <c r="BP43" i="1"/>
  <c r="BP42" i="1"/>
  <c r="BP41" i="1"/>
  <c r="BP40" i="1"/>
  <c r="BP39" i="1"/>
  <c r="BP38" i="1"/>
  <c r="BP37" i="1"/>
  <c r="BP36" i="1"/>
  <c r="BP35" i="1"/>
  <c r="BP34" i="1"/>
  <c r="BP33" i="1"/>
  <c r="BP32" i="1"/>
  <c r="BP31" i="1"/>
  <c r="BP30" i="1"/>
  <c r="BP29" i="1"/>
  <c r="BP28" i="1"/>
  <c r="BP27" i="1"/>
  <c r="BP26" i="1"/>
  <c r="BP25" i="1"/>
  <c r="BP24" i="1"/>
  <c r="BP23" i="1"/>
  <c r="BP22" i="1"/>
  <c r="BP21" i="1"/>
  <c r="BP20" i="1"/>
  <c r="BP19" i="1"/>
  <c r="BP18" i="1"/>
  <c r="BP17" i="1"/>
  <c r="BP16" i="1"/>
  <c r="BP15" i="1"/>
  <c r="BP14" i="1"/>
  <c r="BP13" i="1"/>
  <c r="BP12" i="1"/>
  <c r="BP11" i="1"/>
  <c r="BP10" i="1"/>
  <c r="BP9" i="1"/>
  <c r="BP8" i="1"/>
  <c r="BP7" i="1"/>
  <c r="BP6" i="1"/>
  <c r="BP5" i="1"/>
  <c r="BP4" i="1"/>
  <c r="BX3" i="1"/>
  <c r="BT3" i="1"/>
  <c r="BP3" i="1"/>
  <c r="BZ211" i="1" l="1"/>
  <c r="BY211" i="1"/>
  <c r="BZ210" i="1"/>
  <c r="BY210" i="1"/>
  <c r="BZ209" i="1"/>
  <c r="BY209" i="1"/>
  <c r="BV211" i="1"/>
  <c r="BV210" i="1"/>
  <c r="BV209" i="1"/>
  <c r="BU211" i="1"/>
  <c r="BU210" i="1"/>
  <c r="BU209" i="1"/>
  <c r="BW211" i="1"/>
  <c r="BW210" i="1"/>
  <c r="BW209" i="1"/>
  <c r="BS211" i="1"/>
  <c r="BS210" i="1"/>
  <c r="BS209" i="1"/>
  <c r="BO211" i="1"/>
  <c r="BO210" i="1"/>
  <c r="BO209" i="1"/>
  <c r="BR211" i="1"/>
  <c r="BR210" i="1"/>
  <c r="BR209" i="1"/>
  <c r="BQ211" i="1"/>
  <c r="BQ210" i="1"/>
  <c r="BQ209" i="1"/>
  <c r="BN211" i="1"/>
  <c r="BN210" i="1"/>
  <c r="BN209" i="1"/>
  <c r="BM211" i="1"/>
  <c r="BM210" i="1"/>
  <c r="BM209" i="1"/>
  <c r="BK211" i="1"/>
  <c r="BK210" i="1"/>
  <c r="BK209" i="1"/>
  <c r="DS200" i="1"/>
  <c r="DT200" i="1" s="1"/>
  <c r="DO200" i="1"/>
  <c r="DS199" i="1"/>
  <c r="DO199" i="1"/>
  <c r="DS198" i="1"/>
  <c r="DO198" i="1"/>
  <c r="DT197" i="1"/>
  <c r="DS197" i="1"/>
  <c r="DO197" i="1"/>
  <c r="DS196" i="1"/>
  <c r="DP196" i="1"/>
  <c r="DO196" i="1"/>
  <c r="DS195" i="1"/>
  <c r="DO195" i="1"/>
  <c r="DP195" i="1" s="1"/>
  <c r="DS194" i="1"/>
  <c r="DO194" i="1"/>
  <c r="DS193" i="1"/>
  <c r="DP193" i="1"/>
  <c r="DO193" i="1"/>
  <c r="DT192" i="1"/>
  <c r="DS192" i="1"/>
  <c r="DP192" i="1"/>
  <c r="DO192" i="1"/>
  <c r="DT191" i="1"/>
  <c r="DS191" i="1"/>
  <c r="DP191" i="1"/>
  <c r="DO191" i="1"/>
  <c r="DT190" i="1"/>
  <c r="DS190" i="1"/>
  <c r="DP190" i="1"/>
  <c r="DO190" i="1"/>
  <c r="DT189" i="1"/>
  <c r="DM189" i="1"/>
  <c r="DG189" i="1" s="1"/>
  <c r="DI189" i="1" s="1"/>
  <c r="DS189" i="1"/>
  <c r="DO189" i="1"/>
  <c r="DK189" i="1" s="1"/>
  <c r="DD189" i="1" s="1"/>
  <c r="DE189" i="1" s="1"/>
  <c r="DS188" i="1"/>
  <c r="DO188" i="1"/>
  <c r="DS187" i="1"/>
  <c r="DO187" i="1"/>
  <c r="DS186" i="1"/>
  <c r="DO186" i="1"/>
  <c r="DS185" i="1"/>
  <c r="DO185" i="1"/>
  <c r="DS184" i="1"/>
  <c r="DO184" i="1"/>
  <c r="DS183" i="1"/>
  <c r="DO183" i="1"/>
  <c r="DS182" i="1"/>
  <c r="DO182" i="1"/>
  <c r="DS181" i="1"/>
  <c r="DO181" i="1"/>
  <c r="DS180" i="1"/>
  <c r="DO180" i="1"/>
  <c r="DS179" i="1"/>
  <c r="DO179" i="1"/>
  <c r="DS178" i="1"/>
  <c r="DO178" i="1"/>
  <c r="DS177" i="1"/>
  <c r="DO177" i="1"/>
  <c r="DS176" i="1"/>
  <c r="DO176" i="1"/>
  <c r="DS175" i="1"/>
  <c r="DO175" i="1"/>
  <c r="DS174" i="1"/>
  <c r="DO174" i="1"/>
  <c r="DT173" i="1"/>
  <c r="DS173" i="1"/>
  <c r="DP173" i="1"/>
  <c r="DO173" i="1"/>
  <c r="DT172" i="1"/>
  <c r="DS172" i="1"/>
  <c r="DP172" i="1"/>
  <c r="DO172" i="1"/>
  <c r="DS171" i="1"/>
  <c r="DO171" i="1"/>
  <c r="DS170" i="1"/>
  <c r="DO170" i="1"/>
  <c r="DS169" i="1"/>
  <c r="DO169" i="1"/>
  <c r="DS168" i="1"/>
  <c r="DO168" i="1"/>
  <c r="DT167" i="1"/>
  <c r="DS167" i="1"/>
  <c r="DP167" i="1"/>
  <c r="DO167" i="1"/>
  <c r="DS166" i="1"/>
  <c r="DO166" i="1"/>
  <c r="DS165" i="1"/>
  <c r="DO165" i="1"/>
  <c r="DS164" i="1"/>
  <c r="DO164" i="1"/>
  <c r="DS163" i="1"/>
  <c r="DO163" i="1"/>
  <c r="DT162" i="1"/>
  <c r="DS162" i="1"/>
  <c r="DP162" i="1"/>
  <c r="DO162" i="1"/>
  <c r="DT161" i="1"/>
  <c r="DS161" i="1"/>
  <c r="DP161" i="1"/>
  <c r="DO161" i="1"/>
  <c r="DM160" i="1"/>
  <c r="DG160" i="1" s="1"/>
  <c r="DI160" i="1" s="1"/>
  <c r="DS160" i="1"/>
  <c r="DT160" i="1" s="1"/>
  <c r="DO160" i="1"/>
  <c r="DS159" i="1"/>
  <c r="DO159" i="1"/>
  <c r="DS158" i="1"/>
  <c r="DO158" i="1"/>
  <c r="DS157" i="1"/>
  <c r="DO157" i="1"/>
  <c r="DS156" i="1"/>
  <c r="DO156" i="1"/>
  <c r="DS155" i="1"/>
  <c r="DO155" i="1"/>
  <c r="DS154" i="1"/>
  <c r="DO154" i="1"/>
  <c r="DT153" i="1"/>
  <c r="DS153" i="1"/>
  <c r="DP153" i="1"/>
  <c r="DO153" i="1"/>
  <c r="DS152" i="1"/>
  <c r="DO152" i="1"/>
  <c r="DS151" i="1"/>
  <c r="DO151" i="1"/>
  <c r="DS150" i="1"/>
  <c r="DO150" i="1"/>
  <c r="DT149" i="1"/>
  <c r="DS149" i="1"/>
  <c r="DP149" i="1"/>
  <c r="DO149" i="1"/>
  <c r="DS148" i="1"/>
  <c r="DO148" i="1"/>
  <c r="DT147" i="1"/>
  <c r="DS147" i="1"/>
  <c r="DP147" i="1"/>
  <c r="DO147" i="1"/>
  <c r="DS146" i="1"/>
  <c r="DO146" i="1"/>
  <c r="DS145" i="1"/>
  <c r="DT145" i="1" s="1"/>
  <c r="DN145" i="1"/>
  <c r="DH145" i="1" s="1"/>
  <c r="DJ145" i="1" s="1"/>
  <c r="DO145" i="1"/>
  <c r="DT144" i="1"/>
  <c r="DS144" i="1"/>
  <c r="DP144" i="1"/>
  <c r="DM144" i="1"/>
  <c r="DG144" i="1" s="1"/>
  <c r="DI144" i="1" s="1"/>
  <c r="DO144" i="1"/>
  <c r="DK144" i="1" s="1"/>
  <c r="DD144" i="1" s="1"/>
  <c r="DT143" i="1"/>
  <c r="DS143" i="1"/>
  <c r="DP143" i="1"/>
  <c r="DO143" i="1"/>
  <c r="DS142" i="1"/>
  <c r="DO142" i="1"/>
  <c r="DS141" i="1"/>
  <c r="DO141" i="1"/>
  <c r="DP141" i="1" s="1"/>
  <c r="DS140" i="1"/>
  <c r="DT140" i="1" s="1"/>
  <c r="DO140" i="1"/>
  <c r="DS139" i="1"/>
  <c r="DO139" i="1"/>
  <c r="DT138" i="1"/>
  <c r="DS138" i="1"/>
  <c r="DO138" i="1"/>
  <c r="DS137" i="1"/>
  <c r="DO137" i="1"/>
  <c r="DS136" i="1"/>
  <c r="DT136" i="1" s="1"/>
  <c r="DO136" i="1"/>
  <c r="DS135" i="1"/>
  <c r="DO135" i="1"/>
  <c r="DT134" i="1"/>
  <c r="DS134" i="1"/>
  <c r="DP134" i="1"/>
  <c r="DO134" i="1"/>
  <c r="DS133" i="1"/>
  <c r="DO133" i="1"/>
  <c r="DS132" i="1"/>
  <c r="DO132" i="1"/>
  <c r="DS131" i="1"/>
  <c r="DO131" i="1"/>
  <c r="DT130" i="1"/>
  <c r="DS130" i="1"/>
  <c r="DP130" i="1"/>
  <c r="DO130" i="1"/>
  <c r="DT129" i="1"/>
  <c r="DS129" i="1"/>
  <c r="DP129" i="1"/>
  <c r="DO129" i="1"/>
  <c r="DS128" i="1"/>
  <c r="DO128" i="1"/>
  <c r="DS127" i="1"/>
  <c r="DO127" i="1"/>
  <c r="DS126" i="1"/>
  <c r="DO126" i="1"/>
  <c r="DS125" i="1"/>
  <c r="DO125" i="1"/>
  <c r="DS124" i="1"/>
  <c r="DP124" i="1"/>
  <c r="DO124" i="1"/>
  <c r="DS123" i="1"/>
  <c r="DO123" i="1"/>
  <c r="DS122" i="1"/>
  <c r="DO122" i="1"/>
  <c r="DS121" i="1"/>
  <c r="DO121" i="1"/>
  <c r="DT120" i="1"/>
  <c r="DS120" i="1"/>
  <c r="DP120" i="1"/>
  <c r="DO120" i="1"/>
  <c r="DS119" i="1"/>
  <c r="DT119" i="1" s="1"/>
  <c r="DO119" i="1"/>
  <c r="DP119" i="1" s="1"/>
  <c r="DN119" i="1"/>
  <c r="DH119" i="1" s="1"/>
  <c r="DJ119" i="1" s="1"/>
  <c r="DM119" i="1"/>
  <c r="DG119" i="1" s="1"/>
  <c r="DI119" i="1" s="1"/>
  <c r="DS118" i="1"/>
  <c r="DO118" i="1"/>
  <c r="DS117" i="1"/>
  <c r="DO117" i="1"/>
  <c r="DT116" i="1"/>
  <c r="DS116" i="1"/>
  <c r="DP116" i="1"/>
  <c r="DO116" i="1"/>
  <c r="DS115" i="1"/>
  <c r="DT115" i="1" s="1"/>
  <c r="DO115" i="1"/>
  <c r="DP115" i="1" s="1"/>
  <c r="DS114" i="1"/>
  <c r="DO114" i="1"/>
  <c r="DT113" i="1"/>
  <c r="DS113" i="1"/>
  <c r="DP113" i="1"/>
  <c r="DO113" i="1"/>
  <c r="DS112" i="1"/>
  <c r="DO112" i="1"/>
  <c r="DS111" i="1"/>
  <c r="DO111" i="1"/>
  <c r="DS110" i="1"/>
  <c r="DO110" i="1"/>
  <c r="DS109" i="1"/>
  <c r="DO109" i="1"/>
  <c r="DS108" i="1"/>
  <c r="DO108" i="1"/>
  <c r="DS107" i="1"/>
  <c r="DO107" i="1"/>
  <c r="DT106" i="1"/>
  <c r="DS106" i="1"/>
  <c r="DP106" i="1"/>
  <c r="DM106" i="1"/>
  <c r="DG106" i="1" s="1"/>
  <c r="DI106" i="1" s="1"/>
  <c r="DO106" i="1"/>
  <c r="DK106" i="1"/>
  <c r="DD106" i="1" s="1"/>
  <c r="DE106" i="1" s="1"/>
  <c r="DT105" i="1"/>
  <c r="DS105" i="1"/>
  <c r="DP105" i="1"/>
  <c r="DO105" i="1"/>
  <c r="DT104" i="1"/>
  <c r="DS104" i="1"/>
  <c r="DP104" i="1"/>
  <c r="DO104" i="1"/>
  <c r="DT103" i="1"/>
  <c r="DS103" i="1"/>
  <c r="DP103" i="1"/>
  <c r="DO103" i="1"/>
  <c r="DS102" i="1"/>
  <c r="DO102" i="1"/>
  <c r="DS101" i="1"/>
  <c r="DO101" i="1"/>
  <c r="DS100" i="1"/>
  <c r="DO100" i="1"/>
  <c r="DS99" i="1"/>
  <c r="DO99" i="1"/>
  <c r="DT98" i="1"/>
  <c r="DS98" i="1"/>
  <c r="DP98" i="1"/>
  <c r="DO98" i="1"/>
  <c r="DS97" i="1"/>
  <c r="DO97" i="1"/>
  <c r="DS96" i="1"/>
  <c r="DO96" i="1"/>
  <c r="DS95" i="1"/>
  <c r="DO95" i="1"/>
  <c r="DK95" i="1" s="1"/>
  <c r="DS94" i="1"/>
  <c r="DT94" i="1" s="1"/>
  <c r="DO94" i="1"/>
  <c r="DT93" i="1"/>
  <c r="DS93" i="1"/>
  <c r="DP93" i="1"/>
  <c r="DO93" i="1"/>
  <c r="DT92" i="1"/>
  <c r="DS92" i="1"/>
  <c r="DP92" i="1"/>
  <c r="DO92" i="1"/>
  <c r="DS91" i="1"/>
  <c r="DO91" i="1"/>
  <c r="DS90" i="1"/>
  <c r="DP90" i="1"/>
  <c r="DO90" i="1"/>
  <c r="DS89" i="1"/>
  <c r="DO89" i="1"/>
  <c r="DS88" i="1"/>
  <c r="DO88" i="1"/>
  <c r="DT87" i="1"/>
  <c r="DS87" i="1"/>
  <c r="DP87" i="1"/>
  <c r="DO87" i="1"/>
  <c r="DS86" i="1"/>
  <c r="DO86" i="1"/>
  <c r="DT85" i="1"/>
  <c r="DS85" i="1"/>
  <c r="DP85" i="1"/>
  <c r="DO85" i="1"/>
  <c r="DT84" i="1"/>
  <c r="DS84" i="1"/>
  <c r="DP84" i="1"/>
  <c r="DO84" i="1"/>
  <c r="DT83" i="1"/>
  <c r="DS83" i="1"/>
  <c r="DP83" i="1"/>
  <c r="DO83" i="1"/>
  <c r="DK83" i="1" s="1"/>
  <c r="DD83" i="1" s="1"/>
  <c r="DE83" i="1" s="1"/>
  <c r="DS82" i="1"/>
  <c r="DT82" i="1" s="1"/>
  <c r="DO82" i="1"/>
  <c r="DS81" i="1"/>
  <c r="DO81" i="1"/>
  <c r="DS80" i="1"/>
  <c r="DO80" i="1"/>
  <c r="DS79" i="1"/>
  <c r="DO79" i="1"/>
  <c r="DK79" i="1" s="1"/>
  <c r="DD79" i="1" s="1"/>
  <c r="DT78" i="1"/>
  <c r="DS78" i="1"/>
  <c r="DP78" i="1"/>
  <c r="DO78" i="1"/>
  <c r="DT77" i="1"/>
  <c r="DS77" i="1"/>
  <c r="DO77" i="1"/>
  <c r="DM77" i="1"/>
  <c r="DG77" i="1" s="1"/>
  <c r="DI77" i="1" s="1"/>
  <c r="DK77" i="1"/>
  <c r="DD77" i="1" s="1"/>
  <c r="DF77" i="1" s="1"/>
  <c r="DS76" i="1"/>
  <c r="DO76" i="1"/>
  <c r="DM76" i="1"/>
  <c r="DG76" i="1" s="1"/>
  <c r="DI76" i="1" s="1"/>
  <c r="DS75" i="1"/>
  <c r="DO75" i="1"/>
  <c r="DS74" i="1"/>
  <c r="DO74" i="1"/>
  <c r="DS73" i="1"/>
  <c r="DT73" i="1" s="1"/>
  <c r="DO73" i="1"/>
  <c r="DS72" i="1"/>
  <c r="DO72" i="1"/>
  <c r="DS71" i="1"/>
  <c r="DO71" i="1"/>
  <c r="DP71" i="1" s="1"/>
  <c r="DS70" i="1"/>
  <c r="DO70" i="1"/>
  <c r="DK70" i="1" s="1"/>
  <c r="DD70" i="1" s="1"/>
  <c r="DS69" i="1"/>
  <c r="DO69" i="1"/>
  <c r="DT68" i="1"/>
  <c r="DS68" i="1"/>
  <c r="DP68" i="1"/>
  <c r="DO68" i="1"/>
  <c r="DS67" i="1"/>
  <c r="DO67" i="1"/>
  <c r="DT66" i="1"/>
  <c r="DS66" i="1"/>
  <c r="DP66" i="1"/>
  <c r="DO66" i="1"/>
  <c r="DK66" i="1" s="1"/>
  <c r="DD66" i="1" s="1"/>
  <c r="DS65" i="1"/>
  <c r="DO65" i="1"/>
  <c r="DP65" i="1" s="1"/>
  <c r="DS64" i="1"/>
  <c r="DP64" i="1"/>
  <c r="DO64" i="1"/>
  <c r="DS63" i="1"/>
  <c r="DO63" i="1"/>
  <c r="DT62" i="1"/>
  <c r="DS62" i="1"/>
  <c r="DP62" i="1"/>
  <c r="DO62" i="1"/>
  <c r="DT61" i="1"/>
  <c r="DS61" i="1"/>
  <c r="DP61" i="1"/>
  <c r="DO61" i="1"/>
  <c r="DS60" i="1"/>
  <c r="DO60" i="1"/>
  <c r="DS59" i="1"/>
  <c r="DO59" i="1"/>
  <c r="DT58" i="1"/>
  <c r="DS58" i="1"/>
  <c r="DP58" i="1"/>
  <c r="DO58" i="1"/>
  <c r="DS57" i="1"/>
  <c r="DO57" i="1"/>
  <c r="DS56" i="1"/>
  <c r="DO56" i="1"/>
  <c r="DM55" i="1"/>
  <c r="DG55" i="1" s="1"/>
  <c r="DI55" i="1" s="1"/>
  <c r="DS55" i="1"/>
  <c r="DO55" i="1"/>
  <c r="DS54" i="1"/>
  <c r="DP54" i="1"/>
  <c r="DO54" i="1"/>
  <c r="DS53" i="1"/>
  <c r="DO53" i="1"/>
  <c r="DP53" i="1" s="1"/>
  <c r="DS52" i="1"/>
  <c r="DO52" i="1"/>
  <c r="DP52" i="1" s="1"/>
  <c r="DS51" i="1"/>
  <c r="DO51" i="1"/>
  <c r="DS50" i="1"/>
  <c r="DO50" i="1"/>
  <c r="DP50" i="1" s="1"/>
  <c r="DT49" i="1"/>
  <c r="DS49" i="1"/>
  <c r="DP49" i="1"/>
  <c r="DO49" i="1"/>
  <c r="DK49" i="1" s="1"/>
  <c r="DT48" i="1"/>
  <c r="DS48" i="1"/>
  <c r="DP48" i="1"/>
  <c r="DM48" i="1"/>
  <c r="DG48" i="1" s="1"/>
  <c r="DI48" i="1" s="1"/>
  <c r="DO48" i="1"/>
  <c r="DT47" i="1"/>
  <c r="DS47" i="1"/>
  <c r="DP47" i="1"/>
  <c r="DO47" i="1"/>
  <c r="DT46" i="1"/>
  <c r="DS46" i="1"/>
  <c r="DP46" i="1"/>
  <c r="DO46" i="1"/>
  <c r="DS45" i="1"/>
  <c r="DO45" i="1"/>
  <c r="DS44" i="1"/>
  <c r="DO44" i="1"/>
  <c r="DS43" i="1"/>
  <c r="DO43" i="1"/>
  <c r="DS42" i="1"/>
  <c r="DT42" i="1" s="1"/>
  <c r="DO42" i="1"/>
  <c r="DS41" i="1"/>
  <c r="DT41" i="1" s="1"/>
  <c r="DO41" i="1"/>
  <c r="DT40" i="1"/>
  <c r="DS40" i="1"/>
  <c r="DO40" i="1"/>
  <c r="DS39" i="1"/>
  <c r="DO39" i="1"/>
  <c r="DS38" i="1"/>
  <c r="DO38" i="1"/>
  <c r="DS37" i="1"/>
  <c r="DO37" i="1"/>
  <c r="DS36" i="1"/>
  <c r="DO36" i="1"/>
  <c r="DS35" i="1"/>
  <c r="DO35" i="1"/>
  <c r="DS34" i="1"/>
  <c r="DO34" i="1"/>
  <c r="DT33" i="1"/>
  <c r="DS33" i="1"/>
  <c r="DP33" i="1"/>
  <c r="DO33" i="1"/>
  <c r="DS32" i="1"/>
  <c r="DO32" i="1"/>
  <c r="DS31" i="1"/>
  <c r="DO31" i="1"/>
  <c r="DS30" i="1"/>
  <c r="DO30" i="1"/>
  <c r="DS29" i="1"/>
  <c r="DO29" i="1"/>
  <c r="DT28" i="1"/>
  <c r="DS28" i="1"/>
  <c r="DP28" i="1"/>
  <c r="DO28" i="1"/>
  <c r="DS27" i="1"/>
  <c r="DO27" i="1"/>
  <c r="DK27" i="1" s="1"/>
  <c r="DD27" i="1" s="1"/>
  <c r="DS26" i="1"/>
  <c r="DO26" i="1"/>
  <c r="DP26" i="1" s="1"/>
  <c r="DS25" i="1"/>
  <c r="DO25" i="1"/>
  <c r="DP25" i="1" s="1"/>
  <c r="DS24" i="1"/>
  <c r="DO24" i="1"/>
  <c r="DS23" i="1"/>
  <c r="DO23" i="1"/>
  <c r="DS22" i="1"/>
  <c r="DO22" i="1"/>
  <c r="DP22" i="1" s="1"/>
  <c r="DS21" i="1"/>
  <c r="DO21" i="1"/>
  <c r="DS20" i="1"/>
  <c r="DO20" i="1"/>
  <c r="DT19" i="1"/>
  <c r="DS19" i="1"/>
  <c r="DP19" i="1"/>
  <c r="DO19" i="1"/>
  <c r="DT18" i="1"/>
  <c r="DS18" i="1"/>
  <c r="DP18" i="1"/>
  <c r="DO18" i="1"/>
  <c r="DS17" i="1"/>
  <c r="DO17" i="1"/>
  <c r="DS16" i="1"/>
  <c r="DT16" i="1" s="1"/>
  <c r="DO16" i="1"/>
  <c r="DS15" i="1"/>
  <c r="DO15" i="1"/>
  <c r="DT14" i="1"/>
  <c r="DS14" i="1"/>
  <c r="DO14" i="1"/>
  <c r="DS13" i="1"/>
  <c r="DO13" i="1"/>
  <c r="DT12" i="1"/>
  <c r="DS12" i="1"/>
  <c r="DP12" i="1"/>
  <c r="DO12" i="1"/>
  <c r="DT11" i="1"/>
  <c r="DS11" i="1"/>
  <c r="DO11" i="1"/>
  <c r="DK11" i="1"/>
  <c r="DD11" i="1" s="1"/>
  <c r="DS10" i="1"/>
  <c r="DO10" i="1"/>
  <c r="DP10" i="1" s="1"/>
  <c r="DS9" i="1"/>
  <c r="DO9" i="1"/>
  <c r="DS8" i="1"/>
  <c r="DO8" i="1"/>
  <c r="DS7" i="1"/>
  <c r="DO7" i="1"/>
  <c r="DT6" i="1"/>
  <c r="DS6" i="1"/>
  <c r="DP6" i="1"/>
  <c r="DO6" i="1"/>
  <c r="DC207" i="1"/>
  <c r="DC206" i="1"/>
  <c r="DC208" i="1"/>
  <c r="DS5" i="1"/>
  <c r="DO5" i="1"/>
  <c r="DS4" i="1"/>
  <c r="DO4" i="1"/>
  <c r="DK4" i="1" s="1"/>
  <c r="DO3" i="1"/>
  <c r="CH199" i="1"/>
  <c r="CI199" i="1"/>
  <c r="DR199" i="1" l="1"/>
  <c r="DV199" i="1"/>
  <c r="DK119" i="1"/>
  <c r="DD119" i="1" s="1"/>
  <c r="DE119" i="1" s="1"/>
  <c r="DQ199" i="1"/>
  <c r="DU199" i="1"/>
  <c r="DW199" i="1" s="1"/>
  <c r="DM66" i="1"/>
  <c r="DG66" i="1" s="1"/>
  <c r="DI66" i="1" s="1"/>
  <c r="DM12" i="1"/>
  <c r="DG12" i="1" s="1"/>
  <c r="DI12" i="1" s="1"/>
  <c r="DN34" i="1"/>
  <c r="DH34" i="1" s="1"/>
  <c r="DJ34" i="1" s="1"/>
  <c r="DM195" i="1"/>
  <c r="DG195" i="1" s="1"/>
  <c r="DI195" i="1" s="1"/>
  <c r="DP14" i="1"/>
  <c r="DP16" i="1"/>
  <c r="DP17" i="1"/>
  <c r="DP23" i="1"/>
  <c r="DP27" i="1"/>
  <c r="DP31" i="1"/>
  <c r="DM130" i="1"/>
  <c r="DG130" i="1" s="1"/>
  <c r="DI130" i="1" s="1"/>
  <c r="DN195" i="1"/>
  <c r="DH195" i="1" s="1"/>
  <c r="DJ195" i="1" s="1"/>
  <c r="DP77" i="1"/>
  <c r="DN77" i="1"/>
  <c r="DT35" i="1"/>
  <c r="DT38" i="1"/>
  <c r="DP82" i="1"/>
  <c r="DP95" i="1"/>
  <c r="DP96" i="1"/>
  <c r="DT127" i="1"/>
  <c r="DM129" i="1"/>
  <c r="DG129" i="1" s="1"/>
  <c r="DI129" i="1" s="1"/>
  <c r="DP132" i="1"/>
  <c r="DT157" i="1"/>
  <c r="DT158" i="1"/>
  <c r="DT166" i="1"/>
  <c r="DT168" i="1"/>
  <c r="DT169" i="1"/>
  <c r="DT171" i="1"/>
  <c r="DT175" i="1"/>
  <c r="DT176" i="1"/>
  <c r="DT177" i="1"/>
  <c r="DT179" i="1"/>
  <c r="DT181" i="1"/>
  <c r="DT183" i="1"/>
  <c r="DT184" i="1"/>
  <c r="DT188" i="1"/>
  <c r="DP199" i="1"/>
  <c r="DP200" i="1"/>
  <c r="DT22" i="1"/>
  <c r="DT24" i="1"/>
  <c r="DT25" i="1"/>
  <c r="DT29" i="1"/>
  <c r="DT30" i="1"/>
  <c r="DT32" i="1"/>
  <c r="DP38" i="1"/>
  <c r="DP39" i="1"/>
  <c r="DN48" i="1"/>
  <c r="DH48" i="1" s="1"/>
  <c r="DT50" i="1"/>
  <c r="DT52" i="1"/>
  <c r="DT53" i="1"/>
  <c r="DT54" i="1"/>
  <c r="DT56" i="1"/>
  <c r="DT60" i="1"/>
  <c r="DT75" i="1"/>
  <c r="DP76" i="1"/>
  <c r="DT81" i="1"/>
  <c r="DT88" i="1"/>
  <c r="DM95" i="1"/>
  <c r="DG95" i="1" s="1"/>
  <c r="DI95" i="1" s="1"/>
  <c r="DN95" i="1"/>
  <c r="DH95" i="1" s="1"/>
  <c r="DJ95" i="1" s="1"/>
  <c r="DT101" i="1"/>
  <c r="DP108" i="1"/>
  <c r="DP109" i="1"/>
  <c r="DP110" i="1"/>
  <c r="DP121" i="1"/>
  <c r="DP122" i="1"/>
  <c r="DP127" i="1"/>
  <c r="DN130" i="1"/>
  <c r="DH130" i="1" s="1"/>
  <c r="DJ130" i="1" s="1"/>
  <c r="DK130" i="1"/>
  <c r="DD130" i="1" s="1"/>
  <c r="DT131" i="1"/>
  <c r="DN144" i="1"/>
  <c r="DH144" i="1" s="1"/>
  <c r="DJ144" i="1" s="1"/>
  <c r="DP157" i="1"/>
  <c r="DN160" i="1"/>
  <c r="DH160" i="1" s="1"/>
  <c r="DJ160" i="1" s="1"/>
  <c r="DP166" i="1"/>
  <c r="DP168" i="1"/>
  <c r="DP171" i="1"/>
  <c r="DP175" i="1"/>
  <c r="DP176" i="1"/>
  <c r="DP177" i="1"/>
  <c r="DP179" i="1"/>
  <c r="DP183" i="1"/>
  <c r="DP184" i="1"/>
  <c r="DP185" i="1"/>
  <c r="DP187" i="1"/>
  <c r="DP188" i="1"/>
  <c r="DT195" i="1"/>
  <c r="DP3" i="1"/>
  <c r="DT5" i="1"/>
  <c r="DT21" i="1"/>
  <c r="DP30" i="1"/>
  <c r="DP32" i="1"/>
  <c r="DP36" i="1"/>
  <c r="DP42" i="1"/>
  <c r="DP44" i="1"/>
  <c r="DT51" i="1"/>
  <c r="DP60" i="1"/>
  <c r="DT67" i="1"/>
  <c r="DP70" i="1"/>
  <c r="DP73" i="1"/>
  <c r="DT76" i="1"/>
  <c r="DP91" i="1"/>
  <c r="DP94" i="1"/>
  <c r="DT95" i="1"/>
  <c r="DT96" i="1"/>
  <c r="DT100" i="1"/>
  <c r="DT102" i="1"/>
  <c r="DN106" i="1"/>
  <c r="DH106" i="1" s="1"/>
  <c r="DJ106" i="1" s="1"/>
  <c r="DT108" i="1"/>
  <c r="DT109" i="1"/>
  <c r="DT110" i="1"/>
  <c r="DT111" i="1"/>
  <c r="DT114" i="1"/>
  <c r="DT122" i="1"/>
  <c r="DT125" i="1"/>
  <c r="DT126" i="1"/>
  <c r="DT128" i="1"/>
  <c r="DT139" i="1"/>
  <c r="DT141" i="1"/>
  <c r="DL144" i="1"/>
  <c r="DP158" i="1"/>
  <c r="DP164" i="1"/>
  <c r="DP178" i="1"/>
  <c r="DP180" i="1"/>
  <c r="DP194" i="1"/>
  <c r="DP197" i="1"/>
  <c r="DK12" i="1"/>
  <c r="DD12" i="1" s="1"/>
  <c r="DE12" i="1" s="1"/>
  <c r="DM27" i="1"/>
  <c r="DG27" i="1" s="1"/>
  <c r="DI27" i="1" s="1"/>
  <c r="DT27" i="1"/>
  <c r="DT39" i="1"/>
  <c r="DT59" i="1"/>
  <c r="DT90" i="1"/>
  <c r="DP102" i="1"/>
  <c r="DP111" i="1"/>
  <c r="DK129" i="1"/>
  <c r="DD129" i="1" s="1"/>
  <c r="DF129" i="1" s="1"/>
  <c r="DP139" i="1"/>
  <c r="DM145" i="1"/>
  <c r="DG145" i="1" s="1"/>
  <c r="DI145" i="1" s="1"/>
  <c r="DT150" i="1"/>
  <c r="DT185" i="1"/>
  <c r="DT187" i="1"/>
  <c r="DT196" i="1"/>
  <c r="DS215" i="1"/>
  <c r="DT7" i="1"/>
  <c r="DM34" i="1"/>
  <c r="DG34" i="1" s="1"/>
  <c r="DI34" i="1" s="1"/>
  <c r="DP69" i="1"/>
  <c r="DT74" i="1"/>
  <c r="DK76" i="1"/>
  <c r="DD76" i="1" s="1"/>
  <c r="DE76" i="1" s="1"/>
  <c r="DT91" i="1"/>
  <c r="DP112" i="1"/>
  <c r="DP131" i="1"/>
  <c r="DK135" i="1"/>
  <c r="DD135" i="1" s="1"/>
  <c r="DE135" i="1" s="1"/>
  <c r="DP136" i="1"/>
  <c r="DP138" i="1"/>
  <c r="DP140" i="1"/>
  <c r="DT146" i="1"/>
  <c r="DT164" i="1"/>
  <c r="DO215" i="1"/>
  <c r="DK6" i="1"/>
  <c r="DD6" i="1" s="1"/>
  <c r="DE66" i="1"/>
  <c r="DK10" i="1"/>
  <c r="DD10" i="1" s="1"/>
  <c r="DE10" i="1" s="1"/>
  <c r="DT26" i="1"/>
  <c r="DT34" i="1"/>
  <c r="DT10" i="1"/>
  <c r="DP11" i="1"/>
  <c r="DN11" i="1"/>
  <c r="DL11" i="1" s="1"/>
  <c r="DP34" i="1"/>
  <c r="DO213" i="1"/>
  <c r="DT4" i="1"/>
  <c r="DP7" i="1"/>
  <c r="DT8" i="1"/>
  <c r="DT9" i="1"/>
  <c r="DT13" i="1"/>
  <c r="DT15" i="1"/>
  <c r="DT20" i="1"/>
  <c r="DP21" i="1"/>
  <c r="DP24" i="1"/>
  <c r="DP29" i="1"/>
  <c r="DP35" i="1"/>
  <c r="DT37" i="1"/>
  <c r="DP40" i="1"/>
  <c r="DP41" i="1"/>
  <c r="DT43" i="1"/>
  <c r="DK48" i="1"/>
  <c r="DD48" i="1" s="1"/>
  <c r="DE48" i="1" s="1"/>
  <c r="DP51" i="1"/>
  <c r="DK55" i="1"/>
  <c r="DD55" i="1" s="1"/>
  <c r="DP56" i="1"/>
  <c r="DP63" i="1"/>
  <c r="DT69" i="1"/>
  <c r="DT72" i="1"/>
  <c r="DP74" i="1"/>
  <c r="DN76" i="1"/>
  <c r="DM79" i="1"/>
  <c r="DG79" i="1" s="1"/>
  <c r="DI79" i="1" s="1"/>
  <c r="DT80" i="1"/>
  <c r="DT86" i="1"/>
  <c r="DP100" i="1"/>
  <c r="DP107" i="1"/>
  <c r="DT123" i="1"/>
  <c r="DT135" i="1"/>
  <c r="DP145" i="1"/>
  <c r="DK145" i="1"/>
  <c r="DD145" i="1" s="1"/>
  <c r="DP146" i="1"/>
  <c r="DP150" i="1"/>
  <c r="DQ215" i="1"/>
  <c r="DU215" i="1"/>
  <c r="DP8" i="1"/>
  <c r="DP9" i="1"/>
  <c r="DP13" i="1"/>
  <c r="DP15" i="1"/>
  <c r="DT17" i="1"/>
  <c r="DP20" i="1"/>
  <c r="DT23" i="1"/>
  <c r="DT31" i="1"/>
  <c r="DT36" i="1"/>
  <c r="DP37" i="1"/>
  <c r="DP43" i="1"/>
  <c r="DT44" i="1"/>
  <c r="DU214" i="1"/>
  <c r="DN66" i="1"/>
  <c r="DP86" i="1"/>
  <c r="DP89" i="1"/>
  <c r="DP99" i="1"/>
  <c r="DP114" i="1"/>
  <c r="DP118" i="1"/>
  <c r="DP123" i="1"/>
  <c r="DT124" i="1"/>
  <c r="DP125" i="1"/>
  <c r="DP128" i="1"/>
  <c r="DP135" i="1"/>
  <c r="DT148" i="1"/>
  <c r="DT155" i="1"/>
  <c r="DP4" i="1"/>
  <c r="DM6" i="1"/>
  <c r="DG6" i="1" s="1"/>
  <c r="DI6" i="1" s="1"/>
  <c r="DN6" i="1"/>
  <c r="DR215" i="1"/>
  <c r="DV215" i="1"/>
  <c r="DX215" i="1" s="1"/>
  <c r="DM11" i="1"/>
  <c r="DG11" i="1" s="1"/>
  <c r="DI11" i="1" s="1"/>
  <c r="DD95" i="1"/>
  <c r="DE95" i="1" s="1"/>
  <c r="DT180" i="1"/>
  <c r="DT64" i="1"/>
  <c r="DT65" i="1"/>
  <c r="DT70" i="1"/>
  <c r="DP72" i="1"/>
  <c r="DP80" i="1"/>
  <c r="DP81" i="1"/>
  <c r="DT89" i="1"/>
  <c r="DT99" i="1"/>
  <c r="DP101" i="1"/>
  <c r="DT107" i="1"/>
  <c r="DT112" i="1"/>
  <c r="DT118" i="1"/>
  <c r="DP126" i="1"/>
  <c r="DT132" i="1"/>
  <c r="DP137" i="1"/>
  <c r="DT152" i="1"/>
  <c r="DT154" i="1"/>
  <c r="DP156" i="1"/>
  <c r="DK160" i="1"/>
  <c r="DL160" i="1" s="1"/>
  <c r="DT165" i="1"/>
  <c r="DP169" i="1"/>
  <c r="DP182" i="1"/>
  <c r="DP189" i="1"/>
  <c r="DN189" i="1"/>
  <c r="DL189" i="1" s="1"/>
  <c r="DP165" i="1"/>
  <c r="DP148" i="1"/>
  <c r="DT151" i="1"/>
  <c r="DP152" i="1"/>
  <c r="DP154" i="1"/>
  <c r="DT156" i="1"/>
  <c r="DP160" i="1"/>
  <c r="DP163" i="1"/>
  <c r="DP170" i="1"/>
  <c r="DP174" i="1"/>
  <c r="DP181" i="1"/>
  <c r="DP186" i="1"/>
  <c r="DP198" i="1"/>
  <c r="DT193" i="1"/>
  <c r="BS213" i="1"/>
  <c r="BU213" i="1"/>
  <c r="DL145" i="1"/>
  <c r="BN213" i="1"/>
  <c r="DT45" i="1"/>
  <c r="DP45" i="1"/>
  <c r="DO214" i="1"/>
  <c r="DS214" i="1"/>
  <c r="BM213" i="1"/>
  <c r="BO213" i="1"/>
  <c r="BK213" i="1"/>
  <c r="BR213" i="1"/>
  <c r="BY213" i="1"/>
  <c r="BQ213" i="1"/>
  <c r="BW213" i="1"/>
  <c r="BV213" i="1"/>
  <c r="BZ213" i="1"/>
  <c r="DQ214" i="1"/>
  <c r="DV214" i="1"/>
  <c r="DX214" i="1" s="1"/>
  <c r="DR214" i="1"/>
  <c r="DC209" i="1"/>
  <c r="DD49" i="1"/>
  <c r="DE6" i="1"/>
  <c r="DN12" i="1"/>
  <c r="DP55" i="1"/>
  <c r="DN55" i="1"/>
  <c r="DM83" i="1"/>
  <c r="DG83" i="1" s="1"/>
  <c r="DI83" i="1" s="1"/>
  <c r="DE70" i="1"/>
  <c r="DE55" i="1"/>
  <c r="DP79" i="1"/>
  <c r="DN79" i="1"/>
  <c r="DE11" i="1"/>
  <c r="DE27" i="1"/>
  <c r="DE77" i="1"/>
  <c r="DE79" i="1"/>
  <c r="DE129" i="1"/>
  <c r="DN27" i="1"/>
  <c r="DH11" i="1"/>
  <c r="DJ11" i="1" s="1"/>
  <c r="DT55" i="1"/>
  <c r="DT63" i="1"/>
  <c r="DT71" i="1"/>
  <c r="DT79" i="1"/>
  <c r="DN83" i="1"/>
  <c r="DL130" i="1"/>
  <c r="DP59" i="1"/>
  <c r="DP67" i="1"/>
  <c r="DP75" i="1"/>
  <c r="DP88" i="1"/>
  <c r="DP97" i="1"/>
  <c r="DP117" i="1"/>
  <c r="DT121" i="1"/>
  <c r="DN129" i="1"/>
  <c r="DP133" i="1"/>
  <c r="DT137" i="1"/>
  <c r="DE144" i="1"/>
  <c r="DF144" i="1"/>
  <c r="DF145" i="1"/>
  <c r="DE145" i="1"/>
  <c r="DT97" i="1"/>
  <c r="DT117" i="1"/>
  <c r="DT133" i="1"/>
  <c r="DP142" i="1"/>
  <c r="DP159" i="1"/>
  <c r="DT163" i="1"/>
  <c r="DT142" i="1"/>
  <c r="DP151" i="1"/>
  <c r="DP155" i="1"/>
  <c r="DT159" i="1"/>
  <c r="DT170" i="1"/>
  <c r="DT174" i="1"/>
  <c r="DT178" i="1"/>
  <c r="DT182" i="1"/>
  <c r="DT186" i="1"/>
  <c r="DT194" i="1"/>
  <c r="DT198" i="1"/>
  <c r="DP5" i="1"/>
  <c r="DD4" i="1"/>
  <c r="DE4" i="1" s="1"/>
  <c r="DS3" i="1"/>
  <c r="DS213" i="1" s="1"/>
  <c r="DF119" i="1" l="1"/>
  <c r="DL119" i="1"/>
  <c r="DX199" i="1"/>
  <c r="DT199" i="1"/>
  <c r="DD160" i="1"/>
  <c r="DF160" i="1" s="1"/>
  <c r="DL48" i="1"/>
  <c r="DL106" i="1"/>
  <c r="DF106" i="1"/>
  <c r="DH189" i="1"/>
  <c r="DF189" i="1" s="1"/>
  <c r="DL77" i="1"/>
  <c r="DH77" i="1"/>
  <c r="DJ77" i="1" s="1"/>
  <c r="DF95" i="1"/>
  <c r="DO211" i="1"/>
  <c r="DL95" i="1"/>
  <c r="DL66" i="1"/>
  <c r="DH66" i="1"/>
  <c r="DL76" i="1"/>
  <c r="DH76" i="1"/>
  <c r="DS211" i="1"/>
  <c r="DH6" i="1"/>
  <c r="DL6" i="1"/>
  <c r="DS217" i="1"/>
  <c r="DO217" i="1"/>
  <c r="DT3" i="1"/>
  <c r="DE130" i="1"/>
  <c r="DF130" i="1"/>
  <c r="DL83" i="1"/>
  <c r="DH83" i="1"/>
  <c r="DL129" i="1"/>
  <c r="DH129" i="1"/>
  <c r="DJ129" i="1" s="1"/>
  <c r="DL27" i="1"/>
  <c r="DH27" i="1"/>
  <c r="DL55" i="1"/>
  <c r="DH55" i="1"/>
  <c r="DL12" i="1"/>
  <c r="DH12" i="1"/>
  <c r="DJ48" i="1"/>
  <c r="DF48" i="1"/>
  <c r="DJ189" i="1"/>
  <c r="DF11" i="1"/>
  <c r="DL79" i="1"/>
  <c r="DH79" i="1"/>
  <c r="DE160" i="1"/>
  <c r="DE49" i="1"/>
  <c r="CP184" i="1"/>
  <c r="CQ184" i="1"/>
  <c r="CN184" i="1"/>
  <c r="CZ208" i="1"/>
  <c r="CZ207" i="1"/>
  <c r="CN117" i="1"/>
  <c r="DJ76" i="1" l="1"/>
  <c r="DF76" i="1"/>
  <c r="DJ6" i="1"/>
  <c r="DF6" i="1"/>
  <c r="DJ66" i="1"/>
  <c r="DF66" i="1"/>
  <c r="DJ55" i="1"/>
  <c r="DF55" i="1"/>
  <c r="DJ12" i="1"/>
  <c r="DF12" i="1"/>
  <c r="DJ83" i="1"/>
  <c r="DF83" i="1"/>
  <c r="DJ79" i="1"/>
  <c r="DF79" i="1"/>
  <c r="DJ27" i="1"/>
  <c r="DF27" i="1"/>
  <c r="CZ206" i="1"/>
  <c r="DA208" i="1"/>
  <c r="DA207" i="1"/>
  <c r="DA206" i="1"/>
  <c r="DA205" i="1"/>
  <c r="DA204" i="1"/>
  <c r="DA209" i="1" l="1"/>
  <c r="CN38" i="1"/>
  <c r="CU210" i="1"/>
  <c r="CU209" i="1"/>
  <c r="CU208" i="1"/>
  <c r="CU207" i="1"/>
  <c r="CU206" i="1"/>
  <c r="CU205" i="1"/>
  <c r="CU204" i="1"/>
  <c r="AN204" i="1"/>
  <c r="CT200" i="1"/>
  <c r="CT199" i="1"/>
  <c r="CT198" i="1"/>
  <c r="CT197" i="1"/>
  <c r="CT196" i="1"/>
  <c r="CT195" i="1"/>
  <c r="CT194" i="1"/>
  <c r="CT193" i="1"/>
  <c r="CT192" i="1"/>
  <c r="CT191" i="1"/>
  <c r="CT190" i="1"/>
  <c r="CT189" i="1"/>
  <c r="CT188" i="1"/>
  <c r="CT187" i="1"/>
  <c r="CT186" i="1"/>
  <c r="CT185" i="1"/>
  <c r="CT184" i="1"/>
  <c r="CT183" i="1"/>
  <c r="CT182" i="1"/>
  <c r="CT181" i="1"/>
  <c r="CT180" i="1"/>
  <c r="CT179" i="1"/>
  <c r="CT178" i="1"/>
  <c r="CT177" i="1"/>
  <c r="CT176" i="1"/>
  <c r="CT175" i="1"/>
  <c r="CT174" i="1"/>
  <c r="CT173" i="1"/>
  <c r="CT172" i="1"/>
  <c r="CT171" i="1"/>
  <c r="CT170" i="1"/>
  <c r="CT169" i="1"/>
  <c r="CT168" i="1"/>
  <c r="CT167" i="1"/>
  <c r="CT166" i="1"/>
  <c r="CT165" i="1"/>
  <c r="CT164" i="1"/>
  <c r="CT163" i="1"/>
  <c r="CT162" i="1"/>
  <c r="CT161" i="1"/>
  <c r="CT160" i="1"/>
  <c r="CT159" i="1"/>
  <c r="CT158" i="1"/>
  <c r="CT157" i="1"/>
  <c r="CT156" i="1"/>
  <c r="CT155" i="1"/>
  <c r="CT154" i="1"/>
  <c r="CT153" i="1"/>
  <c r="CT152" i="1"/>
  <c r="CT151" i="1"/>
  <c r="CT150" i="1"/>
  <c r="CT149" i="1"/>
  <c r="CT148" i="1"/>
  <c r="CT147" i="1"/>
  <c r="CT146" i="1"/>
  <c r="CT145" i="1"/>
  <c r="CT144" i="1"/>
  <c r="CT143" i="1"/>
  <c r="CT142" i="1"/>
  <c r="CT141" i="1"/>
  <c r="CT140" i="1"/>
  <c r="CT139" i="1"/>
  <c r="CT138" i="1"/>
  <c r="CT137" i="1"/>
  <c r="CT136" i="1"/>
  <c r="CT135" i="1"/>
  <c r="CT134" i="1"/>
  <c r="CT133" i="1"/>
  <c r="CT132" i="1"/>
  <c r="CT131" i="1"/>
  <c r="CT130" i="1"/>
  <c r="CT129" i="1"/>
  <c r="CT128" i="1"/>
  <c r="CT127" i="1"/>
  <c r="CT126" i="1"/>
  <c r="CT125" i="1"/>
  <c r="CT124" i="1"/>
  <c r="CT123" i="1"/>
  <c r="CT122" i="1"/>
  <c r="CT121" i="1"/>
  <c r="CT120" i="1"/>
  <c r="CT119" i="1"/>
  <c r="CT118" i="1"/>
  <c r="CT117" i="1"/>
  <c r="CT116" i="1"/>
  <c r="CT115" i="1"/>
  <c r="CT114" i="1"/>
  <c r="CT113" i="1"/>
  <c r="CT112" i="1"/>
  <c r="CT111" i="1"/>
  <c r="CT110" i="1"/>
  <c r="CT109" i="1"/>
  <c r="CT108" i="1"/>
  <c r="CT107" i="1"/>
  <c r="CT106" i="1"/>
  <c r="CT105" i="1"/>
  <c r="CT104" i="1"/>
  <c r="CT103" i="1"/>
  <c r="CT102" i="1"/>
  <c r="CT101" i="1"/>
  <c r="CT100" i="1"/>
  <c r="CT99" i="1"/>
  <c r="CT98" i="1"/>
  <c r="CT97" i="1"/>
  <c r="CT96" i="1"/>
  <c r="CT95" i="1"/>
  <c r="CT94" i="1"/>
  <c r="CT93" i="1"/>
  <c r="CT92" i="1"/>
  <c r="CT91" i="1"/>
  <c r="CT90" i="1"/>
  <c r="CT89" i="1"/>
  <c r="CT88" i="1"/>
  <c r="CT87" i="1"/>
  <c r="CT86" i="1"/>
  <c r="CT85" i="1"/>
  <c r="CT84" i="1"/>
  <c r="CT83" i="1"/>
  <c r="CT82" i="1"/>
  <c r="CT81" i="1"/>
  <c r="CT80" i="1"/>
  <c r="CT79" i="1"/>
  <c r="CT78" i="1"/>
  <c r="CT77" i="1"/>
  <c r="CT76" i="1"/>
  <c r="CT75" i="1"/>
  <c r="CT74" i="1"/>
  <c r="CT73" i="1"/>
  <c r="CT72" i="1"/>
  <c r="CT71" i="1"/>
  <c r="CT70" i="1"/>
  <c r="CT69" i="1"/>
  <c r="CT68" i="1"/>
  <c r="CT67" i="1"/>
  <c r="CT66" i="1"/>
  <c r="CT65" i="1"/>
  <c r="CT64" i="1"/>
  <c r="CT63" i="1"/>
  <c r="CT62" i="1"/>
  <c r="CT61" i="1"/>
  <c r="CT60" i="1"/>
  <c r="CT59" i="1"/>
  <c r="CT58" i="1"/>
  <c r="CT57" i="1"/>
  <c r="CT56" i="1"/>
  <c r="CT55" i="1"/>
  <c r="CT54" i="1"/>
  <c r="CT53" i="1"/>
  <c r="CT52" i="1"/>
  <c r="CT51" i="1"/>
  <c r="CT50" i="1"/>
  <c r="CT49" i="1"/>
  <c r="CT48" i="1"/>
  <c r="CT47" i="1"/>
  <c r="CT46" i="1"/>
  <c r="CT45" i="1"/>
  <c r="CT44" i="1"/>
  <c r="CT43" i="1"/>
  <c r="CT42" i="1"/>
  <c r="CT41" i="1"/>
  <c r="CT40" i="1"/>
  <c r="CT39" i="1"/>
  <c r="CT38" i="1"/>
  <c r="CT37" i="1"/>
  <c r="CT36" i="1"/>
  <c r="CT35" i="1"/>
  <c r="CT34" i="1"/>
  <c r="CT33" i="1"/>
  <c r="CT32" i="1"/>
  <c r="CT31" i="1"/>
  <c r="CT30" i="1"/>
  <c r="CT29" i="1"/>
  <c r="CT28" i="1"/>
  <c r="CT27" i="1"/>
  <c r="CT26" i="1"/>
  <c r="CT25" i="1"/>
  <c r="CT24" i="1"/>
  <c r="CT23" i="1"/>
  <c r="CT22" i="1"/>
  <c r="CT21" i="1"/>
  <c r="CT20" i="1"/>
  <c r="CT19" i="1"/>
  <c r="CT18" i="1"/>
  <c r="CT17" i="1"/>
  <c r="CT16" i="1"/>
  <c r="CT15" i="1"/>
  <c r="CT14" i="1"/>
  <c r="CT13" i="1"/>
  <c r="CT12" i="1"/>
  <c r="CT11" i="1"/>
  <c r="CT10" i="1"/>
  <c r="CT9" i="1"/>
  <c r="CT8" i="1"/>
  <c r="CT7" i="1"/>
  <c r="CT6" i="1"/>
  <c r="CT5" i="1"/>
  <c r="CT4" i="1"/>
  <c r="CT3" i="1"/>
  <c r="DK38" i="1" l="1"/>
  <c r="DD38" i="1" s="1"/>
  <c r="CT208" i="1"/>
  <c r="CT211" i="1"/>
  <c r="CT206" i="1"/>
  <c r="CT210" i="1"/>
  <c r="CT209" i="1"/>
  <c r="CT204" i="1"/>
  <c r="CT205" i="1" s="1"/>
  <c r="CT207" i="1"/>
  <c r="CU211" i="1"/>
  <c r="DE38" i="1" l="1"/>
  <c r="CT212" i="1"/>
  <c r="CO200" i="1"/>
  <c r="CO199" i="1"/>
  <c r="CO198" i="1"/>
  <c r="CO196" i="1"/>
  <c r="CO194" i="1"/>
  <c r="CO193" i="1"/>
  <c r="CO192" i="1"/>
  <c r="CO190" i="1"/>
  <c r="CO188" i="1"/>
  <c r="CO187" i="1"/>
  <c r="CO185" i="1"/>
  <c r="CO183" i="1"/>
  <c r="CO182" i="1"/>
  <c r="CO181" i="1"/>
  <c r="CO180" i="1"/>
  <c r="CO179" i="1"/>
  <c r="CO178" i="1"/>
  <c r="CO177" i="1"/>
  <c r="CO176" i="1"/>
  <c r="CO175" i="1"/>
  <c r="CO174" i="1"/>
  <c r="CO173" i="1"/>
  <c r="CO172" i="1"/>
  <c r="CO171" i="1"/>
  <c r="CO170" i="1"/>
  <c r="CO169" i="1"/>
  <c r="CO168" i="1"/>
  <c r="CO167" i="1"/>
  <c r="CO166" i="1"/>
  <c r="CO165" i="1"/>
  <c r="CO164" i="1"/>
  <c r="CO163" i="1"/>
  <c r="CO162" i="1"/>
  <c r="CO161" i="1"/>
  <c r="CO160" i="1"/>
  <c r="CO159" i="1"/>
  <c r="CO157" i="1"/>
  <c r="CO156" i="1"/>
  <c r="CO155" i="1"/>
  <c r="CO154" i="1"/>
  <c r="CO153" i="1"/>
  <c r="CO152" i="1"/>
  <c r="CO151" i="1"/>
  <c r="CO150" i="1"/>
  <c r="CO149" i="1"/>
  <c r="CO148" i="1"/>
  <c r="CO147" i="1"/>
  <c r="CO146" i="1"/>
  <c r="CO145" i="1"/>
  <c r="CO143" i="1"/>
  <c r="CO142" i="1"/>
  <c r="CO141" i="1"/>
  <c r="CO140" i="1"/>
  <c r="CO139" i="1"/>
  <c r="CO138" i="1"/>
  <c r="CO137" i="1"/>
  <c r="CO133" i="1"/>
  <c r="CO132" i="1"/>
  <c r="CO131" i="1"/>
  <c r="CO130" i="1"/>
  <c r="CO129" i="1"/>
  <c r="CO128" i="1"/>
  <c r="CO127" i="1"/>
  <c r="CO126" i="1"/>
  <c r="CO125" i="1"/>
  <c r="CO124" i="1"/>
  <c r="CO123" i="1"/>
  <c r="CO122" i="1"/>
  <c r="CO121" i="1"/>
  <c r="CO120" i="1"/>
  <c r="CO119" i="1"/>
  <c r="CO118" i="1"/>
  <c r="CO117" i="1"/>
  <c r="CO116" i="1"/>
  <c r="CO115" i="1"/>
  <c r="CO114" i="1"/>
  <c r="CO113" i="1"/>
  <c r="CO112" i="1"/>
  <c r="CO111" i="1"/>
  <c r="CO110" i="1"/>
  <c r="CO109" i="1"/>
  <c r="CO108" i="1"/>
  <c r="CO107" i="1"/>
  <c r="CO106" i="1"/>
  <c r="CO105" i="1"/>
  <c r="CO104" i="1"/>
  <c r="CO103" i="1"/>
  <c r="CO102" i="1"/>
  <c r="CO101" i="1"/>
  <c r="CO100" i="1"/>
  <c r="CO99" i="1"/>
  <c r="CO98" i="1"/>
  <c r="CO97" i="1"/>
  <c r="CO96" i="1"/>
  <c r="CO94" i="1"/>
  <c r="CO93" i="1"/>
  <c r="CO92" i="1"/>
  <c r="CO91" i="1"/>
  <c r="CO90" i="1"/>
  <c r="CO89" i="1"/>
  <c r="CO88" i="1"/>
  <c r="CO87" i="1"/>
  <c r="CO86" i="1"/>
  <c r="CO84" i="1"/>
  <c r="CO82" i="1"/>
  <c r="CO81" i="1"/>
  <c r="CO80" i="1"/>
  <c r="CO76" i="1"/>
  <c r="CO75" i="1"/>
  <c r="CO74" i="1"/>
  <c r="CO73" i="1"/>
  <c r="CO72" i="1"/>
  <c r="CO71" i="1"/>
  <c r="CO70" i="1"/>
  <c r="CO69" i="1"/>
  <c r="CO68" i="1"/>
  <c r="CO67" i="1"/>
  <c r="CO65" i="1"/>
  <c r="CO64" i="1"/>
  <c r="CO63" i="1"/>
  <c r="CO62" i="1"/>
  <c r="CO60" i="1"/>
  <c r="CO59" i="1"/>
  <c r="CO58" i="1"/>
  <c r="CO57" i="1"/>
  <c r="CO56" i="1"/>
  <c r="CO54" i="1"/>
  <c r="CO53" i="1"/>
  <c r="CO52" i="1"/>
  <c r="CO51" i="1"/>
  <c r="CO50" i="1"/>
  <c r="CO49" i="1"/>
  <c r="CO47" i="1"/>
  <c r="CO46" i="1"/>
  <c r="CO45" i="1"/>
  <c r="CO44" i="1"/>
  <c r="CO43" i="1"/>
  <c r="CO42" i="1"/>
  <c r="CO41" i="1"/>
  <c r="CO40" i="1"/>
  <c r="CO39" i="1"/>
  <c r="CO38" i="1"/>
  <c r="CO37" i="1"/>
  <c r="CO36" i="1"/>
  <c r="CO35" i="1"/>
  <c r="CO33" i="1"/>
  <c r="CO32" i="1"/>
  <c r="CO31" i="1"/>
  <c r="CO30" i="1"/>
  <c r="CO29" i="1"/>
  <c r="CO28" i="1"/>
  <c r="CO27" i="1"/>
  <c r="CO26" i="1"/>
  <c r="CO25" i="1"/>
  <c r="CO24" i="1"/>
  <c r="CO23" i="1"/>
  <c r="CO22" i="1"/>
  <c r="CO21" i="1"/>
  <c r="CO19" i="1"/>
  <c r="CO18" i="1"/>
  <c r="CO15" i="1"/>
  <c r="CO14" i="1"/>
  <c r="CO13" i="1"/>
  <c r="CO9" i="1"/>
  <c r="CO8" i="1"/>
  <c r="CO7" i="1"/>
  <c r="CO5" i="1"/>
  <c r="CO4" i="1"/>
  <c r="CO3" i="1"/>
  <c r="CD200" i="1"/>
  <c r="CC200" i="1"/>
  <c r="CA200" i="1"/>
  <c r="DK200" i="1" s="1"/>
  <c r="DD200" i="1" s="1"/>
  <c r="CD199" i="1"/>
  <c r="CC199" i="1"/>
  <c r="CA199" i="1"/>
  <c r="DK199" i="1" s="1"/>
  <c r="DD199" i="1" s="1"/>
  <c r="CD198" i="1"/>
  <c r="CC198" i="1"/>
  <c r="CA198" i="1"/>
  <c r="DK198" i="1" s="1"/>
  <c r="DD198" i="1" s="1"/>
  <c r="CD197" i="1"/>
  <c r="CC197" i="1"/>
  <c r="DM197" i="1" s="1"/>
  <c r="DG197" i="1" s="1"/>
  <c r="DI197" i="1" s="1"/>
  <c r="CA197" i="1"/>
  <c r="DK197" i="1" s="1"/>
  <c r="DD197" i="1" s="1"/>
  <c r="CD196" i="1"/>
  <c r="CC196" i="1"/>
  <c r="CA196" i="1"/>
  <c r="DK196" i="1" s="1"/>
  <c r="DD196" i="1" s="1"/>
  <c r="CD195" i="1"/>
  <c r="CC195" i="1"/>
  <c r="CA195" i="1"/>
  <c r="CD194" i="1"/>
  <c r="CC194" i="1"/>
  <c r="CA194" i="1"/>
  <c r="DK194" i="1" s="1"/>
  <c r="DD194" i="1" s="1"/>
  <c r="CD193" i="1"/>
  <c r="CC193" i="1"/>
  <c r="CA193" i="1"/>
  <c r="DK193" i="1" s="1"/>
  <c r="DD193" i="1" s="1"/>
  <c r="CD192" i="1"/>
  <c r="CC192" i="1"/>
  <c r="CA192" i="1"/>
  <c r="DK192" i="1" s="1"/>
  <c r="DD192" i="1" s="1"/>
  <c r="CD191" i="1"/>
  <c r="CC191" i="1"/>
  <c r="DM191" i="1" s="1"/>
  <c r="DG191" i="1" s="1"/>
  <c r="DI191" i="1" s="1"/>
  <c r="CA191" i="1"/>
  <c r="DK191" i="1" s="1"/>
  <c r="DD191" i="1" s="1"/>
  <c r="CD190" i="1"/>
  <c r="CC190" i="1"/>
  <c r="CA190" i="1"/>
  <c r="DK190" i="1" s="1"/>
  <c r="DD190" i="1" s="1"/>
  <c r="CD189" i="1"/>
  <c r="CC189" i="1"/>
  <c r="CA189" i="1"/>
  <c r="CD188" i="1"/>
  <c r="CC188" i="1"/>
  <c r="CA188" i="1"/>
  <c r="DK188" i="1" s="1"/>
  <c r="DD188" i="1" s="1"/>
  <c r="CD187" i="1"/>
  <c r="CC187" i="1"/>
  <c r="CA187" i="1"/>
  <c r="DK187" i="1" s="1"/>
  <c r="DD187" i="1" s="1"/>
  <c r="CD186" i="1"/>
  <c r="CC186" i="1"/>
  <c r="CA186" i="1"/>
  <c r="DK186" i="1" s="1"/>
  <c r="DD186" i="1" s="1"/>
  <c r="CD185" i="1"/>
  <c r="CC185" i="1"/>
  <c r="CA185" i="1"/>
  <c r="DK185" i="1" s="1"/>
  <c r="DD185" i="1" s="1"/>
  <c r="CD184" i="1"/>
  <c r="CC184" i="1"/>
  <c r="DM184" i="1" s="1"/>
  <c r="DG184" i="1" s="1"/>
  <c r="DI184" i="1" s="1"/>
  <c r="CA184" i="1"/>
  <c r="DK184" i="1" s="1"/>
  <c r="DD184" i="1" s="1"/>
  <c r="CD183" i="1"/>
  <c r="CC183" i="1"/>
  <c r="CA183" i="1"/>
  <c r="DK183" i="1" s="1"/>
  <c r="DD183" i="1" s="1"/>
  <c r="CD182" i="1"/>
  <c r="CC182" i="1"/>
  <c r="CA182" i="1"/>
  <c r="DK182" i="1" s="1"/>
  <c r="DD182" i="1" s="1"/>
  <c r="CD181" i="1"/>
  <c r="CC181" i="1"/>
  <c r="CA181" i="1"/>
  <c r="DK181" i="1" s="1"/>
  <c r="DD181" i="1" s="1"/>
  <c r="CD180" i="1"/>
  <c r="CC180" i="1"/>
  <c r="CA180" i="1"/>
  <c r="DK180" i="1" s="1"/>
  <c r="DD180" i="1" s="1"/>
  <c r="CD179" i="1"/>
  <c r="CC179" i="1"/>
  <c r="CA179" i="1"/>
  <c r="DK179" i="1" s="1"/>
  <c r="DD179" i="1" s="1"/>
  <c r="CD178" i="1"/>
  <c r="CC178" i="1"/>
  <c r="CA178" i="1"/>
  <c r="DK178" i="1" s="1"/>
  <c r="DD178" i="1" s="1"/>
  <c r="CD177" i="1"/>
  <c r="CC177" i="1"/>
  <c r="CA177" i="1"/>
  <c r="DK177" i="1" s="1"/>
  <c r="DD177" i="1" s="1"/>
  <c r="CD176" i="1"/>
  <c r="CC176" i="1"/>
  <c r="CA176" i="1"/>
  <c r="DK176" i="1" s="1"/>
  <c r="DD176" i="1" s="1"/>
  <c r="CD175" i="1"/>
  <c r="CC175" i="1"/>
  <c r="CA175" i="1"/>
  <c r="DK175" i="1" s="1"/>
  <c r="DD175" i="1" s="1"/>
  <c r="CD174" i="1"/>
  <c r="CC174" i="1"/>
  <c r="CA174" i="1"/>
  <c r="DK174" i="1" s="1"/>
  <c r="DD174" i="1" s="1"/>
  <c r="CD173" i="1"/>
  <c r="CC173" i="1"/>
  <c r="CA173" i="1"/>
  <c r="DK173" i="1" s="1"/>
  <c r="DD173" i="1" s="1"/>
  <c r="CD172" i="1"/>
  <c r="CC172" i="1"/>
  <c r="CA172" i="1"/>
  <c r="DK172" i="1" s="1"/>
  <c r="DD172" i="1" s="1"/>
  <c r="CD171" i="1"/>
  <c r="CC171" i="1"/>
  <c r="CA171" i="1"/>
  <c r="DK171" i="1" s="1"/>
  <c r="DD171" i="1" s="1"/>
  <c r="CD170" i="1"/>
  <c r="CC170" i="1"/>
  <c r="CA170" i="1"/>
  <c r="DK170" i="1" s="1"/>
  <c r="DD170" i="1" s="1"/>
  <c r="CD169" i="1"/>
  <c r="CC169" i="1"/>
  <c r="CA169" i="1"/>
  <c r="DK169" i="1" s="1"/>
  <c r="DD169" i="1" s="1"/>
  <c r="CD168" i="1"/>
  <c r="CC168" i="1"/>
  <c r="CA168" i="1"/>
  <c r="DK168" i="1" s="1"/>
  <c r="DD168" i="1" s="1"/>
  <c r="CD167" i="1"/>
  <c r="CC167" i="1"/>
  <c r="CA167" i="1"/>
  <c r="DK167" i="1" s="1"/>
  <c r="DD167" i="1" s="1"/>
  <c r="CD166" i="1"/>
  <c r="CC166" i="1"/>
  <c r="CA166" i="1"/>
  <c r="DK166" i="1" s="1"/>
  <c r="DD166" i="1" s="1"/>
  <c r="CD165" i="1"/>
  <c r="CC165" i="1"/>
  <c r="CA165" i="1"/>
  <c r="DK165" i="1" s="1"/>
  <c r="DD165" i="1" s="1"/>
  <c r="CD164" i="1"/>
  <c r="CC164" i="1"/>
  <c r="CA164" i="1"/>
  <c r="DK164" i="1" s="1"/>
  <c r="DD164" i="1" s="1"/>
  <c r="CD163" i="1"/>
  <c r="CC163" i="1"/>
  <c r="CA163" i="1"/>
  <c r="DK163" i="1" s="1"/>
  <c r="DD163" i="1" s="1"/>
  <c r="CD162" i="1"/>
  <c r="CC162" i="1"/>
  <c r="CA162" i="1"/>
  <c r="DK162" i="1" s="1"/>
  <c r="DD162" i="1" s="1"/>
  <c r="CD161" i="1"/>
  <c r="CC161" i="1"/>
  <c r="CA161" i="1"/>
  <c r="DK161" i="1" s="1"/>
  <c r="DD161" i="1" s="1"/>
  <c r="CD160" i="1"/>
  <c r="CC160" i="1"/>
  <c r="CA160" i="1"/>
  <c r="CD159" i="1"/>
  <c r="CC159" i="1"/>
  <c r="CA159" i="1"/>
  <c r="DK159" i="1" s="1"/>
  <c r="DD159" i="1" s="1"/>
  <c r="CD158" i="1"/>
  <c r="CC158" i="1"/>
  <c r="CA158" i="1"/>
  <c r="DK158" i="1" s="1"/>
  <c r="DD158" i="1" s="1"/>
  <c r="CD157" i="1"/>
  <c r="CC157" i="1"/>
  <c r="CA157" i="1"/>
  <c r="DK157" i="1" s="1"/>
  <c r="DD157" i="1" s="1"/>
  <c r="CD156" i="1"/>
  <c r="CC156" i="1"/>
  <c r="CA156" i="1"/>
  <c r="DK156" i="1" s="1"/>
  <c r="DD156" i="1" s="1"/>
  <c r="CD155" i="1"/>
  <c r="CC155" i="1"/>
  <c r="DM155" i="1" s="1"/>
  <c r="DG155" i="1" s="1"/>
  <c r="DI155" i="1" s="1"/>
  <c r="CA155" i="1"/>
  <c r="DK155" i="1" s="1"/>
  <c r="DD155" i="1" s="1"/>
  <c r="CD154" i="1"/>
  <c r="CC154" i="1"/>
  <c r="CA154" i="1"/>
  <c r="DK154" i="1" s="1"/>
  <c r="DD154" i="1" s="1"/>
  <c r="CD153" i="1"/>
  <c r="CC153" i="1"/>
  <c r="CA153" i="1"/>
  <c r="DK153" i="1" s="1"/>
  <c r="DD153" i="1" s="1"/>
  <c r="CD152" i="1"/>
  <c r="CC152" i="1"/>
  <c r="CA152" i="1"/>
  <c r="DK152" i="1" s="1"/>
  <c r="DD152" i="1" s="1"/>
  <c r="CD151" i="1"/>
  <c r="CC151" i="1"/>
  <c r="CA151" i="1"/>
  <c r="DK151" i="1" s="1"/>
  <c r="DD151" i="1" s="1"/>
  <c r="CD150" i="1"/>
  <c r="CC150" i="1"/>
  <c r="CA150" i="1"/>
  <c r="DK150" i="1" s="1"/>
  <c r="DD150" i="1" s="1"/>
  <c r="CD149" i="1"/>
  <c r="CC149" i="1"/>
  <c r="CA149" i="1"/>
  <c r="DK149" i="1" s="1"/>
  <c r="DD149" i="1" s="1"/>
  <c r="CD148" i="1"/>
  <c r="CC148" i="1"/>
  <c r="DM148" i="1" s="1"/>
  <c r="DG148" i="1" s="1"/>
  <c r="DI148" i="1" s="1"/>
  <c r="CA148" i="1"/>
  <c r="DK148" i="1" s="1"/>
  <c r="DD148" i="1" s="1"/>
  <c r="CD147" i="1"/>
  <c r="CC147" i="1"/>
  <c r="CA147" i="1"/>
  <c r="DK147" i="1" s="1"/>
  <c r="DD147" i="1" s="1"/>
  <c r="CD146" i="1"/>
  <c r="CC146" i="1"/>
  <c r="CA146" i="1"/>
  <c r="CD145" i="1"/>
  <c r="CC145" i="1"/>
  <c r="CA145" i="1"/>
  <c r="CD144" i="1"/>
  <c r="CC144" i="1"/>
  <c r="CA144" i="1"/>
  <c r="CD143" i="1"/>
  <c r="CC143" i="1"/>
  <c r="CA143" i="1"/>
  <c r="DK143" i="1" s="1"/>
  <c r="DD143" i="1" s="1"/>
  <c r="CD142" i="1"/>
  <c r="CC142" i="1"/>
  <c r="DM142" i="1" s="1"/>
  <c r="DG142" i="1" s="1"/>
  <c r="DI142" i="1" s="1"/>
  <c r="CA142" i="1"/>
  <c r="DK142" i="1" s="1"/>
  <c r="DD142" i="1" s="1"/>
  <c r="CD141" i="1"/>
  <c r="CC141" i="1"/>
  <c r="CA141" i="1"/>
  <c r="DK141" i="1" s="1"/>
  <c r="DD141" i="1" s="1"/>
  <c r="CD140" i="1"/>
  <c r="CC140" i="1"/>
  <c r="CA140" i="1"/>
  <c r="DK140" i="1" s="1"/>
  <c r="DD140" i="1" s="1"/>
  <c r="CD139" i="1"/>
  <c r="CC139" i="1"/>
  <c r="CA139" i="1"/>
  <c r="DK139" i="1" s="1"/>
  <c r="DD139" i="1" s="1"/>
  <c r="CD138" i="1"/>
  <c r="CC138" i="1"/>
  <c r="CA138" i="1"/>
  <c r="DK138" i="1" s="1"/>
  <c r="DD138" i="1" s="1"/>
  <c r="CD137" i="1"/>
  <c r="CC137" i="1"/>
  <c r="CA137" i="1"/>
  <c r="DK137" i="1" s="1"/>
  <c r="DD137" i="1" s="1"/>
  <c r="CD136" i="1"/>
  <c r="CC136" i="1"/>
  <c r="DM136" i="1" s="1"/>
  <c r="DG136" i="1" s="1"/>
  <c r="DI136" i="1" s="1"/>
  <c r="CA136" i="1"/>
  <c r="DK136" i="1" s="1"/>
  <c r="DD136" i="1" s="1"/>
  <c r="CD135" i="1"/>
  <c r="CC135" i="1"/>
  <c r="CA135" i="1"/>
  <c r="CD134" i="1"/>
  <c r="CC134" i="1"/>
  <c r="CA134" i="1"/>
  <c r="DK134" i="1" s="1"/>
  <c r="DD134" i="1" s="1"/>
  <c r="CD133" i="1"/>
  <c r="CC133" i="1"/>
  <c r="CA133" i="1"/>
  <c r="DK133" i="1" s="1"/>
  <c r="DD133" i="1" s="1"/>
  <c r="CD132" i="1"/>
  <c r="CC132" i="1"/>
  <c r="CA132" i="1"/>
  <c r="DK132" i="1" s="1"/>
  <c r="DD132" i="1" s="1"/>
  <c r="CD131" i="1"/>
  <c r="CC131" i="1"/>
  <c r="CA131" i="1"/>
  <c r="DK131" i="1" s="1"/>
  <c r="DD131" i="1" s="1"/>
  <c r="CD130" i="1"/>
  <c r="CC130" i="1"/>
  <c r="CA130" i="1"/>
  <c r="CD129" i="1"/>
  <c r="CC129" i="1"/>
  <c r="CA129" i="1"/>
  <c r="CD128" i="1"/>
  <c r="CC128" i="1"/>
  <c r="CA128" i="1"/>
  <c r="DK128" i="1" s="1"/>
  <c r="DD128" i="1" s="1"/>
  <c r="CD127" i="1"/>
  <c r="CC127" i="1"/>
  <c r="CA127" i="1"/>
  <c r="DK127" i="1" s="1"/>
  <c r="DD127" i="1" s="1"/>
  <c r="CD126" i="1"/>
  <c r="CC126" i="1"/>
  <c r="DM126" i="1" s="1"/>
  <c r="DG126" i="1" s="1"/>
  <c r="DI126" i="1" s="1"/>
  <c r="CA126" i="1"/>
  <c r="DK126" i="1" s="1"/>
  <c r="CD125" i="1"/>
  <c r="CC125" i="1"/>
  <c r="CA125" i="1"/>
  <c r="DK125" i="1" s="1"/>
  <c r="DD125" i="1" s="1"/>
  <c r="CD124" i="1"/>
  <c r="CC124" i="1"/>
  <c r="CA124" i="1"/>
  <c r="DK124" i="1" s="1"/>
  <c r="DD124" i="1" s="1"/>
  <c r="CD123" i="1"/>
  <c r="CC123" i="1"/>
  <c r="CA123" i="1"/>
  <c r="DK123" i="1" s="1"/>
  <c r="DD123" i="1" s="1"/>
  <c r="CD122" i="1"/>
  <c r="CC122" i="1"/>
  <c r="CA122" i="1"/>
  <c r="DK122" i="1" s="1"/>
  <c r="DD122" i="1" s="1"/>
  <c r="CD121" i="1"/>
  <c r="CC121" i="1"/>
  <c r="CA121" i="1"/>
  <c r="DK121" i="1" s="1"/>
  <c r="DD121" i="1" s="1"/>
  <c r="CD120" i="1"/>
  <c r="CC120" i="1"/>
  <c r="CA120" i="1"/>
  <c r="DK120" i="1" s="1"/>
  <c r="DD120" i="1" s="1"/>
  <c r="CD119" i="1"/>
  <c r="CC119" i="1"/>
  <c r="CA119" i="1"/>
  <c r="CD118" i="1"/>
  <c r="CC118" i="1"/>
  <c r="CA118" i="1"/>
  <c r="DK118" i="1" s="1"/>
  <c r="DD118" i="1" s="1"/>
  <c r="CD117" i="1"/>
  <c r="CC117" i="1"/>
  <c r="DM117" i="1" s="1"/>
  <c r="DG117" i="1" s="1"/>
  <c r="DI117" i="1" s="1"/>
  <c r="CA117" i="1"/>
  <c r="DK117" i="1" s="1"/>
  <c r="DD117" i="1" s="1"/>
  <c r="CD116" i="1"/>
  <c r="CC116" i="1"/>
  <c r="CA116" i="1"/>
  <c r="DK116" i="1" s="1"/>
  <c r="DD116" i="1" s="1"/>
  <c r="CD115" i="1"/>
  <c r="CC115" i="1"/>
  <c r="CA115" i="1"/>
  <c r="DK115" i="1" s="1"/>
  <c r="DD115" i="1" s="1"/>
  <c r="CD114" i="1"/>
  <c r="CC114" i="1"/>
  <c r="CA114" i="1"/>
  <c r="DK114" i="1" s="1"/>
  <c r="DD114" i="1" s="1"/>
  <c r="CD113" i="1"/>
  <c r="CC113" i="1"/>
  <c r="CA113" i="1"/>
  <c r="DK113" i="1" s="1"/>
  <c r="DD113" i="1" s="1"/>
  <c r="CD112" i="1"/>
  <c r="CC112" i="1"/>
  <c r="CA112" i="1"/>
  <c r="DK112" i="1" s="1"/>
  <c r="DD112" i="1" s="1"/>
  <c r="CD111" i="1"/>
  <c r="CC111" i="1"/>
  <c r="CA111" i="1"/>
  <c r="DK111" i="1" s="1"/>
  <c r="DD111" i="1" s="1"/>
  <c r="CD110" i="1"/>
  <c r="CC110" i="1"/>
  <c r="CA110" i="1"/>
  <c r="DK110" i="1" s="1"/>
  <c r="DD110" i="1" s="1"/>
  <c r="CD109" i="1"/>
  <c r="CC109" i="1"/>
  <c r="CA109" i="1"/>
  <c r="DK109" i="1" s="1"/>
  <c r="DD109" i="1" s="1"/>
  <c r="CD108" i="1"/>
  <c r="CC108" i="1"/>
  <c r="CA108" i="1"/>
  <c r="DK108" i="1" s="1"/>
  <c r="DD108" i="1" s="1"/>
  <c r="CD107" i="1"/>
  <c r="CC107" i="1"/>
  <c r="CA107" i="1"/>
  <c r="DK107" i="1" s="1"/>
  <c r="DD107" i="1" s="1"/>
  <c r="CD106" i="1"/>
  <c r="CC106" i="1"/>
  <c r="CA106" i="1"/>
  <c r="CD105" i="1"/>
  <c r="CC105" i="1"/>
  <c r="CA105" i="1"/>
  <c r="DK105" i="1" s="1"/>
  <c r="DD105" i="1" s="1"/>
  <c r="CD104" i="1"/>
  <c r="CC104" i="1"/>
  <c r="CA104" i="1"/>
  <c r="CD103" i="1"/>
  <c r="CC103" i="1"/>
  <c r="CA103" i="1"/>
  <c r="DK103" i="1" s="1"/>
  <c r="DD103" i="1" s="1"/>
  <c r="CD102" i="1"/>
  <c r="CC102" i="1"/>
  <c r="CA102" i="1"/>
  <c r="DK102" i="1" s="1"/>
  <c r="DD102" i="1" s="1"/>
  <c r="CD101" i="1"/>
  <c r="CC101" i="1"/>
  <c r="CA101" i="1"/>
  <c r="DK101" i="1" s="1"/>
  <c r="DD101" i="1" s="1"/>
  <c r="CD100" i="1"/>
  <c r="CC100" i="1"/>
  <c r="CA100" i="1"/>
  <c r="DK100" i="1" s="1"/>
  <c r="DD100" i="1" s="1"/>
  <c r="CD99" i="1"/>
  <c r="CC99" i="1"/>
  <c r="CA99" i="1"/>
  <c r="DK99" i="1" s="1"/>
  <c r="DD99" i="1" s="1"/>
  <c r="CD98" i="1"/>
  <c r="CC98" i="1"/>
  <c r="CA98" i="1"/>
  <c r="DK98" i="1" s="1"/>
  <c r="DD98" i="1" s="1"/>
  <c r="CD97" i="1"/>
  <c r="CC97" i="1"/>
  <c r="CA97" i="1"/>
  <c r="DK97" i="1" s="1"/>
  <c r="DD97" i="1" s="1"/>
  <c r="CD96" i="1"/>
  <c r="CC96" i="1"/>
  <c r="DM96" i="1" s="1"/>
  <c r="DG96" i="1" s="1"/>
  <c r="DI96" i="1" s="1"/>
  <c r="CA96" i="1"/>
  <c r="DK96" i="1" s="1"/>
  <c r="DD96" i="1" s="1"/>
  <c r="CD95" i="1"/>
  <c r="CC95" i="1"/>
  <c r="CA95" i="1"/>
  <c r="CD94" i="1"/>
  <c r="CC94" i="1"/>
  <c r="CA94" i="1"/>
  <c r="DK94" i="1" s="1"/>
  <c r="DD94" i="1" s="1"/>
  <c r="CD93" i="1"/>
  <c r="CC93" i="1"/>
  <c r="CA93" i="1"/>
  <c r="DK93" i="1" s="1"/>
  <c r="DD93" i="1" s="1"/>
  <c r="CD92" i="1"/>
  <c r="CC92" i="1"/>
  <c r="CA92" i="1"/>
  <c r="DK92" i="1" s="1"/>
  <c r="DD92" i="1" s="1"/>
  <c r="CD91" i="1"/>
  <c r="CC91" i="1"/>
  <c r="CA91" i="1"/>
  <c r="DK91" i="1" s="1"/>
  <c r="DD91" i="1" s="1"/>
  <c r="CD90" i="1"/>
  <c r="CC90" i="1"/>
  <c r="CA90" i="1"/>
  <c r="DK90" i="1" s="1"/>
  <c r="DD90" i="1" s="1"/>
  <c r="CD89" i="1"/>
  <c r="CC89" i="1"/>
  <c r="CA89" i="1"/>
  <c r="DK89" i="1" s="1"/>
  <c r="DD89" i="1" s="1"/>
  <c r="CD88" i="1"/>
  <c r="CC88" i="1"/>
  <c r="CA88" i="1"/>
  <c r="DK88" i="1" s="1"/>
  <c r="DD88" i="1" s="1"/>
  <c r="CD87" i="1"/>
  <c r="CC87" i="1"/>
  <c r="CA87" i="1"/>
  <c r="DK87" i="1" s="1"/>
  <c r="DD87" i="1" s="1"/>
  <c r="CD86" i="1"/>
  <c r="CC86" i="1"/>
  <c r="CA86" i="1"/>
  <c r="DK86" i="1" s="1"/>
  <c r="DD86" i="1" s="1"/>
  <c r="CD85" i="1"/>
  <c r="CC85" i="1"/>
  <c r="CA85" i="1"/>
  <c r="DK85" i="1" s="1"/>
  <c r="DD85" i="1" s="1"/>
  <c r="CD84" i="1"/>
  <c r="CC84" i="1"/>
  <c r="CA84" i="1"/>
  <c r="DK84" i="1" s="1"/>
  <c r="DD84" i="1" s="1"/>
  <c r="CD83" i="1"/>
  <c r="CC83" i="1"/>
  <c r="CA83" i="1"/>
  <c r="CD82" i="1"/>
  <c r="CC82" i="1"/>
  <c r="CA82" i="1"/>
  <c r="DK82" i="1" s="1"/>
  <c r="DD82" i="1" s="1"/>
  <c r="CD81" i="1"/>
  <c r="CC81" i="1"/>
  <c r="CA81" i="1"/>
  <c r="DK81" i="1" s="1"/>
  <c r="DD81" i="1" s="1"/>
  <c r="CD80" i="1"/>
  <c r="CC80" i="1"/>
  <c r="CA80" i="1"/>
  <c r="DK80" i="1" s="1"/>
  <c r="DD80" i="1" s="1"/>
  <c r="CD79" i="1"/>
  <c r="CC79" i="1"/>
  <c r="CA79" i="1"/>
  <c r="CD78" i="1"/>
  <c r="CC78" i="1"/>
  <c r="DM78" i="1" s="1"/>
  <c r="DG78" i="1" s="1"/>
  <c r="DI78" i="1" s="1"/>
  <c r="CA78" i="1"/>
  <c r="CD77" i="1"/>
  <c r="CC77" i="1"/>
  <c r="CA77" i="1"/>
  <c r="CD76" i="1"/>
  <c r="CC76" i="1"/>
  <c r="CA76" i="1"/>
  <c r="CD75" i="1"/>
  <c r="CC75" i="1"/>
  <c r="CA75" i="1"/>
  <c r="DK75" i="1" s="1"/>
  <c r="DD75" i="1" s="1"/>
  <c r="CD74" i="1"/>
  <c r="CC74" i="1"/>
  <c r="CA74" i="1"/>
  <c r="DK74" i="1" s="1"/>
  <c r="DD74" i="1" s="1"/>
  <c r="CD73" i="1"/>
  <c r="CC73" i="1"/>
  <c r="CA73" i="1"/>
  <c r="DK73" i="1" s="1"/>
  <c r="DD73" i="1" s="1"/>
  <c r="CD72" i="1"/>
  <c r="CC72" i="1"/>
  <c r="CA72" i="1"/>
  <c r="DK72" i="1" s="1"/>
  <c r="DD72" i="1" s="1"/>
  <c r="CD71" i="1"/>
  <c r="CC71" i="1"/>
  <c r="CA71" i="1"/>
  <c r="DK71" i="1" s="1"/>
  <c r="DD71" i="1" s="1"/>
  <c r="CD70" i="1"/>
  <c r="CC70" i="1"/>
  <c r="CA70" i="1"/>
  <c r="CD69" i="1"/>
  <c r="CC69" i="1"/>
  <c r="CA69" i="1"/>
  <c r="DK69" i="1" s="1"/>
  <c r="DD69" i="1" s="1"/>
  <c r="CD68" i="1"/>
  <c r="CC68" i="1"/>
  <c r="CA68" i="1"/>
  <c r="DK68" i="1" s="1"/>
  <c r="DD68" i="1" s="1"/>
  <c r="CD67" i="1"/>
  <c r="CC67" i="1"/>
  <c r="CA67" i="1"/>
  <c r="DK67" i="1" s="1"/>
  <c r="DD67" i="1" s="1"/>
  <c r="CD66" i="1"/>
  <c r="CC66" i="1"/>
  <c r="CA66" i="1"/>
  <c r="CD65" i="1"/>
  <c r="CC65" i="1"/>
  <c r="CA65" i="1"/>
  <c r="CD64" i="1"/>
  <c r="CC64" i="1"/>
  <c r="CA64" i="1"/>
  <c r="DK64" i="1" s="1"/>
  <c r="DD64" i="1" s="1"/>
  <c r="CD63" i="1"/>
  <c r="CC63" i="1"/>
  <c r="CA63" i="1"/>
  <c r="DK63" i="1" s="1"/>
  <c r="DD63" i="1" s="1"/>
  <c r="CD62" i="1"/>
  <c r="CC62" i="1"/>
  <c r="CA62" i="1"/>
  <c r="DK62" i="1" s="1"/>
  <c r="DD62" i="1" s="1"/>
  <c r="CD61" i="1"/>
  <c r="CC61" i="1"/>
  <c r="DM61" i="1" s="1"/>
  <c r="DG61" i="1" s="1"/>
  <c r="DI61" i="1" s="1"/>
  <c r="CA61" i="1"/>
  <c r="DK61" i="1" s="1"/>
  <c r="DD61" i="1" s="1"/>
  <c r="CD60" i="1"/>
  <c r="CC60" i="1"/>
  <c r="CA60" i="1"/>
  <c r="DK60" i="1" s="1"/>
  <c r="DD60" i="1" s="1"/>
  <c r="CD59" i="1"/>
  <c r="CC59" i="1"/>
  <c r="CA59" i="1"/>
  <c r="DK59" i="1" s="1"/>
  <c r="DD59" i="1" s="1"/>
  <c r="CD58" i="1"/>
  <c r="CC58" i="1"/>
  <c r="CA58" i="1"/>
  <c r="DK58" i="1" s="1"/>
  <c r="DD58" i="1" s="1"/>
  <c r="CD57" i="1"/>
  <c r="CC57" i="1"/>
  <c r="CA57" i="1"/>
  <c r="DK57" i="1" s="1"/>
  <c r="DD57" i="1" s="1"/>
  <c r="CD56" i="1"/>
  <c r="CC56" i="1"/>
  <c r="CA56" i="1"/>
  <c r="DK56" i="1" s="1"/>
  <c r="DD56" i="1" s="1"/>
  <c r="CD55" i="1"/>
  <c r="CC55" i="1"/>
  <c r="CA55" i="1"/>
  <c r="CD54" i="1"/>
  <c r="CC54" i="1"/>
  <c r="CA54" i="1"/>
  <c r="DK54" i="1" s="1"/>
  <c r="DD54" i="1" s="1"/>
  <c r="CD53" i="1"/>
  <c r="CC53" i="1"/>
  <c r="CA53" i="1"/>
  <c r="DK53" i="1" s="1"/>
  <c r="DD53" i="1" s="1"/>
  <c r="CD52" i="1"/>
  <c r="CC52" i="1"/>
  <c r="CA52" i="1"/>
  <c r="DK52" i="1" s="1"/>
  <c r="DD52" i="1" s="1"/>
  <c r="CD51" i="1"/>
  <c r="CC51" i="1"/>
  <c r="CA51" i="1"/>
  <c r="DK51" i="1" s="1"/>
  <c r="DD51" i="1" s="1"/>
  <c r="CD50" i="1"/>
  <c r="CC50" i="1"/>
  <c r="CA50" i="1"/>
  <c r="DK50" i="1" s="1"/>
  <c r="DD50" i="1" s="1"/>
  <c r="CD49" i="1"/>
  <c r="CC49" i="1"/>
  <c r="CA49" i="1"/>
  <c r="CD48" i="1"/>
  <c r="CB48" i="1" s="1"/>
  <c r="CC48" i="1"/>
  <c r="CA48" i="1"/>
  <c r="CD47" i="1"/>
  <c r="CC47" i="1"/>
  <c r="CA47" i="1"/>
  <c r="DK47" i="1" s="1"/>
  <c r="DD47" i="1" s="1"/>
  <c r="CD46" i="1"/>
  <c r="CC46" i="1"/>
  <c r="CA46" i="1"/>
  <c r="DK46" i="1" s="1"/>
  <c r="DD46" i="1" s="1"/>
  <c r="CD45" i="1"/>
  <c r="CC45" i="1"/>
  <c r="CA45" i="1"/>
  <c r="DK45" i="1" s="1"/>
  <c r="DD45" i="1" s="1"/>
  <c r="CD44" i="1"/>
  <c r="CC44" i="1"/>
  <c r="CA44" i="1"/>
  <c r="DK44" i="1" s="1"/>
  <c r="DD44" i="1" s="1"/>
  <c r="CD43" i="1"/>
  <c r="CC43" i="1"/>
  <c r="CA43" i="1"/>
  <c r="DK43" i="1" s="1"/>
  <c r="DD43" i="1" s="1"/>
  <c r="CD42" i="1"/>
  <c r="CC42" i="1"/>
  <c r="CA42" i="1"/>
  <c r="DK42" i="1" s="1"/>
  <c r="DD42" i="1" s="1"/>
  <c r="CD41" i="1"/>
  <c r="CC41" i="1"/>
  <c r="CA41" i="1"/>
  <c r="DK41" i="1" s="1"/>
  <c r="DD41" i="1" s="1"/>
  <c r="CD40" i="1"/>
  <c r="CC40" i="1"/>
  <c r="CA40" i="1"/>
  <c r="DK40" i="1" s="1"/>
  <c r="DD40" i="1" s="1"/>
  <c r="CD39" i="1"/>
  <c r="CC39" i="1"/>
  <c r="DM39" i="1" s="1"/>
  <c r="DG39" i="1" s="1"/>
  <c r="DI39" i="1" s="1"/>
  <c r="CA39" i="1"/>
  <c r="DK39" i="1" s="1"/>
  <c r="DD39" i="1" s="1"/>
  <c r="CD38" i="1"/>
  <c r="CC38" i="1"/>
  <c r="CA38" i="1"/>
  <c r="CD37" i="1"/>
  <c r="CC37" i="1"/>
  <c r="CA37" i="1"/>
  <c r="DK37" i="1" s="1"/>
  <c r="DD37" i="1" s="1"/>
  <c r="CD36" i="1"/>
  <c r="CC36" i="1"/>
  <c r="CA36" i="1"/>
  <c r="DK36" i="1" s="1"/>
  <c r="DD36" i="1" s="1"/>
  <c r="CD35" i="1"/>
  <c r="CC35" i="1"/>
  <c r="CA35" i="1"/>
  <c r="DK35" i="1" s="1"/>
  <c r="DD35" i="1" s="1"/>
  <c r="CD34" i="1"/>
  <c r="CC34" i="1"/>
  <c r="CA34" i="1"/>
  <c r="CD33" i="1"/>
  <c r="CC33" i="1"/>
  <c r="CA33" i="1"/>
  <c r="DK33" i="1" s="1"/>
  <c r="DD33" i="1" s="1"/>
  <c r="CD32" i="1"/>
  <c r="CC32" i="1"/>
  <c r="CA32" i="1"/>
  <c r="DK32" i="1" s="1"/>
  <c r="DD32" i="1" s="1"/>
  <c r="CD31" i="1"/>
  <c r="CC31" i="1"/>
  <c r="CA31" i="1"/>
  <c r="DK31" i="1" s="1"/>
  <c r="DD31" i="1" s="1"/>
  <c r="CD30" i="1"/>
  <c r="CC30" i="1"/>
  <c r="CA30" i="1"/>
  <c r="DK30" i="1" s="1"/>
  <c r="DD30" i="1" s="1"/>
  <c r="CD29" i="1"/>
  <c r="CC29" i="1"/>
  <c r="CA29" i="1"/>
  <c r="DK29" i="1" s="1"/>
  <c r="DD29" i="1" s="1"/>
  <c r="CD28" i="1"/>
  <c r="CC28" i="1"/>
  <c r="CA28" i="1"/>
  <c r="DK28" i="1" s="1"/>
  <c r="DD28" i="1" s="1"/>
  <c r="CD27" i="1"/>
  <c r="CC27" i="1"/>
  <c r="CA27" i="1"/>
  <c r="CD26" i="1"/>
  <c r="CC26" i="1"/>
  <c r="CA26" i="1"/>
  <c r="DK26" i="1" s="1"/>
  <c r="DD26" i="1" s="1"/>
  <c r="CD25" i="1"/>
  <c r="CC25" i="1"/>
  <c r="CA25" i="1"/>
  <c r="DK25" i="1" s="1"/>
  <c r="DD25" i="1" s="1"/>
  <c r="CD24" i="1"/>
  <c r="CC24" i="1"/>
  <c r="CA24" i="1"/>
  <c r="DK24" i="1" s="1"/>
  <c r="DD24" i="1" s="1"/>
  <c r="CD23" i="1"/>
  <c r="CC23" i="1"/>
  <c r="CA23" i="1"/>
  <c r="DK23" i="1" s="1"/>
  <c r="DD23" i="1" s="1"/>
  <c r="CD22" i="1"/>
  <c r="CC22" i="1"/>
  <c r="CA22" i="1"/>
  <c r="DK22" i="1" s="1"/>
  <c r="DD22" i="1" s="1"/>
  <c r="CD21" i="1"/>
  <c r="CC21" i="1"/>
  <c r="CA21" i="1"/>
  <c r="DK21" i="1" s="1"/>
  <c r="DD21" i="1" s="1"/>
  <c r="CD20" i="1"/>
  <c r="CC20" i="1"/>
  <c r="DM20" i="1" s="1"/>
  <c r="DG20" i="1" s="1"/>
  <c r="DI20" i="1" s="1"/>
  <c r="CA20" i="1"/>
  <c r="CD19" i="1"/>
  <c r="CC19" i="1"/>
  <c r="CA19" i="1"/>
  <c r="DK19" i="1" s="1"/>
  <c r="CD18" i="1"/>
  <c r="CC18" i="1"/>
  <c r="CA18" i="1"/>
  <c r="DK18" i="1" s="1"/>
  <c r="DD18" i="1" s="1"/>
  <c r="CD17" i="1"/>
  <c r="CC17" i="1"/>
  <c r="CA17" i="1"/>
  <c r="DK17" i="1" s="1"/>
  <c r="DD17" i="1" s="1"/>
  <c r="CD16" i="1"/>
  <c r="CC16" i="1"/>
  <c r="DM16" i="1" s="1"/>
  <c r="DG16" i="1" s="1"/>
  <c r="DI16" i="1" s="1"/>
  <c r="CA16" i="1"/>
  <c r="CD15" i="1"/>
  <c r="CC15" i="1"/>
  <c r="CA15" i="1"/>
  <c r="DK15" i="1" s="1"/>
  <c r="DD15" i="1" s="1"/>
  <c r="CD14" i="1"/>
  <c r="CC14" i="1"/>
  <c r="CA14" i="1"/>
  <c r="DK14" i="1" s="1"/>
  <c r="DD14" i="1" s="1"/>
  <c r="CD13" i="1"/>
  <c r="CC13" i="1"/>
  <c r="DM13" i="1" s="1"/>
  <c r="DG13" i="1" s="1"/>
  <c r="DI13" i="1" s="1"/>
  <c r="CA13" i="1"/>
  <c r="DK13" i="1" s="1"/>
  <c r="DD13" i="1" s="1"/>
  <c r="CD12" i="1"/>
  <c r="CB12" i="1" s="1"/>
  <c r="CC12" i="1"/>
  <c r="CA12" i="1"/>
  <c r="CD11" i="1"/>
  <c r="CC11" i="1"/>
  <c r="CA11" i="1"/>
  <c r="CD10" i="1"/>
  <c r="CC10" i="1"/>
  <c r="CA10" i="1"/>
  <c r="CD9" i="1"/>
  <c r="CC9" i="1"/>
  <c r="CA9" i="1"/>
  <c r="CD8" i="1"/>
  <c r="CC8" i="1"/>
  <c r="CA8" i="1"/>
  <c r="DK8" i="1" s="1"/>
  <c r="DD8" i="1" s="1"/>
  <c r="CD7" i="1"/>
  <c r="CC7" i="1"/>
  <c r="CA7" i="1"/>
  <c r="DK7" i="1" s="1"/>
  <c r="DD7" i="1" s="1"/>
  <c r="CD6" i="1"/>
  <c r="CC6" i="1"/>
  <c r="CA6" i="1"/>
  <c r="CD5" i="1"/>
  <c r="CC5" i="1"/>
  <c r="CA5" i="1"/>
  <c r="DK5" i="1" s="1"/>
  <c r="DD5" i="1" s="1"/>
  <c r="DE5" i="1" s="1"/>
  <c r="CD4" i="1"/>
  <c r="CB4" i="1" s="1"/>
  <c r="CC4" i="1"/>
  <c r="CA4" i="1"/>
  <c r="CD3" i="1"/>
  <c r="CC3" i="1"/>
  <c r="CA3" i="1"/>
  <c r="CO197" i="1"/>
  <c r="CN195" i="1"/>
  <c r="DK195" i="1" s="1"/>
  <c r="CO191" i="1"/>
  <c r="CO189" i="1"/>
  <c r="CO186" i="1"/>
  <c r="CO184" i="1"/>
  <c r="CO158" i="1"/>
  <c r="CO144" i="1"/>
  <c r="CO136" i="1"/>
  <c r="CO135" i="1"/>
  <c r="CO134" i="1"/>
  <c r="CO95" i="1"/>
  <c r="CO85" i="1"/>
  <c r="CO83" i="1"/>
  <c r="CO79" i="1"/>
  <c r="CN78" i="1"/>
  <c r="CO77" i="1"/>
  <c r="CO66" i="1"/>
  <c r="CO61" i="1"/>
  <c r="CO55" i="1"/>
  <c r="CO48" i="1"/>
  <c r="CN34" i="1"/>
  <c r="DK34" i="1" s="1"/>
  <c r="CN20" i="1"/>
  <c r="CN16" i="1"/>
  <c r="CO12" i="1"/>
  <c r="CO11" i="1"/>
  <c r="CO10" i="1"/>
  <c r="CH57" i="1"/>
  <c r="CI57" i="1"/>
  <c r="CB76" i="1" l="1"/>
  <c r="CB144" i="1"/>
  <c r="CB160" i="1"/>
  <c r="DR57" i="1"/>
  <c r="DV57" i="1"/>
  <c r="DQ57" i="1"/>
  <c r="DQ213" i="1" s="1"/>
  <c r="DU57" i="1"/>
  <c r="CB49" i="1"/>
  <c r="CB129" i="1"/>
  <c r="CB145" i="1"/>
  <c r="CB77" i="1"/>
  <c r="CB189" i="1"/>
  <c r="DE57" i="1"/>
  <c r="CA209" i="1"/>
  <c r="DK3" i="1"/>
  <c r="DE7" i="1"/>
  <c r="CB13" i="1"/>
  <c r="DN13" i="1"/>
  <c r="DE15" i="1"/>
  <c r="CB17" i="1"/>
  <c r="CB21" i="1"/>
  <c r="DE23" i="1"/>
  <c r="CB25" i="1"/>
  <c r="CB29" i="1"/>
  <c r="DE35" i="1"/>
  <c r="CB37" i="1"/>
  <c r="DE43" i="1"/>
  <c r="DE47" i="1"/>
  <c r="DE51" i="1"/>
  <c r="CB53" i="1"/>
  <c r="DE59" i="1"/>
  <c r="CB61" i="1"/>
  <c r="DN61" i="1"/>
  <c r="DE67" i="1"/>
  <c r="CB69" i="1"/>
  <c r="DE75" i="1"/>
  <c r="CB81" i="1"/>
  <c r="DE87" i="1"/>
  <c r="CB89" i="1"/>
  <c r="DE99" i="1"/>
  <c r="CB101" i="1"/>
  <c r="DE107" i="1"/>
  <c r="DE111" i="1"/>
  <c r="CB113" i="1"/>
  <c r="CB117" i="1"/>
  <c r="DN117" i="1"/>
  <c r="CB121" i="1"/>
  <c r="DE127" i="1"/>
  <c r="DD34" i="1"/>
  <c r="DL34" i="1"/>
  <c r="DD195" i="1"/>
  <c r="DL195" i="1"/>
  <c r="CD209" i="1"/>
  <c r="CB3" i="1"/>
  <c r="CC211" i="1"/>
  <c r="CB7" i="1"/>
  <c r="CB11" i="1"/>
  <c r="DE13" i="1"/>
  <c r="CB15" i="1"/>
  <c r="DE17" i="1"/>
  <c r="CB19" i="1"/>
  <c r="DE21" i="1"/>
  <c r="CB23" i="1"/>
  <c r="DE25" i="1"/>
  <c r="CB27" i="1"/>
  <c r="DE29" i="1"/>
  <c r="CB31" i="1"/>
  <c r="DE33" i="1"/>
  <c r="CB35" i="1"/>
  <c r="DE37" i="1"/>
  <c r="CB39" i="1"/>
  <c r="DN39" i="1"/>
  <c r="DE41" i="1"/>
  <c r="CB43" i="1"/>
  <c r="DE45" i="1"/>
  <c r="CB47" i="1"/>
  <c r="CB51" i="1"/>
  <c r="DE53" i="1"/>
  <c r="CB55" i="1"/>
  <c r="CB59" i="1"/>
  <c r="DE61" i="1"/>
  <c r="CB63" i="1"/>
  <c r="CB67" i="1"/>
  <c r="DE69" i="1"/>
  <c r="CB71" i="1"/>
  <c r="DE73" i="1"/>
  <c r="CB75" i="1"/>
  <c r="CB79" i="1"/>
  <c r="DE81" i="1"/>
  <c r="CB83" i="1"/>
  <c r="DE85" i="1"/>
  <c r="CB87" i="1"/>
  <c r="DE89" i="1"/>
  <c r="CB91" i="1"/>
  <c r="DE93" i="1"/>
  <c r="CB95" i="1"/>
  <c r="DE97" i="1"/>
  <c r="CB99" i="1"/>
  <c r="DE101" i="1"/>
  <c r="CB103" i="1"/>
  <c r="DE105" i="1"/>
  <c r="CB107" i="1"/>
  <c r="DE109" i="1"/>
  <c r="CB111" i="1"/>
  <c r="DE113" i="1"/>
  <c r="CB115" i="1"/>
  <c r="DE117" i="1"/>
  <c r="CB119" i="1"/>
  <c r="DE121" i="1"/>
  <c r="CB123" i="1"/>
  <c r="DE125" i="1"/>
  <c r="CB127" i="1"/>
  <c r="CB131" i="1"/>
  <c r="DE133" i="1"/>
  <c r="CB135" i="1"/>
  <c r="DE137" i="1"/>
  <c r="CB139" i="1"/>
  <c r="DE141" i="1"/>
  <c r="CB143" i="1"/>
  <c r="CB147" i="1"/>
  <c r="DE149" i="1"/>
  <c r="CB151" i="1"/>
  <c r="DE153" i="1"/>
  <c r="CB155" i="1"/>
  <c r="DN155" i="1"/>
  <c r="DE157" i="1"/>
  <c r="CB159" i="1"/>
  <c r="DE161" i="1"/>
  <c r="CB163" i="1"/>
  <c r="DE165" i="1"/>
  <c r="CB167" i="1"/>
  <c r="DE169" i="1"/>
  <c r="CB171" i="1"/>
  <c r="DE173" i="1"/>
  <c r="CB175" i="1"/>
  <c r="DE177" i="1"/>
  <c r="CB179" i="1"/>
  <c r="DE181" i="1"/>
  <c r="CB183" i="1"/>
  <c r="DE185" i="1"/>
  <c r="CB187" i="1"/>
  <c r="CB191" i="1"/>
  <c r="DN191" i="1"/>
  <c r="DE193" i="1"/>
  <c r="CB195" i="1"/>
  <c r="DE197" i="1"/>
  <c r="CB199" i="1"/>
  <c r="CD211" i="1"/>
  <c r="CB6" i="1"/>
  <c r="DE8" i="1"/>
  <c r="CB10" i="1"/>
  <c r="CB14" i="1"/>
  <c r="DK16" i="1"/>
  <c r="DD16" i="1" s="1"/>
  <c r="CB18" i="1"/>
  <c r="DK20" i="1"/>
  <c r="DD20" i="1" s="1"/>
  <c r="CB22" i="1"/>
  <c r="DE24" i="1"/>
  <c r="CB26" i="1"/>
  <c r="DE28" i="1"/>
  <c r="CB30" i="1"/>
  <c r="DE32" i="1"/>
  <c r="CB34" i="1"/>
  <c r="DE36" i="1"/>
  <c r="CB38" i="1"/>
  <c r="DE40" i="1"/>
  <c r="CB42" i="1"/>
  <c r="DE44" i="1"/>
  <c r="CB46" i="1"/>
  <c r="CB50" i="1"/>
  <c r="DE52" i="1"/>
  <c r="CB54" i="1"/>
  <c r="DE56" i="1"/>
  <c r="CB58" i="1"/>
  <c r="DE60" i="1"/>
  <c r="CB62" i="1"/>
  <c r="DE64" i="1"/>
  <c r="CB66" i="1"/>
  <c r="DE68" i="1"/>
  <c r="CB70" i="1"/>
  <c r="DE72" i="1"/>
  <c r="CB74" i="1"/>
  <c r="CB78" i="1"/>
  <c r="DN78" i="1"/>
  <c r="DE80" i="1"/>
  <c r="CB82" i="1"/>
  <c r="DE84" i="1"/>
  <c r="CB86" i="1"/>
  <c r="DE88" i="1"/>
  <c r="CB90" i="1"/>
  <c r="DE92" i="1"/>
  <c r="CB94" i="1"/>
  <c r="DE96" i="1"/>
  <c r="CB98" i="1"/>
  <c r="DE100" i="1"/>
  <c r="CB102" i="1"/>
  <c r="CB106" i="1"/>
  <c r="DE108" i="1"/>
  <c r="CB110" i="1"/>
  <c r="DE112" i="1"/>
  <c r="CB114" i="1"/>
  <c r="DE116" i="1"/>
  <c r="CB118" i="1"/>
  <c r="DE120" i="1"/>
  <c r="CB122" i="1"/>
  <c r="DE124" i="1"/>
  <c r="CB126" i="1"/>
  <c r="DN126" i="1"/>
  <c r="DH126" i="1" s="1"/>
  <c r="DJ126" i="1" s="1"/>
  <c r="DE128" i="1"/>
  <c r="CB130" i="1"/>
  <c r="DE132" i="1"/>
  <c r="CB134" i="1"/>
  <c r="DE136" i="1"/>
  <c r="CB138" i="1"/>
  <c r="DE140" i="1"/>
  <c r="CB142" i="1"/>
  <c r="DN142" i="1"/>
  <c r="DE148" i="1"/>
  <c r="CB150" i="1"/>
  <c r="DE152" i="1"/>
  <c r="CB154" i="1"/>
  <c r="DE156" i="1"/>
  <c r="CB158" i="1"/>
  <c r="CB162" i="1"/>
  <c r="DE164" i="1"/>
  <c r="CB166" i="1"/>
  <c r="DE168" i="1"/>
  <c r="CB170" i="1"/>
  <c r="DE172" i="1"/>
  <c r="CB174" i="1"/>
  <c r="DE176" i="1"/>
  <c r="CB178" i="1"/>
  <c r="DE180" i="1"/>
  <c r="CB182" i="1"/>
  <c r="DE184" i="1"/>
  <c r="CB186" i="1"/>
  <c r="DE188" i="1"/>
  <c r="CB190" i="1"/>
  <c r="DE192" i="1"/>
  <c r="CB194" i="1"/>
  <c r="DE196" i="1"/>
  <c r="CB198" i="1"/>
  <c r="DE200" i="1"/>
  <c r="DE179" i="1"/>
  <c r="CB5" i="1"/>
  <c r="DD19" i="1"/>
  <c r="DE31" i="1"/>
  <c r="CB33" i="1"/>
  <c r="DE39" i="1"/>
  <c r="CB41" i="1"/>
  <c r="CB45" i="1"/>
  <c r="CB57" i="1"/>
  <c r="DE63" i="1"/>
  <c r="DE71" i="1"/>
  <c r="CB73" i="1"/>
  <c r="CB85" i="1"/>
  <c r="DE91" i="1"/>
  <c r="CB93" i="1"/>
  <c r="CB97" i="1"/>
  <c r="DE103" i="1"/>
  <c r="CB105" i="1"/>
  <c r="CB109" i="1"/>
  <c r="DE115" i="1"/>
  <c r="DE123" i="1"/>
  <c r="CB125" i="1"/>
  <c r="DE131" i="1"/>
  <c r="CB133" i="1"/>
  <c r="CB137" i="1"/>
  <c r="DE139" i="1"/>
  <c r="CB141" i="1"/>
  <c r="DE143" i="1"/>
  <c r="DE147" i="1"/>
  <c r="CB149" i="1"/>
  <c r="DE151" i="1"/>
  <c r="CB153" i="1"/>
  <c r="DE155" i="1"/>
  <c r="CB157" i="1"/>
  <c r="DE159" i="1"/>
  <c r="CB161" i="1"/>
  <c r="DE163" i="1"/>
  <c r="CB165" i="1"/>
  <c r="DE167" i="1"/>
  <c r="CB169" i="1"/>
  <c r="DE171" i="1"/>
  <c r="CB173" i="1"/>
  <c r="DE175" i="1"/>
  <c r="CB177" i="1"/>
  <c r="CB181" i="1"/>
  <c r="DE183" i="1"/>
  <c r="CB185" i="1"/>
  <c r="DE187" i="1"/>
  <c r="DE191" i="1"/>
  <c r="CB193" i="1"/>
  <c r="CB197" i="1"/>
  <c r="DN197" i="1"/>
  <c r="DE199" i="1"/>
  <c r="CC209" i="1"/>
  <c r="CQ4" i="1"/>
  <c r="DN4" i="1" s="1"/>
  <c r="DL4" i="1" s="1"/>
  <c r="CP4" i="1"/>
  <c r="DM4" i="1" s="1"/>
  <c r="CA211" i="1"/>
  <c r="DW215" i="1" s="1"/>
  <c r="CB8" i="1"/>
  <c r="DE14" i="1"/>
  <c r="CB16" i="1"/>
  <c r="DN16" i="1"/>
  <c r="DE18" i="1"/>
  <c r="CB20" i="1"/>
  <c r="DN20" i="1"/>
  <c r="DE22" i="1"/>
  <c r="CB24" i="1"/>
  <c r="DE26" i="1"/>
  <c r="CB28" i="1"/>
  <c r="DE30" i="1"/>
  <c r="CB32" i="1"/>
  <c r="CB36" i="1"/>
  <c r="CB40" i="1"/>
  <c r="DE42" i="1"/>
  <c r="CB44" i="1"/>
  <c r="DE46" i="1"/>
  <c r="DE50" i="1"/>
  <c r="CB52" i="1"/>
  <c r="DE54" i="1"/>
  <c r="CB56" i="1"/>
  <c r="DE58" i="1"/>
  <c r="CB60" i="1"/>
  <c r="DE62" i="1"/>
  <c r="CB64" i="1"/>
  <c r="CB68" i="1"/>
  <c r="CB72" i="1"/>
  <c r="DE74" i="1"/>
  <c r="DK78" i="1"/>
  <c r="DD78" i="1" s="1"/>
  <c r="CB80" i="1"/>
  <c r="DE82" i="1"/>
  <c r="CB84" i="1"/>
  <c r="DE86" i="1"/>
  <c r="CB88" i="1"/>
  <c r="DE90" i="1"/>
  <c r="CB92" i="1"/>
  <c r="DE94" i="1"/>
  <c r="CB96" i="1"/>
  <c r="DN96" i="1"/>
  <c r="DE98" i="1"/>
  <c r="CB100" i="1"/>
  <c r="DE102" i="1"/>
  <c r="CB108" i="1"/>
  <c r="DE110" i="1"/>
  <c r="CB112" i="1"/>
  <c r="DE114" i="1"/>
  <c r="CB116" i="1"/>
  <c r="DE118" i="1"/>
  <c r="CB120" i="1"/>
  <c r="DE122" i="1"/>
  <c r="CB124" i="1"/>
  <c r="DD126" i="1"/>
  <c r="CB128" i="1"/>
  <c r="CB132" i="1"/>
  <c r="DE134" i="1"/>
  <c r="CB136" i="1"/>
  <c r="DN136" i="1"/>
  <c r="DE138" i="1"/>
  <c r="CB140" i="1"/>
  <c r="DE142" i="1"/>
  <c r="CB148" i="1"/>
  <c r="DN148" i="1"/>
  <c r="DE150" i="1"/>
  <c r="CB152" i="1"/>
  <c r="DE154" i="1"/>
  <c r="CB156" i="1"/>
  <c r="DE158" i="1"/>
  <c r="DE162" i="1"/>
  <c r="CB164" i="1"/>
  <c r="DE166" i="1"/>
  <c r="CB168" i="1"/>
  <c r="DE170" i="1"/>
  <c r="CB172" i="1"/>
  <c r="DE174" i="1"/>
  <c r="CB176" i="1"/>
  <c r="DE178" i="1"/>
  <c r="CB180" i="1"/>
  <c r="DE182" i="1"/>
  <c r="CB184" i="1"/>
  <c r="DN184" i="1"/>
  <c r="DE186" i="1"/>
  <c r="CB188" i="1"/>
  <c r="DE190" i="1"/>
  <c r="CB192" i="1"/>
  <c r="DE194" i="1"/>
  <c r="CB196" i="1"/>
  <c r="DE198" i="1"/>
  <c r="CB200" i="1"/>
  <c r="CD210" i="1"/>
  <c r="CC210" i="1"/>
  <c r="CB146" i="1"/>
  <c r="DK146" i="1"/>
  <c r="DD146" i="1" s="1"/>
  <c r="CB104" i="1"/>
  <c r="DK104" i="1"/>
  <c r="DD104" i="1" s="1"/>
  <c r="CB65" i="1"/>
  <c r="DK65" i="1"/>
  <c r="CB9" i="1"/>
  <c r="DK9" i="1"/>
  <c r="CA210" i="1"/>
  <c r="DW214" i="1" s="1"/>
  <c r="CO17" i="1"/>
  <c r="CO78" i="1"/>
  <c r="CO20" i="1"/>
  <c r="CO34" i="1"/>
  <c r="CO195" i="1"/>
  <c r="CO16" i="1"/>
  <c r="CN203" i="1"/>
  <c r="CC203" i="1"/>
  <c r="CO6" i="1"/>
  <c r="CA203" i="1"/>
  <c r="CD203" i="1"/>
  <c r="DV203" i="1"/>
  <c r="DU203" i="1"/>
  <c r="DQ203" i="1"/>
  <c r="DO203" i="1"/>
  <c r="DR213" i="1" l="1"/>
  <c r="DP57" i="1"/>
  <c r="DW57" i="1"/>
  <c r="DU213" i="1"/>
  <c r="DQ217" i="1"/>
  <c r="DQ211" i="1"/>
  <c r="DR203" i="1"/>
  <c r="DO205" i="1" s="1"/>
  <c r="CD213" i="1"/>
  <c r="DX57" i="1"/>
  <c r="DT57" i="1"/>
  <c r="DV213" i="1"/>
  <c r="DS205" i="1"/>
  <c r="DL126" i="1"/>
  <c r="CA213" i="1"/>
  <c r="DH191" i="1"/>
  <c r="DL191" i="1"/>
  <c r="CQ135" i="1"/>
  <c r="DN135" i="1" s="1"/>
  <c r="CP135" i="1"/>
  <c r="DM135" i="1" s="1"/>
  <c r="DG135" i="1" s="1"/>
  <c r="DI135" i="1" s="1"/>
  <c r="DH136" i="1"/>
  <c r="DL136" i="1"/>
  <c r="DK215" i="1"/>
  <c r="DE20" i="1"/>
  <c r="DE16" i="1"/>
  <c r="DL39" i="1"/>
  <c r="DH39" i="1"/>
  <c r="DL117" i="1"/>
  <c r="DH117" i="1"/>
  <c r="DK213" i="1"/>
  <c r="DD3" i="1"/>
  <c r="DH148" i="1"/>
  <c r="DL148" i="1"/>
  <c r="DE19" i="1"/>
  <c r="DD215" i="1"/>
  <c r="DH142" i="1"/>
  <c r="DL142" i="1"/>
  <c r="DH155" i="1"/>
  <c r="DL155" i="1"/>
  <c r="DF34" i="1"/>
  <c r="DE34" i="1"/>
  <c r="DH61" i="1"/>
  <c r="DL61" i="1"/>
  <c r="DF126" i="1"/>
  <c r="DE126" i="1"/>
  <c r="DH96" i="1"/>
  <c r="DL96" i="1"/>
  <c r="DE78" i="1"/>
  <c r="DH20" i="1"/>
  <c r="DJ20" i="1" s="1"/>
  <c r="DL20" i="1"/>
  <c r="DL197" i="1"/>
  <c r="DH197" i="1"/>
  <c r="CP70" i="1"/>
  <c r="DM70" i="1" s="1"/>
  <c r="DG70" i="1" s="1"/>
  <c r="DI70" i="1" s="1"/>
  <c r="CQ70" i="1"/>
  <c r="DN70" i="1" s="1"/>
  <c r="CC213" i="1"/>
  <c r="DH184" i="1"/>
  <c r="DL184" i="1"/>
  <c r="DL16" i="1"/>
  <c r="DH16" i="1"/>
  <c r="DJ16" i="1" s="1"/>
  <c r="DL78" i="1"/>
  <c r="DH78" i="1"/>
  <c r="DJ78" i="1" s="1"/>
  <c r="DE195" i="1"/>
  <c r="DF195" i="1"/>
  <c r="DH13" i="1"/>
  <c r="DL13" i="1"/>
  <c r="DE146" i="1"/>
  <c r="DE104" i="1"/>
  <c r="DD65" i="1"/>
  <c r="DK214" i="1"/>
  <c r="DD9" i="1"/>
  <c r="DK203" i="1"/>
  <c r="DS203" i="1"/>
  <c r="CZ205" i="1"/>
  <c r="CZ204" i="1"/>
  <c r="DW213" i="1" l="1"/>
  <c r="DW211" i="1" s="1"/>
  <c r="DU211" i="1"/>
  <c r="DU217" i="1"/>
  <c r="DX213" i="1"/>
  <c r="DX211" i="1" s="1"/>
  <c r="DV217" i="1"/>
  <c r="DV211" i="1"/>
  <c r="DR217" i="1"/>
  <c r="DR211" i="1"/>
  <c r="DF78" i="1"/>
  <c r="DJ13" i="1"/>
  <c r="DF13" i="1"/>
  <c r="DJ184" i="1"/>
  <c r="DF184" i="1"/>
  <c r="DJ197" i="1"/>
  <c r="DF197" i="1"/>
  <c r="DJ142" i="1"/>
  <c r="DF142" i="1"/>
  <c r="DJ117" i="1"/>
  <c r="DF117" i="1"/>
  <c r="DF16" i="1"/>
  <c r="DH135" i="1"/>
  <c r="DL135" i="1"/>
  <c r="DL70" i="1"/>
  <c r="DH70" i="1"/>
  <c r="DJ148" i="1"/>
  <c r="DF148" i="1"/>
  <c r="DJ96" i="1"/>
  <c r="DF96" i="1"/>
  <c r="DJ61" i="1"/>
  <c r="DF61" i="1"/>
  <c r="DJ155" i="1"/>
  <c r="DF155" i="1"/>
  <c r="DE3" i="1"/>
  <c r="DD213" i="1"/>
  <c r="DJ39" i="1"/>
  <c r="DF39" i="1"/>
  <c r="DF20" i="1"/>
  <c r="DJ136" i="1"/>
  <c r="DF136" i="1"/>
  <c r="DJ191" i="1"/>
  <c r="DF191" i="1"/>
  <c r="DE65" i="1"/>
  <c r="DD214" i="1"/>
  <c r="DE9" i="1"/>
  <c r="DK211" i="1"/>
  <c r="DK217" i="1"/>
  <c r="DD203" i="1"/>
  <c r="CZ209" i="1"/>
  <c r="DJ135" i="1" l="1"/>
  <c r="DF135" i="1"/>
  <c r="DJ70" i="1"/>
  <c r="DF70" i="1"/>
  <c r="DD211" i="1"/>
  <c r="DD217" i="1"/>
  <c r="BL200" i="1" l="1"/>
  <c r="BL199" i="1"/>
  <c r="BL198" i="1"/>
  <c r="BL197" i="1"/>
  <c r="BL196" i="1"/>
  <c r="BL195" i="1"/>
  <c r="BL194" i="1"/>
  <c r="BL193" i="1"/>
  <c r="BL192" i="1"/>
  <c r="BL191" i="1"/>
  <c r="BL190" i="1"/>
  <c r="BL189" i="1"/>
  <c r="BL188" i="1"/>
  <c r="BL187" i="1"/>
  <c r="BL186" i="1"/>
  <c r="BL185" i="1"/>
  <c r="BL184" i="1"/>
  <c r="BL183" i="1"/>
  <c r="BL182" i="1"/>
  <c r="BL181" i="1"/>
  <c r="BL180" i="1"/>
  <c r="BL179" i="1"/>
  <c r="BL178" i="1"/>
  <c r="BL177" i="1"/>
  <c r="BL176" i="1"/>
  <c r="BL175" i="1"/>
  <c r="BL174" i="1"/>
  <c r="BL173" i="1"/>
  <c r="BL172" i="1"/>
  <c r="BL171" i="1"/>
  <c r="BL170" i="1"/>
  <c r="BL169" i="1"/>
  <c r="BL168" i="1"/>
  <c r="BL167" i="1"/>
  <c r="BL166" i="1"/>
  <c r="BL165" i="1"/>
  <c r="BL164" i="1"/>
  <c r="BL163" i="1"/>
  <c r="BL162" i="1"/>
  <c r="BL161" i="1"/>
  <c r="BL160" i="1"/>
  <c r="BL159" i="1"/>
  <c r="BL158" i="1"/>
  <c r="BL157" i="1"/>
  <c r="BL156" i="1"/>
  <c r="BL155" i="1"/>
  <c r="BL154" i="1"/>
  <c r="BL153" i="1"/>
  <c r="BL152" i="1"/>
  <c r="BL151" i="1"/>
  <c r="BL150" i="1"/>
  <c r="BL149" i="1"/>
  <c r="BL148" i="1"/>
  <c r="BL147" i="1"/>
  <c r="BL146" i="1"/>
  <c r="BL145" i="1"/>
  <c r="BL144" i="1"/>
  <c r="BL143" i="1"/>
  <c r="BL142" i="1"/>
  <c r="BL141" i="1"/>
  <c r="BL140" i="1"/>
  <c r="BL139" i="1"/>
  <c r="BL138" i="1"/>
  <c r="BL137" i="1"/>
  <c r="BL136" i="1"/>
  <c r="BL135" i="1"/>
  <c r="BL134" i="1"/>
  <c r="BL133" i="1"/>
  <c r="BL132" i="1"/>
  <c r="BL131" i="1"/>
  <c r="BL130" i="1"/>
  <c r="BL129" i="1"/>
  <c r="BL128" i="1"/>
  <c r="BL127" i="1"/>
  <c r="BL126" i="1"/>
  <c r="BL125" i="1"/>
  <c r="BL124" i="1"/>
  <c r="BL123" i="1"/>
  <c r="BL122" i="1"/>
  <c r="BL121" i="1"/>
  <c r="BL120" i="1"/>
  <c r="BL119" i="1"/>
  <c r="BL118" i="1"/>
  <c r="BL117" i="1"/>
  <c r="BL116" i="1"/>
  <c r="BL115" i="1"/>
  <c r="BL114" i="1"/>
  <c r="BL113" i="1"/>
  <c r="BL112" i="1"/>
  <c r="BL111" i="1"/>
  <c r="BL110" i="1"/>
  <c r="BL109" i="1"/>
  <c r="BL108" i="1"/>
  <c r="BL107" i="1"/>
  <c r="BL106" i="1"/>
  <c r="BL105" i="1"/>
  <c r="BL104" i="1"/>
  <c r="BL103" i="1"/>
  <c r="BL102" i="1"/>
  <c r="BL101" i="1"/>
  <c r="BL100" i="1"/>
  <c r="BL99" i="1"/>
  <c r="BL98" i="1"/>
  <c r="BL97" i="1"/>
  <c r="BL96" i="1"/>
  <c r="BL95" i="1"/>
  <c r="BL94" i="1"/>
  <c r="BL93" i="1"/>
  <c r="BL92" i="1"/>
  <c r="BL91" i="1"/>
  <c r="BL90" i="1"/>
  <c r="BL89" i="1"/>
  <c r="BL88" i="1"/>
  <c r="BL87" i="1"/>
  <c r="BL86" i="1"/>
  <c r="BL85" i="1"/>
  <c r="BL84" i="1"/>
  <c r="BL83" i="1"/>
  <c r="BL82" i="1"/>
  <c r="BL81" i="1"/>
  <c r="BL80" i="1"/>
  <c r="BL79" i="1"/>
  <c r="BL78" i="1"/>
  <c r="BL77" i="1"/>
  <c r="BL76" i="1"/>
  <c r="BL75" i="1"/>
  <c r="BL74" i="1"/>
  <c r="BL73" i="1"/>
  <c r="BL72" i="1"/>
  <c r="BL71" i="1"/>
  <c r="BL70" i="1"/>
  <c r="BL69" i="1"/>
  <c r="BL68" i="1"/>
  <c r="BL67" i="1"/>
  <c r="BL66" i="1"/>
  <c r="BL65" i="1"/>
  <c r="BL64" i="1"/>
  <c r="BL63" i="1"/>
  <c r="BL62" i="1"/>
  <c r="BL61" i="1"/>
  <c r="BL60" i="1"/>
  <c r="BL59" i="1"/>
  <c r="BL58" i="1"/>
  <c r="BL57" i="1"/>
  <c r="BL56" i="1"/>
  <c r="BL55" i="1"/>
  <c r="BL54" i="1"/>
  <c r="BL53" i="1"/>
  <c r="BL52" i="1"/>
  <c r="BL51" i="1"/>
  <c r="BL50" i="1"/>
  <c r="BL49" i="1"/>
  <c r="BL48" i="1"/>
  <c r="BL47" i="1"/>
  <c r="BL46" i="1"/>
  <c r="BL45" i="1"/>
  <c r="BL44" i="1"/>
  <c r="BL43" i="1"/>
  <c r="BL42" i="1"/>
  <c r="BL41" i="1"/>
  <c r="BL40" i="1"/>
  <c r="BL39" i="1"/>
  <c r="BL38" i="1"/>
  <c r="BL37" i="1"/>
  <c r="BL36" i="1"/>
  <c r="BL35" i="1"/>
  <c r="BL34" i="1"/>
  <c r="BL33" i="1"/>
  <c r="BL32" i="1"/>
  <c r="BL31" i="1"/>
  <c r="BL30" i="1"/>
  <c r="BL29" i="1"/>
  <c r="BL28" i="1"/>
  <c r="BL27" i="1"/>
  <c r="BL26" i="1"/>
  <c r="BL25" i="1"/>
  <c r="BL24" i="1"/>
  <c r="BL23" i="1"/>
  <c r="BL22" i="1"/>
  <c r="BL21" i="1"/>
  <c r="BL20" i="1"/>
  <c r="BL19" i="1"/>
  <c r="BL18" i="1"/>
  <c r="BL17" i="1"/>
  <c r="BL16" i="1"/>
  <c r="BL15" i="1"/>
  <c r="BL14" i="1"/>
  <c r="BL13" i="1"/>
  <c r="BL12" i="1"/>
  <c r="BL11" i="1"/>
  <c r="BL10" i="1"/>
  <c r="BL9" i="1"/>
  <c r="BL8" i="1"/>
  <c r="BL7" i="1"/>
  <c r="BL6" i="1"/>
  <c r="BL5" i="1"/>
  <c r="BL4" i="1"/>
  <c r="BL3" i="1"/>
  <c r="CP3" i="1" l="1"/>
  <c r="CQ3" i="1"/>
  <c r="CQ7" i="1"/>
  <c r="DN7" i="1" s="1"/>
  <c r="CP7" i="1"/>
  <c r="DM7" i="1" s="1"/>
  <c r="DG7" i="1" s="1"/>
  <c r="DI7" i="1" s="1"/>
  <c r="CQ15" i="1"/>
  <c r="DN15" i="1" s="1"/>
  <c r="CP15" i="1"/>
  <c r="DM15" i="1" s="1"/>
  <c r="DG15" i="1" s="1"/>
  <c r="DI15" i="1" s="1"/>
  <c r="CQ19" i="1"/>
  <c r="DN19" i="1" s="1"/>
  <c r="CP19" i="1"/>
  <c r="DM19" i="1" s="1"/>
  <c r="CQ23" i="1"/>
  <c r="DN23" i="1" s="1"/>
  <c r="CP23" i="1"/>
  <c r="DM23" i="1" s="1"/>
  <c r="DG23" i="1" s="1"/>
  <c r="DI23" i="1" s="1"/>
  <c r="CQ31" i="1"/>
  <c r="DN31" i="1" s="1"/>
  <c r="CP31" i="1"/>
  <c r="DM31" i="1" s="1"/>
  <c r="DG31" i="1" s="1"/>
  <c r="DI31" i="1" s="1"/>
  <c r="CQ35" i="1"/>
  <c r="DN35" i="1" s="1"/>
  <c r="CP35" i="1"/>
  <c r="DM35" i="1" s="1"/>
  <c r="DG35" i="1" s="1"/>
  <c r="DI35" i="1" s="1"/>
  <c r="CQ47" i="1"/>
  <c r="DN47" i="1" s="1"/>
  <c r="CP47" i="1"/>
  <c r="DM47" i="1" s="1"/>
  <c r="DG47" i="1" s="1"/>
  <c r="DI47" i="1" s="1"/>
  <c r="CQ51" i="1"/>
  <c r="DN51" i="1" s="1"/>
  <c r="CP51" i="1"/>
  <c r="DM51" i="1" s="1"/>
  <c r="DG51" i="1" s="1"/>
  <c r="DI51" i="1" s="1"/>
  <c r="CQ59" i="1"/>
  <c r="DN59" i="1" s="1"/>
  <c r="CP59" i="1"/>
  <c r="DM59" i="1" s="1"/>
  <c r="DG59" i="1" s="1"/>
  <c r="DI59" i="1" s="1"/>
  <c r="CQ67" i="1"/>
  <c r="DN67" i="1" s="1"/>
  <c r="CP67" i="1"/>
  <c r="DM67" i="1" s="1"/>
  <c r="DG67" i="1" s="1"/>
  <c r="DI67" i="1" s="1"/>
  <c r="CQ71" i="1"/>
  <c r="DN71" i="1" s="1"/>
  <c r="CP71" i="1"/>
  <c r="DM71" i="1" s="1"/>
  <c r="DG71" i="1" s="1"/>
  <c r="DI71" i="1" s="1"/>
  <c r="CQ87" i="1"/>
  <c r="DN87" i="1" s="1"/>
  <c r="CP87" i="1"/>
  <c r="DM87" i="1" s="1"/>
  <c r="DG87" i="1" s="1"/>
  <c r="DI87" i="1" s="1"/>
  <c r="CQ5" i="1"/>
  <c r="DN5" i="1" s="1"/>
  <c r="DL5" i="1" s="1"/>
  <c r="CP5" i="1"/>
  <c r="DM5" i="1" s="1"/>
  <c r="DG5" i="1" s="1"/>
  <c r="DI5" i="1" s="1"/>
  <c r="CQ9" i="1"/>
  <c r="CP9" i="1"/>
  <c r="CQ17" i="1"/>
  <c r="DN17" i="1" s="1"/>
  <c r="CP17" i="1"/>
  <c r="DM17" i="1" s="1"/>
  <c r="DG17" i="1" s="1"/>
  <c r="DI17" i="1" s="1"/>
  <c r="CQ21" i="1"/>
  <c r="DN21" i="1" s="1"/>
  <c r="CP21" i="1"/>
  <c r="DM21" i="1" s="1"/>
  <c r="DG21" i="1" s="1"/>
  <c r="DI21" i="1" s="1"/>
  <c r="CQ25" i="1"/>
  <c r="DN25" i="1" s="1"/>
  <c r="CP25" i="1"/>
  <c r="DM25" i="1" s="1"/>
  <c r="DG25" i="1" s="1"/>
  <c r="DI25" i="1" s="1"/>
  <c r="CQ29" i="1"/>
  <c r="DN29" i="1" s="1"/>
  <c r="CP29" i="1"/>
  <c r="DM29" i="1" s="1"/>
  <c r="DG29" i="1" s="1"/>
  <c r="DI29" i="1" s="1"/>
  <c r="CQ33" i="1"/>
  <c r="DN33" i="1" s="1"/>
  <c r="CP33" i="1"/>
  <c r="DM33" i="1" s="1"/>
  <c r="DG33" i="1" s="1"/>
  <c r="DI33" i="1" s="1"/>
  <c r="CQ37" i="1"/>
  <c r="DN37" i="1" s="1"/>
  <c r="CP37" i="1"/>
  <c r="DM37" i="1" s="1"/>
  <c r="DG37" i="1" s="1"/>
  <c r="DI37" i="1" s="1"/>
  <c r="CQ41" i="1"/>
  <c r="DN41" i="1" s="1"/>
  <c r="CP41" i="1"/>
  <c r="DM41" i="1" s="1"/>
  <c r="DG41" i="1" s="1"/>
  <c r="DI41" i="1" s="1"/>
  <c r="CQ45" i="1"/>
  <c r="DN45" i="1" s="1"/>
  <c r="CP45" i="1"/>
  <c r="DM45" i="1" s="1"/>
  <c r="DG45" i="1" s="1"/>
  <c r="DI45" i="1" s="1"/>
  <c r="CQ53" i="1"/>
  <c r="DN53" i="1" s="1"/>
  <c r="CP53" i="1"/>
  <c r="DM53" i="1" s="1"/>
  <c r="DG53" i="1" s="1"/>
  <c r="DI53" i="1" s="1"/>
  <c r="CQ57" i="1"/>
  <c r="DN57" i="1" s="1"/>
  <c r="CP57" i="1"/>
  <c r="DM57" i="1" s="1"/>
  <c r="DG57" i="1" s="1"/>
  <c r="DI57" i="1" s="1"/>
  <c r="CQ69" i="1"/>
  <c r="DN69" i="1" s="1"/>
  <c r="CP69" i="1"/>
  <c r="DM69" i="1" s="1"/>
  <c r="DG69" i="1" s="1"/>
  <c r="DI69" i="1" s="1"/>
  <c r="CQ73" i="1"/>
  <c r="DN73" i="1" s="1"/>
  <c r="CP73" i="1"/>
  <c r="DM73" i="1" s="1"/>
  <c r="DG73" i="1" s="1"/>
  <c r="DI73" i="1" s="1"/>
  <c r="CQ81" i="1"/>
  <c r="DN81" i="1" s="1"/>
  <c r="CP81" i="1"/>
  <c r="DM81" i="1" s="1"/>
  <c r="DG81" i="1" s="1"/>
  <c r="DI81" i="1" s="1"/>
  <c r="CQ85" i="1"/>
  <c r="DN85" i="1" s="1"/>
  <c r="CP85" i="1"/>
  <c r="DM85" i="1" s="1"/>
  <c r="DG85" i="1" s="1"/>
  <c r="DI85" i="1" s="1"/>
  <c r="CQ89" i="1"/>
  <c r="DN89" i="1" s="1"/>
  <c r="CP89" i="1"/>
  <c r="DM89" i="1" s="1"/>
  <c r="DG89" i="1" s="1"/>
  <c r="DI89" i="1" s="1"/>
  <c r="CQ93" i="1"/>
  <c r="DN93" i="1" s="1"/>
  <c r="CP93" i="1"/>
  <c r="DM93" i="1" s="1"/>
  <c r="DG93" i="1" s="1"/>
  <c r="DI93" i="1" s="1"/>
  <c r="CQ97" i="1"/>
  <c r="DN97" i="1" s="1"/>
  <c r="CP97" i="1"/>
  <c r="DM97" i="1" s="1"/>
  <c r="DG97" i="1" s="1"/>
  <c r="DI97" i="1" s="1"/>
  <c r="CQ101" i="1"/>
  <c r="DN101" i="1" s="1"/>
  <c r="CP101" i="1"/>
  <c r="DM101" i="1" s="1"/>
  <c r="DG101" i="1" s="1"/>
  <c r="DI101" i="1" s="1"/>
  <c r="CQ105" i="1"/>
  <c r="DN105" i="1" s="1"/>
  <c r="CP105" i="1"/>
  <c r="DM105" i="1" s="1"/>
  <c r="DG105" i="1" s="1"/>
  <c r="DI105" i="1" s="1"/>
  <c r="CQ109" i="1"/>
  <c r="DN109" i="1" s="1"/>
  <c r="CP109" i="1"/>
  <c r="DM109" i="1" s="1"/>
  <c r="DG109" i="1" s="1"/>
  <c r="DI109" i="1" s="1"/>
  <c r="CQ113" i="1"/>
  <c r="DN113" i="1" s="1"/>
  <c r="CP113" i="1"/>
  <c r="DM113" i="1" s="1"/>
  <c r="DG113" i="1" s="1"/>
  <c r="DI113" i="1" s="1"/>
  <c r="CQ121" i="1"/>
  <c r="DN121" i="1" s="1"/>
  <c r="CP121" i="1"/>
  <c r="DM121" i="1" s="1"/>
  <c r="DG121" i="1" s="1"/>
  <c r="DI121" i="1" s="1"/>
  <c r="CQ125" i="1"/>
  <c r="DN125" i="1" s="1"/>
  <c r="CP125" i="1"/>
  <c r="DM125" i="1" s="1"/>
  <c r="DG125" i="1" s="1"/>
  <c r="DI125" i="1" s="1"/>
  <c r="CQ133" i="1"/>
  <c r="DN133" i="1" s="1"/>
  <c r="CP133" i="1"/>
  <c r="DM133" i="1" s="1"/>
  <c r="DG133" i="1" s="1"/>
  <c r="DI133" i="1" s="1"/>
  <c r="CQ137" i="1"/>
  <c r="DN137" i="1" s="1"/>
  <c r="CP137" i="1"/>
  <c r="DM137" i="1" s="1"/>
  <c r="DG137" i="1" s="1"/>
  <c r="DI137" i="1" s="1"/>
  <c r="CP141" i="1"/>
  <c r="DM141" i="1" s="1"/>
  <c r="DG141" i="1" s="1"/>
  <c r="DI141" i="1" s="1"/>
  <c r="CQ141" i="1"/>
  <c r="DN141" i="1" s="1"/>
  <c r="CQ149" i="1"/>
  <c r="DN149" i="1" s="1"/>
  <c r="CP149" i="1"/>
  <c r="DM149" i="1" s="1"/>
  <c r="DG149" i="1" s="1"/>
  <c r="DI149" i="1" s="1"/>
  <c r="CQ153" i="1"/>
  <c r="DN153" i="1" s="1"/>
  <c r="CP153" i="1"/>
  <c r="DM153" i="1" s="1"/>
  <c r="DG153" i="1" s="1"/>
  <c r="DI153" i="1" s="1"/>
  <c r="CQ157" i="1"/>
  <c r="DN157" i="1" s="1"/>
  <c r="CP157" i="1"/>
  <c r="DM157" i="1" s="1"/>
  <c r="DG157" i="1" s="1"/>
  <c r="DI157" i="1" s="1"/>
  <c r="CQ161" i="1"/>
  <c r="DN161" i="1" s="1"/>
  <c r="CP161" i="1"/>
  <c r="DM161" i="1" s="1"/>
  <c r="DG161" i="1" s="1"/>
  <c r="DI161" i="1" s="1"/>
  <c r="CQ165" i="1"/>
  <c r="DN165" i="1" s="1"/>
  <c r="CP165" i="1"/>
  <c r="DM165" i="1" s="1"/>
  <c r="DG165" i="1" s="1"/>
  <c r="DI165" i="1" s="1"/>
  <c r="CQ169" i="1"/>
  <c r="DN169" i="1" s="1"/>
  <c r="CP169" i="1"/>
  <c r="DM169" i="1" s="1"/>
  <c r="DG169" i="1" s="1"/>
  <c r="DI169" i="1" s="1"/>
  <c r="CQ173" i="1"/>
  <c r="DN173" i="1" s="1"/>
  <c r="CP173" i="1"/>
  <c r="DM173" i="1" s="1"/>
  <c r="DG173" i="1" s="1"/>
  <c r="DI173" i="1" s="1"/>
  <c r="CQ177" i="1"/>
  <c r="DN177" i="1" s="1"/>
  <c r="CP177" i="1"/>
  <c r="DM177" i="1" s="1"/>
  <c r="DG177" i="1" s="1"/>
  <c r="DI177" i="1" s="1"/>
  <c r="CQ181" i="1"/>
  <c r="DN181" i="1" s="1"/>
  <c r="CP181" i="1"/>
  <c r="DM181" i="1" s="1"/>
  <c r="DG181" i="1" s="1"/>
  <c r="DI181" i="1" s="1"/>
  <c r="CQ185" i="1"/>
  <c r="DN185" i="1" s="1"/>
  <c r="CP185" i="1"/>
  <c r="DM185" i="1" s="1"/>
  <c r="DG185" i="1" s="1"/>
  <c r="DI185" i="1" s="1"/>
  <c r="CQ193" i="1"/>
  <c r="DN193" i="1" s="1"/>
  <c r="CP193" i="1"/>
  <c r="DM193" i="1" s="1"/>
  <c r="DG193" i="1" s="1"/>
  <c r="DI193" i="1" s="1"/>
  <c r="CQ10" i="1"/>
  <c r="DN10" i="1" s="1"/>
  <c r="CP10" i="1"/>
  <c r="DM10" i="1" s="1"/>
  <c r="DG10" i="1" s="1"/>
  <c r="DI10" i="1" s="1"/>
  <c r="CQ14" i="1"/>
  <c r="DN14" i="1" s="1"/>
  <c r="CP14" i="1"/>
  <c r="DM14" i="1" s="1"/>
  <c r="DG14" i="1" s="1"/>
  <c r="DI14" i="1" s="1"/>
  <c r="CQ18" i="1"/>
  <c r="DN18" i="1" s="1"/>
  <c r="CP18" i="1"/>
  <c r="DM18" i="1" s="1"/>
  <c r="DG18" i="1" s="1"/>
  <c r="DI18" i="1" s="1"/>
  <c r="CQ22" i="1"/>
  <c r="DN22" i="1" s="1"/>
  <c r="CP22" i="1"/>
  <c r="DM22" i="1" s="1"/>
  <c r="DG22" i="1" s="1"/>
  <c r="DI22" i="1" s="1"/>
  <c r="CQ26" i="1"/>
  <c r="DN26" i="1" s="1"/>
  <c r="CP26" i="1"/>
  <c r="DM26" i="1" s="1"/>
  <c r="DG26" i="1" s="1"/>
  <c r="DI26" i="1" s="1"/>
  <c r="CP30" i="1"/>
  <c r="DM30" i="1" s="1"/>
  <c r="DG30" i="1" s="1"/>
  <c r="DI30" i="1" s="1"/>
  <c r="CQ30" i="1"/>
  <c r="DN30" i="1" s="1"/>
  <c r="CQ38" i="1"/>
  <c r="DN38" i="1" s="1"/>
  <c r="CP38" i="1"/>
  <c r="DM38" i="1" s="1"/>
  <c r="DG38" i="1" s="1"/>
  <c r="DI38" i="1" s="1"/>
  <c r="CQ42" i="1"/>
  <c r="DN42" i="1" s="1"/>
  <c r="CP42" i="1"/>
  <c r="DM42" i="1" s="1"/>
  <c r="DG42" i="1" s="1"/>
  <c r="DI42" i="1" s="1"/>
  <c r="CQ46" i="1"/>
  <c r="DN46" i="1" s="1"/>
  <c r="CP46" i="1"/>
  <c r="DM46" i="1" s="1"/>
  <c r="DG46" i="1" s="1"/>
  <c r="DI46" i="1" s="1"/>
  <c r="CQ50" i="1"/>
  <c r="DN50" i="1" s="1"/>
  <c r="CP50" i="1"/>
  <c r="DM50" i="1" s="1"/>
  <c r="DG50" i="1" s="1"/>
  <c r="DI50" i="1" s="1"/>
  <c r="CQ54" i="1"/>
  <c r="DN54" i="1" s="1"/>
  <c r="CP54" i="1"/>
  <c r="DM54" i="1" s="1"/>
  <c r="DG54" i="1" s="1"/>
  <c r="DI54" i="1" s="1"/>
  <c r="CQ58" i="1"/>
  <c r="DN58" i="1" s="1"/>
  <c r="CP58" i="1"/>
  <c r="DM58" i="1" s="1"/>
  <c r="DG58" i="1" s="1"/>
  <c r="DI58" i="1" s="1"/>
  <c r="CQ62" i="1"/>
  <c r="DN62" i="1" s="1"/>
  <c r="CP62" i="1"/>
  <c r="DM62" i="1" s="1"/>
  <c r="DG62" i="1" s="1"/>
  <c r="DI62" i="1" s="1"/>
  <c r="CQ74" i="1"/>
  <c r="DN74" i="1" s="1"/>
  <c r="CP74" i="1"/>
  <c r="DM74" i="1" s="1"/>
  <c r="DG74" i="1" s="1"/>
  <c r="DI74" i="1" s="1"/>
  <c r="CQ82" i="1"/>
  <c r="DN82" i="1" s="1"/>
  <c r="CP82" i="1"/>
  <c r="DM82" i="1" s="1"/>
  <c r="DG82" i="1" s="1"/>
  <c r="DI82" i="1" s="1"/>
  <c r="CQ86" i="1"/>
  <c r="DN86" i="1" s="1"/>
  <c r="CP86" i="1"/>
  <c r="DM86" i="1" s="1"/>
  <c r="DG86" i="1" s="1"/>
  <c r="DI86" i="1" s="1"/>
  <c r="CQ90" i="1"/>
  <c r="DN90" i="1" s="1"/>
  <c r="CP90" i="1"/>
  <c r="DM90" i="1" s="1"/>
  <c r="DG90" i="1" s="1"/>
  <c r="DI90" i="1" s="1"/>
  <c r="CQ94" i="1"/>
  <c r="DN94" i="1" s="1"/>
  <c r="CP94" i="1"/>
  <c r="DM94" i="1" s="1"/>
  <c r="DG94" i="1" s="1"/>
  <c r="DI94" i="1" s="1"/>
  <c r="CQ98" i="1"/>
  <c r="DN98" i="1" s="1"/>
  <c r="CP98" i="1"/>
  <c r="DM98" i="1" s="1"/>
  <c r="DG98" i="1" s="1"/>
  <c r="DI98" i="1" s="1"/>
  <c r="CQ102" i="1"/>
  <c r="DN102" i="1" s="1"/>
  <c r="CP102" i="1"/>
  <c r="DM102" i="1" s="1"/>
  <c r="DG102" i="1" s="1"/>
  <c r="DI102" i="1" s="1"/>
  <c r="CQ110" i="1"/>
  <c r="DN110" i="1" s="1"/>
  <c r="CP110" i="1"/>
  <c r="DM110" i="1" s="1"/>
  <c r="DG110" i="1" s="1"/>
  <c r="DI110" i="1" s="1"/>
  <c r="CQ114" i="1"/>
  <c r="DN114" i="1" s="1"/>
  <c r="CP114" i="1"/>
  <c r="DM114" i="1" s="1"/>
  <c r="DG114" i="1" s="1"/>
  <c r="DI114" i="1" s="1"/>
  <c r="CQ118" i="1"/>
  <c r="DN118" i="1" s="1"/>
  <c r="CP118" i="1"/>
  <c r="DM118" i="1" s="1"/>
  <c r="DG118" i="1" s="1"/>
  <c r="DI118" i="1" s="1"/>
  <c r="CQ122" i="1"/>
  <c r="DN122" i="1" s="1"/>
  <c r="CP122" i="1"/>
  <c r="DM122" i="1" s="1"/>
  <c r="DG122" i="1" s="1"/>
  <c r="DI122" i="1" s="1"/>
  <c r="CQ134" i="1"/>
  <c r="DN134" i="1" s="1"/>
  <c r="CP134" i="1"/>
  <c r="DM134" i="1" s="1"/>
  <c r="DG134" i="1" s="1"/>
  <c r="DI134" i="1" s="1"/>
  <c r="CQ138" i="1"/>
  <c r="DN138" i="1" s="1"/>
  <c r="CP138" i="1"/>
  <c r="DM138" i="1" s="1"/>
  <c r="DG138" i="1" s="1"/>
  <c r="DI138" i="1" s="1"/>
  <c r="CQ150" i="1"/>
  <c r="DN150" i="1" s="1"/>
  <c r="CP150" i="1"/>
  <c r="DM150" i="1" s="1"/>
  <c r="DG150" i="1" s="1"/>
  <c r="DI150" i="1" s="1"/>
  <c r="CQ154" i="1"/>
  <c r="DN154" i="1" s="1"/>
  <c r="CP154" i="1"/>
  <c r="DM154" i="1" s="1"/>
  <c r="DG154" i="1" s="1"/>
  <c r="DI154" i="1" s="1"/>
  <c r="CQ158" i="1"/>
  <c r="DN158" i="1" s="1"/>
  <c r="CP158" i="1"/>
  <c r="DM158" i="1" s="1"/>
  <c r="DG158" i="1" s="1"/>
  <c r="DI158" i="1" s="1"/>
  <c r="CQ162" i="1"/>
  <c r="DN162" i="1" s="1"/>
  <c r="CP162" i="1"/>
  <c r="DM162" i="1" s="1"/>
  <c r="DG162" i="1" s="1"/>
  <c r="DI162" i="1" s="1"/>
  <c r="CQ166" i="1"/>
  <c r="DN166" i="1" s="1"/>
  <c r="CP166" i="1"/>
  <c r="DM166" i="1" s="1"/>
  <c r="DG166" i="1" s="1"/>
  <c r="DI166" i="1" s="1"/>
  <c r="CQ170" i="1"/>
  <c r="DN170" i="1" s="1"/>
  <c r="CP170" i="1"/>
  <c r="DM170" i="1" s="1"/>
  <c r="DG170" i="1" s="1"/>
  <c r="DI170" i="1" s="1"/>
  <c r="CQ174" i="1"/>
  <c r="DN174" i="1" s="1"/>
  <c r="CP174" i="1"/>
  <c r="DM174" i="1" s="1"/>
  <c r="DG174" i="1" s="1"/>
  <c r="DI174" i="1" s="1"/>
  <c r="CQ178" i="1"/>
  <c r="DN178" i="1" s="1"/>
  <c r="CP178" i="1"/>
  <c r="DM178" i="1" s="1"/>
  <c r="DG178" i="1" s="1"/>
  <c r="DI178" i="1" s="1"/>
  <c r="CQ182" i="1"/>
  <c r="DN182" i="1" s="1"/>
  <c r="CP182" i="1"/>
  <c r="DM182" i="1" s="1"/>
  <c r="DG182" i="1" s="1"/>
  <c r="DI182" i="1" s="1"/>
  <c r="CQ186" i="1"/>
  <c r="DN186" i="1" s="1"/>
  <c r="CP186" i="1"/>
  <c r="DM186" i="1" s="1"/>
  <c r="DG186" i="1" s="1"/>
  <c r="DI186" i="1" s="1"/>
  <c r="CQ190" i="1"/>
  <c r="DN190" i="1" s="1"/>
  <c r="CP190" i="1"/>
  <c r="DM190" i="1" s="1"/>
  <c r="DG190" i="1" s="1"/>
  <c r="DI190" i="1" s="1"/>
  <c r="CQ194" i="1"/>
  <c r="DN194" i="1" s="1"/>
  <c r="CP194" i="1"/>
  <c r="DM194" i="1" s="1"/>
  <c r="DG194" i="1" s="1"/>
  <c r="DI194" i="1" s="1"/>
  <c r="CQ198" i="1"/>
  <c r="DN198" i="1" s="1"/>
  <c r="CP198" i="1"/>
  <c r="DM198" i="1" s="1"/>
  <c r="DG198" i="1" s="1"/>
  <c r="DI198" i="1" s="1"/>
  <c r="CQ43" i="1"/>
  <c r="DN43" i="1" s="1"/>
  <c r="CP43" i="1"/>
  <c r="DM43" i="1" s="1"/>
  <c r="DG43" i="1" s="1"/>
  <c r="DI43" i="1" s="1"/>
  <c r="CQ63" i="1"/>
  <c r="DN63" i="1" s="1"/>
  <c r="CP63" i="1"/>
  <c r="DM63" i="1" s="1"/>
  <c r="DG63" i="1" s="1"/>
  <c r="DI63" i="1" s="1"/>
  <c r="CQ75" i="1"/>
  <c r="DN75" i="1" s="1"/>
  <c r="CP75" i="1"/>
  <c r="DM75" i="1" s="1"/>
  <c r="DG75" i="1" s="1"/>
  <c r="DI75" i="1" s="1"/>
  <c r="CP91" i="1"/>
  <c r="DM91" i="1" s="1"/>
  <c r="DG91" i="1" s="1"/>
  <c r="DI91" i="1" s="1"/>
  <c r="CQ91" i="1"/>
  <c r="DN91" i="1" s="1"/>
  <c r="CQ99" i="1"/>
  <c r="DN99" i="1" s="1"/>
  <c r="CP99" i="1"/>
  <c r="DM99" i="1" s="1"/>
  <c r="DG99" i="1" s="1"/>
  <c r="DI99" i="1" s="1"/>
  <c r="CQ103" i="1"/>
  <c r="DN103" i="1" s="1"/>
  <c r="CP103" i="1"/>
  <c r="DM103" i="1" s="1"/>
  <c r="DG103" i="1" s="1"/>
  <c r="DI103" i="1" s="1"/>
  <c r="CQ107" i="1"/>
  <c r="DN107" i="1" s="1"/>
  <c r="CP107" i="1"/>
  <c r="DM107" i="1" s="1"/>
  <c r="DG107" i="1" s="1"/>
  <c r="DI107" i="1" s="1"/>
  <c r="CQ111" i="1"/>
  <c r="DN111" i="1" s="1"/>
  <c r="CP111" i="1"/>
  <c r="DM111" i="1" s="1"/>
  <c r="DG111" i="1" s="1"/>
  <c r="DI111" i="1" s="1"/>
  <c r="CQ115" i="1"/>
  <c r="DN115" i="1" s="1"/>
  <c r="CP115" i="1"/>
  <c r="DM115" i="1" s="1"/>
  <c r="DG115" i="1" s="1"/>
  <c r="DI115" i="1" s="1"/>
  <c r="CQ123" i="1"/>
  <c r="DN123" i="1" s="1"/>
  <c r="CP123" i="1"/>
  <c r="DM123" i="1" s="1"/>
  <c r="DG123" i="1" s="1"/>
  <c r="DI123" i="1" s="1"/>
  <c r="CQ127" i="1"/>
  <c r="DN127" i="1" s="1"/>
  <c r="CP127" i="1"/>
  <c r="DM127" i="1" s="1"/>
  <c r="DG127" i="1" s="1"/>
  <c r="DI127" i="1" s="1"/>
  <c r="CQ131" i="1"/>
  <c r="DN131" i="1" s="1"/>
  <c r="CP131" i="1"/>
  <c r="DM131" i="1" s="1"/>
  <c r="DG131" i="1" s="1"/>
  <c r="DI131" i="1" s="1"/>
  <c r="CQ139" i="1"/>
  <c r="DN139" i="1" s="1"/>
  <c r="CP139" i="1"/>
  <c r="DM139" i="1" s="1"/>
  <c r="DG139" i="1" s="1"/>
  <c r="DI139" i="1" s="1"/>
  <c r="CQ143" i="1"/>
  <c r="DN143" i="1" s="1"/>
  <c r="CP143" i="1"/>
  <c r="DM143" i="1" s="1"/>
  <c r="DG143" i="1" s="1"/>
  <c r="DI143" i="1" s="1"/>
  <c r="CQ147" i="1"/>
  <c r="DN147" i="1" s="1"/>
  <c r="CP147" i="1"/>
  <c r="DM147" i="1" s="1"/>
  <c r="DG147" i="1" s="1"/>
  <c r="DI147" i="1" s="1"/>
  <c r="CQ151" i="1"/>
  <c r="DN151" i="1" s="1"/>
  <c r="CP151" i="1"/>
  <c r="DM151" i="1" s="1"/>
  <c r="DG151" i="1" s="1"/>
  <c r="DI151" i="1" s="1"/>
  <c r="CQ159" i="1"/>
  <c r="DN159" i="1" s="1"/>
  <c r="CP159" i="1"/>
  <c r="DM159" i="1" s="1"/>
  <c r="DG159" i="1" s="1"/>
  <c r="DI159" i="1" s="1"/>
  <c r="CQ163" i="1"/>
  <c r="DN163" i="1" s="1"/>
  <c r="CP163" i="1"/>
  <c r="DM163" i="1" s="1"/>
  <c r="DG163" i="1" s="1"/>
  <c r="DI163" i="1" s="1"/>
  <c r="CQ167" i="1"/>
  <c r="DN167" i="1" s="1"/>
  <c r="CP167" i="1"/>
  <c r="DM167" i="1" s="1"/>
  <c r="DG167" i="1" s="1"/>
  <c r="DI167" i="1" s="1"/>
  <c r="CQ171" i="1"/>
  <c r="DN171" i="1" s="1"/>
  <c r="CP171" i="1"/>
  <c r="DM171" i="1" s="1"/>
  <c r="DG171" i="1" s="1"/>
  <c r="DI171" i="1" s="1"/>
  <c r="CQ175" i="1"/>
  <c r="DN175" i="1" s="1"/>
  <c r="CP175" i="1"/>
  <c r="DM175" i="1" s="1"/>
  <c r="DG175" i="1" s="1"/>
  <c r="DI175" i="1" s="1"/>
  <c r="CQ179" i="1"/>
  <c r="DN179" i="1" s="1"/>
  <c r="CP179" i="1"/>
  <c r="DM179" i="1" s="1"/>
  <c r="DG179" i="1" s="1"/>
  <c r="DI179" i="1" s="1"/>
  <c r="CQ183" i="1"/>
  <c r="DN183" i="1" s="1"/>
  <c r="CP183" i="1"/>
  <c r="DM183" i="1" s="1"/>
  <c r="DG183" i="1" s="1"/>
  <c r="DI183" i="1" s="1"/>
  <c r="CQ187" i="1"/>
  <c r="DN187" i="1" s="1"/>
  <c r="CP187" i="1"/>
  <c r="DM187" i="1" s="1"/>
  <c r="DG187" i="1" s="1"/>
  <c r="DI187" i="1" s="1"/>
  <c r="CQ199" i="1"/>
  <c r="DN199" i="1" s="1"/>
  <c r="CP199" i="1"/>
  <c r="DM199" i="1" s="1"/>
  <c r="DG199" i="1" s="1"/>
  <c r="DI199" i="1" s="1"/>
  <c r="CQ8" i="1"/>
  <c r="DN8" i="1" s="1"/>
  <c r="CP8" i="1"/>
  <c r="DM8" i="1" s="1"/>
  <c r="DG8" i="1" s="1"/>
  <c r="DI8" i="1" s="1"/>
  <c r="CQ24" i="1"/>
  <c r="DN24" i="1" s="1"/>
  <c r="CP24" i="1"/>
  <c r="DM24" i="1" s="1"/>
  <c r="DG24" i="1" s="1"/>
  <c r="DI24" i="1" s="1"/>
  <c r="CQ28" i="1"/>
  <c r="DN28" i="1" s="1"/>
  <c r="CP28" i="1"/>
  <c r="DM28" i="1" s="1"/>
  <c r="DG28" i="1" s="1"/>
  <c r="DI28" i="1" s="1"/>
  <c r="CQ32" i="1"/>
  <c r="DN32" i="1" s="1"/>
  <c r="CP32" i="1"/>
  <c r="DM32" i="1" s="1"/>
  <c r="DG32" i="1" s="1"/>
  <c r="DI32" i="1" s="1"/>
  <c r="CQ36" i="1"/>
  <c r="DN36" i="1" s="1"/>
  <c r="CP36" i="1"/>
  <c r="DM36" i="1" s="1"/>
  <c r="DG36" i="1" s="1"/>
  <c r="DI36" i="1" s="1"/>
  <c r="CQ40" i="1"/>
  <c r="DN40" i="1" s="1"/>
  <c r="CP40" i="1"/>
  <c r="DM40" i="1" s="1"/>
  <c r="DG40" i="1" s="1"/>
  <c r="DI40" i="1" s="1"/>
  <c r="CQ44" i="1"/>
  <c r="DN44" i="1" s="1"/>
  <c r="CP44" i="1"/>
  <c r="DM44" i="1" s="1"/>
  <c r="DG44" i="1" s="1"/>
  <c r="DI44" i="1" s="1"/>
  <c r="CQ52" i="1"/>
  <c r="DN52" i="1" s="1"/>
  <c r="CP52" i="1"/>
  <c r="DM52" i="1" s="1"/>
  <c r="DG52" i="1" s="1"/>
  <c r="DI52" i="1" s="1"/>
  <c r="CQ56" i="1"/>
  <c r="DN56" i="1" s="1"/>
  <c r="CP56" i="1"/>
  <c r="DM56" i="1" s="1"/>
  <c r="DG56" i="1" s="1"/>
  <c r="DI56" i="1" s="1"/>
  <c r="CQ60" i="1"/>
  <c r="DN60" i="1" s="1"/>
  <c r="CP60" i="1"/>
  <c r="DM60" i="1" s="1"/>
  <c r="DG60" i="1" s="1"/>
  <c r="DI60" i="1" s="1"/>
  <c r="CQ64" i="1"/>
  <c r="DN64" i="1" s="1"/>
  <c r="CP64" i="1"/>
  <c r="DM64" i="1" s="1"/>
  <c r="DG64" i="1" s="1"/>
  <c r="DI64" i="1" s="1"/>
  <c r="CQ68" i="1"/>
  <c r="DN68" i="1" s="1"/>
  <c r="CP68" i="1"/>
  <c r="DM68" i="1" s="1"/>
  <c r="DG68" i="1" s="1"/>
  <c r="DI68" i="1" s="1"/>
  <c r="CQ72" i="1"/>
  <c r="DN72" i="1" s="1"/>
  <c r="CP72" i="1"/>
  <c r="DM72" i="1" s="1"/>
  <c r="DG72" i="1" s="1"/>
  <c r="DI72" i="1" s="1"/>
  <c r="CQ80" i="1"/>
  <c r="DN80" i="1" s="1"/>
  <c r="CP80" i="1"/>
  <c r="DM80" i="1" s="1"/>
  <c r="DG80" i="1" s="1"/>
  <c r="DI80" i="1" s="1"/>
  <c r="CQ84" i="1"/>
  <c r="DN84" i="1" s="1"/>
  <c r="CP84" i="1"/>
  <c r="DM84" i="1" s="1"/>
  <c r="DG84" i="1" s="1"/>
  <c r="DI84" i="1" s="1"/>
  <c r="CQ88" i="1"/>
  <c r="DN88" i="1" s="1"/>
  <c r="CP88" i="1"/>
  <c r="DM88" i="1" s="1"/>
  <c r="DG88" i="1" s="1"/>
  <c r="DI88" i="1" s="1"/>
  <c r="CQ92" i="1"/>
  <c r="DN92" i="1" s="1"/>
  <c r="CP92" i="1"/>
  <c r="DM92" i="1" s="1"/>
  <c r="DG92" i="1" s="1"/>
  <c r="DI92" i="1" s="1"/>
  <c r="CQ100" i="1"/>
  <c r="DN100" i="1" s="1"/>
  <c r="CP100" i="1"/>
  <c r="DM100" i="1" s="1"/>
  <c r="DG100" i="1" s="1"/>
  <c r="DI100" i="1" s="1"/>
  <c r="CQ108" i="1"/>
  <c r="DN108" i="1" s="1"/>
  <c r="CP108" i="1"/>
  <c r="DM108" i="1" s="1"/>
  <c r="DG108" i="1" s="1"/>
  <c r="DI108" i="1" s="1"/>
  <c r="CQ112" i="1"/>
  <c r="DN112" i="1" s="1"/>
  <c r="CP112" i="1"/>
  <c r="DM112" i="1" s="1"/>
  <c r="DG112" i="1" s="1"/>
  <c r="DI112" i="1" s="1"/>
  <c r="CQ116" i="1"/>
  <c r="DN116" i="1" s="1"/>
  <c r="CP116" i="1"/>
  <c r="DM116" i="1" s="1"/>
  <c r="DG116" i="1" s="1"/>
  <c r="DI116" i="1" s="1"/>
  <c r="CQ120" i="1"/>
  <c r="DN120" i="1" s="1"/>
  <c r="CP120" i="1"/>
  <c r="DM120" i="1" s="1"/>
  <c r="DG120" i="1" s="1"/>
  <c r="DI120" i="1" s="1"/>
  <c r="CQ124" i="1"/>
  <c r="DN124" i="1" s="1"/>
  <c r="CP124" i="1"/>
  <c r="DM124" i="1" s="1"/>
  <c r="DG124" i="1" s="1"/>
  <c r="DI124" i="1" s="1"/>
  <c r="CQ128" i="1"/>
  <c r="DN128" i="1" s="1"/>
  <c r="CP128" i="1"/>
  <c r="DM128" i="1" s="1"/>
  <c r="DG128" i="1" s="1"/>
  <c r="DI128" i="1" s="1"/>
  <c r="CQ132" i="1"/>
  <c r="DN132" i="1" s="1"/>
  <c r="CP132" i="1"/>
  <c r="DM132" i="1" s="1"/>
  <c r="DG132" i="1" s="1"/>
  <c r="DI132" i="1" s="1"/>
  <c r="CQ140" i="1"/>
  <c r="DN140" i="1" s="1"/>
  <c r="CP140" i="1"/>
  <c r="DM140" i="1" s="1"/>
  <c r="DG140" i="1" s="1"/>
  <c r="DI140" i="1" s="1"/>
  <c r="CQ152" i="1"/>
  <c r="DN152" i="1" s="1"/>
  <c r="CP152" i="1"/>
  <c r="DM152" i="1" s="1"/>
  <c r="DG152" i="1" s="1"/>
  <c r="DI152" i="1" s="1"/>
  <c r="CQ156" i="1"/>
  <c r="DN156" i="1" s="1"/>
  <c r="CP156" i="1"/>
  <c r="DM156" i="1" s="1"/>
  <c r="DG156" i="1" s="1"/>
  <c r="DI156" i="1" s="1"/>
  <c r="CQ164" i="1"/>
  <c r="DN164" i="1" s="1"/>
  <c r="CP164" i="1"/>
  <c r="DM164" i="1" s="1"/>
  <c r="DG164" i="1" s="1"/>
  <c r="DI164" i="1" s="1"/>
  <c r="CQ168" i="1"/>
  <c r="DN168" i="1" s="1"/>
  <c r="CP168" i="1"/>
  <c r="DM168" i="1" s="1"/>
  <c r="DG168" i="1" s="1"/>
  <c r="DI168" i="1" s="1"/>
  <c r="CQ172" i="1"/>
  <c r="DN172" i="1" s="1"/>
  <c r="CP172" i="1"/>
  <c r="DM172" i="1" s="1"/>
  <c r="DG172" i="1" s="1"/>
  <c r="DI172" i="1" s="1"/>
  <c r="CQ176" i="1"/>
  <c r="DN176" i="1" s="1"/>
  <c r="CP176" i="1"/>
  <c r="DM176" i="1" s="1"/>
  <c r="DG176" i="1" s="1"/>
  <c r="DI176" i="1" s="1"/>
  <c r="CQ180" i="1"/>
  <c r="DN180" i="1" s="1"/>
  <c r="CP180" i="1"/>
  <c r="DM180" i="1" s="1"/>
  <c r="DG180" i="1" s="1"/>
  <c r="DI180" i="1" s="1"/>
  <c r="CQ188" i="1"/>
  <c r="DN188" i="1" s="1"/>
  <c r="CP188" i="1"/>
  <c r="DM188" i="1" s="1"/>
  <c r="DG188" i="1" s="1"/>
  <c r="DI188" i="1" s="1"/>
  <c r="CQ192" i="1"/>
  <c r="DN192" i="1" s="1"/>
  <c r="CP192" i="1"/>
  <c r="DM192" i="1" s="1"/>
  <c r="DG192" i="1" s="1"/>
  <c r="DI192" i="1" s="1"/>
  <c r="CQ196" i="1"/>
  <c r="DN196" i="1" s="1"/>
  <c r="CP196" i="1"/>
  <c r="DM196" i="1" s="1"/>
  <c r="DG196" i="1" s="1"/>
  <c r="DI196" i="1" s="1"/>
  <c r="CQ200" i="1"/>
  <c r="DN200" i="1" s="1"/>
  <c r="CP200" i="1"/>
  <c r="DM200" i="1" s="1"/>
  <c r="DG200" i="1" s="1"/>
  <c r="DI200" i="1" s="1"/>
  <c r="CQ146" i="1"/>
  <c r="DN146" i="1" s="1"/>
  <c r="CP146" i="1"/>
  <c r="DM146" i="1" s="1"/>
  <c r="DG146" i="1" s="1"/>
  <c r="DI146" i="1" s="1"/>
  <c r="CQ104" i="1"/>
  <c r="DN104" i="1" s="1"/>
  <c r="CP104" i="1"/>
  <c r="DM104" i="1" s="1"/>
  <c r="DG104" i="1" s="1"/>
  <c r="DI104" i="1" s="1"/>
  <c r="CQ65" i="1"/>
  <c r="DN65" i="1" s="1"/>
  <c r="CP65" i="1"/>
  <c r="DM65" i="1" s="1"/>
  <c r="DG65" i="1" s="1"/>
  <c r="DI65" i="1" s="1"/>
  <c r="DN9" i="1"/>
  <c r="DM9" i="1"/>
  <c r="CQ49" i="1"/>
  <c r="DN49" i="1" s="1"/>
  <c r="CP49" i="1"/>
  <c r="DM49" i="1" s="1"/>
  <c r="DG49" i="1" s="1"/>
  <c r="DI49" i="1" s="1"/>
  <c r="DN3" i="1"/>
  <c r="DG4" i="1"/>
  <c r="BY203" i="1"/>
  <c r="BZ203" i="1"/>
  <c r="BR203" i="1"/>
  <c r="DX203" i="1" s="1"/>
  <c r="BU203" i="1"/>
  <c r="BV203" i="1"/>
  <c r="BW203" i="1"/>
  <c r="BS203" i="1"/>
  <c r="BO203" i="1"/>
  <c r="BN203" i="1"/>
  <c r="BM203" i="1"/>
  <c r="BK203" i="1"/>
  <c r="DN213" i="1" l="1"/>
  <c r="DL30" i="1"/>
  <c r="DH30" i="1"/>
  <c r="DM215" i="1"/>
  <c r="DG19" i="1"/>
  <c r="DH49" i="1"/>
  <c r="DL49" i="1"/>
  <c r="DL196" i="1"/>
  <c r="DH196" i="1"/>
  <c r="DL188" i="1"/>
  <c r="DH188" i="1"/>
  <c r="DH176" i="1"/>
  <c r="DL176" i="1"/>
  <c r="DL168" i="1"/>
  <c r="DH168" i="1"/>
  <c r="DH156" i="1"/>
  <c r="DL156" i="1"/>
  <c r="DH140" i="1"/>
  <c r="DL140" i="1"/>
  <c r="DH128" i="1"/>
  <c r="DL128" i="1"/>
  <c r="DL120" i="1"/>
  <c r="DH120" i="1"/>
  <c r="DH112" i="1"/>
  <c r="DL112" i="1"/>
  <c r="DL100" i="1"/>
  <c r="DH100" i="1"/>
  <c r="DH88" i="1"/>
  <c r="DL88" i="1"/>
  <c r="DH80" i="1"/>
  <c r="DL80" i="1"/>
  <c r="DL68" i="1"/>
  <c r="DH68" i="1"/>
  <c r="DL60" i="1"/>
  <c r="DH60" i="1"/>
  <c r="DH52" i="1"/>
  <c r="DL52" i="1"/>
  <c r="DH40" i="1"/>
  <c r="DL40" i="1"/>
  <c r="DH32" i="1"/>
  <c r="DL32" i="1"/>
  <c r="DL24" i="1"/>
  <c r="DH24" i="1"/>
  <c r="DL199" i="1"/>
  <c r="DH199" i="1"/>
  <c r="DL183" i="1"/>
  <c r="DH183" i="1"/>
  <c r="DL175" i="1"/>
  <c r="DH175" i="1"/>
  <c r="DH167" i="1"/>
  <c r="DL167" i="1"/>
  <c r="DL159" i="1"/>
  <c r="DH159" i="1"/>
  <c r="DH147" i="1"/>
  <c r="DL147" i="1"/>
  <c r="DL139" i="1"/>
  <c r="DH139" i="1"/>
  <c r="DH127" i="1"/>
  <c r="DL127" i="1"/>
  <c r="DH115" i="1"/>
  <c r="DL115" i="1"/>
  <c r="DH107" i="1"/>
  <c r="DL107" i="1"/>
  <c r="DH99" i="1"/>
  <c r="DL99" i="1"/>
  <c r="DH75" i="1"/>
  <c r="DL75" i="1"/>
  <c r="DL43" i="1"/>
  <c r="DH43" i="1"/>
  <c r="DH194" i="1"/>
  <c r="DL194" i="1"/>
  <c r="DL186" i="1"/>
  <c r="DH186" i="1"/>
  <c r="DL178" i="1"/>
  <c r="DH178" i="1"/>
  <c r="DL170" i="1"/>
  <c r="DH170" i="1"/>
  <c r="DH162" i="1"/>
  <c r="DL162" i="1"/>
  <c r="DH154" i="1"/>
  <c r="DL154" i="1"/>
  <c r="DH138" i="1"/>
  <c r="DL138" i="1"/>
  <c r="DL122" i="1"/>
  <c r="DH122" i="1"/>
  <c r="DH114" i="1"/>
  <c r="DL114" i="1"/>
  <c r="DL102" i="1"/>
  <c r="DH102" i="1"/>
  <c r="DL94" i="1"/>
  <c r="DH94" i="1"/>
  <c r="DH86" i="1"/>
  <c r="DL86" i="1"/>
  <c r="DL74" i="1"/>
  <c r="DH74" i="1"/>
  <c r="DH58" i="1"/>
  <c r="DL58" i="1"/>
  <c r="DL50" i="1"/>
  <c r="DH50" i="1"/>
  <c r="DL42" i="1"/>
  <c r="DH42" i="1"/>
  <c r="DL22" i="1"/>
  <c r="DH22" i="1"/>
  <c r="DH14" i="1"/>
  <c r="DL14" i="1"/>
  <c r="DH193" i="1"/>
  <c r="DL193" i="1"/>
  <c r="DL181" i="1"/>
  <c r="DH181" i="1"/>
  <c r="DL173" i="1"/>
  <c r="DH173" i="1"/>
  <c r="DL165" i="1"/>
  <c r="DH165" i="1"/>
  <c r="DH157" i="1"/>
  <c r="DL157" i="1"/>
  <c r="DH149" i="1"/>
  <c r="DL149" i="1"/>
  <c r="DL137" i="1"/>
  <c r="DH137" i="1"/>
  <c r="DH125" i="1"/>
  <c r="DL125" i="1"/>
  <c r="DL113" i="1"/>
  <c r="DH113" i="1"/>
  <c r="DL105" i="1"/>
  <c r="DH105" i="1"/>
  <c r="DH97" i="1"/>
  <c r="DL97" i="1"/>
  <c r="DH89" i="1"/>
  <c r="DL89" i="1"/>
  <c r="DH81" i="1"/>
  <c r="DL81" i="1"/>
  <c r="DH69" i="1"/>
  <c r="DL69" i="1"/>
  <c r="DH53" i="1"/>
  <c r="DL53" i="1"/>
  <c r="DH41" i="1"/>
  <c r="DL41" i="1"/>
  <c r="DH33" i="1"/>
  <c r="DL33" i="1"/>
  <c r="DH25" i="1"/>
  <c r="DL25" i="1"/>
  <c r="DH17" i="1"/>
  <c r="DL17" i="1"/>
  <c r="DH71" i="1"/>
  <c r="DL71" i="1"/>
  <c r="DH59" i="1"/>
  <c r="DL59" i="1"/>
  <c r="DL47" i="1"/>
  <c r="DH47" i="1"/>
  <c r="DL31" i="1"/>
  <c r="DH31" i="1"/>
  <c r="DL19" i="1"/>
  <c r="DH19" i="1"/>
  <c r="DN215" i="1"/>
  <c r="DL7" i="1"/>
  <c r="DH7" i="1"/>
  <c r="DH91" i="1"/>
  <c r="DL91" i="1"/>
  <c r="DH141" i="1"/>
  <c r="DL141" i="1"/>
  <c r="DL200" i="1"/>
  <c r="DH200" i="1"/>
  <c r="DL192" i="1"/>
  <c r="DH192" i="1"/>
  <c r="DL180" i="1"/>
  <c r="DH180" i="1"/>
  <c r="DL172" i="1"/>
  <c r="DH172" i="1"/>
  <c r="DL164" i="1"/>
  <c r="DH164" i="1"/>
  <c r="DH152" i="1"/>
  <c r="DL152" i="1"/>
  <c r="DH132" i="1"/>
  <c r="DL132" i="1"/>
  <c r="DH124" i="1"/>
  <c r="DL124" i="1"/>
  <c r="DH116" i="1"/>
  <c r="DL116" i="1"/>
  <c r="DL108" i="1"/>
  <c r="DH108" i="1"/>
  <c r="DH92" i="1"/>
  <c r="DL92" i="1"/>
  <c r="DH84" i="1"/>
  <c r="DL84" i="1"/>
  <c r="DH72" i="1"/>
  <c r="DL72" i="1"/>
  <c r="DH64" i="1"/>
  <c r="DL64" i="1"/>
  <c r="DH56" i="1"/>
  <c r="DL56" i="1"/>
  <c r="DH44" i="1"/>
  <c r="DL44" i="1"/>
  <c r="DH36" i="1"/>
  <c r="DL36" i="1"/>
  <c r="DL28" i="1"/>
  <c r="DH28" i="1"/>
  <c r="DL8" i="1"/>
  <c r="DH8" i="1"/>
  <c r="DL187" i="1"/>
  <c r="DH187" i="1"/>
  <c r="DH179" i="1"/>
  <c r="DL179" i="1"/>
  <c r="DL171" i="1"/>
  <c r="DH171" i="1"/>
  <c r="DH163" i="1"/>
  <c r="DL163" i="1"/>
  <c r="DH151" i="1"/>
  <c r="DL151" i="1"/>
  <c r="DL143" i="1"/>
  <c r="DH143" i="1"/>
  <c r="DL131" i="1"/>
  <c r="DH131" i="1"/>
  <c r="DL123" i="1"/>
  <c r="DH123" i="1"/>
  <c r="DL111" i="1"/>
  <c r="DH111" i="1"/>
  <c r="DL103" i="1"/>
  <c r="DH103" i="1"/>
  <c r="DH63" i="1"/>
  <c r="DL63" i="1"/>
  <c r="DH198" i="1"/>
  <c r="DL198" i="1"/>
  <c r="DH190" i="1"/>
  <c r="DL190" i="1"/>
  <c r="DH182" i="1"/>
  <c r="DL182" i="1"/>
  <c r="DL174" i="1"/>
  <c r="DH174" i="1"/>
  <c r="DH166" i="1"/>
  <c r="DL166" i="1"/>
  <c r="DH158" i="1"/>
  <c r="DL158" i="1"/>
  <c r="DH150" i="1"/>
  <c r="DL150" i="1"/>
  <c r="DH134" i="1"/>
  <c r="DL134" i="1"/>
  <c r="DH118" i="1"/>
  <c r="DL118" i="1"/>
  <c r="DL110" i="1"/>
  <c r="DH110" i="1"/>
  <c r="DL98" i="1"/>
  <c r="DH98" i="1"/>
  <c r="DH90" i="1"/>
  <c r="DL90" i="1"/>
  <c r="DH82" i="1"/>
  <c r="DL82" i="1"/>
  <c r="DL62" i="1"/>
  <c r="DH62" i="1"/>
  <c r="DL54" i="1"/>
  <c r="DH54" i="1"/>
  <c r="DL46" i="1"/>
  <c r="DH46" i="1"/>
  <c r="DH38" i="1"/>
  <c r="DL38" i="1"/>
  <c r="DH26" i="1"/>
  <c r="DL26" i="1"/>
  <c r="DH18" i="1"/>
  <c r="DL18" i="1"/>
  <c r="DH10" i="1"/>
  <c r="DL10" i="1"/>
  <c r="DL185" i="1"/>
  <c r="DH185" i="1"/>
  <c r="DH177" i="1"/>
  <c r="DL177" i="1"/>
  <c r="DL169" i="1"/>
  <c r="DH169" i="1"/>
  <c r="DH161" i="1"/>
  <c r="DL161" i="1"/>
  <c r="DH153" i="1"/>
  <c r="DL153" i="1"/>
  <c r="DH133" i="1"/>
  <c r="DL133" i="1"/>
  <c r="DL121" i="1"/>
  <c r="DH121" i="1"/>
  <c r="DH109" i="1"/>
  <c r="DL109" i="1"/>
  <c r="DL101" i="1"/>
  <c r="DH101" i="1"/>
  <c r="DH93" i="1"/>
  <c r="DL93" i="1"/>
  <c r="DH85" i="1"/>
  <c r="DL85" i="1"/>
  <c r="DH73" i="1"/>
  <c r="DL73" i="1"/>
  <c r="DH57" i="1"/>
  <c r="DL57" i="1"/>
  <c r="DH45" i="1"/>
  <c r="DL45" i="1"/>
  <c r="DH37" i="1"/>
  <c r="DL37" i="1"/>
  <c r="DH29" i="1"/>
  <c r="DL29" i="1"/>
  <c r="DH21" i="1"/>
  <c r="DL21" i="1"/>
  <c r="DH87" i="1"/>
  <c r="DL87" i="1"/>
  <c r="DH67" i="1"/>
  <c r="DL67" i="1"/>
  <c r="DL51" i="1"/>
  <c r="DH51" i="1"/>
  <c r="DL35" i="1"/>
  <c r="DH35" i="1"/>
  <c r="DL23" i="1"/>
  <c r="DH23" i="1"/>
  <c r="DL15" i="1"/>
  <c r="DH15" i="1"/>
  <c r="DL146" i="1"/>
  <c r="DH146" i="1"/>
  <c r="DL104" i="1"/>
  <c r="DH104" i="1"/>
  <c r="DH65" i="1"/>
  <c r="DL65" i="1"/>
  <c r="DG9" i="1"/>
  <c r="DI9" i="1" s="1"/>
  <c r="DM214" i="1"/>
  <c r="DH9" i="1"/>
  <c r="DL9" i="1"/>
  <c r="DN214" i="1"/>
  <c r="DI4" i="1"/>
  <c r="DM3" i="1"/>
  <c r="DM213" i="1" s="1"/>
  <c r="DH4" i="1"/>
  <c r="DH5" i="1"/>
  <c r="DL3" i="1"/>
  <c r="DH3" i="1"/>
  <c r="DN203" i="1"/>
  <c r="CP203" i="1"/>
  <c r="CQ203" i="1"/>
  <c r="BL203" i="1"/>
  <c r="BQ203" i="1"/>
  <c r="DW203" i="1" s="1"/>
  <c r="IR205" i="1"/>
  <c r="IR204" i="1"/>
  <c r="IQ206" i="1"/>
  <c r="IQ205" i="1"/>
  <c r="IQ204" i="1"/>
  <c r="IP209" i="1"/>
  <c r="IP208" i="1"/>
  <c r="IP207" i="1"/>
  <c r="IP206" i="1"/>
  <c r="IP205" i="1"/>
  <c r="IP204" i="1"/>
  <c r="DN217" i="1" l="1"/>
  <c r="DJ87" i="1"/>
  <c r="DF87" i="1"/>
  <c r="DJ93" i="1"/>
  <c r="DF93" i="1"/>
  <c r="DJ177" i="1"/>
  <c r="DF177" i="1"/>
  <c r="DJ158" i="1"/>
  <c r="DF158" i="1"/>
  <c r="DJ63" i="1"/>
  <c r="DF63" i="1"/>
  <c r="DJ84" i="1"/>
  <c r="DF84" i="1"/>
  <c r="DJ137" i="1"/>
  <c r="DF137" i="1"/>
  <c r="DJ50" i="1"/>
  <c r="DF50" i="1"/>
  <c r="DJ100" i="1"/>
  <c r="DF100" i="1"/>
  <c r="DJ67" i="1"/>
  <c r="DF67" i="1"/>
  <c r="DJ21" i="1"/>
  <c r="DF21" i="1"/>
  <c r="DJ37" i="1"/>
  <c r="DF37" i="1"/>
  <c r="DJ57" i="1"/>
  <c r="DF57" i="1"/>
  <c r="DJ85" i="1"/>
  <c r="DF85" i="1"/>
  <c r="DJ153" i="1"/>
  <c r="DF153" i="1"/>
  <c r="DJ18" i="1"/>
  <c r="DF18" i="1"/>
  <c r="DJ38" i="1"/>
  <c r="DF38" i="1"/>
  <c r="DJ82" i="1"/>
  <c r="DF82" i="1"/>
  <c r="DJ118" i="1"/>
  <c r="DF118" i="1"/>
  <c r="DJ150" i="1"/>
  <c r="DF150" i="1"/>
  <c r="DJ166" i="1"/>
  <c r="DF166" i="1"/>
  <c r="DJ182" i="1"/>
  <c r="DF182" i="1"/>
  <c r="DJ198" i="1"/>
  <c r="DF198" i="1"/>
  <c r="DJ163" i="1"/>
  <c r="DF163" i="1"/>
  <c r="DJ179" i="1"/>
  <c r="DF179" i="1"/>
  <c r="DJ36" i="1"/>
  <c r="DF36" i="1"/>
  <c r="DJ56" i="1"/>
  <c r="DF56" i="1"/>
  <c r="DJ72" i="1"/>
  <c r="DF72" i="1"/>
  <c r="DJ92" i="1"/>
  <c r="DF92" i="1"/>
  <c r="DJ116" i="1"/>
  <c r="DF116" i="1"/>
  <c r="DJ132" i="1"/>
  <c r="DF132" i="1"/>
  <c r="DJ91" i="1"/>
  <c r="DF91" i="1"/>
  <c r="DJ19" i="1"/>
  <c r="DH215" i="1"/>
  <c r="DJ215" i="1" s="1"/>
  <c r="DF19" i="1"/>
  <c r="DJ47" i="1"/>
  <c r="DF47" i="1"/>
  <c r="DJ105" i="1"/>
  <c r="DF105" i="1"/>
  <c r="DJ165" i="1"/>
  <c r="DF165" i="1"/>
  <c r="DJ181" i="1"/>
  <c r="DF181" i="1"/>
  <c r="DJ42" i="1"/>
  <c r="DF42" i="1"/>
  <c r="DJ102" i="1"/>
  <c r="DF102" i="1"/>
  <c r="DJ122" i="1"/>
  <c r="DF122" i="1"/>
  <c r="DJ170" i="1"/>
  <c r="DF170" i="1"/>
  <c r="DJ186" i="1"/>
  <c r="DF186" i="1"/>
  <c r="DJ43" i="1"/>
  <c r="DF43" i="1"/>
  <c r="DJ139" i="1"/>
  <c r="DF139" i="1"/>
  <c r="DJ159" i="1"/>
  <c r="DF159" i="1"/>
  <c r="DJ175" i="1"/>
  <c r="DF175" i="1"/>
  <c r="DJ199" i="1"/>
  <c r="DF199" i="1"/>
  <c r="DJ68" i="1"/>
  <c r="DF68" i="1"/>
  <c r="DJ196" i="1"/>
  <c r="DF196" i="1"/>
  <c r="DI19" i="1"/>
  <c r="DG215" i="1"/>
  <c r="DI215" i="1" s="1"/>
  <c r="DJ29" i="1"/>
  <c r="DF29" i="1"/>
  <c r="DJ73" i="1"/>
  <c r="DF73" i="1"/>
  <c r="DJ109" i="1"/>
  <c r="DF109" i="1"/>
  <c r="DJ161" i="1"/>
  <c r="DF161" i="1"/>
  <c r="DJ26" i="1"/>
  <c r="DF26" i="1"/>
  <c r="DJ134" i="1"/>
  <c r="DF134" i="1"/>
  <c r="DJ190" i="1"/>
  <c r="DF190" i="1"/>
  <c r="DJ151" i="1"/>
  <c r="DF151" i="1"/>
  <c r="DJ44" i="1"/>
  <c r="DF44" i="1"/>
  <c r="DJ152" i="1"/>
  <c r="DF152" i="1"/>
  <c r="DJ31" i="1"/>
  <c r="DF31" i="1"/>
  <c r="DJ173" i="1"/>
  <c r="DF173" i="1"/>
  <c r="DJ22" i="1"/>
  <c r="DF22" i="1"/>
  <c r="DJ94" i="1"/>
  <c r="DF94" i="1"/>
  <c r="DJ178" i="1"/>
  <c r="DF178" i="1"/>
  <c r="DJ24" i="1"/>
  <c r="DF24" i="1"/>
  <c r="DJ120" i="1"/>
  <c r="DF120" i="1"/>
  <c r="DJ168" i="1"/>
  <c r="DF168" i="1"/>
  <c r="DJ30" i="1"/>
  <c r="DF30" i="1"/>
  <c r="DJ23" i="1"/>
  <c r="DF23" i="1"/>
  <c r="DJ51" i="1"/>
  <c r="DF51" i="1"/>
  <c r="DJ46" i="1"/>
  <c r="DF46" i="1"/>
  <c r="DJ62" i="1"/>
  <c r="DF62" i="1"/>
  <c r="DJ110" i="1"/>
  <c r="DF110" i="1"/>
  <c r="DJ174" i="1"/>
  <c r="DF174" i="1"/>
  <c r="DJ111" i="1"/>
  <c r="DF111" i="1"/>
  <c r="DJ131" i="1"/>
  <c r="DF131" i="1"/>
  <c r="DJ171" i="1"/>
  <c r="DF171" i="1"/>
  <c r="DJ187" i="1"/>
  <c r="DF187" i="1"/>
  <c r="DJ28" i="1"/>
  <c r="DF28" i="1"/>
  <c r="DJ108" i="1"/>
  <c r="DF108" i="1"/>
  <c r="DJ172" i="1"/>
  <c r="DF172" i="1"/>
  <c r="DJ192" i="1"/>
  <c r="DF192" i="1"/>
  <c r="DJ7" i="1"/>
  <c r="DF7" i="1"/>
  <c r="DJ71" i="1"/>
  <c r="DF71" i="1"/>
  <c r="DJ25" i="1"/>
  <c r="DF25" i="1"/>
  <c r="DJ41" i="1"/>
  <c r="DF41" i="1"/>
  <c r="DJ69" i="1"/>
  <c r="DF69" i="1"/>
  <c r="DJ89" i="1"/>
  <c r="DF89" i="1"/>
  <c r="DJ125" i="1"/>
  <c r="DF125" i="1"/>
  <c r="DJ149" i="1"/>
  <c r="DF149" i="1"/>
  <c r="DJ14" i="1"/>
  <c r="DF14" i="1"/>
  <c r="DJ58" i="1"/>
  <c r="DF58" i="1"/>
  <c r="DJ86" i="1"/>
  <c r="DF86" i="1"/>
  <c r="DJ154" i="1"/>
  <c r="DF154" i="1"/>
  <c r="DJ99" i="1"/>
  <c r="DF99" i="1"/>
  <c r="DJ115" i="1"/>
  <c r="DF115" i="1"/>
  <c r="DJ32" i="1"/>
  <c r="DF32" i="1"/>
  <c r="DJ52" i="1"/>
  <c r="DF52" i="1"/>
  <c r="DJ88" i="1"/>
  <c r="DF88" i="1"/>
  <c r="DJ112" i="1"/>
  <c r="DF112" i="1"/>
  <c r="DJ128" i="1"/>
  <c r="DF128" i="1"/>
  <c r="DJ156" i="1"/>
  <c r="DF156" i="1"/>
  <c r="DJ176" i="1"/>
  <c r="DF176" i="1"/>
  <c r="DJ45" i="1"/>
  <c r="DF45" i="1"/>
  <c r="DJ133" i="1"/>
  <c r="DF133" i="1"/>
  <c r="DJ10" i="1"/>
  <c r="DF10" i="1"/>
  <c r="DJ90" i="1"/>
  <c r="DF90" i="1"/>
  <c r="DJ64" i="1"/>
  <c r="DF64" i="1"/>
  <c r="DJ124" i="1"/>
  <c r="DF124" i="1"/>
  <c r="DJ141" i="1"/>
  <c r="DF141" i="1"/>
  <c r="DJ113" i="1"/>
  <c r="DF113" i="1"/>
  <c r="DJ74" i="1"/>
  <c r="DF74" i="1"/>
  <c r="DJ183" i="1"/>
  <c r="DF183" i="1"/>
  <c r="DJ60" i="1"/>
  <c r="DF60" i="1"/>
  <c r="DJ188" i="1"/>
  <c r="DF188" i="1"/>
  <c r="DJ15" i="1"/>
  <c r="DF15" i="1"/>
  <c r="DJ35" i="1"/>
  <c r="DF35" i="1"/>
  <c r="DJ101" i="1"/>
  <c r="DF101" i="1"/>
  <c r="DJ121" i="1"/>
  <c r="DF121" i="1"/>
  <c r="DJ169" i="1"/>
  <c r="DF169" i="1"/>
  <c r="DJ185" i="1"/>
  <c r="DF185" i="1"/>
  <c r="DJ54" i="1"/>
  <c r="DF54" i="1"/>
  <c r="DJ98" i="1"/>
  <c r="DF98" i="1"/>
  <c r="DJ103" i="1"/>
  <c r="DF103" i="1"/>
  <c r="DJ123" i="1"/>
  <c r="DF123" i="1"/>
  <c r="DJ143" i="1"/>
  <c r="DF143" i="1"/>
  <c r="DJ8" i="1"/>
  <c r="DF8" i="1"/>
  <c r="DJ164" i="1"/>
  <c r="DF164" i="1"/>
  <c r="DJ180" i="1"/>
  <c r="DF180" i="1"/>
  <c r="DJ200" i="1"/>
  <c r="DF200" i="1"/>
  <c r="DJ59" i="1"/>
  <c r="DF59" i="1"/>
  <c r="DJ17" i="1"/>
  <c r="DF17" i="1"/>
  <c r="DJ33" i="1"/>
  <c r="DF33" i="1"/>
  <c r="DJ53" i="1"/>
  <c r="DF53" i="1"/>
  <c r="DJ81" i="1"/>
  <c r="DF81" i="1"/>
  <c r="DJ97" i="1"/>
  <c r="DF97" i="1"/>
  <c r="DJ157" i="1"/>
  <c r="DF157" i="1"/>
  <c r="DJ193" i="1"/>
  <c r="DF193" i="1"/>
  <c r="DJ114" i="1"/>
  <c r="DF114" i="1"/>
  <c r="DJ138" i="1"/>
  <c r="DF138" i="1"/>
  <c r="DJ162" i="1"/>
  <c r="DF162" i="1"/>
  <c r="DJ194" i="1"/>
  <c r="DF194" i="1"/>
  <c r="DJ75" i="1"/>
  <c r="DF75" i="1"/>
  <c r="DJ107" i="1"/>
  <c r="DF107" i="1"/>
  <c r="DJ127" i="1"/>
  <c r="DF127" i="1"/>
  <c r="DJ147" i="1"/>
  <c r="DF147" i="1"/>
  <c r="DJ167" i="1"/>
  <c r="DF167" i="1"/>
  <c r="DJ40" i="1"/>
  <c r="DF40" i="1"/>
  <c r="DJ80" i="1"/>
  <c r="DF80" i="1"/>
  <c r="DJ140" i="1"/>
  <c r="DF140" i="1"/>
  <c r="DJ49" i="1"/>
  <c r="DF49" i="1"/>
  <c r="DJ146" i="1"/>
  <c r="DF146" i="1"/>
  <c r="DJ104" i="1"/>
  <c r="DF104" i="1"/>
  <c r="DJ65" i="1"/>
  <c r="DF65" i="1"/>
  <c r="DM203" i="1"/>
  <c r="DK205" i="1" s="1"/>
  <c r="DN211" i="1"/>
  <c r="DH214" i="1"/>
  <c r="DJ214" i="1" s="1"/>
  <c r="DG214" i="1"/>
  <c r="DI214" i="1" s="1"/>
  <c r="DJ9" i="1"/>
  <c r="DF9" i="1"/>
  <c r="DH213" i="1"/>
  <c r="DJ213" i="1" s="1"/>
  <c r="DG3" i="1"/>
  <c r="DI3" i="1" s="1"/>
  <c r="DM217" i="1"/>
  <c r="DM211" i="1"/>
  <c r="DF5" i="1"/>
  <c r="DJ5" i="1"/>
  <c r="DJ3" i="1"/>
  <c r="DF3" i="1"/>
  <c r="DF4" i="1"/>
  <c r="DJ4" i="1"/>
  <c r="DH203" i="1"/>
  <c r="DJ203" i="1" s="1"/>
  <c r="IR206" i="1"/>
  <c r="IP210" i="1"/>
  <c r="IQ207" i="1"/>
  <c r="DJ211" i="1" l="1"/>
  <c r="DH217" i="1"/>
  <c r="DH211" i="1"/>
  <c r="DG213" i="1"/>
  <c r="DI213" i="1" s="1"/>
  <c r="DI211" i="1" s="1"/>
  <c r="DG203" i="1"/>
  <c r="DI203" i="1" l="1"/>
  <c r="DD205" i="1"/>
  <c r="DG217" i="1"/>
  <c r="DG211" i="1"/>
  <c r="DQ92" i="25" l="1"/>
  <c r="DQ91" i="25"/>
  <c r="DQ90" i="25"/>
  <c r="DQ72" i="25"/>
  <c r="DQ78" i="25"/>
  <c r="DQ77" i="25"/>
  <c r="DQ76" i="25"/>
  <c r="DQ86" i="25"/>
  <c r="DQ64" i="25"/>
  <c r="DQ63" i="25"/>
  <c r="DQ62" i="25"/>
  <c r="DQ58" i="25"/>
  <c r="DQ50" i="25"/>
  <c r="DQ49" i="25"/>
  <c r="DQ48" i="25"/>
  <c r="DQ103" i="25"/>
  <c r="DQ101" i="25"/>
  <c r="DQ100" i="25"/>
  <c r="DQ99" i="25"/>
  <c r="DQ98" i="25"/>
  <c r="DQ119" i="25"/>
  <c r="DQ117" i="25"/>
  <c r="DQ116" i="25"/>
  <c r="DQ115" i="25"/>
  <c r="DQ114" i="25"/>
  <c r="DQ44" i="25"/>
  <c r="DQ16" i="25"/>
  <c r="DQ15" i="25"/>
  <c r="DQ14" i="25"/>
  <c r="DQ13" i="25"/>
  <c r="DQ9" i="25"/>
  <c r="DQ7" i="25"/>
  <c r="DQ6" i="25"/>
  <c r="DQ5" i="25"/>
  <c r="DQ4" i="25"/>
  <c r="EU10" i="25"/>
  <c r="EU8" i="25"/>
  <c r="EU7" i="25"/>
  <c r="EU6" i="25"/>
  <c r="EU5" i="25"/>
  <c r="EU4" i="25"/>
  <c r="EU3" i="25"/>
  <c r="DQ27" i="25"/>
  <c r="DQ36" i="25"/>
  <c r="DQ35" i="25"/>
  <c r="DQ34" i="25"/>
  <c r="DQ33" i="25"/>
  <c r="DQ32" i="25"/>
  <c r="DQ31" i="25"/>
  <c r="T91" i="25"/>
  <c r="T89" i="25"/>
  <c r="T88" i="25"/>
  <c r="T87" i="25"/>
  <c r="T86" i="25"/>
  <c r="T80" i="25"/>
  <c r="T78" i="25"/>
  <c r="T77" i="25"/>
  <c r="T76" i="25"/>
  <c r="T75" i="25"/>
  <c r="T69" i="25"/>
  <c r="T67" i="25"/>
  <c r="T66" i="25"/>
  <c r="T65" i="25"/>
  <c r="T64" i="25"/>
  <c r="T58" i="25"/>
  <c r="T53" i="25"/>
  <c r="T54" i="25"/>
  <c r="T55" i="25"/>
  <c r="T56" i="25"/>
  <c r="T44" i="25"/>
  <c r="T43" i="25"/>
  <c r="T42" i="25"/>
  <c r="T41" i="25"/>
  <c r="T40" i="25"/>
  <c r="T39" i="25"/>
  <c r="T32" i="25"/>
  <c r="T31" i="25"/>
  <c r="T30" i="25"/>
  <c r="T29" i="25"/>
  <c r="T28" i="25"/>
  <c r="T27" i="25"/>
  <c r="T20" i="25"/>
  <c r="T19" i="25"/>
  <c r="T18" i="25"/>
  <c r="T17" i="25"/>
  <c r="T16" i="25"/>
  <c r="T15" i="25"/>
  <c r="T46" i="25"/>
  <c r="T34" i="25"/>
  <c r="T22" i="25"/>
  <c r="T10" i="25"/>
  <c r="T8" i="25"/>
  <c r="T7" i="25"/>
  <c r="T4" i="25"/>
  <c r="T6" i="25"/>
  <c r="T5" i="25"/>
  <c r="T3" i="25"/>
  <c r="EU1" i="25"/>
  <c r="AN207" i="1" l="1"/>
  <c r="AN211" i="1"/>
  <c r="AN210" i="1"/>
  <c r="AN209" i="1"/>
  <c r="AN208" i="1"/>
  <c r="AN206" i="1"/>
  <c r="AN205" i="1"/>
  <c r="AN212" i="1" l="1"/>
  <c r="DR116" i="25"/>
  <c r="CL12" i="25"/>
  <c r="CG14" i="25"/>
  <c r="CH14" i="25"/>
  <c r="DL15" i="25"/>
  <c r="DK15" i="25"/>
  <c r="DJ15" i="25"/>
  <c r="DI15" i="25"/>
  <c r="DA15" i="25"/>
  <c r="CZ15" i="25"/>
  <c r="CY15" i="25"/>
  <c r="CX15" i="25"/>
  <c r="BF60" i="25"/>
  <c r="BD60" i="25"/>
  <c r="BB60" i="25"/>
  <c r="AP4" i="25"/>
  <c r="AR4" i="25"/>
  <c r="AT4" i="25"/>
  <c r="AV4" i="25"/>
  <c r="AX4" i="25"/>
  <c r="AZ4" i="25"/>
  <c r="AP5" i="25"/>
  <c r="BF4" i="25"/>
  <c r="BD4" i="25"/>
  <c r="BE4" i="25" s="1"/>
  <c r="BB4" i="25"/>
  <c r="AR5" i="25"/>
  <c r="AT5" i="25"/>
  <c r="AV5" i="25"/>
  <c r="AX5" i="25"/>
  <c r="AZ5" i="25"/>
  <c r="AP6" i="25"/>
  <c r="BF5" i="25"/>
  <c r="BD5" i="25"/>
  <c r="BB5" i="25"/>
  <c r="AR6" i="25"/>
  <c r="AT6" i="25"/>
  <c r="AV6" i="25"/>
  <c r="AX6" i="25"/>
  <c r="AZ6" i="25"/>
  <c r="AP7" i="25"/>
  <c r="BF6" i="25"/>
  <c r="BD6" i="25"/>
  <c r="BB6" i="25"/>
  <c r="AR7" i="25"/>
  <c r="AT7" i="25"/>
  <c r="AV7" i="25"/>
  <c r="AX7" i="25"/>
  <c r="AZ7" i="25"/>
  <c r="AP8" i="25"/>
  <c r="BF7" i="25"/>
  <c r="BD7" i="25"/>
  <c r="BB7" i="25"/>
  <c r="AR8" i="25"/>
  <c r="AT8" i="25"/>
  <c r="AV8" i="25"/>
  <c r="AX8" i="25"/>
  <c r="AZ8" i="25"/>
  <c r="AP9" i="25"/>
  <c r="BF8" i="25"/>
  <c r="BD8" i="25"/>
  <c r="BB8" i="25"/>
  <c r="AR9" i="25"/>
  <c r="AT9" i="25"/>
  <c r="AV9" i="25"/>
  <c r="AX9" i="25"/>
  <c r="AZ9" i="25"/>
  <c r="AP10" i="25"/>
  <c r="BF9" i="25"/>
  <c r="BD9" i="25"/>
  <c r="BB9" i="25"/>
  <c r="AR10" i="25"/>
  <c r="AT10" i="25"/>
  <c r="AV10" i="25"/>
  <c r="AX10" i="25"/>
  <c r="AZ10" i="25"/>
  <c r="AP11" i="25"/>
  <c r="BF10" i="25"/>
  <c r="BD10" i="25"/>
  <c r="BB10" i="25"/>
  <c r="AR11" i="25"/>
  <c r="AT11" i="25"/>
  <c r="AV11" i="25"/>
  <c r="AX11" i="25"/>
  <c r="AZ11" i="25"/>
  <c r="AP12" i="25"/>
  <c r="BF11" i="25"/>
  <c r="BD11" i="25"/>
  <c r="BB11" i="25"/>
  <c r="AR12" i="25"/>
  <c r="AT12" i="25"/>
  <c r="AV12" i="25"/>
  <c r="AX12" i="25"/>
  <c r="AZ12" i="25"/>
  <c r="AP13" i="25"/>
  <c r="BF12" i="25"/>
  <c r="BD12" i="25"/>
  <c r="BB12" i="25"/>
  <c r="AR13" i="25"/>
  <c r="AT13" i="25"/>
  <c r="AV13" i="25"/>
  <c r="AX13" i="25"/>
  <c r="AZ13" i="25"/>
  <c r="AP14" i="25"/>
  <c r="BF13" i="25"/>
  <c r="BD13" i="25"/>
  <c r="BB13" i="25"/>
  <c r="AR14" i="25"/>
  <c r="AT14" i="25"/>
  <c r="AV14" i="25"/>
  <c r="AX14" i="25"/>
  <c r="AZ14" i="25"/>
  <c r="AP15" i="25"/>
  <c r="BF14" i="25"/>
  <c r="BD14" i="25"/>
  <c r="BB14" i="25"/>
  <c r="AR15" i="25"/>
  <c r="AT15" i="25"/>
  <c r="AV15" i="25"/>
  <c r="AX15" i="25"/>
  <c r="AZ15" i="25"/>
  <c r="AP16" i="25"/>
  <c r="BF15" i="25"/>
  <c r="BD15" i="25"/>
  <c r="BB15" i="25"/>
  <c r="AR16" i="25"/>
  <c r="AT16" i="25"/>
  <c r="AV16" i="25"/>
  <c r="AX16" i="25"/>
  <c r="AZ16" i="25"/>
  <c r="AP17" i="25"/>
  <c r="BF16" i="25"/>
  <c r="BD16" i="25"/>
  <c r="BB16" i="25"/>
  <c r="AR17" i="25"/>
  <c r="AT17" i="25"/>
  <c r="AV17" i="25"/>
  <c r="AX17" i="25"/>
  <c r="AZ17" i="25"/>
  <c r="AP18" i="25"/>
  <c r="BF17" i="25"/>
  <c r="BD17" i="25"/>
  <c r="BB17" i="25"/>
  <c r="AR18" i="25"/>
  <c r="AT18" i="25"/>
  <c r="AV18" i="25"/>
  <c r="AX18" i="25"/>
  <c r="AZ18" i="25"/>
  <c r="AP19" i="25"/>
  <c r="BF18" i="25"/>
  <c r="BD18" i="25"/>
  <c r="BB18" i="25"/>
  <c r="AR19" i="25"/>
  <c r="AT19" i="25"/>
  <c r="AV19" i="25"/>
  <c r="AX19" i="25"/>
  <c r="AZ19" i="25"/>
  <c r="AP20" i="25"/>
  <c r="BF19" i="25"/>
  <c r="BD19" i="25"/>
  <c r="BB19" i="25"/>
  <c r="AR20" i="25"/>
  <c r="AT20" i="25"/>
  <c r="AV20" i="25"/>
  <c r="AX20" i="25"/>
  <c r="AZ20" i="25"/>
  <c r="AP21" i="25"/>
  <c r="BF20" i="25"/>
  <c r="BD20" i="25"/>
  <c r="BB20" i="25"/>
  <c r="AR21" i="25"/>
  <c r="AT21" i="25"/>
  <c r="AV21" i="25"/>
  <c r="AX21" i="25"/>
  <c r="AZ21" i="25"/>
  <c r="AP22" i="25"/>
  <c r="BF21" i="25"/>
  <c r="BD21" i="25"/>
  <c r="BB21" i="25"/>
  <c r="AR22" i="25"/>
  <c r="AT22" i="25"/>
  <c r="AV22" i="25"/>
  <c r="AX22" i="25"/>
  <c r="AZ22" i="25"/>
  <c r="AP23" i="25"/>
  <c r="BF22" i="25"/>
  <c r="BD22" i="25"/>
  <c r="BB22" i="25"/>
  <c r="AR23" i="25"/>
  <c r="AT23" i="25"/>
  <c r="AV23" i="25"/>
  <c r="AX23" i="25"/>
  <c r="AZ23" i="25"/>
  <c r="AP24" i="25"/>
  <c r="BF23" i="25"/>
  <c r="BD23" i="25"/>
  <c r="BB23" i="25"/>
  <c r="AR24" i="25"/>
  <c r="AT24" i="25"/>
  <c r="AV24" i="25"/>
  <c r="AX24" i="25"/>
  <c r="AZ24" i="25"/>
  <c r="AP25" i="25"/>
  <c r="BF24" i="25"/>
  <c r="BD24" i="25"/>
  <c r="BB24" i="25"/>
  <c r="AR25" i="25"/>
  <c r="AT25" i="25"/>
  <c r="AV25" i="25"/>
  <c r="AX25" i="25"/>
  <c r="AZ25" i="25"/>
  <c r="AP26" i="25"/>
  <c r="BF25" i="25"/>
  <c r="BD25" i="25"/>
  <c r="BB25" i="25"/>
  <c r="AR26" i="25"/>
  <c r="AT26" i="25"/>
  <c r="AV26" i="25"/>
  <c r="AX26" i="25"/>
  <c r="AZ26" i="25"/>
  <c r="AP27" i="25"/>
  <c r="BF26" i="25"/>
  <c r="BD26" i="25"/>
  <c r="BB26" i="25"/>
  <c r="AR27" i="25"/>
  <c r="AT27" i="25"/>
  <c r="AV27" i="25"/>
  <c r="AX27" i="25"/>
  <c r="AZ27" i="25"/>
  <c r="AP28" i="25"/>
  <c r="BF27" i="25"/>
  <c r="BD27" i="25"/>
  <c r="BB27" i="25"/>
  <c r="AR28" i="25"/>
  <c r="AT28" i="25"/>
  <c r="AV28" i="25"/>
  <c r="AX28" i="25"/>
  <c r="AZ28" i="25"/>
  <c r="AP29" i="25"/>
  <c r="BF28" i="25"/>
  <c r="BD28" i="25"/>
  <c r="BB28" i="25"/>
  <c r="AR29" i="25"/>
  <c r="AT29" i="25"/>
  <c r="AV29" i="25"/>
  <c r="AX29" i="25"/>
  <c r="AZ29" i="25"/>
  <c r="AP30" i="25"/>
  <c r="BF29" i="25"/>
  <c r="BD29" i="25"/>
  <c r="BB29" i="25"/>
  <c r="AR30" i="25"/>
  <c r="AT30" i="25"/>
  <c r="AV30" i="25"/>
  <c r="AX30" i="25"/>
  <c r="AZ30" i="25"/>
  <c r="AP31" i="25"/>
  <c r="BF30" i="25"/>
  <c r="BD30" i="25"/>
  <c r="BB30" i="25"/>
  <c r="AR31" i="25"/>
  <c r="AT31" i="25"/>
  <c r="AV31" i="25"/>
  <c r="AX31" i="25"/>
  <c r="AZ31" i="25"/>
  <c r="AP32" i="25"/>
  <c r="BF31" i="25"/>
  <c r="BD31" i="25"/>
  <c r="BB31" i="25"/>
  <c r="AR32" i="25"/>
  <c r="AT32" i="25"/>
  <c r="AV32" i="25"/>
  <c r="AX32" i="25"/>
  <c r="AZ32" i="25"/>
  <c r="AP33" i="25"/>
  <c r="BF32" i="25"/>
  <c r="BD32" i="25"/>
  <c r="BB32" i="25"/>
  <c r="AR33" i="25"/>
  <c r="AT33" i="25"/>
  <c r="AV33" i="25"/>
  <c r="AX33" i="25"/>
  <c r="AZ33" i="25"/>
  <c r="AP34" i="25"/>
  <c r="BF33" i="25"/>
  <c r="BD33" i="25"/>
  <c r="BB33" i="25"/>
  <c r="AR34" i="25"/>
  <c r="AT34" i="25"/>
  <c r="AV34" i="25"/>
  <c r="AX34" i="25"/>
  <c r="AZ34" i="25"/>
  <c r="AP35" i="25"/>
  <c r="BF34" i="25"/>
  <c r="BD34" i="25"/>
  <c r="BB34" i="25"/>
  <c r="AR35" i="25"/>
  <c r="AT35" i="25"/>
  <c r="AV35" i="25"/>
  <c r="AX35" i="25"/>
  <c r="AZ35" i="25"/>
  <c r="AP36" i="25"/>
  <c r="BF35" i="25"/>
  <c r="BD35" i="25"/>
  <c r="BB35" i="25"/>
  <c r="AR36" i="25"/>
  <c r="AT36" i="25"/>
  <c r="AV36" i="25"/>
  <c r="AX36" i="25"/>
  <c r="AZ36" i="25"/>
  <c r="AP37" i="25"/>
  <c r="BF36" i="25"/>
  <c r="BD36" i="25"/>
  <c r="BB36" i="25"/>
  <c r="AR37" i="25"/>
  <c r="AT37" i="25"/>
  <c r="AV37" i="25"/>
  <c r="AX37" i="25"/>
  <c r="AZ37" i="25"/>
  <c r="AP38" i="25"/>
  <c r="BF37" i="25"/>
  <c r="BD37" i="25"/>
  <c r="BB37" i="25"/>
  <c r="AR38" i="25"/>
  <c r="AT38" i="25"/>
  <c r="AV38" i="25"/>
  <c r="AX38" i="25"/>
  <c r="AZ38" i="25"/>
  <c r="AP39" i="25"/>
  <c r="BF38" i="25"/>
  <c r="BD38" i="25"/>
  <c r="BB38" i="25"/>
  <c r="AR39" i="25"/>
  <c r="AT39" i="25"/>
  <c r="AV39" i="25"/>
  <c r="AX39" i="25"/>
  <c r="AZ39" i="25"/>
  <c r="AP40" i="25"/>
  <c r="BF39" i="25"/>
  <c r="BD39" i="25"/>
  <c r="BB39" i="25"/>
  <c r="AR40" i="25"/>
  <c r="AT40" i="25"/>
  <c r="AV40" i="25"/>
  <c r="AX40" i="25"/>
  <c r="AZ40" i="25"/>
  <c r="AP41" i="25"/>
  <c r="BF40" i="25"/>
  <c r="BD40" i="25"/>
  <c r="BB40" i="25"/>
  <c r="AR41" i="25"/>
  <c r="AT41" i="25"/>
  <c r="AV41" i="25"/>
  <c r="AX41" i="25"/>
  <c r="AZ41" i="25"/>
  <c r="AP42" i="25"/>
  <c r="BF41" i="25"/>
  <c r="BD41" i="25"/>
  <c r="BB41" i="25"/>
  <c r="AR42" i="25"/>
  <c r="AT42" i="25"/>
  <c r="AV42" i="25"/>
  <c r="AX42" i="25"/>
  <c r="AZ42" i="25"/>
  <c r="AP43" i="25"/>
  <c r="BF42" i="25"/>
  <c r="BD42" i="25"/>
  <c r="BB42" i="25"/>
  <c r="AR43" i="25"/>
  <c r="AT43" i="25"/>
  <c r="AV43" i="25"/>
  <c r="AX43" i="25"/>
  <c r="AZ43" i="25"/>
  <c r="AP44" i="25"/>
  <c r="BF43" i="25"/>
  <c r="BD43" i="25"/>
  <c r="BB43" i="25"/>
  <c r="AR44" i="25"/>
  <c r="AT44" i="25"/>
  <c r="AV44" i="25"/>
  <c r="AX44" i="25"/>
  <c r="AZ44" i="25"/>
  <c r="AP45" i="25"/>
  <c r="BF44" i="25"/>
  <c r="BD44" i="25"/>
  <c r="BB44" i="25"/>
  <c r="AR45" i="25"/>
  <c r="AT45" i="25"/>
  <c r="AV45" i="25"/>
  <c r="AX45" i="25"/>
  <c r="AZ45" i="25"/>
  <c r="AP46" i="25"/>
  <c r="BF45" i="25"/>
  <c r="BD45" i="25"/>
  <c r="BB45" i="25"/>
  <c r="AR46" i="25"/>
  <c r="AT46" i="25"/>
  <c r="AV46" i="25"/>
  <c r="AX46" i="25"/>
  <c r="AZ46" i="25"/>
  <c r="AP47" i="25"/>
  <c r="BF46" i="25"/>
  <c r="BD46" i="25"/>
  <c r="BB46" i="25"/>
  <c r="AR47" i="25"/>
  <c r="AT47" i="25"/>
  <c r="AV47" i="25"/>
  <c r="AX47" i="25"/>
  <c r="AZ47" i="25"/>
  <c r="AP48" i="25"/>
  <c r="BF47" i="25"/>
  <c r="BD47" i="25"/>
  <c r="BB47" i="25"/>
  <c r="AR48" i="25"/>
  <c r="AT48" i="25"/>
  <c r="AV48" i="25"/>
  <c r="AX48" i="25"/>
  <c r="AZ48" i="25"/>
  <c r="AP49" i="25"/>
  <c r="BF48" i="25"/>
  <c r="BD48" i="25"/>
  <c r="BB48" i="25"/>
  <c r="AR49" i="25"/>
  <c r="AT49" i="25"/>
  <c r="AV49" i="25"/>
  <c r="AX49" i="25"/>
  <c r="AZ49" i="25"/>
  <c r="AP50" i="25"/>
  <c r="BF49" i="25"/>
  <c r="BD49" i="25"/>
  <c r="BB49" i="25"/>
  <c r="AR50" i="25"/>
  <c r="AT50" i="25"/>
  <c r="AV50" i="25"/>
  <c r="AX50" i="25"/>
  <c r="AZ50" i="25"/>
  <c r="AP51" i="25"/>
  <c r="BF50" i="25"/>
  <c r="BD50" i="25"/>
  <c r="BB50" i="25"/>
  <c r="AR51" i="25"/>
  <c r="AT51" i="25"/>
  <c r="AV51" i="25"/>
  <c r="AX51" i="25"/>
  <c r="AZ51" i="25"/>
  <c r="AP52" i="25"/>
  <c r="BF51" i="25"/>
  <c r="BD51" i="25"/>
  <c r="BB51" i="25"/>
  <c r="AR52" i="25"/>
  <c r="AT52" i="25"/>
  <c r="AV52" i="25"/>
  <c r="AX52" i="25"/>
  <c r="AZ52" i="25"/>
  <c r="AP53" i="25"/>
  <c r="BF52" i="25"/>
  <c r="BD52" i="25"/>
  <c r="BB52" i="25"/>
  <c r="AR53" i="25"/>
  <c r="AT53" i="25"/>
  <c r="AV53" i="25"/>
  <c r="AX53" i="25"/>
  <c r="AZ53" i="25"/>
  <c r="AP54" i="25"/>
  <c r="BF53" i="25"/>
  <c r="BD53" i="25"/>
  <c r="BB53" i="25"/>
  <c r="AR54" i="25"/>
  <c r="AT54" i="25"/>
  <c r="AV54" i="25"/>
  <c r="AX54" i="25"/>
  <c r="AZ54" i="25"/>
  <c r="AP55" i="25"/>
  <c r="BF54" i="25"/>
  <c r="BD54" i="25"/>
  <c r="BB54" i="25"/>
  <c r="AR55" i="25"/>
  <c r="AT55" i="25"/>
  <c r="AV55" i="25"/>
  <c r="AX55" i="25"/>
  <c r="AZ55" i="25"/>
  <c r="AP56" i="25"/>
  <c r="BF55" i="25"/>
  <c r="BD55" i="25"/>
  <c r="BB55" i="25"/>
  <c r="AR56" i="25"/>
  <c r="AT56" i="25"/>
  <c r="AV56" i="25"/>
  <c r="AX56" i="25"/>
  <c r="AZ56" i="25"/>
  <c r="AP57" i="25"/>
  <c r="BF56" i="25"/>
  <c r="BD56" i="25"/>
  <c r="BB56" i="25"/>
  <c r="AR57" i="25"/>
  <c r="AT57" i="25"/>
  <c r="AV57" i="25"/>
  <c r="AX57" i="25"/>
  <c r="AZ57" i="25"/>
  <c r="AP58" i="25"/>
  <c r="BF57" i="25"/>
  <c r="BD57" i="25"/>
  <c r="BB57" i="25"/>
  <c r="AR58" i="25"/>
  <c r="AT58" i="25"/>
  <c r="AV58" i="25"/>
  <c r="AX58" i="25"/>
  <c r="AZ58" i="25"/>
  <c r="AP59" i="25"/>
  <c r="BF58" i="25"/>
  <c r="BD58" i="25"/>
  <c r="BB58" i="25"/>
  <c r="AR59" i="25"/>
  <c r="AT59" i="25"/>
  <c r="AV59" i="25"/>
  <c r="AX59" i="25"/>
  <c r="AZ59" i="25"/>
  <c r="AP60" i="25"/>
  <c r="BF59" i="25"/>
  <c r="BD59" i="25"/>
  <c r="BB59" i="25"/>
  <c r="AR60" i="25"/>
  <c r="AT60" i="25"/>
  <c r="AV60" i="25"/>
  <c r="AX60" i="25"/>
  <c r="AZ60" i="25"/>
  <c r="IL3" i="1"/>
  <c r="IM3" i="1" s="1"/>
  <c r="IL4" i="1"/>
  <c r="IM4" i="1" s="1"/>
  <c r="IL5" i="1"/>
  <c r="IM5" i="1" s="1"/>
  <c r="IL6" i="1"/>
  <c r="IM6" i="1" s="1"/>
  <c r="IL7" i="1"/>
  <c r="IM7" i="1" s="1"/>
  <c r="IL8" i="1"/>
  <c r="IM8" i="1" s="1"/>
  <c r="IL9" i="1"/>
  <c r="IM9" i="1" s="1"/>
  <c r="IL10" i="1"/>
  <c r="IM10" i="1" s="1"/>
  <c r="IL11" i="1"/>
  <c r="IM11" i="1" s="1"/>
  <c r="IL12" i="1"/>
  <c r="IM12" i="1" s="1"/>
  <c r="IL13" i="1"/>
  <c r="IM13" i="1" s="1"/>
  <c r="IL14" i="1"/>
  <c r="IM14" i="1" s="1"/>
  <c r="IL15" i="1"/>
  <c r="IM15" i="1" s="1"/>
  <c r="IL16" i="1"/>
  <c r="IM16" i="1" s="1"/>
  <c r="IL17" i="1"/>
  <c r="IM17" i="1" s="1"/>
  <c r="IL18" i="1"/>
  <c r="IM18" i="1" s="1"/>
  <c r="IL19" i="1"/>
  <c r="IM19" i="1" s="1"/>
  <c r="IL20" i="1"/>
  <c r="IM20" i="1" s="1"/>
  <c r="IL21" i="1"/>
  <c r="IM21" i="1" s="1"/>
  <c r="IL22" i="1"/>
  <c r="IM22" i="1" s="1"/>
  <c r="IL23" i="1"/>
  <c r="IM23" i="1" s="1"/>
  <c r="IL24" i="1"/>
  <c r="IM24" i="1" s="1"/>
  <c r="IL25" i="1"/>
  <c r="IM25" i="1" s="1"/>
  <c r="IL26" i="1"/>
  <c r="IM26" i="1" s="1"/>
  <c r="IL27" i="1"/>
  <c r="IM27" i="1" s="1"/>
  <c r="IL28" i="1"/>
  <c r="IM28" i="1" s="1"/>
  <c r="IL29" i="1"/>
  <c r="IM29" i="1" s="1"/>
  <c r="IL30" i="1"/>
  <c r="IM30" i="1" s="1"/>
  <c r="IL31" i="1"/>
  <c r="IM31" i="1" s="1"/>
  <c r="IL32" i="1"/>
  <c r="IM32" i="1" s="1"/>
  <c r="IL33" i="1"/>
  <c r="IM33" i="1" s="1"/>
  <c r="IL34" i="1"/>
  <c r="IM34" i="1" s="1"/>
  <c r="IL35" i="1"/>
  <c r="IM35" i="1" s="1"/>
  <c r="IL36" i="1"/>
  <c r="IM36" i="1" s="1"/>
  <c r="IL37" i="1"/>
  <c r="IM37" i="1" s="1"/>
  <c r="IL38" i="1"/>
  <c r="IM38" i="1" s="1"/>
  <c r="IL39" i="1"/>
  <c r="IM39" i="1" s="1"/>
  <c r="IL40" i="1"/>
  <c r="IM40" i="1" s="1"/>
  <c r="IL41" i="1"/>
  <c r="IM41" i="1" s="1"/>
  <c r="IL42" i="1"/>
  <c r="IM42" i="1" s="1"/>
  <c r="IL43" i="1"/>
  <c r="IM43" i="1" s="1"/>
  <c r="IL44" i="1"/>
  <c r="IM44" i="1" s="1"/>
  <c r="IL45" i="1"/>
  <c r="IM45" i="1" s="1"/>
  <c r="IL46" i="1"/>
  <c r="IM46" i="1" s="1"/>
  <c r="IL47" i="1"/>
  <c r="IM47" i="1" s="1"/>
  <c r="IL48" i="1"/>
  <c r="IM48" i="1" s="1"/>
  <c r="IL49" i="1"/>
  <c r="IM49" i="1" s="1"/>
  <c r="IL50" i="1"/>
  <c r="IM50" i="1" s="1"/>
  <c r="IL51" i="1"/>
  <c r="IM51" i="1" s="1"/>
  <c r="IL52" i="1"/>
  <c r="IM52" i="1" s="1"/>
  <c r="IL53" i="1"/>
  <c r="IM53" i="1" s="1"/>
  <c r="IL54" i="1"/>
  <c r="IM54" i="1" s="1"/>
  <c r="IL55" i="1"/>
  <c r="IM55" i="1" s="1"/>
  <c r="IL56" i="1"/>
  <c r="IM56" i="1" s="1"/>
  <c r="IL57" i="1"/>
  <c r="IM57" i="1" s="1"/>
  <c r="IL58" i="1"/>
  <c r="IM58" i="1" s="1"/>
  <c r="IL59" i="1"/>
  <c r="IM59" i="1" s="1"/>
  <c r="IL60" i="1"/>
  <c r="IM60" i="1" s="1"/>
  <c r="IL61" i="1"/>
  <c r="IM61" i="1" s="1"/>
  <c r="IL62" i="1"/>
  <c r="IM62" i="1" s="1"/>
  <c r="IL63" i="1"/>
  <c r="IM63" i="1" s="1"/>
  <c r="IL64" i="1"/>
  <c r="IM64" i="1" s="1"/>
  <c r="IL65" i="1"/>
  <c r="IM65" i="1" s="1"/>
  <c r="IL66" i="1"/>
  <c r="IM66" i="1" s="1"/>
  <c r="IL67" i="1"/>
  <c r="IM67" i="1" s="1"/>
  <c r="IL68" i="1"/>
  <c r="IM68" i="1" s="1"/>
  <c r="IL69" i="1"/>
  <c r="IM69" i="1" s="1"/>
  <c r="IL70" i="1"/>
  <c r="IM70" i="1" s="1"/>
  <c r="IL71" i="1"/>
  <c r="IM71" i="1" s="1"/>
  <c r="IL72" i="1"/>
  <c r="IM72" i="1" s="1"/>
  <c r="IL73" i="1"/>
  <c r="IM73" i="1" s="1"/>
  <c r="IL74" i="1"/>
  <c r="IM74" i="1" s="1"/>
  <c r="IL75" i="1"/>
  <c r="IM75" i="1" s="1"/>
  <c r="IL77" i="1"/>
  <c r="IM77" i="1" s="1"/>
  <c r="IL78" i="1"/>
  <c r="IM78" i="1" s="1"/>
  <c r="IL79" i="1"/>
  <c r="IM79" i="1" s="1"/>
  <c r="IL80" i="1"/>
  <c r="IM80" i="1" s="1"/>
  <c r="IL81" i="1"/>
  <c r="IM81" i="1" s="1"/>
  <c r="IL82" i="1"/>
  <c r="IM82" i="1" s="1"/>
  <c r="IL83" i="1"/>
  <c r="IM83" i="1" s="1"/>
  <c r="IL84" i="1"/>
  <c r="IM84" i="1" s="1"/>
  <c r="IL85" i="1"/>
  <c r="IM85" i="1" s="1"/>
  <c r="IL86" i="1"/>
  <c r="IM86" i="1" s="1"/>
  <c r="IL87" i="1"/>
  <c r="IM87" i="1" s="1"/>
  <c r="IL88" i="1"/>
  <c r="IM88" i="1" s="1"/>
  <c r="IL89" i="1"/>
  <c r="IM89" i="1" s="1"/>
  <c r="IL90" i="1"/>
  <c r="IM90" i="1" s="1"/>
  <c r="IL91" i="1"/>
  <c r="IM91" i="1" s="1"/>
  <c r="IL92" i="1"/>
  <c r="IM92" i="1" s="1"/>
  <c r="IL93" i="1"/>
  <c r="IM93" i="1" s="1"/>
  <c r="IL94" i="1"/>
  <c r="IM94" i="1" s="1"/>
  <c r="IL95" i="1"/>
  <c r="IM95" i="1" s="1"/>
  <c r="IL96" i="1"/>
  <c r="IM96" i="1" s="1"/>
  <c r="IL97" i="1"/>
  <c r="IM97" i="1" s="1"/>
  <c r="IL98" i="1"/>
  <c r="IM98" i="1" s="1"/>
  <c r="IL99" i="1"/>
  <c r="IM99" i="1" s="1"/>
  <c r="IL100" i="1"/>
  <c r="IM100" i="1" s="1"/>
  <c r="IL101" i="1"/>
  <c r="IM101" i="1" s="1"/>
  <c r="IL102" i="1"/>
  <c r="IM102" i="1" s="1"/>
  <c r="IL103" i="1"/>
  <c r="IM103" i="1" s="1"/>
  <c r="IL104" i="1"/>
  <c r="IM104" i="1" s="1"/>
  <c r="IL105" i="1"/>
  <c r="IM105" i="1" s="1"/>
  <c r="IL106" i="1"/>
  <c r="IM106" i="1" s="1"/>
  <c r="IL107" i="1"/>
  <c r="IM107" i="1" s="1"/>
  <c r="IL108" i="1"/>
  <c r="IM108" i="1" s="1"/>
  <c r="IL109" i="1"/>
  <c r="IM109" i="1" s="1"/>
  <c r="IL110" i="1"/>
  <c r="IM110" i="1" s="1"/>
  <c r="IL111" i="1"/>
  <c r="IM111" i="1" s="1"/>
  <c r="IL112" i="1"/>
  <c r="IM112" i="1" s="1"/>
  <c r="IL113" i="1"/>
  <c r="IM113" i="1" s="1"/>
  <c r="IL114" i="1"/>
  <c r="IM114" i="1" s="1"/>
  <c r="IL115" i="1"/>
  <c r="IM115" i="1" s="1"/>
  <c r="IL116" i="1"/>
  <c r="IM116" i="1" s="1"/>
  <c r="IL117" i="1"/>
  <c r="IM117" i="1" s="1"/>
  <c r="IL118" i="1"/>
  <c r="IM118" i="1" s="1"/>
  <c r="IL119" i="1"/>
  <c r="IM119" i="1" s="1"/>
  <c r="IL120" i="1"/>
  <c r="IM120" i="1" s="1"/>
  <c r="IL121" i="1"/>
  <c r="IM121" i="1" s="1"/>
  <c r="IL122" i="1"/>
  <c r="IM122" i="1" s="1"/>
  <c r="IL123" i="1"/>
  <c r="IM123" i="1" s="1"/>
  <c r="IL124" i="1"/>
  <c r="IM124" i="1" s="1"/>
  <c r="IL125" i="1"/>
  <c r="IM125" i="1" s="1"/>
  <c r="IL126" i="1"/>
  <c r="IM126" i="1" s="1"/>
  <c r="IL127" i="1"/>
  <c r="IM127" i="1" s="1"/>
  <c r="IL128" i="1"/>
  <c r="IM128" i="1" s="1"/>
  <c r="IL129" i="1"/>
  <c r="IM129" i="1" s="1"/>
  <c r="IL130" i="1"/>
  <c r="IM130" i="1" s="1"/>
  <c r="IL131" i="1"/>
  <c r="IM131" i="1" s="1"/>
  <c r="IL132" i="1"/>
  <c r="IM132" i="1" s="1"/>
  <c r="IL133" i="1"/>
  <c r="IM133" i="1" s="1"/>
  <c r="IL134" i="1"/>
  <c r="IM134" i="1" s="1"/>
  <c r="IL135" i="1"/>
  <c r="IM135" i="1" s="1"/>
  <c r="IL136" i="1"/>
  <c r="IM136" i="1" s="1"/>
  <c r="IL137" i="1"/>
  <c r="IM137" i="1" s="1"/>
  <c r="IL138" i="1"/>
  <c r="IM138" i="1" s="1"/>
  <c r="IL139" i="1"/>
  <c r="IM139" i="1" s="1"/>
  <c r="IL140" i="1"/>
  <c r="IM140" i="1" s="1"/>
  <c r="IL141" i="1"/>
  <c r="IM141" i="1" s="1"/>
  <c r="IL142" i="1"/>
  <c r="IM142" i="1" s="1"/>
  <c r="IL143" i="1"/>
  <c r="IM143" i="1" s="1"/>
  <c r="IL144" i="1"/>
  <c r="IM144" i="1" s="1"/>
  <c r="IL145" i="1"/>
  <c r="IM145" i="1" s="1"/>
  <c r="IL146" i="1"/>
  <c r="IM146" i="1" s="1"/>
  <c r="IL147" i="1"/>
  <c r="IM147" i="1" s="1"/>
  <c r="IL148" i="1"/>
  <c r="IM148" i="1" s="1"/>
  <c r="IL149" i="1"/>
  <c r="IM149" i="1" s="1"/>
  <c r="IL150" i="1"/>
  <c r="IM150" i="1" s="1"/>
  <c r="IL151" i="1"/>
  <c r="IM151" i="1" s="1"/>
  <c r="IL152" i="1"/>
  <c r="IM152" i="1" s="1"/>
  <c r="IL153" i="1"/>
  <c r="IM153" i="1" s="1"/>
  <c r="IL154" i="1"/>
  <c r="IM154" i="1" s="1"/>
  <c r="IL155" i="1"/>
  <c r="IM155" i="1" s="1"/>
  <c r="IL156" i="1"/>
  <c r="IM156" i="1" s="1"/>
  <c r="IL157" i="1"/>
  <c r="IM157" i="1" s="1"/>
  <c r="IL158" i="1"/>
  <c r="IM158" i="1" s="1"/>
  <c r="IL159" i="1"/>
  <c r="IM159" i="1" s="1"/>
  <c r="IL160" i="1"/>
  <c r="IM160" i="1" s="1"/>
  <c r="IL161" i="1"/>
  <c r="IM161" i="1" s="1"/>
  <c r="IL162" i="1"/>
  <c r="IM162" i="1" s="1"/>
  <c r="IL163" i="1"/>
  <c r="IM163" i="1" s="1"/>
  <c r="IL164" i="1"/>
  <c r="IM164" i="1" s="1"/>
  <c r="IL165" i="1"/>
  <c r="IM165" i="1" s="1"/>
  <c r="IL166" i="1"/>
  <c r="IM166" i="1" s="1"/>
  <c r="IL167" i="1"/>
  <c r="IM167" i="1" s="1"/>
  <c r="IL168" i="1"/>
  <c r="IM168" i="1" s="1"/>
  <c r="IL169" i="1"/>
  <c r="IM169" i="1" s="1"/>
  <c r="IL170" i="1"/>
  <c r="IM170" i="1" s="1"/>
  <c r="IL171" i="1"/>
  <c r="IM171" i="1" s="1"/>
  <c r="IL172" i="1"/>
  <c r="IM172" i="1" s="1"/>
  <c r="IL173" i="1"/>
  <c r="IM173" i="1" s="1"/>
  <c r="IL174" i="1"/>
  <c r="IM174" i="1" s="1"/>
  <c r="IL175" i="1"/>
  <c r="IM175" i="1" s="1"/>
  <c r="IL176" i="1"/>
  <c r="IM176" i="1" s="1"/>
  <c r="IL177" i="1"/>
  <c r="IM177" i="1" s="1"/>
  <c r="IL178" i="1"/>
  <c r="IM178" i="1" s="1"/>
  <c r="IL179" i="1"/>
  <c r="IM179" i="1" s="1"/>
  <c r="IL180" i="1"/>
  <c r="IM180" i="1" s="1"/>
  <c r="IL181" i="1"/>
  <c r="IM181" i="1" s="1"/>
  <c r="IL182" i="1"/>
  <c r="IM182" i="1" s="1"/>
  <c r="IL183" i="1"/>
  <c r="IM183" i="1" s="1"/>
  <c r="IL184" i="1"/>
  <c r="IM184" i="1" s="1"/>
  <c r="IL185" i="1"/>
  <c r="IM185" i="1" s="1"/>
  <c r="IL186" i="1"/>
  <c r="IM186" i="1" s="1"/>
  <c r="IL187" i="1"/>
  <c r="IM187" i="1" s="1"/>
  <c r="IL188" i="1"/>
  <c r="IM188" i="1" s="1"/>
  <c r="IL189" i="1"/>
  <c r="IM189" i="1" s="1"/>
  <c r="IL190" i="1"/>
  <c r="IM190" i="1" s="1"/>
  <c r="IL191" i="1"/>
  <c r="IM191" i="1" s="1"/>
  <c r="IL192" i="1"/>
  <c r="IM192" i="1" s="1"/>
  <c r="IL193" i="1"/>
  <c r="IM193" i="1" s="1"/>
  <c r="IL194" i="1"/>
  <c r="IM194" i="1" s="1"/>
  <c r="IL195" i="1"/>
  <c r="IM195" i="1" s="1"/>
  <c r="IL196" i="1"/>
  <c r="IM196" i="1" s="1"/>
  <c r="IL197" i="1"/>
  <c r="IM197" i="1" s="1"/>
  <c r="IL198" i="1"/>
  <c r="IM198" i="1" s="1"/>
  <c r="IL199" i="1"/>
  <c r="IM199" i="1" s="1"/>
  <c r="IL200" i="1"/>
  <c r="IM200" i="1" s="1"/>
  <c r="DC15" i="25" l="1"/>
  <c r="DN15" i="25"/>
  <c r="BE5" i="25"/>
  <c r="BE6" i="25" s="1"/>
  <c r="BE7" i="25" s="1"/>
  <c r="BE8" i="25" s="1"/>
  <c r="BE9" i="25" s="1"/>
  <c r="BE10" i="25" s="1"/>
  <c r="BE11" i="25" s="1"/>
  <c r="BE12" i="25" s="1"/>
  <c r="BE13" i="25" s="1"/>
  <c r="BE14" i="25" s="1"/>
  <c r="BE15" i="25" s="1"/>
  <c r="BE16" i="25" s="1"/>
  <c r="BE17" i="25" s="1"/>
  <c r="BE18" i="25" s="1"/>
  <c r="BE19" i="25" s="1"/>
  <c r="BE20" i="25" s="1"/>
  <c r="BE21" i="25" s="1"/>
  <c r="BE22" i="25" s="1"/>
  <c r="BE23" i="25" s="1"/>
  <c r="BE24" i="25" s="1"/>
  <c r="BE25" i="25" s="1"/>
  <c r="BE26" i="25" s="1"/>
  <c r="BE27" i="25" s="1"/>
  <c r="BE28" i="25" s="1"/>
  <c r="BE29" i="25" s="1"/>
  <c r="BE30" i="25" s="1"/>
  <c r="BE31" i="25" s="1"/>
  <c r="BE32" i="25" s="1"/>
  <c r="BE33" i="25" s="1"/>
  <c r="BE34" i="25" s="1"/>
  <c r="BE35" i="25" s="1"/>
  <c r="BE36" i="25" s="1"/>
  <c r="BE37" i="25" s="1"/>
  <c r="BE38" i="25" s="1"/>
  <c r="BE39" i="25" s="1"/>
  <c r="BE40" i="25" s="1"/>
  <c r="BE41" i="25" s="1"/>
  <c r="BE42" i="25" s="1"/>
  <c r="BE43" i="25" s="1"/>
  <c r="BE44" i="25" s="1"/>
  <c r="BE45" i="25" s="1"/>
  <c r="BE46" i="25" s="1"/>
  <c r="BE47" i="25" s="1"/>
  <c r="BE48" i="25" s="1"/>
  <c r="BE49" i="25" s="1"/>
  <c r="BE50" i="25" s="1"/>
  <c r="BE51" i="25" s="1"/>
  <c r="BE52" i="25" s="1"/>
  <c r="BE53" i="25" s="1"/>
  <c r="BE54" i="25" s="1"/>
  <c r="BE55" i="25" s="1"/>
  <c r="BE56" i="25" s="1"/>
  <c r="BE57" i="25" s="1"/>
  <c r="BE58" i="25" s="1"/>
  <c r="BE59" i="25" s="1"/>
  <c r="BE60" i="25" s="1"/>
  <c r="BF66" i="25"/>
  <c r="BG4" i="25"/>
  <c r="BG5" i="25" s="1"/>
  <c r="BG6" i="25" s="1"/>
  <c r="BG7" i="25" s="1"/>
  <c r="BG8" i="25" s="1"/>
  <c r="BG9" i="25" s="1"/>
  <c r="BG10" i="25" s="1"/>
  <c r="BG11" i="25" s="1"/>
  <c r="BG12" i="25" s="1"/>
  <c r="BG13" i="25" s="1"/>
  <c r="BG14" i="25" s="1"/>
  <c r="BG15" i="25" s="1"/>
  <c r="BG16" i="25" s="1"/>
  <c r="BG17" i="25" s="1"/>
  <c r="BG18" i="25" s="1"/>
  <c r="BG19" i="25" s="1"/>
  <c r="BG20" i="25" s="1"/>
  <c r="BG21" i="25" s="1"/>
  <c r="BG22" i="25" s="1"/>
  <c r="BG23" i="25" s="1"/>
  <c r="BG24" i="25" s="1"/>
  <c r="BG25" i="25" s="1"/>
  <c r="BG26" i="25" s="1"/>
  <c r="BG27" i="25" s="1"/>
  <c r="BG28" i="25" s="1"/>
  <c r="BG29" i="25" s="1"/>
  <c r="BG30" i="25" s="1"/>
  <c r="BG31" i="25" s="1"/>
  <c r="BG32" i="25" s="1"/>
  <c r="BG33" i="25" s="1"/>
  <c r="BG34" i="25" s="1"/>
  <c r="BG35" i="25" s="1"/>
  <c r="BG36" i="25" s="1"/>
  <c r="BG37" i="25" s="1"/>
  <c r="BG38" i="25" s="1"/>
  <c r="BG39" i="25" s="1"/>
  <c r="BG40" i="25" s="1"/>
  <c r="BG41" i="25" s="1"/>
  <c r="BG42" i="25" s="1"/>
  <c r="BG43" i="25" s="1"/>
  <c r="BG44" i="25" s="1"/>
  <c r="BG45" i="25" s="1"/>
  <c r="BG46" i="25" s="1"/>
  <c r="BG47" i="25" s="1"/>
  <c r="BG48" i="25" s="1"/>
  <c r="BG49" i="25" s="1"/>
  <c r="BG50" i="25" s="1"/>
  <c r="BG51" i="25" s="1"/>
  <c r="BG52" i="25" s="1"/>
  <c r="BG53" i="25" s="1"/>
  <c r="BG54" i="25" s="1"/>
  <c r="BG55" i="25" s="1"/>
  <c r="BG56" i="25" s="1"/>
  <c r="BG57" i="25" s="1"/>
  <c r="BG58" i="25" s="1"/>
  <c r="BG59" i="25" s="1"/>
  <c r="BG60" i="25" s="1"/>
  <c r="BD66" i="25"/>
  <c r="HV204" i="1"/>
  <c r="BI207" i="1"/>
  <c r="BI206" i="1"/>
  <c r="BJ76" i="1"/>
  <c r="BJ204" i="1" s="1"/>
  <c r="BI205" i="1"/>
  <c r="BI204" i="1"/>
  <c r="CX16" i="25" l="1"/>
  <c r="IL76" i="1"/>
  <c r="IM76" i="1" s="1"/>
  <c r="DJ16" i="25"/>
  <c r="DI16" i="25"/>
  <c r="CY16" i="25"/>
  <c r="BJ205" i="1"/>
  <c r="BJ206" i="1" s="1"/>
  <c r="BI208" i="1"/>
  <c r="AF215" i="1"/>
  <c r="AF216" i="1"/>
  <c r="AF217" i="1"/>
  <c r="DN16" i="25" l="1"/>
  <c r="DC16" i="25"/>
  <c r="AF218" i="1"/>
  <c r="L101" i="22"/>
  <c r="L100" i="22"/>
  <c r="L99" i="22"/>
  <c r="L98" i="22"/>
  <c r="L97" i="22"/>
  <c r="L96" i="22"/>
  <c r="L95" i="22"/>
  <c r="L94" i="22"/>
  <c r="L93" i="22"/>
  <c r="L92" i="22"/>
  <c r="L91" i="22"/>
  <c r="L90" i="22"/>
  <c r="L89" i="22"/>
  <c r="L88" i="22"/>
  <c r="L87" i="22"/>
  <c r="L86" i="22"/>
  <c r="L85" i="22"/>
  <c r="L84" i="22"/>
  <c r="L83" i="22"/>
  <c r="L82" i="22"/>
  <c r="L81" i="22"/>
  <c r="L80" i="22"/>
  <c r="L79" i="22"/>
  <c r="L78" i="22"/>
  <c r="L77" i="22"/>
  <c r="L76" i="22"/>
  <c r="L75" i="22"/>
  <c r="L74" i="22"/>
  <c r="L73" i="22"/>
  <c r="L72" i="22"/>
  <c r="L71" i="22"/>
  <c r="L70" i="22"/>
  <c r="L69" i="22"/>
  <c r="L68" i="22"/>
  <c r="L67" i="22"/>
  <c r="L66" i="22"/>
  <c r="L65" i="22"/>
  <c r="L64" i="22"/>
  <c r="L63" i="22"/>
  <c r="L62" i="22"/>
  <c r="L61" i="22"/>
  <c r="L60" i="22"/>
  <c r="L59" i="22"/>
  <c r="L58" i="22"/>
  <c r="L57" i="22"/>
  <c r="L56" i="22"/>
  <c r="L55" i="22"/>
  <c r="L54" i="22"/>
  <c r="L53" i="22"/>
  <c r="L52" i="22"/>
  <c r="L51" i="22"/>
  <c r="L50" i="22"/>
  <c r="L49" i="22"/>
  <c r="L48" i="22"/>
  <c r="L47" i="22"/>
  <c r="L46" i="22"/>
  <c r="L45" i="22"/>
  <c r="L44" i="22"/>
  <c r="L43" i="22"/>
  <c r="L42" i="22"/>
  <c r="L41" i="22"/>
  <c r="L40" i="22"/>
  <c r="L39" i="22"/>
  <c r="L38" i="22"/>
  <c r="L37" i="22"/>
  <c r="L36" i="22"/>
  <c r="L35" i="22"/>
  <c r="L34" i="22"/>
  <c r="L33" i="22"/>
  <c r="L32" i="22"/>
  <c r="L31" i="22"/>
  <c r="L30" i="22"/>
  <c r="L29" i="22"/>
  <c r="L28" i="22"/>
  <c r="L27" i="22"/>
  <c r="L26" i="22"/>
  <c r="L25" i="22"/>
  <c r="L24" i="22"/>
  <c r="L23" i="22"/>
  <c r="L22" i="22"/>
  <c r="L21" i="22"/>
  <c r="L20" i="22"/>
  <c r="L19" i="22"/>
  <c r="L18" i="22"/>
  <c r="L17" i="22"/>
  <c r="L16" i="22"/>
  <c r="L15" i="22"/>
  <c r="L14" i="22"/>
  <c r="L13" i="22"/>
  <c r="L12" i="22"/>
  <c r="L11" i="22"/>
  <c r="L10" i="22"/>
  <c r="L9" i="22"/>
  <c r="L8" i="22"/>
  <c r="L7" i="22"/>
  <c r="L6" i="22"/>
  <c r="L5" i="22"/>
  <c r="L4" i="22"/>
  <c r="L3" i="22"/>
  <c r="L2" i="22"/>
  <c r="S74" i="21"/>
  <c r="L202" i="27"/>
  <c r="J202" i="27"/>
  <c r="I202" i="27"/>
  <c r="Y95" i="27"/>
  <c r="X95" i="27"/>
  <c r="DX120" i="25"/>
  <c r="DW120" i="25"/>
  <c r="DV120" i="25"/>
  <c r="DU120" i="25"/>
  <c r="DT120" i="25"/>
  <c r="DS120" i="25"/>
  <c r="DR120" i="25"/>
  <c r="DX117" i="25"/>
  <c r="DW117" i="25"/>
  <c r="DV117" i="25"/>
  <c r="DU117" i="25"/>
  <c r="DT117" i="25"/>
  <c r="DS117" i="25"/>
  <c r="DR117" i="25"/>
  <c r="DR126" i="25" s="1"/>
  <c r="DX116" i="25"/>
  <c r="DW116" i="25"/>
  <c r="DV116" i="25"/>
  <c r="DU116" i="25"/>
  <c r="DT116" i="25"/>
  <c r="DS116" i="25"/>
  <c r="DR125" i="25"/>
  <c r="DX115" i="25"/>
  <c r="DW115" i="25"/>
  <c r="DV115" i="25"/>
  <c r="DU115" i="25"/>
  <c r="DT115" i="25"/>
  <c r="DS115" i="25"/>
  <c r="DR115" i="25"/>
  <c r="DR124" i="25" s="1"/>
  <c r="DX114" i="25"/>
  <c r="DW114" i="25"/>
  <c r="DV114" i="25"/>
  <c r="DU114" i="25"/>
  <c r="DT114" i="25"/>
  <c r="DS114" i="25"/>
  <c r="DR114" i="25"/>
  <c r="DR123" i="25" s="1"/>
  <c r="DX104" i="25"/>
  <c r="DW104" i="25"/>
  <c r="DV104" i="25"/>
  <c r="DU104" i="25"/>
  <c r="DT104" i="25"/>
  <c r="DS104" i="25"/>
  <c r="DR104" i="25"/>
  <c r="DX101" i="25"/>
  <c r="DW101" i="25"/>
  <c r="DV101" i="25"/>
  <c r="DU101" i="25"/>
  <c r="DT101" i="25"/>
  <c r="DS101" i="25"/>
  <c r="DR101" i="25"/>
  <c r="DR110" i="25" s="1"/>
  <c r="DX100" i="25"/>
  <c r="DW100" i="25"/>
  <c r="DV100" i="25"/>
  <c r="DU100" i="25"/>
  <c r="DT100" i="25"/>
  <c r="DS100" i="25"/>
  <c r="DR100" i="25"/>
  <c r="DR109" i="25" s="1"/>
  <c r="DX99" i="25"/>
  <c r="DW99" i="25"/>
  <c r="DV99" i="25"/>
  <c r="DU99" i="25"/>
  <c r="DT99" i="25"/>
  <c r="DS99" i="25"/>
  <c r="DR99" i="25"/>
  <c r="DR108" i="25" s="1"/>
  <c r="DX98" i="25"/>
  <c r="DW98" i="25"/>
  <c r="DV98" i="25"/>
  <c r="DU98" i="25"/>
  <c r="DT98" i="25"/>
  <c r="DS98" i="25"/>
  <c r="DR98" i="25"/>
  <c r="DR107" i="25" s="1"/>
  <c r="DX87" i="25"/>
  <c r="DW87" i="25"/>
  <c r="DV87" i="25"/>
  <c r="DU87" i="25"/>
  <c r="DT87" i="25"/>
  <c r="DS87" i="25"/>
  <c r="DR87" i="25"/>
  <c r="DX84" i="25"/>
  <c r="DW84" i="25"/>
  <c r="DV84" i="25"/>
  <c r="DU84" i="25"/>
  <c r="DT84" i="25"/>
  <c r="DS84" i="25"/>
  <c r="DR84" i="25"/>
  <c r="DR92" i="25" s="1"/>
  <c r="DX83" i="25"/>
  <c r="DW83" i="25"/>
  <c r="DV83" i="25"/>
  <c r="DU83" i="25"/>
  <c r="DT83" i="25"/>
  <c r="DS83" i="25"/>
  <c r="DR83" i="25"/>
  <c r="DR91" i="25" s="1"/>
  <c r="DX82" i="25"/>
  <c r="DW82" i="25"/>
  <c r="DV82" i="25"/>
  <c r="DU82" i="25"/>
  <c r="DT82" i="25"/>
  <c r="DS82" i="25"/>
  <c r="DR82" i="25"/>
  <c r="DR90" i="25" s="1"/>
  <c r="BJ75" i="25"/>
  <c r="DX73" i="25"/>
  <c r="DW73" i="25"/>
  <c r="DV73" i="25"/>
  <c r="DU73" i="25"/>
  <c r="DT73" i="25"/>
  <c r="DS73" i="25"/>
  <c r="DR73" i="25"/>
  <c r="CA72" i="25"/>
  <c r="BZ72" i="25"/>
  <c r="BY72" i="25"/>
  <c r="BX72" i="25"/>
  <c r="BW72" i="25"/>
  <c r="BV72" i="25"/>
  <c r="BU72" i="25"/>
  <c r="CA71" i="25"/>
  <c r="BZ71" i="25"/>
  <c r="BY71" i="25"/>
  <c r="BX71" i="25"/>
  <c r="BW71" i="25"/>
  <c r="BV71" i="25"/>
  <c r="BU71" i="25"/>
  <c r="DX70" i="25"/>
  <c r="DW70" i="25"/>
  <c r="DV70" i="25"/>
  <c r="DU70" i="25"/>
  <c r="DT70" i="25"/>
  <c r="DS70" i="25"/>
  <c r="DR70" i="25"/>
  <c r="DR78" i="25" s="1"/>
  <c r="CA70" i="25"/>
  <c r="BZ70" i="25"/>
  <c r="BY70" i="25"/>
  <c r="BX70" i="25"/>
  <c r="BW70" i="25"/>
  <c r="BV70" i="25"/>
  <c r="BU70" i="25"/>
  <c r="BQ70" i="25"/>
  <c r="BP70" i="25"/>
  <c r="BO70" i="25"/>
  <c r="BN70" i="25"/>
  <c r="BM70" i="25"/>
  <c r="BL70" i="25"/>
  <c r="BK70" i="25"/>
  <c r="DX69" i="25"/>
  <c r="DW69" i="25"/>
  <c r="DV69" i="25"/>
  <c r="DU69" i="25"/>
  <c r="DT69" i="25"/>
  <c r="DS69" i="25"/>
  <c r="DR69" i="25"/>
  <c r="DR77" i="25" s="1"/>
  <c r="CA69" i="25"/>
  <c r="BZ69" i="25"/>
  <c r="BY69" i="25"/>
  <c r="BX69" i="25"/>
  <c r="BW69" i="25"/>
  <c r="BV69" i="25"/>
  <c r="BU69" i="25"/>
  <c r="BQ69" i="25"/>
  <c r="BP69" i="25"/>
  <c r="BO69" i="25"/>
  <c r="BN69" i="25"/>
  <c r="BM69" i="25"/>
  <c r="BL69" i="25"/>
  <c r="BK69" i="25"/>
  <c r="DX68" i="25"/>
  <c r="DW68" i="25"/>
  <c r="DV68" i="25"/>
  <c r="DU68" i="25"/>
  <c r="DT68" i="25"/>
  <c r="DS68" i="25"/>
  <c r="DR68" i="25"/>
  <c r="DR76" i="25" s="1"/>
  <c r="CA68" i="25"/>
  <c r="BZ68" i="25"/>
  <c r="BY68" i="25"/>
  <c r="BX68" i="25"/>
  <c r="BW68" i="25"/>
  <c r="BV68" i="25"/>
  <c r="BU68" i="25"/>
  <c r="BQ68" i="25"/>
  <c r="BP68" i="25"/>
  <c r="BO68" i="25"/>
  <c r="BN68" i="25"/>
  <c r="BM68" i="25"/>
  <c r="BL68" i="25"/>
  <c r="BK68" i="25"/>
  <c r="CA67" i="25"/>
  <c r="BZ67" i="25"/>
  <c r="BY67" i="25"/>
  <c r="BX67" i="25"/>
  <c r="BW67" i="25"/>
  <c r="BV67" i="25"/>
  <c r="BU67" i="25"/>
  <c r="BQ67" i="25"/>
  <c r="BP67" i="25"/>
  <c r="BO67" i="25"/>
  <c r="BN67" i="25"/>
  <c r="BM67" i="25"/>
  <c r="BL67" i="25"/>
  <c r="BK67" i="25"/>
  <c r="BJ64" i="25"/>
  <c r="DX59" i="25"/>
  <c r="DW59" i="25"/>
  <c r="DV59" i="25"/>
  <c r="DU59" i="25"/>
  <c r="DT59" i="25"/>
  <c r="DS59" i="25"/>
  <c r="DR59" i="25"/>
  <c r="DX56" i="25"/>
  <c r="DW56" i="25"/>
  <c r="DV56" i="25"/>
  <c r="DU56" i="25"/>
  <c r="DT56" i="25"/>
  <c r="DS56" i="25"/>
  <c r="DR56" i="25"/>
  <c r="DR64" i="25" s="1"/>
  <c r="DX55" i="25"/>
  <c r="DW55" i="25"/>
  <c r="DV55" i="25"/>
  <c r="DU55" i="25"/>
  <c r="DT55" i="25"/>
  <c r="DS55" i="25"/>
  <c r="DR55" i="25"/>
  <c r="DR63" i="25" s="1"/>
  <c r="DX54" i="25"/>
  <c r="DW54" i="25"/>
  <c r="DV54" i="25"/>
  <c r="DU54" i="25"/>
  <c r="DT54" i="25"/>
  <c r="DS54" i="25"/>
  <c r="DR54" i="25"/>
  <c r="DR62" i="25" s="1"/>
  <c r="DX45" i="25"/>
  <c r="DW45" i="25"/>
  <c r="DV45" i="25"/>
  <c r="DU45" i="25"/>
  <c r="DT45" i="25"/>
  <c r="DS45" i="25"/>
  <c r="DR45" i="25"/>
  <c r="BJ44" i="25"/>
  <c r="DX42" i="25"/>
  <c r="DW42" i="25"/>
  <c r="DV42" i="25"/>
  <c r="DU42" i="25"/>
  <c r="DT42" i="25"/>
  <c r="DS42" i="25"/>
  <c r="DR42" i="25"/>
  <c r="DR50" i="25" s="1"/>
  <c r="DX41" i="25"/>
  <c r="DW41" i="25"/>
  <c r="DV41" i="25"/>
  <c r="DU41" i="25"/>
  <c r="DT41" i="25"/>
  <c r="DS41" i="25"/>
  <c r="DR41" i="25"/>
  <c r="DR49" i="25" s="1"/>
  <c r="CA41" i="25"/>
  <c r="BZ41" i="25"/>
  <c r="BY41" i="25"/>
  <c r="BX41" i="25"/>
  <c r="BW41" i="25"/>
  <c r="BV41" i="25"/>
  <c r="BU41" i="25"/>
  <c r="DX40" i="25"/>
  <c r="DW40" i="25"/>
  <c r="DV40" i="25"/>
  <c r="DU40" i="25"/>
  <c r="DT40" i="25"/>
  <c r="DS40" i="25"/>
  <c r="DR40" i="25"/>
  <c r="DR48" i="25" s="1"/>
  <c r="CA40" i="25"/>
  <c r="BZ40" i="25"/>
  <c r="BY40" i="25"/>
  <c r="BX40" i="25"/>
  <c r="BW40" i="25"/>
  <c r="BV40" i="25"/>
  <c r="BU40" i="25"/>
  <c r="CA39" i="25"/>
  <c r="BZ39" i="25"/>
  <c r="BY39" i="25"/>
  <c r="BX39" i="25"/>
  <c r="BW39" i="25"/>
  <c r="BV39" i="25"/>
  <c r="BU39" i="25"/>
  <c r="BQ39" i="25"/>
  <c r="BP39" i="25"/>
  <c r="BO39" i="25"/>
  <c r="BN39" i="25"/>
  <c r="BM39" i="25"/>
  <c r="BL39" i="25"/>
  <c r="BK39" i="25"/>
  <c r="CA38" i="25"/>
  <c r="BZ38" i="25"/>
  <c r="BY38" i="25"/>
  <c r="BX38" i="25"/>
  <c r="BW38" i="25"/>
  <c r="BV38" i="25"/>
  <c r="BU38" i="25"/>
  <c r="BQ38" i="25"/>
  <c r="BP38" i="25"/>
  <c r="BO38" i="25"/>
  <c r="BN38" i="25"/>
  <c r="BM38" i="25"/>
  <c r="BL38" i="25"/>
  <c r="BK38" i="25"/>
  <c r="CA37" i="25"/>
  <c r="BZ37" i="25"/>
  <c r="BY37" i="25"/>
  <c r="BX37" i="25"/>
  <c r="BW37" i="25"/>
  <c r="BV37" i="25"/>
  <c r="BU37" i="25"/>
  <c r="BQ37" i="25"/>
  <c r="BP37" i="25"/>
  <c r="BO37" i="25"/>
  <c r="BN37" i="25"/>
  <c r="BM37" i="25"/>
  <c r="BL37" i="25"/>
  <c r="BK37" i="25"/>
  <c r="CA36" i="25"/>
  <c r="BZ36" i="25"/>
  <c r="BY36" i="25"/>
  <c r="BX36" i="25"/>
  <c r="BW36" i="25"/>
  <c r="BV36" i="25"/>
  <c r="BU36" i="25"/>
  <c r="BQ36" i="25"/>
  <c r="BP36" i="25"/>
  <c r="BO36" i="25"/>
  <c r="BN36" i="25"/>
  <c r="BM36" i="25"/>
  <c r="BL36" i="25"/>
  <c r="BK36" i="25"/>
  <c r="BJ33" i="25"/>
  <c r="DX28" i="25"/>
  <c r="DW28" i="25"/>
  <c r="DV28" i="25"/>
  <c r="DU28" i="25"/>
  <c r="DT28" i="25"/>
  <c r="DS28" i="25"/>
  <c r="DR28" i="25"/>
  <c r="DX25" i="25"/>
  <c r="DW25" i="25"/>
  <c r="DV25" i="25"/>
  <c r="DU25" i="25"/>
  <c r="DT25" i="25"/>
  <c r="DS25" i="25"/>
  <c r="DR25" i="25"/>
  <c r="DR36" i="25" s="1"/>
  <c r="DX24" i="25"/>
  <c r="DW24" i="25"/>
  <c r="DV24" i="25"/>
  <c r="DU24" i="25"/>
  <c r="DT24" i="25"/>
  <c r="DS24" i="25"/>
  <c r="DR24" i="25"/>
  <c r="DR35" i="25" s="1"/>
  <c r="DX23" i="25"/>
  <c r="DW23" i="25"/>
  <c r="DV23" i="25"/>
  <c r="DU23" i="25"/>
  <c r="DT23" i="25"/>
  <c r="DS23" i="25"/>
  <c r="DR23" i="25"/>
  <c r="DR34" i="25" s="1"/>
  <c r="DX22" i="25"/>
  <c r="DW22" i="25"/>
  <c r="DV22" i="25"/>
  <c r="DU22" i="25"/>
  <c r="DT22" i="25"/>
  <c r="DS22" i="25"/>
  <c r="DR22" i="25"/>
  <c r="DR33" i="25" s="1"/>
  <c r="DX21" i="25"/>
  <c r="DW21" i="25"/>
  <c r="DV21" i="25"/>
  <c r="DU21" i="25"/>
  <c r="DT21" i="25"/>
  <c r="DS21" i="25"/>
  <c r="DR21" i="25"/>
  <c r="DR32" i="25" s="1"/>
  <c r="DX20" i="25"/>
  <c r="DW20" i="25"/>
  <c r="DV20" i="25"/>
  <c r="DU20" i="25"/>
  <c r="DT20" i="25"/>
  <c r="DS20" i="25"/>
  <c r="DR20" i="25"/>
  <c r="DR31" i="25" s="1"/>
  <c r="DK14" i="25"/>
  <c r="DJ14" i="25"/>
  <c r="DI14" i="25"/>
  <c r="CZ14" i="25"/>
  <c r="CY14" i="25"/>
  <c r="CX14" i="25"/>
  <c r="DK13" i="25"/>
  <c r="DJ13" i="25"/>
  <c r="DI13" i="25"/>
  <c r="CZ13" i="25"/>
  <c r="CY13" i="25"/>
  <c r="CX13" i="25"/>
  <c r="DJ12" i="25"/>
  <c r="DI12" i="25"/>
  <c r="CY12" i="25"/>
  <c r="CX12" i="25"/>
  <c r="BJ12" i="25"/>
  <c r="DK11" i="25"/>
  <c r="DJ11" i="25"/>
  <c r="DI11" i="25"/>
  <c r="CZ11" i="25"/>
  <c r="CY11" i="25"/>
  <c r="CX11" i="25"/>
  <c r="DX10" i="25"/>
  <c r="DW10" i="25"/>
  <c r="DV10" i="25"/>
  <c r="DU10" i="25"/>
  <c r="DT10" i="25"/>
  <c r="DS10" i="25"/>
  <c r="DR10" i="25"/>
  <c r="DJ10" i="25"/>
  <c r="DI10" i="25"/>
  <c r="CY10" i="25"/>
  <c r="CX10" i="25"/>
  <c r="DJ9" i="25"/>
  <c r="DI9" i="25"/>
  <c r="CY9" i="25"/>
  <c r="CX9" i="25"/>
  <c r="BZ9" i="25"/>
  <c r="BY9" i="25"/>
  <c r="BX9" i="25"/>
  <c r="BW9" i="25"/>
  <c r="BV9" i="25"/>
  <c r="BU9" i="25"/>
  <c r="DM8" i="25"/>
  <c r="DL8" i="25"/>
  <c r="DK8" i="25"/>
  <c r="DJ8" i="25"/>
  <c r="DI8" i="25"/>
  <c r="DB8" i="25"/>
  <c r="DA8" i="25"/>
  <c r="CZ8" i="25"/>
  <c r="CY8" i="25"/>
  <c r="CX8" i="25"/>
  <c r="BZ8" i="25"/>
  <c r="BY8" i="25"/>
  <c r="BX8" i="25"/>
  <c r="BW8" i="25"/>
  <c r="BV8" i="25"/>
  <c r="BU8" i="25"/>
  <c r="DX7" i="25"/>
  <c r="DW7" i="25"/>
  <c r="DV7" i="25"/>
  <c r="DU7" i="25"/>
  <c r="DT7" i="25"/>
  <c r="DS7" i="25"/>
  <c r="DR7" i="25"/>
  <c r="DR16" i="25" s="1"/>
  <c r="DL7" i="25"/>
  <c r="DK7" i="25"/>
  <c r="DJ7" i="25"/>
  <c r="DI7" i="25"/>
  <c r="DA7" i="25"/>
  <c r="CZ7" i="25"/>
  <c r="CY7" i="25"/>
  <c r="CX7" i="25"/>
  <c r="BZ7" i="25"/>
  <c r="BY7" i="25"/>
  <c r="BX7" i="25"/>
  <c r="BW7" i="25"/>
  <c r="BV7" i="25"/>
  <c r="BU7" i="25"/>
  <c r="BP7" i="25"/>
  <c r="BO7" i="25"/>
  <c r="BN7" i="25"/>
  <c r="BM7" i="25"/>
  <c r="BL7" i="25"/>
  <c r="BK7" i="25"/>
  <c r="DX6" i="25"/>
  <c r="DW6" i="25"/>
  <c r="DV6" i="25"/>
  <c r="DU6" i="25"/>
  <c r="DT6" i="25"/>
  <c r="DS6" i="25"/>
  <c r="DR6" i="25"/>
  <c r="DR15" i="25" s="1"/>
  <c r="DK6" i="25"/>
  <c r="DJ6" i="25"/>
  <c r="DI6" i="25"/>
  <c r="CZ6" i="25"/>
  <c r="CY6" i="25"/>
  <c r="CX6" i="25"/>
  <c r="BZ6" i="25"/>
  <c r="BY6" i="25"/>
  <c r="BX6" i="25"/>
  <c r="BW6" i="25"/>
  <c r="BV6" i="25"/>
  <c r="BU6" i="25"/>
  <c r="BP6" i="25"/>
  <c r="BO6" i="25"/>
  <c r="BN6" i="25"/>
  <c r="BM6" i="25"/>
  <c r="BL6" i="25"/>
  <c r="BK6" i="25"/>
  <c r="DX5" i="25"/>
  <c r="DW5" i="25"/>
  <c r="DV5" i="25"/>
  <c r="DU5" i="25"/>
  <c r="DT5" i="25"/>
  <c r="DS5" i="25"/>
  <c r="DR5" i="25"/>
  <c r="DR14" i="25" s="1"/>
  <c r="DK5" i="25"/>
  <c r="DJ5" i="25"/>
  <c r="DI5" i="25"/>
  <c r="CZ5" i="25"/>
  <c r="CY5" i="25"/>
  <c r="CX5" i="25"/>
  <c r="BZ5" i="25"/>
  <c r="BY5" i="25"/>
  <c r="BX5" i="25"/>
  <c r="BW5" i="25"/>
  <c r="BV5" i="25"/>
  <c r="BU5" i="25"/>
  <c r="BP5" i="25"/>
  <c r="BO5" i="25"/>
  <c r="BN5" i="25"/>
  <c r="BM5" i="25"/>
  <c r="BL5" i="25"/>
  <c r="BK5" i="25"/>
  <c r="DX4" i="25"/>
  <c r="DW4" i="25"/>
  <c r="DV4" i="25"/>
  <c r="DU4" i="25"/>
  <c r="DT4" i="25"/>
  <c r="DS4" i="25"/>
  <c r="DR4" i="25"/>
  <c r="DR13" i="25" s="1"/>
  <c r="DK4" i="25"/>
  <c r="DJ4" i="25"/>
  <c r="DI4" i="25"/>
  <c r="CZ4" i="25"/>
  <c r="CY4" i="25"/>
  <c r="CX4" i="25"/>
  <c r="BZ4" i="25"/>
  <c r="BY4" i="25"/>
  <c r="BX4" i="25"/>
  <c r="BW4" i="25"/>
  <c r="BV4" i="25"/>
  <c r="BU4" i="25"/>
  <c r="BP4" i="25"/>
  <c r="BO4" i="25"/>
  <c r="BN4" i="25"/>
  <c r="BM4" i="25"/>
  <c r="BL4" i="25"/>
  <c r="BK4" i="25"/>
  <c r="AU4" i="25"/>
  <c r="AQ4" i="25"/>
  <c r="CE1" i="25"/>
  <c r="BJ1" i="25"/>
  <c r="AE1" i="25"/>
  <c r="T1" i="25"/>
  <c r="N1" i="25"/>
  <c r="GS225" i="1"/>
  <c r="GS224" i="1"/>
  <c r="GS223" i="1"/>
  <c r="GS222" i="1"/>
  <c r="GS221" i="1"/>
  <c r="GD221" i="1"/>
  <c r="GS220" i="1"/>
  <c r="GD220" i="1"/>
  <c r="GS219" i="1"/>
  <c r="GD219" i="1"/>
  <c r="GS218" i="1"/>
  <c r="GS217" i="1"/>
  <c r="GS216" i="1"/>
  <c r="GE216" i="1"/>
  <c r="GS215" i="1"/>
  <c r="GE215" i="1"/>
  <c r="GS214" i="1"/>
  <c r="GE214" i="1"/>
  <c r="AL214" i="1"/>
  <c r="AL219" i="1" s="1"/>
  <c r="GS213" i="1"/>
  <c r="GE213" i="1"/>
  <c r="AL213" i="1"/>
  <c r="AK213" i="1"/>
  <c r="GS212" i="1"/>
  <c r="GE212" i="1"/>
  <c r="AL212" i="1"/>
  <c r="AK212" i="1"/>
  <c r="GS211" i="1"/>
  <c r="GE211" i="1"/>
  <c r="AL211" i="1"/>
  <c r="AK211" i="1"/>
  <c r="AG211" i="1"/>
  <c r="GS210" i="1"/>
  <c r="GE210" i="1"/>
  <c r="AL210" i="1"/>
  <c r="AK210" i="1"/>
  <c r="AG210" i="1"/>
  <c r="Q210" i="1"/>
  <c r="GS209" i="1"/>
  <c r="GE209" i="1"/>
  <c r="AT209" i="1"/>
  <c r="AL209" i="1"/>
  <c r="AK209" i="1"/>
  <c r="AG209" i="1"/>
  <c r="Q209" i="1"/>
  <c r="J209" i="1"/>
  <c r="D209" i="1"/>
  <c r="GS208" i="1"/>
  <c r="GE208" i="1"/>
  <c r="FI208" i="1"/>
  <c r="AT208" i="1"/>
  <c r="AL208" i="1"/>
  <c r="AK208" i="1"/>
  <c r="AG208" i="1"/>
  <c r="Q208" i="1"/>
  <c r="J208" i="1"/>
  <c r="D208" i="1"/>
  <c r="GS207" i="1"/>
  <c r="GE207" i="1"/>
  <c r="FI207" i="1"/>
  <c r="EI207" i="1"/>
  <c r="AT207" i="1"/>
  <c r="AL207" i="1"/>
  <c r="AK207" i="1"/>
  <c r="AG207" i="1"/>
  <c r="AF207" i="1"/>
  <c r="Q207" i="1"/>
  <c r="J207" i="1"/>
  <c r="E207" i="1"/>
  <c r="D207" i="1"/>
  <c r="II206" i="1"/>
  <c r="GS206" i="1"/>
  <c r="GN206" i="1"/>
  <c r="GI206" i="1"/>
  <c r="GF206" i="1"/>
  <c r="GE206" i="1"/>
  <c r="FI206" i="1"/>
  <c r="EJ206" i="1"/>
  <c r="EI206" i="1"/>
  <c r="BE206" i="1"/>
  <c r="BB206" i="1"/>
  <c r="AT206" i="1"/>
  <c r="AS206" i="1"/>
  <c r="AL206" i="1"/>
  <c r="AK206" i="1"/>
  <c r="AG206" i="1"/>
  <c r="AF206" i="1"/>
  <c r="U206" i="1"/>
  <c r="T206" i="1"/>
  <c r="Q206" i="1"/>
  <c r="L206" i="1"/>
  <c r="J206" i="1"/>
  <c r="E206" i="1"/>
  <c r="D206" i="1"/>
  <c r="IJ205" i="1"/>
  <c r="II205" i="1"/>
  <c r="GS205" i="1"/>
  <c r="GN205" i="1"/>
  <c r="GI205" i="1"/>
  <c r="GF205" i="1"/>
  <c r="GE205" i="1"/>
  <c r="GB205" i="1"/>
  <c r="FZ205" i="1"/>
  <c r="FX205" i="1"/>
  <c r="FV205" i="1"/>
  <c r="FT205" i="1"/>
  <c r="FR205" i="1"/>
  <c r="FP205" i="1"/>
  <c r="FI205" i="1"/>
  <c r="EJ205" i="1"/>
  <c r="EI205" i="1"/>
  <c r="BG205" i="1"/>
  <c r="BE205" i="1"/>
  <c r="BB205" i="1"/>
  <c r="BA205" i="1"/>
  <c r="AX205" i="1"/>
  <c r="AT205" i="1"/>
  <c r="AS205" i="1"/>
  <c r="AL205" i="1"/>
  <c r="AK205" i="1"/>
  <c r="AJ205" i="1"/>
  <c r="AI205" i="1"/>
  <c r="AG205" i="1"/>
  <c r="AF205" i="1"/>
  <c r="U205" i="1"/>
  <c r="T205" i="1"/>
  <c r="Q205" i="1"/>
  <c r="L205" i="1"/>
  <c r="J205" i="1"/>
  <c r="E205" i="1"/>
  <c r="D205" i="1"/>
  <c r="IJ204" i="1"/>
  <c r="II204" i="1"/>
  <c r="IC204" i="1"/>
  <c r="IB204" i="1"/>
  <c r="IA204" i="1"/>
  <c r="HZ204" i="1"/>
  <c r="HY204" i="1"/>
  <c r="HX204" i="1"/>
  <c r="HW204" i="1"/>
  <c r="HU204" i="1"/>
  <c r="HT204" i="1"/>
  <c r="HS204" i="1"/>
  <c r="HR204" i="1"/>
  <c r="HQ204" i="1"/>
  <c r="HP204" i="1"/>
  <c r="HO204" i="1"/>
  <c r="HN204" i="1"/>
  <c r="HM204" i="1"/>
  <c r="HL204" i="1"/>
  <c r="HK204" i="1"/>
  <c r="GZ204" i="1"/>
  <c r="GS204" i="1"/>
  <c r="GN204" i="1"/>
  <c r="GI204" i="1"/>
  <c r="GF204" i="1"/>
  <c r="GE204" i="1"/>
  <c r="GB204" i="1"/>
  <c r="FZ204" i="1"/>
  <c r="FX204" i="1"/>
  <c r="FV204" i="1"/>
  <c r="FV206" i="1" s="1"/>
  <c r="FT204" i="1"/>
  <c r="FR204" i="1"/>
  <c r="FP204" i="1"/>
  <c r="FI204" i="1"/>
  <c r="ER204" i="1"/>
  <c r="EJ204" i="1"/>
  <c r="EI204" i="1"/>
  <c r="BG204" i="1"/>
  <c r="BE204" i="1"/>
  <c r="BB204" i="1"/>
  <c r="BA204" i="1"/>
  <c r="AX204" i="1"/>
  <c r="AT204" i="1"/>
  <c r="AS204" i="1"/>
  <c r="AL204" i="1"/>
  <c r="AJ204" i="1"/>
  <c r="AJ206" i="1" s="1"/>
  <c r="AI204" i="1"/>
  <c r="AG204" i="1"/>
  <c r="AF204" i="1"/>
  <c r="U204" i="1"/>
  <c r="T204" i="1"/>
  <c r="Q204" i="1"/>
  <c r="L204" i="1"/>
  <c r="J204" i="1"/>
  <c r="E204" i="1"/>
  <c r="D204" i="1"/>
  <c r="IK203" i="1"/>
  <c r="IH203" i="1"/>
  <c r="IG203" i="1"/>
  <c r="EE203" i="1"/>
  <c r="EB203" i="1"/>
  <c r="BH203" i="1"/>
  <c r="BF203" i="1"/>
  <c r="BD203" i="1"/>
  <c r="BC203" i="1"/>
  <c r="AZ203" i="1"/>
  <c r="AY203" i="1"/>
  <c r="AW203" i="1"/>
  <c r="AV203" i="1"/>
  <c r="AU203" i="1"/>
  <c r="AR203" i="1"/>
  <c r="AQ203" i="1"/>
  <c r="AP203" i="1"/>
  <c r="AO203" i="1"/>
  <c r="AM203" i="1"/>
  <c r="AK203" i="1"/>
  <c r="AH203" i="1"/>
  <c r="AE203" i="1"/>
  <c r="AD203" i="1"/>
  <c r="AC203" i="1"/>
  <c r="AB203" i="1"/>
  <c r="AA203" i="1"/>
  <c r="Z203" i="1"/>
  <c r="Y203" i="1"/>
  <c r="X203" i="1"/>
  <c r="W203" i="1"/>
  <c r="V203" i="1"/>
  <c r="S203" i="1"/>
  <c r="R203" i="1"/>
  <c r="P203" i="1"/>
  <c r="O203" i="1"/>
  <c r="N203" i="1"/>
  <c r="M203" i="1"/>
  <c r="K203" i="1"/>
  <c r="I203" i="1"/>
  <c r="H203" i="1"/>
  <c r="IN200" i="1"/>
  <c r="EA200" i="1"/>
  <c r="IN199" i="1"/>
  <c r="IN198" i="1"/>
  <c r="IN197" i="1"/>
  <c r="IN196" i="1"/>
  <c r="IN195" i="1"/>
  <c r="IN194" i="1"/>
  <c r="IN193" i="1"/>
  <c r="IN192" i="1"/>
  <c r="IN191" i="1"/>
  <c r="IN190" i="1"/>
  <c r="IN189" i="1"/>
  <c r="IN188" i="1"/>
  <c r="IN187" i="1"/>
  <c r="IN186" i="1"/>
  <c r="IN185" i="1"/>
  <c r="IN184" i="1"/>
  <c r="EA184" i="1"/>
  <c r="IN183" i="1"/>
  <c r="EA183" i="1"/>
  <c r="IN182" i="1"/>
  <c r="IN181" i="1"/>
  <c r="ED181" i="1"/>
  <c r="EA181" i="1"/>
  <c r="IN180" i="1"/>
  <c r="IN179" i="1"/>
  <c r="EA179" i="1"/>
  <c r="IN178" i="1"/>
  <c r="IN177" i="1"/>
  <c r="IN176" i="1"/>
  <c r="IN175" i="1"/>
  <c r="IN174" i="1"/>
  <c r="EA174" i="1"/>
  <c r="IN173" i="1"/>
  <c r="IN172" i="1"/>
  <c r="IN171" i="1"/>
  <c r="IN170" i="1"/>
  <c r="ED170" i="1"/>
  <c r="EA170" i="1"/>
  <c r="IN169" i="1"/>
  <c r="IN168" i="1"/>
  <c r="IN167" i="1"/>
  <c r="IN166" i="1"/>
  <c r="ED166" i="1"/>
  <c r="EA166" i="1"/>
  <c r="IN165" i="1"/>
  <c r="IN164" i="1"/>
  <c r="IN163" i="1"/>
  <c r="IN162" i="1"/>
  <c r="EA162" i="1"/>
  <c r="IN161" i="1"/>
  <c r="IN160" i="1"/>
  <c r="IN159" i="1"/>
  <c r="IN158" i="1"/>
  <c r="EA158" i="1"/>
  <c r="IN157" i="1"/>
  <c r="IN156" i="1"/>
  <c r="IN155" i="1"/>
  <c r="IN154" i="1"/>
  <c r="IN153" i="1"/>
  <c r="IN152" i="1"/>
  <c r="ED152" i="1"/>
  <c r="IN151" i="1"/>
  <c r="EA151" i="1"/>
  <c r="IN150" i="1"/>
  <c r="EA150" i="1"/>
  <c r="IN149" i="1"/>
  <c r="EA149" i="1"/>
  <c r="IN148" i="1"/>
  <c r="IN147" i="1"/>
  <c r="IN146" i="1"/>
  <c r="IN145" i="1"/>
  <c r="IN144" i="1"/>
  <c r="IN143" i="1"/>
  <c r="IN142" i="1"/>
  <c r="IN141" i="1"/>
  <c r="IN140" i="1"/>
  <c r="IN139" i="1"/>
  <c r="IN138" i="1"/>
  <c r="IN137" i="1"/>
  <c r="IN136" i="1"/>
  <c r="IN135" i="1"/>
  <c r="IN134" i="1"/>
  <c r="IN133" i="1"/>
  <c r="IN132" i="1"/>
  <c r="IN131" i="1"/>
  <c r="IN130" i="1"/>
  <c r="IN129" i="1"/>
  <c r="IN128" i="1"/>
  <c r="IN127" i="1"/>
  <c r="IN126" i="1"/>
  <c r="IN125" i="1"/>
  <c r="ED125" i="1"/>
  <c r="EA125" i="1"/>
  <c r="IN124" i="1"/>
  <c r="IN123" i="1"/>
  <c r="IN122" i="1"/>
  <c r="IN121" i="1"/>
  <c r="ED121" i="1"/>
  <c r="IN120" i="1"/>
  <c r="IN119" i="1"/>
  <c r="IN118" i="1"/>
  <c r="IN117" i="1"/>
  <c r="EA117" i="1"/>
  <c r="IN116" i="1"/>
  <c r="IN114" i="1"/>
  <c r="IN113" i="1"/>
  <c r="IN112" i="1"/>
  <c r="IN111" i="1"/>
  <c r="EA111" i="1"/>
  <c r="IN110" i="1"/>
  <c r="EA110" i="1"/>
  <c r="IN109" i="1"/>
  <c r="IN108" i="1"/>
  <c r="IN107" i="1"/>
  <c r="IN106" i="1"/>
  <c r="IN105" i="1"/>
  <c r="IN104" i="1"/>
  <c r="IN103" i="1"/>
  <c r="IN102" i="1"/>
  <c r="ED102" i="1"/>
  <c r="EA102" i="1"/>
  <c r="IN101" i="1"/>
  <c r="IN100" i="1"/>
  <c r="IN99" i="1"/>
  <c r="ED99" i="1"/>
  <c r="EA99" i="1"/>
  <c r="IN98" i="1"/>
  <c r="IN97" i="1"/>
  <c r="IN96" i="1"/>
  <c r="IN95" i="1"/>
  <c r="IN94" i="1"/>
  <c r="EA94" i="1"/>
  <c r="IN93" i="1"/>
  <c r="EA93" i="1"/>
  <c r="IN92" i="1"/>
  <c r="EA92" i="1"/>
  <c r="IN91" i="1"/>
  <c r="IN90" i="1"/>
  <c r="IN89" i="1"/>
  <c r="IN88" i="1"/>
  <c r="IN87" i="1"/>
  <c r="IN86" i="1"/>
  <c r="EA86" i="1"/>
  <c r="IN85" i="1"/>
  <c r="IN84" i="1"/>
  <c r="IN83" i="1"/>
  <c r="IN82" i="1"/>
  <c r="IN81" i="1"/>
  <c r="IN80" i="1"/>
  <c r="IN79" i="1"/>
  <c r="IN78" i="1"/>
  <c r="IN77" i="1"/>
  <c r="IN76" i="1"/>
  <c r="IN75" i="1"/>
  <c r="IN74" i="1"/>
  <c r="IN73" i="1"/>
  <c r="IN72" i="1"/>
  <c r="IN71" i="1"/>
  <c r="IN70" i="1"/>
  <c r="IN69" i="1"/>
  <c r="EA69" i="1"/>
  <c r="IN68" i="1"/>
  <c r="IN67" i="1"/>
  <c r="IN66" i="1"/>
  <c r="IN65" i="1"/>
  <c r="IN64" i="1"/>
  <c r="IN63" i="1"/>
  <c r="IN62" i="1"/>
  <c r="IN61" i="1"/>
  <c r="IN60" i="1"/>
  <c r="IN59" i="1"/>
  <c r="IN58" i="1"/>
  <c r="EA58" i="1"/>
  <c r="IN57" i="1"/>
  <c r="EA57" i="1"/>
  <c r="IN56" i="1"/>
  <c r="EA56" i="1"/>
  <c r="IN55" i="1"/>
  <c r="IN54" i="1"/>
  <c r="IN53" i="1"/>
  <c r="IN52" i="1"/>
  <c r="IN51" i="1"/>
  <c r="EA51" i="1"/>
  <c r="IN50" i="1"/>
  <c r="IN49" i="1"/>
  <c r="IN48" i="1"/>
  <c r="EA48" i="1"/>
  <c r="IN47" i="1"/>
  <c r="IN46" i="1"/>
  <c r="IN45" i="1"/>
  <c r="IN44" i="1"/>
  <c r="IN43" i="1"/>
  <c r="IN42" i="1"/>
  <c r="IN41" i="1"/>
  <c r="IN40" i="1"/>
  <c r="IN39" i="1"/>
  <c r="IN38" i="1"/>
  <c r="IN37" i="1"/>
  <c r="IN36" i="1"/>
  <c r="IN35" i="1"/>
  <c r="IN34" i="1"/>
  <c r="IN33" i="1"/>
  <c r="IN32" i="1"/>
  <c r="IN31" i="1"/>
  <c r="IN30" i="1"/>
  <c r="IN29" i="1"/>
  <c r="IN28" i="1"/>
  <c r="EA28" i="1"/>
  <c r="IN27" i="1"/>
  <c r="IN26" i="1"/>
  <c r="IN25" i="1"/>
  <c r="IN24" i="1"/>
  <c r="IN23" i="1"/>
  <c r="IN22" i="1"/>
  <c r="IN21" i="1"/>
  <c r="IN20" i="1"/>
  <c r="IN19" i="1"/>
  <c r="IN18" i="1"/>
  <c r="IN17" i="1"/>
  <c r="IN16" i="1"/>
  <c r="IN15" i="1"/>
  <c r="IN14" i="1"/>
  <c r="IN13" i="1"/>
  <c r="IN12" i="1"/>
  <c r="IN11" i="1"/>
  <c r="IN10" i="1"/>
  <c r="IN9" i="1"/>
  <c r="IN8" i="1"/>
  <c r="IN7" i="1"/>
  <c r="IN6" i="1"/>
  <c r="IN5" i="1"/>
  <c r="IN4" i="1"/>
  <c r="IN3" i="1"/>
  <c r="EA3" i="1"/>
  <c r="CH4" i="25"/>
  <c r="CQ6" i="25"/>
  <c r="CI4" i="25"/>
  <c r="CP5" i="25"/>
  <c r="CG7" i="25"/>
  <c r="CO7" i="25"/>
  <c r="CP7" i="25"/>
  <c r="CQ7" i="25"/>
  <c r="CO4" i="25"/>
  <c r="CH6" i="25"/>
  <c r="CF6" i="25"/>
  <c r="CH5" i="25"/>
  <c r="CJ5" i="25"/>
  <c r="CP8" i="25"/>
  <c r="CO6" i="25"/>
  <c r="CQ5" i="25"/>
  <c r="CI6" i="25"/>
  <c r="CI5" i="25"/>
  <c r="CR7" i="25"/>
  <c r="CP6" i="25"/>
  <c r="CO9" i="25"/>
  <c r="CR5" i="25"/>
  <c r="CR9" i="25"/>
  <c r="CN4" i="25"/>
  <c r="CJ6" i="25"/>
  <c r="CF4" i="25"/>
  <c r="CG4" i="25"/>
  <c r="CR4" i="25"/>
  <c r="CQ4" i="25"/>
  <c r="CG5" i="25"/>
  <c r="CJ4" i="25"/>
  <c r="CN9" i="25"/>
  <c r="CQ9" i="25"/>
  <c r="CQ8" i="25"/>
  <c r="CN7" i="25"/>
  <c r="CJ7" i="25"/>
  <c r="CI7" i="25"/>
  <c r="CO8" i="25"/>
  <c r="CR8" i="25"/>
  <c r="CN5" i="25"/>
  <c r="CR6" i="25"/>
  <c r="CF7" i="25"/>
  <c r="CF5" i="25"/>
  <c r="CP4" i="25"/>
  <c r="CG6" i="25"/>
  <c r="CP9" i="25"/>
  <c r="CN8" i="25"/>
  <c r="CH7" i="25"/>
  <c r="CO5" i="25"/>
  <c r="CN6" i="25"/>
  <c r="DN10" i="25" l="1"/>
  <c r="DU78" i="25"/>
  <c r="AQ5" i="25"/>
  <c r="AQ6" i="25" s="1"/>
  <c r="AQ7" i="25" s="1"/>
  <c r="AQ8" i="25" s="1"/>
  <c r="AQ9" i="25" s="1"/>
  <c r="AQ10" i="25" s="1"/>
  <c r="AQ11" i="25" s="1"/>
  <c r="AQ12" i="25" s="1"/>
  <c r="AQ13" i="25" s="1"/>
  <c r="AQ14" i="25" s="1"/>
  <c r="AQ15" i="25" s="1"/>
  <c r="AQ16" i="25" s="1"/>
  <c r="AQ17" i="25" s="1"/>
  <c r="AQ18" i="25" s="1"/>
  <c r="AQ19" i="25" s="1"/>
  <c r="AQ20" i="25" s="1"/>
  <c r="AQ21" i="25" s="1"/>
  <c r="AQ22" i="25" s="1"/>
  <c r="AQ23" i="25" s="1"/>
  <c r="AQ24" i="25" s="1"/>
  <c r="AQ25" i="25" s="1"/>
  <c r="AQ26" i="25" s="1"/>
  <c r="AQ27" i="25" s="1"/>
  <c r="AQ28" i="25" s="1"/>
  <c r="AQ29" i="25" s="1"/>
  <c r="AQ30" i="25" s="1"/>
  <c r="AQ31" i="25" s="1"/>
  <c r="AQ32" i="25" s="1"/>
  <c r="AQ33" i="25" s="1"/>
  <c r="AQ34" i="25" s="1"/>
  <c r="AQ35" i="25" s="1"/>
  <c r="AQ36" i="25" s="1"/>
  <c r="AQ37" i="25" s="1"/>
  <c r="AQ38" i="25" s="1"/>
  <c r="AQ39" i="25" s="1"/>
  <c r="AQ40" i="25" s="1"/>
  <c r="AQ41" i="25" s="1"/>
  <c r="AQ42" i="25" s="1"/>
  <c r="AQ43" i="25" s="1"/>
  <c r="AQ44" i="25" s="1"/>
  <c r="AQ45" i="25" s="1"/>
  <c r="AQ46" i="25" s="1"/>
  <c r="AQ47" i="25" s="1"/>
  <c r="AQ48" i="25" s="1"/>
  <c r="AQ49" i="25" s="1"/>
  <c r="AQ50" i="25" s="1"/>
  <c r="AQ51" i="25" s="1"/>
  <c r="AQ52" i="25" s="1"/>
  <c r="AQ53" i="25" s="1"/>
  <c r="AQ54" i="25" s="1"/>
  <c r="AQ55" i="25" s="1"/>
  <c r="AQ56" i="25" s="1"/>
  <c r="AQ57" i="25" s="1"/>
  <c r="AQ58" i="25" s="1"/>
  <c r="AQ59" i="25" s="1"/>
  <c r="AQ60" i="25" s="1"/>
  <c r="DU50" i="25"/>
  <c r="BX73" i="25"/>
  <c r="DS77" i="25"/>
  <c r="DU77" i="25"/>
  <c r="DC9" i="25"/>
  <c r="BL8" i="25"/>
  <c r="BX10" i="25"/>
  <c r="DN13" i="25"/>
  <c r="DS33" i="25"/>
  <c r="BP8" i="25"/>
  <c r="DT34" i="25"/>
  <c r="DU13" i="25"/>
  <c r="DS15" i="25"/>
  <c r="DN8" i="25"/>
  <c r="DT31" i="25"/>
  <c r="DT64" i="25"/>
  <c r="DT125" i="25"/>
  <c r="DY200" i="1"/>
  <c r="E208" i="1"/>
  <c r="T207" i="1"/>
  <c r="AI206" i="1"/>
  <c r="FT206" i="1"/>
  <c r="GB206" i="1"/>
  <c r="GN207" i="1"/>
  <c r="DS90" i="25"/>
  <c r="DT92" i="25"/>
  <c r="DS108" i="25"/>
  <c r="DU108" i="25"/>
  <c r="DT110" i="25"/>
  <c r="DC12" i="25"/>
  <c r="DC13" i="25"/>
  <c r="DT33" i="25"/>
  <c r="DS34" i="25"/>
  <c r="DU34" i="25"/>
  <c r="DT35" i="25"/>
  <c r="DY28" i="25"/>
  <c r="DS63" i="25"/>
  <c r="DS78" i="25"/>
  <c r="DS109" i="25"/>
  <c r="DS124" i="25"/>
  <c r="DU124" i="25"/>
  <c r="DT126" i="25"/>
  <c r="AU5" i="25"/>
  <c r="AU6" i="25" s="1"/>
  <c r="AU7" i="25" s="1"/>
  <c r="AU8" i="25" s="1"/>
  <c r="AU9" i="25" s="1"/>
  <c r="AU10" i="25" s="1"/>
  <c r="AU11" i="25" s="1"/>
  <c r="AU12" i="25" s="1"/>
  <c r="AU13" i="25" s="1"/>
  <c r="AU14" i="25" s="1"/>
  <c r="AU15" i="25" s="1"/>
  <c r="AU16" i="25" s="1"/>
  <c r="AU17" i="25" s="1"/>
  <c r="AU18" i="25" s="1"/>
  <c r="AU19" i="25" s="1"/>
  <c r="AU20" i="25" s="1"/>
  <c r="AU21" i="25" s="1"/>
  <c r="AU22" i="25" s="1"/>
  <c r="AU23" i="25" s="1"/>
  <c r="AU24" i="25" s="1"/>
  <c r="AU25" i="25" s="1"/>
  <c r="AU26" i="25" s="1"/>
  <c r="AU27" i="25" s="1"/>
  <c r="AU28" i="25" s="1"/>
  <c r="AU29" i="25" s="1"/>
  <c r="AU30" i="25" s="1"/>
  <c r="AU31" i="25" s="1"/>
  <c r="AU32" i="25" s="1"/>
  <c r="AU33" i="25" s="1"/>
  <c r="AU34" i="25" s="1"/>
  <c r="AU35" i="25" s="1"/>
  <c r="AU36" i="25" s="1"/>
  <c r="AU37" i="25" s="1"/>
  <c r="AU38" i="25" s="1"/>
  <c r="AU39" i="25" s="1"/>
  <c r="AU40" i="25" s="1"/>
  <c r="AU41" i="25" s="1"/>
  <c r="AU42" i="25" s="1"/>
  <c r="AU43" i="25" s="1"/>
  <c r="AU44" i="25" s="1"/>
  <c r="AU45" i="25" s="1"/>
  <c r="AU46" i="25" s="1"/>
  <c r="AU47" i="25" s="1"/>
  <c r="AU48" i="25" s="1"/>
  <c r="AU49" i="25" s="1"/>
  <c r="AU50" i="25" s="1"/>
  <c r="AU51" i="25" s="1"/>
  <c r="AU52" i="25" s="1"/>
  <c r="AU53" i="25" s="1"/>
  <c r="AU54" i="25" s="1"/>
  <c r="AU55" i="25" s="1"/>
  <c r="AU56" i="25" s="1"/>
  <c r="AU57" i="25" s="1"/>
  <c r="AU58" i="25" s="1"/>
  <c r="AU59" i="25" s="1"/>
  <c r="AU60" i="25" s="1"/>
  <c r="BQ6" i="25"/>
  <c r="DS16" i="25"/>
  <c r="DU16" i="25"/>
  <c r="DN12" i="25"/>
  <c r="DT63" i="25"/>
  <c r="DS91" i="25"/>
  <c r="DU91" i="25"/>
  <c r="DY87" i="25"/>
  <c r="DT108" i="25"/>
  <c r="DS110" i="25"/>
  <c r="FZ206" i="1"/>
  <c r="DT13" i="25"/>
  <c r="BQ5" i="25"/>
  <c r="DC5" i="25"/>
  <c r="DC14" i="25"/>
  <c r="DU31" i="25"/>
  <c r="DT32" i="25"/>
  <c r="BM40" i="25"/>
  <c r="BQ40" i="25"/>
  <c r="BX42" i="25"/>
  <c r="CB38" i="25"/>
  <c r="DT48" i="25"/>
  <c r="DS64" i="25"/>
  <c r="DU64" i="25"/>
  <c r="DT124" i="25"/>
  <c r="DS126" i="25"/>
  <c r="DU126" i="25"/>
  <c r="AT210" i="1"/>
  <c r="BE207" i="1"/>
  <c r="AG212" i="1"/>
  <c r="GI207" i="1"/>
  <c r="J210" i="1"/>
  <c r="U207" i="1"/>
  <c r="BG206" i="1"/>
  <c r="FI209" i="1"/>
  <c r="EJ207" i="1"/>
  <c r="AG216" i="1"/>
  <c r="BN8" i="25"/>
  <c r="DT16" i="25"/>
  <c r="CA8" i="25"/>
  <c r="DC8" i="25"/>
  <c r="DC10" i="25"/>
  <c r="DY10" i="25"/>
  <c r="DN11" i="25"/>
  <c r="D210" i="1"/>
  <c r="Q211" i="1"/>
  <c r="FR206" i="1"/>
  <c r="EA203" i="1"/>
  <c r="II207" i="1"/>
  <c r="AK214" i="1"/>
  <c r="BW10" i="25"/>
  <c r="DN5" i="25"/>
  <c r="DS14" i="25"/>
  <c r="DU14" i="25"/>
  <c r="CA9" i="25"/>
  <c r="DU32" i="25"/>
  <c r="BU42" i="25"/>
  <c r="BY42" i="25"/>
  <c r="DU107" i="25"/>
  <c r="DN14" i="25"/>
  <c r="DS125" i="25"/>
  <c r="DC11" i="25"/>
  <c r="DS36" i="25"/>
  <c r="DU36" i="25"/>
  <c r="BR36" i="25"/>
  <c r="CB37" i="25"/>
  <c r="BR38" i="25"/>
  <c r="DS49" i="25"/>
  <c r="DY45" i="25"/>
  <c r="DY59" i="25"/>
  <c r="BN71" i="25"/>
  <c r="CB72" i="25"/>
  <c r="DY73" i="25"/>
  <c r="DU90" i="25"/>
  <c r="DU109" i="25"/>
  <c r="DY120" i="25"/>
  <c r="BA206" i="1"/>
  <c r="EI208" i="1"/>
  <c r="FP206" i="1"/>
  <c r="FX206" i="1"/>
  <c r="GF207" i="1"/>
  <c r="AG215" i="1"/>
  <c r="GD222" i="1"/>
  <c r="BM8" i="25"/>
  <c r="BY10" i="25"/>
  <c r="DU15" i="25"/>
  <c r="BQ7" i="25"/>
  <c r="CA7" i="25"/>
  <c r="DN9" i="25"/>
  <c r="DU33" i="25"/>
  <c r="DS35" i="25"/>
  <c r="DU35" i="25"/>
  <c r="BR37" i="25"/>
  <c r="BN40" i="25"/>
  <c r="CB40" i="25"/>
  <c r="DT49" i="25"/>
  <c r="DT50" i="25"/>
  <c r="DT62" i="25"/>
  <c r="DU63" i="25"/>
  <c r="BO71" i="25"/>
  <c r="BV73" i="25"/>
  <c r="BZ73" i="25"/>
  <c r="BR69" i="25"/>
  <c r="DT77" i="25"/>
  <c r="CB70" i="25"/>
  <c r="DT91" i="25"/>
  <c r="DS32" i="25"/>
  <c r="BK40" i="25"/>
  <c r="BO40" i="25"/>
  <c r="DS48" i="25"/>
  <c r="DU48" i="25"/>
  <c r="DS62" i="25"/>
  <c r="DS76" i="25"/>
  <c r="BR70" i="25"/>
  <c r="DT78" i="25"/>
  <c r="DT90" i="25"/>
  <c r="DS92" i="25"/>
  <c r="DU92" i="25"/>
  <c r="DS107" i="25"/>
  <c r="DU110" i="25"/>
  <c r="DT123" i="25"/>
  <c r="DU125" i="25"/>
  <c r="BB66" i="25"/>
  <c r="BC4" i="25"/>
  <c r="BC5" i="25" s="1"/>
  <c r="BC6" i="25" s="1"/>
  <c r="BC7" i="25" s="1"/>
  <c r="BC8" i="25" s="1"/>
  <c r="BC9" i="25" s="1"/>
  <c r="BC10" i="25" s="1"/>
  <c r="BC11" i="25" s="1"/>
  <c r="BC12" i="25" s="1"/>
  <c r="BC13" i="25" s="1"/>
  <c r="BC14" i="25" s="1"/>
  <c r="BC15" i="25" s="1"/>
  <c r="BC16" i="25" s="1"/>
  <c r="BC17" i="25" s="1"/>
  <c r="BC18" i="25" s="1"/>
  <c r="BC19" i="25" s="1"/>
  <c r="BC20" i="25" s="1"/>
  <c r="BC21" i="25" s="1"/>
  <c r="BC22" i="25" s="1"/>
  <c r="BC23" i="25" s="1"/>
  <c r="BC24" i="25" s="1"/>
  <c r="BC25" i="25" s="1"/>
  <c r="BC26" i="25" s="1"/>
  <c r="BC27" i="25" s="1"/>
  <c r="BC28" i="25" s="1"/>
  <c r="BC29" i="25" s="1"/>
  <c r="BC30" i="25" s="1"/>
  <c r="BC31" i="25" s="1"/>
  <c r="BC32" i="25" s="1"/>
  <c r="BC33" i="25" s="1"/>
  <c r="BC34" i="25" s="1"/>
  <c r="BC35" i="25" s="1"/>
  <c r="BC36" i="25" s="1"/>
  <c r="BC37" i="25" s="1"/>
  <c r="BC38" i="25" s="1"/>
  <c r="BC39" i="25" s="1"/>
  <c r="BC40" i="25" s="1"/>
  <c r="BC41" i="25" s="1"/>
  <c r="BC42" i="25" s="1"/>
  <c r="BC43" i="25" s="1"/>
  <c r="BC44" i="25" s="1"/>
  <c r="BC45" i="25" s="1"/>
  <c r="BC46" i="25" s="1"/>
  <c r="BC47" i="25" s="1"/>
  <c r="BC48" i="25" s="1"/>
  <c r="BC49" i="25" s="1"/>
  <c r="BC50" i="25" s="1"/>
  <c r="BC51" i="25" s="1"/>
  <c r="BC52" i="25" s="1"/>
  <c r="BC53" i="25" s="1"/>
  <c r="BC54" i="25" s="1"/>
  <c r="BC55" i="25" s="1"/>
  <c r="BC56" i="25" s="1"/>
  <c r="BC57" i="25" s="1"/>
  <c r="BC58" i="25" s="1"/>
  <c r="BC59" i="25" s="1"/>
  <c r="BC60" i="25" s="1"/>
  <c r="AV66" i="25"/>
  <c r="AW4" i="25"/>
  <c r="AW5" i="25" s="1"/>
  <c r="AW6" i="25" s="1"/>
  <c r="AW7" i="25" s="1"/>
  <c r="AW8" i="25" s="1"/>
  <c r="AW9" i="25" s="1"/>
  <c r="AW10" i="25" s="1"/>
  <c r="AW11" i="25" s="1"/>
  <c r="AW12" i="25" s="1"/>
  <c r="AW13" i="25" s="1"/>
  <c r="AW14" i="25" s="1"/>
  <c r="AW15" i="25" s="1"/>
  <c r="AW16" i="25" s="1"/>
  <c r="AW17" i="25" s="1"/>
  <c r="AW18" i="25" s="1"/>
  <c r="AW19" i="25" s="1"/>
  <c r="AW20" i="25" s="1"/>
  <c r="AW21" i="25" s="1"/>
  <c r="AW22" i="25" s="1"/>
  <c r="AW23" i="25" s="1"/>
  <c r="AW24" i="25" s="1"/>
  <c r="AW25" i="25" s="1"/>
  <c r="AW26" i="25" s="1"/>
  <c r="AW27" i="25" s="1"/>
  <c r="AW28" i="25" s="1"/>
  <c r="AW29" i="25" s="1"/>
  <c r="AW30" i="25" s="1"/>
  <c r="AW31" i="25" s="1"/>
  <c r="AW32" i="25" s="1"/>
  <c r="AW33" i="25" s="1"/>
  <c r="AW34" i="25" s="1"/>
  <c r="AW35" i="25" s="1"/>
  <c r="AW36" i="25" s="1"/>
  <c r="AW37" i="25" s="1"/>
  <c r="AW38" i="25" s="1"/>
  <c r="AW39" i="25" s="1"/>
  <c r="AW40" i="25" s="1"/>
  <c r="AW41" i="25" s="1"/>
  <c r="AW42" i="25" s="1"/>
  <c r="AW43" i="25" s="1"/>
  <c r="AW44" i="25" s="1"/>
  <c r="AW45" i="25" s="1"/>
  <c r="AW46" i="25" s="1"/>
  <c r="AW47" i="25" s="1"/>
  <c r="AW48" i="25" s="1"/>
  <c r="AW49" i="25" s="1"/>
  <c r="AW50" i="25" s="1"/>
  <c r="AW51" i="25" s="1"/>
  <c r="AW52" i="25" s="1"/>
  <c r="AW53" i="25" s="1"/>
  <c r="AW54" i="25" s="1"/>
  <c r="AW55" i="25" s="1"/>
  <c r="AW56" i="25" s="1"/>
  <c r="AW57" i="25" s="1"/>
  <c r="AW58" i="25" s="1"/>
  <c r="AW59" i="25" s="1"/>
  <c r="AW60" i="25" s="1"/>
  <c r="BK71" i="25"/>
  <c r="BR67" i="25"/>
  <c r="BQ4" i="25"/>
  <c r="AL218" i="1"/>
  <c r="AL220" i="1" s="1"/>
  <c r="ED203" i="1"/>
  <c r="GS226" i="1"/>
  <c r="BB207" i="1"/>
  <c r="AL215" i="1"/>
  <c r="AS207" i="1"/>
  <c r="AP66" i="25"/>
  <c r="AZ66" i="25"/>
  <c r="BA4" i="25"/>
  <c r="BA5" i="25" s="1"/>
  <c r="BA6" i="25" s="1"/>
  <c r="BA7" i="25" s="1"/>
  <c r="BA8" i="25" s="1"/>
  <c r="BA9" i="25" s="1"/>
  <c r="BA10" i="25" s="1"/>
  <c r="BA11" i="25" s="1"/>
  <c r="BA12" i="25" s="1"/>
  <c r="BA13" i="25" s="1"/>
  <c r="BA14" i="25" s="1"/>
  <c r="BA15" i="25" s="1"/>
  <c r="BA16" i="25" s="1"/>
  <c r="BA17" i="25" s="1"/>
  <c r="BA18" i="25" s="1"/>
  <c r="BA19" i="25" s="1"/>
  <c r="BA20" i="25" s="1"/>
  <c r="BA21" i="25" s="1"/>
  <c r="BA22" i="25" s="1"/>
  <c r="BA23" i="25" s="1"/>
  <c r="BA24" i="25" s="1"/>
  <c r="BA25" i="25" s="1"/>
  <c r="BA26" i="25" s="1"/>
  <c r="BA27" i="25" s="1"/>
  <c r="BA28" i="25" s="1"/>
  <c r="BA29" i="25" s="1"/>
  <c r="BA30" i="25" s="1"/>
  <c r="BA31" i="25" s="1"/>
  <c r="BA32" i="25" s="1"/>
  <c r="BA33" i="25" s="1"/>
  <c r="BA34" i="25" s="1"/>
  <c r="BA35" i="25" s="1"/>
  <c r="BA36" i="25" s="1"/>
  <c r="BA37" i="25" s="1"/>
  <c r="BA38" i="25" s="1"/>
  <c r="BA39" i="25" s="1"/>
  <c r="BA40" i="25" s="1"/>
  <c r="BA41" i="25" s="1"/>
  <c r="BA42" i="25" s="1"/>
  <c r="BA43" i="25" s="1"/>
  <c r="BA44" i="25" s="1"/>
  <c r="BA45" i="25" s="1"/>
  <c r="BA46" i="25" s="1"/>
  <c r="BA47" i="25" s="1"/>
  <c r="BA48" i="25" s="1"/>
  <c r="BA49" i="25" s="1"/>
  <c r="BA50" i="25" s="1"/>
  <c r="BA51" i="25" s="1"/>
  <c r="BA52" i="25" s="1"/>
  <c r="BA53" i="25" s="1"/>
  <c r="BA54" i="25" s="1"/>
  <c r="BA55" i="25" s="1"/>
  <c r="BA56" i="25" s="1"/>
  <c r="BA57" i="25" s="1"/>
  <c r="BA58" i="25" s="1"/>
  <c r="BA59" i="25" s="1"/>
  <c r="BA60" i="25" s="1"/>
  <c r="DC4" i="25"/>
  <c r="CA5" i="25"/>
  <c r="DC6" i="25"/>
  <c r="BW42" i="25"/>
  <c r="CA42" i="25"/>
  <c r="GE217" i="1"/>
  <c r="AR66" i="25"/>
  <c r="AS4" i="25"/>
  <c r="AS5" i="25" s="1"/>
  <c r="AS6" i="25" s="1"/>
  <c r="AS7" i="25" s="1"/>
  <c r="AS8" i="25" s="1"/>
  <c r="AS9" i="25" s="1"/>
  <c r="AS10" i="25" s="1"/>
  <c r="AS11" i="25" s="1"/>
  <c r="AS12" i="25" s="1"/>
  <c r="AS13" i="25" s="1"/>
  <c r="AS14" i="25" s="1"/>
  <c r="AS15" i="25" s="1"/>
  <c r="AS16" i="25" s="1"/>
  <c r="AS17" i="25" s="1"/>
  <c r="AS18" i="25" s="1"/>
  <c r="AS19" i="25" s="1"/>
  <c r="AS20" i="25" s="1"/>
  <c r="AS21" i="25" s="1"/>
  <c r="AS22" i="25" s="1"/>
  <c r="AS23" i="25" s="1"/>
  <c r="AS24" i="25" s="1"/>
  <c r="AS25" i="25" s="1"/>
  <c r="AS26" i="25" s="1"/>
  <c r="AS27" i="25" s="1"/>
  <c r="AS28" i="25" s="1"/>
  <c r="AS29" i="25" s="1"/>
  <c r="AS30" i="25" s="1"/>
  <c r="AS31" i="25" s="1"/>
  <c r="AS32" i="25" s="1"/>
  <c r="AS33" i="25" s="1"/>
  <c r="AS34" i="25" s="1"/>
  <c r="AS35" i="25" s="1"/>
  <c r="AS36" i="25" s="1"/>
  <c r="AS37" i="25" s="1"/>
  <c r="AS38" i="25" s="1"/>
  <c r="AS39" i="25" s="1"/>
  <c r="AS40" i="25" s="1"/>
  <c r="AS41" i="25" s="1"/>
  <c r="AS42" i="25" s="1"/>
  <c r="AS43" i="25" s="1"/>
  <c r="AS44" i="25" s="1"/>
  <c r="AS45" i="25" s="1"/>
  <c r="AS46" i="25" s="1"/>
  <c r="AS47" i="25" s="1"/>
  <c r="AS48" i="25" s="1"/>
  <c r="AS49" i="25" s="1"/>
  <c r="AS50" i="25" s="1"/>
  <c r="AS51" i="25" s="1"/>
  <c r="AS52" i="25" s="1"/>
  <c r="AS53" i="25" s="1"/>
  <c r="AS54" i="25" s="1"/>
  <c r="AS55" i="25" s="1"/>
  <c r="AS56" i="25" s="1"/>
  <c r="AS57" i="25" s="1"/>
  <c r="AS58" i="25" s="1"/>
  <c r="AS59" i="25" s="1"/>
  <c r="AS60" i="25" s="1"/>
  <c r="AX66" i="25"/>
  <c r="BU10" i="25"/>
  <c r="CA4" i="25"/>
  <c r="CA6" i="25"/>
  <c r="L207" i="1"/>
  <c r="AT66" i="25"/>
  <c r="AY4" i="25"/>
  <c r="AY5" i="25" s="1"/>
  <c r="AY6" i="25" s="1"/>
  <c r="AY7" i="25" s="1"/>
  <c r="AY8" i="25" s="1"/>
  <c r="AY9" i="25" s="1"/>
  <c r="AY10" i="25" s="1"/>
  <c r="AY11" i="25" s="1"/>
  <c r="AY12" i="25" s="1"/>
  <c r="AY13" i="25" s="1"/>
  <c r="AY14" i="25" s="1"/>
  <c r="AY15" i="25" s="1"/>
  <c r="AY16" i="25" s="1"/>
  <c r="AY17" i="25" s="1"/>
  <c r="AY18" i="25" s="1"/>
  <c r="AY19" i="25" s="1"/>
  <c r="AY20" i="25" s="1"/>
  <c r="AY21" i="25" s="1"/>
  <c r="AY22" i="25" s="1"/>
  <c r="AY23" i="25" s="1"/>
  <c r="AY24" i="25" s="1"/>
  <c r="AY25" i="25" s="1"/>
  <c r="AY26" i="25" s="1"/>
  <c r="AY27" i="25" s="1"/>
  <c r="AY28" i="25" s="1"/>
  <c r="AY29" i="25" s="1"/>
  <c r="AY30" i="25" s="1"/>
  <c r="AY31" i="25" s="1"/>
  <c r="AY32" i="25" s="1"/>
  <c r="AY33" i="25" s="1"/>
  <c r="AY34" i="25" s="1"/>
  <c r="AY35" i="25" s="1"/>
  <c r="AY36" i="25" s="1"/>
  <c r="AY37" i="25" s="1"/>
  <c r="AY38" i="25" s="1"/>
  <c r="AY39" i="25" s="1"/>
  <c r="AY40" i="25" s="1"/>
  <c r="AY41" i="25" s="1"/>
  <c r="AY42" i="25" s="1"/>
  <c r="AY43" i="25" s="1"/>
  <c r="AY44" i="25" s="1"/>
  <c r="AY45" i="25" s="1"/>
  <c r="AY46" i="25" s="1"/>
  <c r="AY47" i="25" s="1"/>
  <c r="AY48" i="25" s="1"/>
  <c r="AY49" i="25" s="1"/>
  <c r="AY50" i="25" s="1"/>
  <c r="AY51" i="25" s="1"/>
  <c r="AY52" i="25" s="1"/>
  <c r="AY53" i="25" s="1"/>
  <c r="AY54" i="25" s="1"/>
  <c r="AY55" i="25" s="1"/>
  <c r="AY56" i="25" s="1"/>
  <c r="AY57" i="25" s="1"/>
  <c r="AY58" i="25" s="1"/>
  <c r="AY59" i="25" s="1"/>
  <c r="AY60" i="25" s="1"/>
  <c r="BK8" i="25"/>
  <c r="BO8" i="25"/>
  <c r="BV10" i="25"/>
  <c r="BZ10" i="25"/>
  <c r="DN4" i="25"/>
  <c r="DS13" i="25"/>
  <c r="DT14" i="25"/>
  <c r="DN6" i="25"/>
  <c r="AX206" i="1"/>
  <c r="DT15" i="25"/>
  <c r="DT36" i="25"/>
  <c r="BL40" i="25"/>
  <c r="BP40" i="25"/>
  <c r="BV42" i="25"/>
  <c r="BZ42" i="25"/>
  <c r="BR39" i="25"/>
  <c r="DS31" i="25"/>
  <c r="CB36" i="25"/>
  <c r="CB39" i="25"/>
  <c r="CB41" i="25"/>
  <c r="BM71" i="25"/>
  <c r="BQ71" i="25"/>
  <c r="DU49" i="25"/>
  <c r="BU73" i="25"/>
  <c r="CB67" i="25"/>
  <c r="BY73" i="25"/>
  <c r="DT76" i="25"/>
  <c r="CB69" i="25"/>
  <c r="CB71" i="25"/>
  <c r="DT109" i="25"/>
  <c r="DY104" i="25"/>
  <c r="DS50" i="25"/>
  <c r="DU62" i="25"/>
  <c r="BL71" i="25"/>
  <c r="BP71" i="25"/>
  <c r="BW73" i="25"/>
  <c r="CA73" i="25"/>
  <c r="CB68" i="25"/>
  <c r="DU76" i="25"/>
  <c r="DT107" i="25"/>
  <c r="DS123" i="25"/>
  <c r="DU123" i="25"/>
  <c r="BR68" i="25"/>
  <c r="AF208" i="1"/>
  <c r="DC7" i="25"/>
  <c r="DN7" i="25"/>
  <c r="IM209" i="1"/>
  <c r="IN115" i="1"/>
  <c r="CI8" i="25"/>
  <c r="CO10" i="25"/>
  <c r="CG8" i="25"/>
  <c r="CQ10" i="25"/>
  <c r="CS9" i="25"/>
  <c r="CF8" i="25"/>
  <c r="CK4" i="25"/>
  <c r="CJ8" i="25"/>
  <c r="CP10" i="25"/>
  <c r="CS5" i="25"/>
  <c r="CK6" i="25"/>
  <c r="CS7" i="25"/>
  <c r="CS8" i="25"/>
  <c r="CH8" i="25"/>
  <c r="CN10" i="25"/>
  <c r="CS4" i="25"/>
  <c r="CR10" i="25"/>
  <c r="CK5" i="25"/>
  <c r="CS6" i="25"/>
  <c r="CK7" i="25"/>
  <c r="DY203" i="1" l="1"/>
  <c r="AG217" i="1"/>
  <c r="AE218" i="1" s="1"/>
  <c r="BR40" i="25"/>
  <c r="BM41" i="25" s="1"/>
  <c r="BQ8" i="25"/>
  <c r="BL9" i="25" s="1"/>
  <c r="CB42" i="25"/>
  <c r="BV74" i="25" s="1"/>
  <c r="CB73" i="25"/>
  <c r="CA10" i="25"/>
  <c r="BZ11" i="25" s="1"/>
  <c r="BR71" i="25"/>
  <c r="M14" i="25"/>
  <c r="L14" i="25"/>
  <c r="D14" i="25"/>
  <c r="C13" i="25"/>
  <c r="F12" i="25"/>
  <c r="N9" i="25"/>
  <c r="L8" i="25"/>
  <c r="L7" i="25"/>
  <c r="D7" i="25"/>
  <c r="N6" i="25"/>
  <c r="F6" i="25"/>
  <c r="L5" i="25"/>
  <c r="D5" i="25"/>
  <c r="N4" i="25"/>
  <c r="F4" i="25"/>
  <c r="O14" i="25"/>
  <c r="C14" i="25"/>
  <c r="F13" i="25"/>
  <c r="E12" i="25"/>
  <c r="M9" i="25"/>
  <c r="O8" i="25"/>
  <c r="O7" i="25"/>
  <c r="C7" i="25"/>
  <c r="M6" i="25"/>
  <c r="E6" i="25"/>
  <c r="O5" i="25"/>
  <c r="C5" i="25"/>
  <c r="M4" i="25"/>
  <c r="E4" i="25"/>
  <c r="IN204" i="1"/>
  <c r="N14" i="25"/>
  <c r="F14" i="25"/>
  <c r="E13" i="25"/>
  <c r="D12" i="25"/>
  <c r="L9" i="25"/>
  <c r="N8" i="25"/>
  <c r="N7" i="25"/>
  <c r="F7" i="25"/>
  <c r="L6" i="25"/>
  <c r="D6" i="25"/>
  <c r="N5" i="25"/>
  <c r="F5" i="25"/>
  <c r="L4" i="25"/>
  <c r="D4" i="25"/>
  <c r="IN205" i="1"/>
  <c r="D13" i="25"/>
  <c r="C12" i="25"/>
  <c r="O9" i="25"/>
  <c r="O4" i="25"/>
  <c r="IN206" i="1"/>
  <c r="E14" i="25"/>
  <c r="M7" i="25"/>
  <c r="C6" i="25"/>
  <c r="IN207" i="1"/>
  <c r="E7" i="25"/>
  <c r="M5" i="25"/>
  <c r="C4" i="25"/>
  <c r="M8" i="25"/>
  <c r="O6" i="25"/>
  <c r="E5" i="25"/>
  <c r="CK8" i="25"/>
  <c r="CG9" i="25" s="1"/>
  <c r="CS10" i="25"/>
  <c r="CN11" i="25" s="1"/>
  <c r="BM72" i="25" l="1"/>
  <c r="BO72" i="25"/>
  <c r="BL72" i="25"/>
  <c r="BL41" i="25"/>
  <c r="BK72" i="25"/>
  <c r="BP41" i="25"/>
  <c r="BN72" i="25"/>
  <c r="BQ41" i="25"/>
  <c r="BQ72" i="25"/>
  <c r="BP72" i="25"/>
  <c r="BM9" i="25"/>
  <c r="BP9" i="25"/>
  <c r="BK41" i="25"/>
  <c r="BO9" i="25"/>
  <c r="BN9" i="25"/>
  <c r="BO41" i="25"/>
  <c r="BN41" i="25"/>
  <c r="BK9" i="25"/>
  <c r="BU43" i="25"/>
  <c r="BY74" i="25"/>
  <c r="BZ43" i="25"/>
  <c r="BZ74" i="25"/>
  <c r="BV43" i="25"/>
  <c r="BW74" i="25"/>
  <c r="BV11" i="25"/>
  <c r="CA74" i="25"/>
  <c r="BW43" i="25"/>
  <c r="BU74" i="25"/>
  <c r="BX43" i="25"/>
  <c r="BX74" i="25"/>
  <c r="BY43" i="25"/>
  <c r="CA43" i="25"/>
  <c r="BY11" i="25"/>
  <c r="BX11" i="25"/>
  <c r="BW11" i="25"/>
  <c r="BU11" i="25"/>
  <c r="D8" i="25"/>
  <c r="G13" i="25"/>
  <c r="G12" i="25"/>
  <c r="F8" i="25"/>
  <c r="P5" i="25"/>
  <c r="P6" i="25"/>
  <c r="G7" i="25"/>
  <c r="P8" i="25"/>
  <c r="IN208" i="1"/>
  <c r="IL204" i="1" s="1"/>
  <c r="N10" i="25"/>
  <c r="P14" i="25"/>
  <c r="M10" i="25"/>
  <c r="P7" i="25"/>
  <c r="L10" i="25"/>
  <c r="P4" i="25"/>
  <c r="P9" i="25"/>
  <c r="G5" i="25"/>
  <c r="C8" i="25"/>
  <c r="G4" i="25"/>
  <c r="G6" i="25"/>
  <c r="O10" i="25"/>
  <c r="E8" i="25"/>
  <c r="G14" i="25"/>
  <c r="CI9" i="25"/>
  <c r="CH9" i="25"/>
  <c r="CQ11" i="25"/>
  <c r="CO11" i="25"/>
  <c r="CP11" i="25"/>
  <c r="CJ9" i="25"/>
  <c r="CF9" i="25"/>
  <c r="CR11" i="25"/>
  <c r="IL205" i="1" l="1"/>
  <c r="IL206" i="1"/>
  <c r="G8" i="25"/>
  <c r="D9" i="25" s="1"/>
  <c r="P10" i="25"/>
  <c r="L11" i="25" s="1"/>
  <c r="IL207" i="1"/>
  <c r="F9" i="25" l="1"/>
  <c r="O11" i="25"/>
  <c r="M11" i="25"/>
  <c r="C9" i="25"/>
  <c r="E9" i="25"/>
  <c r="N11" i="25"/>
</calcChain>
</file>

<file path=xl/comments1.xml><?xml version="1.0" encoding="utf-8"?>
<comments xmlns="http://schemas.openxmlformats.org/spreadsheetml/2006/main">
  <authors>
    <author>Cem Dener</author>
    <author>Author</author>
    <author>Huan Zhang</author>
    <author>Irenezh1016</author>
    <author>Yarın Kıroğlu</author>
    <author>Sophiko Skhirtladze</author>
    <author>Doruk Yarin Kiroglu</author>
    <author>Lucia C. Hanmer</author>
  </authors>
  <commentList>
    <comment ref="GF1" authorId="0" shapeId="0">
      <text>
        <r>
          <rPr>
            <b/>
            <sz val="9"/>
            <color indexed="81"/>
            <rFont val="Tahoma"/>
            <family val="2"/>
          </rPr>
          <t>Cem Dener:</t>
        </r>
        <r>
          <rPr>
            <sz val="9"/>
            <color indexed="81"/>
            <rFont val="Tahoma"/>
            <family val="2"/>
          </rPr>
          <t xml:space="preserve">
Freedom in the World 2014
https://www.freedomhouse.org/report-types/freedom-world#.VKiVk4HETTo</t>
        </r>
      </text>
    </comment>
    <comment ref="GI1" authorId="0" shapeId="0">
      <text>
        <r>
          <rPr>
            <b/>
            <sz val="9"/>
            <color indexed="81"/>
            <rFont val="Tahoma"/>
            <family val="2"/>
          </rPr>
          <t>Cem Dener:</t>
        </r>
        <r>
          <rPr>
            <sz val="9"/>
            <color indexed="81"/>
            <rFont val="Tahoma"/>
            <family val="2"/>
          </rPr>
          <t xml:space="preserve">
Freedom on the Net 2014
https://www.freedomhouse.org/report-types/freedom-net#.VKivrIHETTo
</t>
        </r>
      </text>
    </comment>
    <comment ref="GN1" authorId="0" shapeId="0">
      <text>
        <r>
          <rPr>
            <b/>
            <sz val="9"/>
            <color indexed="81"/>
            <rFont val="Tahoma"/>
            <family val="2"/>
          </rPr>
          <t>Cem Dener:</t>
        </r>
        <r>
          <rPr>
            <sz val="9"/>
            <color indexed="81"/>
            <rFont val="Tahoma"/>
            <family val="2"/>
          </rPr>
          <t xml:space="preserve">
Freedom of the Press 2014
https://www.freedomhouse.org/report-types/freedom-press#.VKivroHETTo</t>
        </r>
      </text>
    </comment>
    <comment ref="HF1" authorId="0" shapeId="0">
      <text>
        <r>
          <rPr>
            <b/>
            <sz val="9"/>
            <color indexed="81"/>
            <rFont val="Tahoma"/>
            <family val="2"/>
          </rPr>
          <t>Cem Dener:</t>
        </r>
        <r>
          <rPr>
            <sz val="9"/>
            <color indexed="81"/>
            <rFont val="Tahoma"/>
            <family val="2"/>
          </rPr>
          <t xml:space="preserve">
http://www.itu.int/en/ITU-D/Statistics/Pages/publications/mis2014.aspx</t>
        </r>
      </text>
    </comment>
    <comment ref="HK1" authorId="0" shapeId="0">
      <text>
        <r>
          <rPr>
            <b/>
            <sz val="9"/>
            <color indexed="81"/>
            <rFont val="Tahoma"/>
            <family val="2"/>
          </rPr>
          <t>Cem Dener:</t>
        </r>
        <r>
          <rPr>
            <sz val="9"/>
            <color indexed="81"/>
            <rFont val="Tahoma"/>
            <family val="2"/>
          </rPr>
          <t xml:space="preserve">
http://papers.ssrn.com/sol3/papers.cfm?abstract_id=2280877</t>
        </r>
      </text>
    </comment>
    <comment ref="HS1" authorId="0" shapeId="0">
      <text>
        <r>
          <rPr>
            <b/>
            <sz val="9"/>
            <color indexed="81"/>
            <rFont val="Tahoma"/>
            <family val="2"/>
          </rPr>
          <t>Cem Dener:</t>
        </r>
        <r>
          <rPr>
            <sz val="9"/>
            <color indexed="81"/>
            <rFont val="Tahoma"/>
            <family val="2"/>
          </rPr>
          <t xml:space="preserve">
http://www.rti-rating.org/country_data.php</t>
        </r>
      </text>
    </comment>
    <comment ref="C2" authorId="0" shapeId="0">
      <text>
        <r>
          <rPr>
            <sz val="9"/>
            <color indexed="81"/>
            <rFont val="Tahoma"/>
            <family val="2"/>
          </rPr>
          <t>Web link to related Wikipedia page</t>
        </r>
      </text>
    </comment>
    <comment ref="E2" authorId="0" shapeId="0">
      <text>
        <r>
          <rPr>
            <sz val="9"/>
            <color indexed="81"/>
            <rFont val="Tahoma"/>
            <family val="2"/>
          </rPr>
          <t xml:space="preserve">Income levels wrt GNIPC (2014):
LIC     Low Income              [ $1,045 or less ]
LMIC  Lower Middle Income  [ $1,046 to $4,125 ]
UMIC Upper Middle Income   [ $4,126 to $12,745 ]
HIC    High Income              [ $12,746 or more ]
http://data.worldbank.org/about/country-and-lending-groups
</t>
        </r>
      </text>
    </comment>
    <comment ref="F2" authorId="0" shapeId="0">
      <text>
        <r>
          <rPr>
            <b/>
            <sz val="9"/>
            <color indexed="81"/>
            <rFont val="Tahoma"/>
            <family val="2"/>
          </rPr>
          <t>Cem Dener:</t>
        </r>
        <r>
          <rPr>
            <sz val="9"/>
            <color indexed="81"/>
            <rFont val="Tahoma"/>
            <family val="2"/>
          </rPr>
          <t xml:space="preserve">
 ISO 3166-1 alpha-3 codes</t>
        </r>
      </text>
    </comment>
    <comment ref="G2" authorId="0" shapeId="0">
      <text>
        <r>
          <rPr>
            <b/>
            <sz val="9"/>
            <color indexed="81"/>
            <rFont val="Tahoma"/>
            <family val="2"/>
          </rPr>
          <t>Cem Dener:</t>
        </r>
        <r>
          <rPr>
            <sz val="9"/>
            <color indexed="81"/>
            <rFont val="Tahoma"/>
            <family val="2"/>
          </rPr>
          <t xml:space="preserve">
 ISO 3166-1 alpha-2 codes</t>
        </r>
      </text>
    </comment>
    <comment ref="H2" authorId="0" shapeId="0">
      <text>
        <r>
          <rPr>
            <b/>
            <sz val="9"/>
            <color indexed="81"/>
            <rFont val="Tahoma"/>
            <family val="2"/>
          </rPr>
          <t>Cem Dener:</t>
        </r>
        <r>
          <rPr>
            <sz val="9"/>
            <color indexed="81"/>
            <rFont val="Tahoma"/>
            <family val="2"/>
          </rPr>
          <t xml:space="preserve">
Web site containing info/doc about the government entity managing Birth Registration (BR)
Note: Birth Certificates may be obtained from another entity in some countries</t>
        </r>
      </text>
    </comment>
    <comment ref="I2" authorId="0" shapeId="0">
      <text>
        <r>
          <rPr>
            <b/>
            <sz val="9"/>
            <color indexed="81"/>
            <rFont val="Tahoma"/>
            <family val="2"/>
          </rPr>
          <t xml:space="preserve">Cem Dener:
</t>
        </r>
        <r>
          <rPr>
            <sz val="9"/>
            <color indexed="81"/>
            <rFont val="Tahoma"/>
            <family val="2"/>
          </rPr>
          <t xml:space="preserve">Name of the government entity managing the Birth Registration (BR)
</t>
        </r>
      </text>
    </comment>
    <comment ref="J2" authorId="0" shapeId="0">
      <text>
        <r>
          <rPr>
            <b/>
            <sz val="9"/>
            <color indexed="81"/>
            <rFont val="Tahoma"/>
            <family val="2"/>
          </rPr>
          <t>Cem Dener:</t>
        </r>
        <r>
          <rPr>
            <sz val="9"/>
            <color indexed="81"/>
            <rFont val="Tahoma"/>
            <family val="2"/>
          </rPr>
          <t xml:space="preserve">
Institutional responsibility for Birth Registration:
1: Ministry of Justice
2: Ministry of Interior/Home Affairs
3: Ministry of Health
4: Entity responsible for Electoral System
5: Autonomous / Municipality / Town Hall 
6: Other</t>
        </r>
      </text>
    </comment>
    <comment ref="K2" authorId="0" shapeId="0">
      <text>
        <r>
          <rPr>
            <b/>
            <sz val="9"/>
            <color indexed="81"/>
            <rFont val="Tahoma"/>
            <family val="2"/>
          </rPr>
          <t>Cem Dener:</t>
        </r>
        <r>
          <rPr>
            <sz val="9"/>
            <color indexed="81"/>
            <rFont val="Tahoma"/>
            <family val="2"/>
          </rPr>
          <t xml:space="preserve">
Birth Registry is maintained since (year)</t>
        </r>
      </text>
    </comment>
    <comment ref="L2" authorId="0" shapeId="0">
      <text>
        <r>
          <rPr>
            <b/>
            <sz val="9"/>
            <color indexed="81"/>
            <rFont val="Tahoma"/>
            <family val="2"/>
          </rPr>
          <t>Cem Dener:</t>
        </r>
        <r>
          <rPr>
            <sz val="9"/>
            <color indexed="81"/>
            <rFont val="Tahoma"/>
            <family val="2"/>
          </rPr>
          <t xml:space="preserve">
Birth Registration:
0…  No BR yet
1…  BR exists, but registration is not mandatory at birth  
2…  BR exists, and registration is mandatory at birth
</t>
        </r>
      </text>
    </comment>
    <comment ref="M2" authorId="0" shapeId="0">
      <text>
        <r>
          <rPr>
            <b/>
            <sz val="9"/>
            <color indexed="81"/>
            <rFont val="Tahoma"/>
            <family val="2"/>
          </rPr>
          <t>Cem Dener:</t>
        </r>
        <r>
          <rPr>
            <sz val="9"/>
            <color indexed="81"/>
            <rFont val="Tahoma"/>
            <family val="2"/>
          </rPr>
          <t xml:space="preserve">
Birth Registration: 
Indicate the specific period (day / month / year) in which the registration should be completed by law.
d : day
w : week
m : month
y: year</t>
        </r>
      </text>
    </comment>
    <comment ref="N2" authorId="0" shapeId="0">
      <text>
        <r>
          <rPr>
            <b/>
            <sz val="9"/>
            <color indexed="81"/>
            <rFont val="Tahoma"/>
            <family val="2"/>
          </rPr>
          <t>Cem Dener:</t>
        </r>
        <r>
          <rPr>
            <sz val="9"/>
            <color indexed="81"/>
            <rFont val="Tahoma"/>
            <family val="2"/>
          </rPr>
          <t xml:space="preserve">
Fees applicable to birth registration process</t>
        </r>
      </text>
    </comment>
    <comment ref="O2" authorId="0" shapeId="0">
      <text>
        <r>
          <rPr>
            <b/>
            <sz val="9"/>
            <color indexed="81"/>
            <rFont val="Tahoma"/>
            <family val="2"/>
          </rPr>
          <t>Cem Dener:</t>
        </r>
        <r>
          <rPr>
            <sz val="9"/>
            <color indexed="81"/>
            <rFont val="Tahoma"/>
            <family val="2"/>
          </rPr>
          <t xml:space="preserve">
Web site containing info/doc about the National ID platform/usage (URL)</t>
        </r>
      </text>
    </comment>
    <comment ref="P2" authorId="0" shapeId="0">
      <text>
        <r>
          <rPr>
            <b/>
            <sz val="9"/>
            <color indexed="81"/>
            <rFont val="Tahoma"/>
            <family val="2"/>
          </rPr>
          <t>Cem Dener:</t>
        </r>
        <r>
          <rPr>
            <sz val="9"/>
            <color indexed="81"/>
            <rFont val="Tahoma"/>
            <family val="2"/>
          </rPr>
          <t xml:space="preserve">
Name of gov entity issuing National ID</t>
        </r>
      </text>
    </comment>
    <comment ref="Q2" authorId="0" shapeId="0">
      <text>
        <r>
          <rPr>
            <b/>
            <sz val="9"/>
            <color indexed="81"/>
            <rFont val="Tahoma"/>
            <family val="2"/>
          </rPr>
          <t>Cem Dener:</t>
        </r>
        <r>
          <rPr>
            <sz val="9"/>
            <color indexed="81"/>
            <rFont val="Tahoma"/>
            <family val="2"/>
          </rPr>
          <t xml:space="preserve">
Institutional responsibility for National ID:
0: No National ID organization
1: Ministry of Justice
2: Ministry of Interior/ Home Affairs
3: Ministry of Health
4: Entity responsible for Electoral System
5: Autonomous
6: Other</t>
        </r>
      </text>
    </comment>
    <comment ref="R2" authorId="0" shapeId="0">
      <text>
        <r>
          <rPr>
            <b/>
            <sz val="9"/>
            <color indexed="81"/>
            <rFont val="Tahoma"/>
            <family val="2"/>
          </rPr>
          <t>Cem Dener:</t>
        </r>
        <r>
          <rPr>
            <sz val="9"/>
            <color indexed="81"/>
            <rFont val="Tahoma"/>
            <family val="2"/>
          </rPr>
          <t xml:space="preserve">
National ID is being used since (year)</t>
        </r>
      </text>
    </comment>
    <comment ref="S2" authorId="0" shapeId="0">
      <text>
        <r>
          <rPr>
            <b/>
            <sz val="9"/>
            <color indexed="81"/>
            <rFont val="Tahoma"/>
            <family val="2"/>
          </rPr>
          <t>Cem Dener:</t>
        </r>
        <r>
          <rPr>
            <sz val="9"/>
            <color indexed="81"/>
            <rFont val="Tahoma"/>
            <family val="2"/>
          </rPr>
          <t xml:space="preserve">
National Identification document</t>
        </r>
      </text>
    </comment>
    <comment ref="T2" authorId="0" shapeId="0">
      <text>
        <r>
          <rPr>
            <b/>
            <sz val="9"/>
            <color indexed="81"/>
            <rFont val="Tahoma"/>
            <family val="2"/>
          </rPr>
          <t>Cem Dener:</t>
        </r>
        <r>
          <rPr>
            <sz val="9"/>
            <color indexed="81"/>
            <rFont val="Tahoma"/>
            <family val="2"/>
          </rPr>
          <t xml:space="preserve">
National ID usage:
0…  No National ID
1…  National ID exists, but not issued at birth  
2… National ID exists, and issued at birth
</t>
        </r>
      </text>
    </comment>
    <comment ref="U2" authorId="0" shapeId="0">
      <text>
        <r>
          <rPr>
            <b/>
            <sz val="9"/>
            <color indexed="81"/>
            <rFont val="Tahoma"/>
            <family val="2"/>
          </rPr>
          <t>Cem Dener:</t>
        </r>
        <r>
          <rPr>
            <sz val="9"/>
            <color indexed="81"/>
            <rFont val="Tahoma"/>
            <family val="2"/>
          </rPr>
          <t xml:space="preserve">
National ID policy:
0:  No ID card
1:  National ID is optional
2:  National ID is mandatory</t>
        </r>
      </text>
    </comment>
    <comment ref="V2" authorId="0" shapeId="0">
      <text>
        <r>
          <rPr>
            <b/>
            <sz val="9"/>
            <color indexed="81"/>
            <rFont val="Tahoma"/>
            <family val="2"/>
          </rPr>
          <t xml:space="preserve">Cem Dener:
</t>
        </r>
        <r>
          <rPr>
            <sz val="9"/>
            <color indexed="81"/>
            <rFont val="Tahoma"/>
            <family val="2"/>
          </rPr>
          <t xml:space="preserve">National ID: Indicate the specific year in which the ID should be obtained by law.
0 : Issued at birth
year: Age to obtain Natl ID
</t>
        </r>
      </text>
    </comment>
    <comment ref="W2" authorId="0" shapeId="0">
      <text>
        <r>
          <rPr>
            <b/>
            <sz val="9"/>
            <color indexed="81"/>
            <rFont val="Tahoma"/>
            <family val="2"/>
          </rPr>
          <t>Cem Dener:</t>
        </r>
        <r>
          <rPr>
            <sz val="9"/>
            <color indexed="81"/>
            <rFont val="Tahoma"/>
            <family val="2"/>
          </rPr>
          <t xml:space="preserve">
Fees applicable to obtaining National ID</t>
        </r>
      </text>
    </comment>
    <comment ref="X2" authorId="0" shapeId="0">
      <text>
        <r>
          <rPr>
            <b/>
            <sz val="9"/>
            <color indexed="81"/>
            <rFont val="Tahoma"/>
            <family val="2"/>
          </rPr>
          <t>Cem Dener:</t>
        </r>
        <r>
          <rPr>
            <sz val="9"/>
            <color indexed="81"/>
            <rFont val="Tahoma"/>
            <family val="2"/>
          </rPr>
          <t xml:space="preserve">
National ID ?
0:  No National ID 
1:  National ID exists</t>
        </r>
      </text>
    </comment>
    <comment ref="Y2" authorId="0" shapeId="0">
      <text>
        <r>
          <rPr>
            <b/>
            <sz val="9"/>
            <color indexed="81"/>
            <rFont val="Tahoma"/>
            <family val="2"/>
          </rPr>
          <t>Cem Dener:</t>
        </r>
        <r>
          <rPr>
            <sz val="9"/>
            <color indexed="81"/>
            <rFont val="Tahoma"/>
            <family val="2"/>
          </rPr>
          <t xml:space="preserve">
National ID mandatory?
0:  No
1:  Yes</t>
        </r>
      </text>
    </comment>
    <comment ref="AA2" authorId="0" shapeId="0">
      <text>
        <r>
          <rPr>
            <b/>
            <sz val="9"/>
            <color indexed="81"/>
            <rFont val="Tahoma"/>
            <family val="2"/>
          </rPr>
          <t>Cem Dener:</t>
        </r>
        <r>
          <rPr>
            <sz val="9"/>
            <color indexed="81"/>
            <rFont val="Tahoma"/>
            <family val="2"/>
          </rPr>
          <t xml:space="preserve">
www.wikiprocedure.com
Birth Registration </t>
        </r>
      </text>
    </comment>
    <comment ref="AB2" authorId="0" shapeId="0">
      <text>
        <r>
          <rPr>
            <b/>
            <sz val="9"/>
            <color indexed="81"/>
            <rFont val="Tahoma"/>
            <family val="2"/>
          </rPr>
          <t>Cem Dener:</t>
        </r>
        <r>
          <rPr>
            <sz val="9"/>
            <color indexed="81"/>
            <rFont val="Tahoma"/>
            <family val="2"/>
          </rPr>
          <t xml:space="preserve">
www.wikiprocedure.com
Application for National ID </t>
        </r>
      </text>
    </comment>
    <comment ref="AC2" authorId="0" shapeId="0">
      <text>
        <r>
          <rPr>
            <b/>
            <sz val="9"/>
            <color indexed="81"/>
            <rFont val="Tahoma"/>
            <family val="2"/>
          </rPr>
          <t>Cem Dener:</t>
        </r>
        <r>
          <rPr>
            <sz val="9"/>
            <color indexed="81"/>
            <rFont val="Tahoma"/>
            <family val="2"/>
          </rPr>
          <t xml:space="preserve">
www.wikiprocedure.com
Application for e-ID </t>
        </r>
      </text>
    </comment>
    <comment ref="AD2" authorId="0" shapeId="0">
      <text>
        <r>
          <rPr>
            <b/>
            <sz val="9"/>
            <color indexed="81"/>
            <rFont val="Tahoma"/>
            <family val="2"/>
          </rPr>
          <t>Cem Dener:</t>
        </r>
        <r>
          <rPr>
            <sz val="9"/>
            <color indexed="81"/>
            <rFont val="Tahoma"/>
            <family val="2"/>
          </rPr>
          <t xml:space="preserve">
Web site containing info/doc about the e-ID platform/usage (URL)</t>
        </r>
      </text>
    </comment>
    <comment ref="AE2" authorId="0" shapeId="0">
      <text>
        <r>
          <rPr>
            <b/>
            <sz val="9"/>
            <color indexed="81"/>
            <rFont val="Tahoma"/>
            <family val="2"/>
          </rPr>
          <t>Cem Dener:</t>
        </r>
        <r>
          <rPr>
            <sz val="9"/>
            <color indexed="81"/>
            <rFont val="Tahoma"/>
            <family val="2"/>
          </rPr>
          <t xml:space="preserve">
e-ID is being used since (year)</t>
        </r>
      </text>
    </comment>
    <comment ref="AF2" authorId="0" shapeId="0">
      <text>
        <r>
          <rPr>
            <b/>
            <sz val="9"/>
            <color indexed="81"/>
            <rFont val="Tahoma"/>
            <family val="2"/>
          </rPr>
          <t>Cem Dener:</t>
        </r>
        <r>
          <rPr>
            <sz val="9"/>
            <color indexed="81"/>
            <rFont val="Tahoma"/>
            <family val="2"/>
          </rPr>
          <t xml:space="preserve">
Electronic ID usage:
0…  No e-ID solution yet
1… e-ID is used for unique identification only
2…  e-ID is used in several e-Services
3…  Multi-purpose e-ID used in most e-Services, including digital signature and/or remore online services</t>
        </r>
      </text>
    </comment>
    <comment ref="AG2" authorId="0" shapeId="0">
      <text>
        <r>
          <rPr>
            <b/>
            <sz val="9"/>
            <color indexed="81"/>
            <rFont val="Tahoma"/>
            <family val="2"/>
          </rPr>
          <t>Cem Dener:</t>
        </r>
        <r>
          <rPr>
            <sz val="9"/>
            <color indexed="81"/>
            <rFont val="Tahoma"/>
            <family val="2"/>
          </rPr>
          <t xml:space="preserve">
Type of e-ID Card
0 : No identification system yet
1 : No e-ID yet (standard ID, paper based)
2 : Barcode cards (static)
2B : Barcode including biometrics
3 : Mag-strip cards (Data Matric Code / PDF 417 / QR Code)
3B : Mag-strip card including biometrics
4 : Smart cards (chip-based) [ contact/contactless ]
4B : Smart cards with biometrics 
B : indicates Biometric Registry (as in India’s Aadhaar Unique Identification Program) 
</t>
        </r>
      </text>
    </comment>
    <comment ref="AH2" authorId="0" shapeId="0">
      <text>
        <r>
          <rPr>
            <b/>
            <sz val="9"/>
            <color indexed="81"/>
            <rFont val="Tahoma"/>
            <family val="2"/>
          </rPr>
          <t>Cem Dener:</t>
        </r>
        <r>
          <rPr>
            <sz val="9"/>
            <color indexed="81"/>
            <rFont val="Tahoma"/>
            <family val="2"/>
          </rPr>
          <t xml:space="preserve">
Type of services in which the e-ID is used:
C : Civil Identification
E : Education
F : Finance / Payments
H : Health
P : Passport
R : Tax / Customs
S : Social Security
T : Transport
V : Voting / elections
O : Other e-Services
? : Unknown</t>
        </r>
      </text>
    </comment>
    <comment ref="AI2" authorId="0" shapeId="0">
      <text>
        <r>
          <rPr>
            <b/>
            <sz val="9"/>
            <color indexed="81"/>
            <rFont val="Tahoma"/>
            <family val="2"/>
          </rPr>
          <t>Cem Dener:</t>
        </r>
        <r>
          <rPr>
            <sz val="9"/>
            <color indexed="81"/>
            <rFont val="Tahoma"/>
            <family val="2"/>
          </rPr>
          <t xml:space="preserve">
Digitial Signature on e-ID Card
0 : Digital signature is not available on e-ID card
1 : Digital signature is embedded in e-ID Card</t>
        </r>
      </text>
    </comment>
    <comment ref="AJ2" authorId="0" shapeId="0">
      <text>
        <r>
          <rPr>
            <b/>
            <sz val="9"/>
            <color indexed="81"/>
            <rFont val="Tahoma"/>
            <family val="2"/>
          </rPr>
          <t>Cem Dener:</t>
        </r>
        <r>
          <rPr>
            <sz val="9"/>
            <color indexed="81"/>
            <rFont val="Tahoma"/>
            <family val="2"/>
          </rPr>
          <t xml:space="preserve">
Remote use of e-ID Card
-  : Unknown
0 : e-ID card cannot be used for remote online transactions
1 : e-ID Card is being used for remote online transactions (payments, voting, birth registration, etc.).</t>
        </r>
      </text>
    </comment>
    <comment ref="AK2" authorId="0" shapeId="0">
      <text>
        <r>
          <rPr>
            <b/>
            <sz val="9"/>
            <color indexed="81"/>
            <rFont val="Tahoma"/>
            <family val="2"/>
          </rPr>
          <t>Cem Dener:</t>
        </r>
        <r>
          <rPr>
            <sz val="9"/>
            <color indexed="81"/>
            <rFont val="Tahoma"/>
            <family val="2"/>
          </rPr>
          <t xml:space="preserve">
Total number of e-ID cards produced/to be produced (x1,000)</t>
        </r>
      </text>
    </comment>
    <comment ref="AL2" authorId="0" shapeId="0">
      <text>
        <r>
          <rPr>
            <b/>
            <sz val="9"/>
            <color indexed="81"/>
            <rFont val="Tahoma"/>
            <family val="2"/>
          </rPr>
          <t>Cem Dener:</t>
        </r>
        <r>
          <rPr>
            <sz val="9"/>
            <color indexed="81"/>
            <rFont val="Tahoma"/>
            <family val="2"/>
          </rPr>
          <t xml:space="preserve">
Biometric ID card solution:
0 : No e-ID yet
1 : GEMALTO (NL)
2 : SAFRAN / Morpho (FR)
3:  Uberthur (FR)
4 : Giesecke &amp; Devrient (DE)
5 : Trueb (CH)
6 : IRIS (MY)
7 : HID (US)
8 : Semlex (BE)
9: Other
10 : Implementation in progress
11...18  in progress w/ known cards</t>
        </r>
      </text>
    </comment>
    <comment ref="AM2" authorId="0" shapeId="0">
      <text>
        <r>
          <rPr>
            <b/>
            <sz val="9"/>
            <color indexed="81"/>
            <rFont val="Tahoma"/>
            <family val="2"/>
          </rPr>
          <t>Cem Dener:</t>
        </r>
        <r>
          <rPr>
            <sz val="9"/>
            <color indexed="81"/>
            <rFont val="Tahoma"/>
            <family val="2"/>
          </rPr>
          <t xml:space="preserve">
Website(s) providing info on e-ID technology platform</t>
        </r>
      </text>
    </comment>
    <comment ref="AN2" authorId="0" shapeId="0">
      <text>
        <r>
          <rPr>
            <b/>
            <sz val="9"/>
            <color indexed="81"/>
            <rFont val="Tahoma"/>
            <family val="2"/>
          </rPr>
          <t>Cem Dener:</t>
        </r>
        <r>
          <rPr>
            <sz val="9"/>
            <color indexed="81"/>
            <rFont val="Tahoma"/>
            <family val="2"/>
          </rPr>
          <t xml:space="preserve">
Implementation Challenges:
- : No major complication
1 : Implementation cancelled (during bidding or implementation)
2 : Unexpected interruption of implementation (political conflict, disaster, etc.)
3 : Privacy concerns; public campaigns; resistance; human rights issues
4 : Data protection; information security; technical and capacity issues; leakage; multiple cards
5 : Government ownership; political commitment
6 : Legal case during implementation (contractual dispute, fraud, etc.)
7 : Other</t>
        </r>
      </text>
    </comment>
    <comment ref="AO2" authorId="0" shapeId="0">
      <text>
        <r>
          <rPr>
            <b/>
            <sz val="9"/>
            <color indexed="81"/>
            <rFont val="Tahoma"/>
            <family val="2"/>
          </rPr>
          <t>Cem Dener:</t>
        </r>
        <r>
          <rPr>
            <sz val="9"/>
            <color indexed="81"/>
            <rFont val="Tahoma"/>
            <family val="2"/>
          </rPr>
          <t xml:space="preserve">
Biometric ID ?
0:  No Biometric ID 
1:  Biometric ID exists</t>
        </r>
      </text>
    </comment>
    <comment ref="AP2" authorId="0" shapeId="0">
      <text>
        <r>
          <rPr>
            <b/>
            <sz val="9"/>
            <color indexed="81"/>
            <rFont val="Tahoma"/>
            <family val="2"/>
          </rPr>
          <t>Cem Dener:</t>
        </r>
        <r>
          <rPr>
            <sz val="9"/>
            <color indexed="81"/>
            <rFont val="Tahoma"/>
            <family val="2"/>
          </rPr>
          <t xml:space="preserve">
Biometric ID mandatory?
0:  No
1:  Yes</t>
        </r>
      </text>
    </comment>
    <comment ref="AQ2" authorId="0" shapeId="0">
      <text>
        <r>
          <rPr>
            <b/>
            <sz val="9"/>
            <color indexed="81"/>
            <rFont val="Tahoma"/>
            <family val="2"/>
          </rPr>
          <t>Cem Dener:</t>
        </r>
        <r>
          <rPr>
            <sz val="9"/>
            <color indexed="81"/>
            <rFont val="Tahoma"/>
            <family val="2"/>
          </rPr>
          <t xml:space="preserve">
Web site containing info/doc about the e-Passport (URL)</t>
        </r>
      </text>
    </comment>
    <comment ref="AR2" authorId="0" shapeId="0">
      <text>
        <r>
          <rPr>
            <b/>
            <sz val="9"/>
            <color indexed="81"/>
            <rFont val="Tahoma"/>
            <family val="2"/>
          </rPr>
          <t>Cem Dener:</t>
        </r>
        <r>
          <rPr>
            <sz val="9"/>
            <color indexed="81"/>
            <rFont val="Tahoma"/>
            <family val="2"/>
          </rPr>
          <t xml:space="preserve">
Name of gov entity issuing e-Passport</t>
        </r>
      </text>
    </comment>
    <comment ref="AS2" authorId="0" shapeId="0">
      <text>
        <r>
          <rPr>
            <b/>
            <sz val="9"/>
            <color indexed="81"/>
            <rFont val="Tahoma"/>
            <family val="2"/>
          </rPr>
          <t>Cem Dener:</t>
        </r>
        <r>
          <rPr>
            <sz val="9"/>
            <color indexed="81"/>
            <rFont val="Tahoma"/>
            <family val="2"/>
          </rPr>
          <t xml:space="preserve">
Passport type:
0…  Standard passport
1…  MRTD (Machine Readable Travel Document)
2… e-Passport (MRTD + chip + biometric) </t>
        </r>
      </text>
    </comment>
    <comment ref="AT2" authorId="0" shapeId="0">
      <text>
        <r>
          <rPr>
            <b/>
            <sz val="9"/>
            <color indexed="81"/>
            <rFont val="Tahoma"/>
            <family val="2"/>
          </rPr>
          <t>Cem Dener:</t>
        </r>
        <r>
          <rPr>
            <sz val="9"/>
            <color indexed="81"/>
            <rFont val="Tahoma"/>
            <family val="2"/>
          </rPr>
          <t xml:space="preserve">
Institutional responsibility for e-Passport:
0: No e-Passport service/unknown
1: Ministry of Justice
2: Ministry of Interior/ Home Affairs
3: Ministry of Foreign Affairs
4: Entity responsible for Electoral System
5: Autonomous
6: Other</t>
        </r>
      </text>
    </comment>
    <comment ref="AU2" authorId="0" shapeId="0">
      <text>
        <r>
          <rPr>
            <b/>
            <sz val="9"/>
            <color indexed="81"/>
            <rFont val="Tahoma"/>
            <family val="2"/>
          </rPr>
          <t>Cem Dener:</t>
        </r>
        <r>
          <rPr>
            <sz val="9"/>
            <color indexed="81"/>
            <rFont val="Tahoma"/>
            <family val="2"/>
          </rPr>
          <t xml:space="preserve">
e-Passport is being used since (year)</t>
        </r>
      </text>
    </comment>
    <comment ref="AV2" authorId="0" shapeId="0">
      <text>
        <r>
          <rPr>
            <b/>
            <sz val="9"/>
            <color indexed="81"/>
            <rFont val="Tahoma"/>
            <family val="2"/>
          </rPr>
          <t>Cem Dener:</t>
        </r>
        <r>
          <rPr>
            <sz val="9"/>
            <color indexed="81"/>
            <rFont val="Tahoma"/>
            <family val="2"/>
          </rPr>
          <t xml:space="preserve">
Validity of e-Passport (year)
Mostly ICAO data (2011)</t>
        </r>
      </text>
    </comment>
    <comment ref="AW2" authorId="0" shapeId="0">
      <text>
        <r>
          <rPr>
            <b/>
            <sz val="9"/>
            <color indexed="81"/>
            <rFont val="Tahoma"/>
            <family val="2"/>
          </rPr>
          <t>Cem Dener:</t>
        </r>
        <r>
          <rPr>
            <sz val="9"/>
            <color indexed="81"/>
            <rFont val="Tahoma"/>
            <family val="2"/>
          </rPr>
          <t xml:space="preserve">
Estimated number of e-Passports issued [x1000]
ICAO data (2012)</t>
        </r>
      </text>
    </comment>
    <comment ref="AX2" authorId="0" shapeId="0">
      <text>
        <r>
          <rPr>
            <b/>
            <sz val="9"/>
            <color indexed="81"/>
            <rFont val="Tahoma"/>
            <family val="2"/>
          </rPr>
          <t>Cem Dener:</t>
        </r>
        <r>
          <rPr>
            <sz val="9"/>
            <color indexed="81"/>
            <rFont val="Tahoma"/>
            <family val="2"/>
          </rPr>
          <t xml:space="preserve">
e-Passport and e-ID linkages
- : No e-Passport/e-ID solution / status unknown
0 : e-ID is not linked to e-Passport 
1 : e-ID can be used as e-Passport (for cross border travel, trade, etc.)</t>
        </r>
      </text>
    </comment>
    <comment ref="AY2" authorId="0" shapeId="0">
      <text>
        <r>
          <rPr>
            <b/>
            <sz val="9"/>
            <color indexed="81"/>
            <rFont val="Tahoma"/>
            <family val="2"/>
          </rPr>
          <t>Cem Dener:</t>
        </r>
        <r>
          <rPr>
            <sz val="9"/>
            <color indexed="81"/>
            <rFont val="Tahoma"/>
            <family val="2"/>
          </rPr>
          <t xml:space="preserve">
Website(s) containing info/doc about Business Registry (URL)</t>
        </r>
      </text>
    </comment>
    <comment ref="AZ2" authorId="0" shapeId="0">
      <text>
        <r>
          <rPr>
            <b/>
            <sz val="9"/>
            <color indexed="81"/>
            <rFont val="Tahoma"/>
            <family val="2"/>
          </rPr>
          <t>Cem Dener:</t>
        </r>
        <r>
          <rPr>
            <sz val="9"/>
            <color indexed="81"/>
            <rFont val="Tahoma"/>
            <family val="2"/>
          </rPr>
          <t xml:space="preserve">
Business Registry is being used since (year)</t>
        </r>
      </text>
    </comment>
    <comment ref="BA2" authorId="0" shapeId="0">
      <text>
        <r>
          <rPr>
            <b/>
            <sz val="9"/>
            <color indexed="81"/>
            <rFont val="Tahoma"/>
            <family val="2"/>
          </rPr>
          <t>Cem Dener:</t>
        </r>
        <r>
          <rPr>
            <sz val="9"/>
            <color indexed="81"/>
            <rFont val="Tahoma"/>
            <family val="2"/>
          </rPr>
          <t xml:space="preserve">
Business Registration automated?
0…  No automation yet
1…  BR is automated
 </t>
        </r>
      </text>
    </comment>
    <comment ref="BB2" authorId="0" shapeId="0">
      <text>
        <r>
          <rPr>
            <b/>
            <sz val="9"/>
            <color indexed="81"/>
            <rFont val="Tahoma"/>
            <family val="2"/>
          </rPr>
          <t>Cem Dener:</t>
        </r>
        <r>
          <rPr>
            <sz val="9"/>
            <color indexed="81"/>
            <rFont val="Tahoma"/>
            <family val="2"/>
          </rPr>
          <t xml:space="preserve">
Unique Business/Corporate ID (c-ID):
0…  No c-ID solution yet
1…  Existing Taxpayer or other unique ID is used
2…  Unique c-ID is in use
 </t>
        </r>
      </text>
    </comment>
    <comment ref="BC2" authorId="0" shapeId="0">
      <text>
        <r>
          <rPr>
            <b/>
            <sz val="9"/>
            <color indexed="81"/>
            <rFont val="Tahoma"/>
            <family val="2"/>
          </rPr>
          <t>Cem Dener:</t>
        </r>
        <r>
          <rPr>
            <sz val="9"/>
            <color indexed="81"/>
            <rFont val="Tahoma"/>
            <family val="2"/>
          </rPr>
          <t xml:space="preserve">
Website(s) containing info/doc about the Unique Business/Corporate ID usage (URL)</t>
        </r>
      </text>
    </comment>
    <comment ref="BD2" authorId="0" shapeId="0">
      <text>
        <r>
          <rPr>
            <b/>
            <sz val="9"/>
            <color indexed="81"/>
            <rFont val="Tahoma"/>
            <family val="2"/>
          </rPr>
          <t>Cem Dener:</t>
        </r>
        <r>
          <rPr>
            <sz val="9"/>
            <color indexed="81"/>
            <rFont val="Tahoma"/>
            <family val="2"/>
          </rPr>
          <t xml:space="preserve">
c-ID is being used since (year)</t>
        </r>
      </text>
    </comment>
    <comment ref="BE2" authorId="0" shapeId="0">
      <text>
        <r>
          <rPr>
            <b/>
            <sz val="9"/>
            <color indexed="81"/>
            <rFont val="Tahoma"/>
            <family val="2"/>
          </rPr>
          <t>Cem Dener:</t>
        </r>
        <r>
          <rPr>
            <sz val="9"/>
            <color indexed="81"/>
            <rFont val="Tahoma"/>
            <family val="2"/>
          </rPr>
          <t xml:space="preserve">
Unique Business/Corporate ID (c-ID) usage:
0…  No c-ID solution yet
1…  c-ID exists, but no evidence on usage in e-Services 
2…  c-ID is used in e-Services
 </t>
        </r>
      </text>
    </comment>
    <comment ref="BF2" authorId="0" shapeId="0">
      <text>
        <r>
          <rPr>
            <b/>
            <sz val="9"/>
            <color indexed="81"/>
            <rFont val="Tahoma"/>
            <family val="2"/>
          </rPr>
          <t>Cem Dener:</t>
        </r>
        <r>
          <rPr>
            <sz val="9"/>
            <color indexed="81"/>
            <rFont val="Tahoma"/>
            <family val="2"/>
          </rPr>
          <t xml:space="preserve">
Services linked to unique Business ID:
C : Corporate Identification
F : Finance / Payments
P : Permits
R : Tax / Customs
S : Social security
O : Other
</t>
        </r>
      </text>
    </comment>
    <comment ref="BG2" authorId="0" shapeId="0">
      <text>
        <r>
          <rPr>
            <b/>
            <sz val="9"/>
            <color indexed="81"/>
            <rFont val="Tahoma"/>
            <family val="2"/>
          </rPr>
          <t>Cem Dener:</t>
        </r>
        <r>
          <rPr>
            <sz val="9"/>
            <color indexed="81"/>
            <rFont val="Tahoma"/>
            <family val="2"/>
          </rPr>
          <t xml:space="preserve">
Usage of single sign-on for business services
0 : No single sign-on usage
1 : Single sign-on is used for business services
</t>
        </r>
      </text>
    </comment>
    <comment ref="BH2" authorId="0" shapeId="0">
      <text>
        <r>
          <rPr>
            <b/>
            <sz val="9"/>
            <color indexed="81"/>
            <rFont val="Tahoma"/>
            <family val="2"/>
          </rPr>
          <t>Cem Dener:</t>
        </r>
        <r>
          <rPr>
            <sz val="9"/>
            <color indexed="81"/>
            <rFont val="Tahoma"/>
            <family val="2"/>
          </rPr>
          <t xml:space="preserve">
Website(s) containing info/doc on usage of single sing-on for business services</t>
        </r>
      </text>
    </comment>
    <comment ref="BI2" authorId="0" shapeId="0">
      <text>
        <r>
          <rPr>
            <b/>
            <sz val="9"/>
            <color indexed="81"/>
            <rFont val="Tahoma"/>
            <family val="2"/>
          </rPr>
          <t>Cem Dener:</t>
        </r>
        <r>
          <rPr>
            <sz val="9"/>
            <color indexed="81"/>
            <rFont val="Tahoma"/>
            <family val="2"/>
          </rPr>
          <t xml:space="preserve">
Data protection law/ data privacy bill:
0= No data protection/privacy law yet
1= Draft law / bill is prepared but not enacted yet
2= Data protection law is approved (no data protection agency yet). 
3= Data protection law is approved and dats protection agency is in place.</t>
        </r>
      </text>
    </comment>
    <comment ref="BJ2" authorId="0" shapeId="0">
      <text>
        <r>
          <rPr>
            <b/>
            <sz val="9"/>
            <color indexed="81"/>
            <rFont val="Tahoma"/>
            <family val="2"/>
          </rPr>
          <t>Cem Dener:</t>
        </r>
        <r>
          <rPr>
            <sz val="9"/>
            <color indexed="81"/>
            <rFont val="Tahoma"/>
            <family val="2"/>
          </rPr>
          <t xml:space="preserve">
Right to Information legislation:
0= No RTI law yet
1=  RTI law is approved</t>
        </r>
      </text>
    </comment>
    <comment ref="BK2" authorId="0" shapeId="0">
      <text>
        <r>
          <rPr>
            <sz val="9"/>
            <color indexed="81"/>
            <rFont val="Tahoma"/>
            <family val="2"/>
          </rPr>
          <t xml:space="preserve">Population in thousands (2015)
UN population database (thousands)
http://esa.un.org/unpd/wpp/Download/Standard/Population/
</t>
        </r>
      </text>
    </comment>
    <comment ref="CG2" authorId="0" shapeId="0">
      <text>
        <r>
          <rPr>
            <b/>
            <sz val="9"/>
            <color indexed="81"/>
            <rFont val="Tahoma"/>
            <family val="2"/>
          </rPr>
          <t>Cem Dener:</t>
        </r>
        <r>
          <rPr>
            <sz val="9"/>
            <color indexed="81"/>
            <rFont val="Tahoma"/>
            <family val="2"/>
          </rPr>
          <t xml:space="preserve">
Registration rate of births (ages 0-4) : % of population
Source: UNICEF 2014 Birth Registration DB
http://data.unicef.org/child-protection/birth-registration.html
</t>
        </r>
      </text>
    </comment>
    <comment ref="CH2" authorId="0" shapeId="0">
      <text>
        <r>
          <rPr>
            <b/>
            <sz val="9"/>
            <color indexed="81"/>
            <rFont val="Tahoma"/>
            <family val="2"/>
          </rPr>
          <t>Cem Dener:</t>
        </r>
        <r>
          <rPr>
            <sz val="9"/>
            <color indexed="81"/>
            <rFont val="Tahoma"/>
            <family val="2"/>
          </rPr>
          <t xml:space="preserve">
Male birth (0-4) registration rate (%)</t>
        </r>
      </text>
    </comment>
    <comment ref="CI2" authorId="0" shapeId="0">
      <text>
        <r>
          <rPr>
            <b/>
            <sz val="9"/>
            <color indexed="81"/>
            <rFont val="Tahoma"/>
            <family val="2"/>
          </rPr>
          <t>Cem Dener:</t>
        </r>
        <r>
          <rPr>
            <sz val="9"/>
            <color indexed="81"/>
            <rFont val="Tahoma"/>
            <family val="2"/>
          </rPr>
          <t xml:space="preserve">
Female birth (0-4) registration rate (%)</t>
        </r>
      </text>
    </comment>
    <comment ref="CJ2" authorId="0" shapeId="0">
      <text>
        <r>
          <rPr>
            <b/>
            <sz val="9"/>
            <color indexed="81"/>
            <rFont val="Tahoma"/>
            <family val="2"/>
          </rPr>
          <t>Cem Dener:</t>
        </r>
        <r>
          <rPr>
            <sz val="9"/>
            <color indexed="81"/>
            <rFont val="Tahoma"/>
            <family val="2"/>
          </rPr>
          <t xml:space="preserve">
Urban BR rate (%)</t>
        </r>
      </text>
    </comment>
    <comment ref="CK2" authorId="0" shapeId="0">
      <text>
        <r>
          <rPr>
            <b/>
            <sz val="9"/>
            <color indexed="81"/>
            <rFont val="Tahoma"/>
            <family val="2"/>
          </rPr>
          <t>Cem Dener:</t>
        </r>
        <r>
          <rPr>
            <sz val="9"/>
            <color indexed="81"/>
            <rFont val="Tahoma"/>
            <family val="2"/>
          </rPr>
          <t xml:space="preserve">
Rural BR rate (%)</t>
        </r>
      </text>
    </comment>
    <comment ref="CL2" authorId="0" shapeId="0">
      <text>
        <r>
          <rPr>
            <b/>
            <sz val="9"/>
            <color indexed="81"/>
            <rFont val="Tahoma"/>
            <family val="2"/>
          </rPr>
          <t>Cem Dener:</t>
        </r>
        <r>
          <rPr>
            <sz val="9"/>
            <color indexed="81"/>
            <rFont val="Tahoma"/>
            <family val="2"/>
          </rPr>
          <t xml:space="preserve">
BR rate data reference year</t>
        </r>
      </text>
    </comment>
    <comment ref="CM2" authorId="0" shapeId="0">
      <text>
        <r>
          <rPr>
            <b/>
            <sz val="9"/>
            <color indexed="81"/>
            <rFont val="Tahoma"/>
            <family val="2"/>
          </rPr>
          <t>Cem Dener:</t>
        </r>
        <r>
          <rPr>
            <sz val="9"/>
            <color indexed="81"/>
            <rFont val="Tahoma"/>
            <family val="2"/>
          </rPr>
          <t xml:space="preserve">
BR rate data source
 MICS : Multiple Indicator Cluster Surveys
DHS : Demographic and Health Surveys
</t>
        </r>
      </text>
    </comment>
    <comment ref="CN2" authorId="0" shapeId="0">
      <text>
        <r>
          <rPr>
            <b/>
            <sz val="9"/>
            <color indexed="81"/>
            <rFont val="Tahoma"/>
            <family val="2"/>
          </rPr>
          <t>Cem Dener:</t>
        </r>
        <r>
          <rPr>
            <sz val="9"/>
            <color indexed="81"/>
            <rFont val="Tahoma"/>
            <family val="2"/>
          </rPr>
          <t xml:space="preserve">
Total number of adults registered in NID or other legal registers (in some cases voter roll)</t>
        </r>
      </text>
    </comment>
    <comment ref="CO2" authorId="0" shapeId="0">
      <text>
        <r>
          <rPr>
            <b/>
            <sz val="9"/>
            <color indexed="81"/>
            <rFont val="Tahoma"/>
            <family val="2"/>
          </rPr>
          <t>Cem Dener:</t>
        </r>
        <r>
          <rPr>
            <sz val="9"/>
            <color indexed="81"/>
            <rFont val="Tahoma"/>
            <family val="2"/>
          </rPr>
          <t xml:space="preserve">
Percentage of adult population with National ID or Voter ID (%)</t>
        </r>
      </text>
    </comment>
    <comment ref="CT2" authorId="0" shapeId="0">
      <text>
        <r>
          <rPr>
            <b/>
            <sz val="9"/>
            <color indexed="81"/>
            <rFont val="Tahoma"/>
            <family val="2"/>
          </rPr>
          <t>Cem Dener:</t>
        </r>
        <r>
          <rPr>
            <sz val="9"/>
            <color indexed="81"/>
            <rFont val="Tahoma"/>
            <family val="2"/>
          </rPr>
          <t xml:space="preserve">
Mandatory age for issuing National ID</t>
        </r>
      </text>
    </comment>
    <comment ref="CU2" authorId="0" shapeId="0">
      <text>
        <r>
          <rPr>
            <b/>
            <sz val="9"/>
            <color indexed="81"/>
            <rFont val="Tahoma"/>
            <family val="2"/>
          </rPr>
          <t>Cem Dener:</t>
        </r>
        <r>
          <rPr>
            <sz val="9"/>
            <color indexed="81"/>
            <rFont val="Tahoma"/>
            <family val="2"/>
          </rPr>
          <t xml:space="preserve">
https://en.wikipedia.org/wiki/Voting_age</t>
        </r>
      </text>
    </comment>
    <comment ref="CW2" authorId="0" shapeId="0">
      <text>
        <r>
          <rPr>
            <b/>
            <sz val="9"/>
            <color indexed="81"/>
            <rFont val="Tahoma"/>
            <family val="2"/>
          </rPr>
          <t>Cem Dener:</t>
        </r>
        <r>
          <rPr>
            <sz val="9"/>
            <color indexed="81"/>
            <rFont val="Tahoma"/>
            <family val="2"/>
          </rPr>
          <t xml:space="preserve">
Registered voters 
(x1000)
http://www.idea.int/vt/index.cfm</t>
        </r>
      </text>
    </comment>
    <comment ref="CX2" authorId="0" shapeId="0">
      <text>
        <r>
          <rPr>
            <b/>
            <sz val="9"/>
            <color indexed="81"/>
            <rFont val="Tahoma"/>
            <family val="2"/>
          </rPr>
          <t>Cem Dener:</t>
        </r>
        <r>
          <rPr>
            <sz val="9"/>
            <color indexed="81"/>
            <rFont val="Tahoma"/>
            <family val="2"/>
          </rPr>
          <t xml:space="preserve">
Voting age population
(x1000)
http://www.idea.int/vt/index.cfm</t>
        </r>
      </text>
    </comment>
    <comment ref="CY2" authorId="0" shapeId="0">
      <text>
        <r>
          <rPr>
            <b/>
            <sz val="9"/>
            <color indexed="81"/>
            <rFont val="Tahoma"/>
            <family val="2"/>
          </rPr>
          <t>Cem Dener:</t>
        </r>
        <r>
          <rPr>
            <sz val="9"/>
            <color indexed="81"/>
            <rFont val="Tahoma"/>
            <family val="2"/>
          </rPr>
          <t xml:space="preserve">
Population
(x1000)
http://www.idea.int/vt/index.cfm</t>
        </r>
      </text>
    </comment>
    <comment ref="CZ2" authorId="1" shapeId="0">
      <text>
        <r>
          <rPr>
            <b/>
            <sz val="9"/>
            <color indexed="81"/>
            <rFont val="Tahoma"/>
            <family val="2"/>
          </rPr>
          <t>Author:</t>
        </r>
        <r>
          <rPr>
            <sz val="9"/>
            <color indexed="81"/>
            <rFont val="Tahoma"/>
            <family val="2"/>
          </rPr>
          <t xml:space="preserve">
0 : No update
1 :  Voter registration numbers updated
2 :  NID registration numbers updated
3 :  Other sources used for updates
10: Voter registration number from country URL and gender data
20: NID registration number from country URL and gender data</t>
        </r>
      </text>
    </comment>
    <comment ref="DA2" authorId="1" shapeId="0">
      <text>
        <r>
          <rPr>
            <b/>
            <sz val="9"/>
            <color indexed="81"/>
            <rFont val="Tahoma"/>
            <family val="2"/>
          </rPr>
          <t>Author:</t>
        </r>
        <r>
          <rPr>
            <sz val="9"/>
            <color indexed="81"/>
            <rFont val="Tahoma"/>
            <family val="2"/>
          </rPr>
          <t xml:space="preserve">
1 :  No indication of NID
2 : No NID or Voter registration numbers, different resources captured
3 : NID or Voter ID captured but not easily verified
4 : Voter registration captured
5 : NID captured but not mandatory at birth  
6 : NID registration rates and BR are mandatory at birth and available</t>
        </r>
      </text>
    </comment>
    <comment ref="DC2" authorId="0" shapeId="0">
      <text>
        <r>
          <rPr>
            <b/>
            <sz val="9"/>
            <color indexed="81"/>
            <rFont val="Tahoma"/>
            <family val="2"/>
          </rPr>
          <t>Cem Dener:</t>
        </r>
        <r>
          <rPr>
            <sz val="9"/>
            <color indexed="81"/>
            <rFont val="Tahoma"/>
            <family val="2"/>
          </rPr>
          <t xml:space="preserve">
Development challenges:
A : Urgent support needed &gt;&gt;&gt; Low birth registration rate OR high levels iof extreme poverty OR high unregistered population rates
B : Support for modernization of existing systems or improvement of practices
C : No WBG support is needed (high OR middle income); G20, EU, etc.</t>
        </r>
      </text>
    </comment>
    <comment ref="DD2" authorId="0" shapeId="0">
      <text>
        <r>
          <rPr>
            <b/>
            <sz val="9"/>
            <color indexed="81"/>
            <rFont val="Tahoma"/>
            <family val="2"/>
          </rPr>
          <t>Cem Dener:</t>
        </r>
        <r>
          <rPr>
            <sz val="9"/>
            <color indexed="81"/>
            <rFont val="Tahoma"/>
            <family val="2"/>
          </rPr>
          <t xml:space="preserve">
Total estimated unregistered population (no CR records) (x 1,000)</t>
        </r>
      </text>
    </comment>
    <comment ref="DE2" authorId="0" shapeId="0">
      <text>
        <r>
          <rPr>
            <b/>
            <sz val="9"/>
            <color indexed="81"/>
            <rFont val="Tahoma"/>
            <family val="2"/>
          </rPr>
          <t>Cem Dener:</t>
        </r>
        <r>
          <rPr>
            <sz val="9"/>
            <color indexed="81"/>
            <rFont val="Tahoma"/>
            <family val="2"/>
          </rPr>
          <t xml:space="preserve">
% of total unregistered population</t>
        </r>
      </text>
    </comment>
    <comment ref="DF2" authorId="0" shapeId="0">
      <text>
        <r>
          <rPr>
            <b/>
            <sz val="9"/>
            <color indexed="81"/>
            <rFont val="Tahoma"/>
            <family val="2"/>
          </rPr>
          <t>Cem Dener:</t>
        </r>
        <r>
          <rPr>
            <sz val="9"/>
            <color indexed="81"/>
            <rFont val="Tahoma"/>
            <family val="2"/>
          </rPr>
          <t xml:space="preserve">
Female % of
total unregistered population</t>
        </r>
      </text>
    </comment>
    <comment ref="DG2" authorId="0" shapeId="0">
      <text>
        <r>
          <rPr>
            <b/>
            <sz val="9"/>
            <color indexed="81"/>
            <rFont val="Tahoma"/>
            <family val="2"/>
          </rPr>
          <t>Cem Dener:</t>
        </r>
        <r>
          <rPr>
            <sz val="9"/>
            <color indexed="81"/>
            <rFont val="Tahoma"/>
            <family val="2"/>
          </rPr>
          <t xml:space="preserve">
Unregistered males (x1,000)</t>
        </r>
      </text>
    </comment>
    <comment ref="DH2" authorId="0" shapeId="0">
      <text>
        <r>
          <rPr>
            <b/>
            <sz val="9"/>
            <color indexed="81"/>
            <rFont val="Tahoma"/>
            <family val="2"/>
          </rPr>
          <t>Cem Dener:</t>
        </r>
        <r>
          <rPr>
            <sz val="9"/>
            <color indexed="81"/>
            <rFont val="Tahoma"/>
            <family val="2"/>
          </rPr>
          <t xml:space="preserve">
Unregistered females (x1,000)</t>
        </r>
      </text>
    </comment>
    <comment ref="DI2" authorId="0" shapeId="0">
      <text>
        <r>
          <rPr>
            <b/>
            <sz val="9"/>
            <color indexed="81"/>
            <rFont val="Tahoma"/>
            <family val="2"/>
          </rPr>
          <t>Cem Dener:</t>
        </r>
        <r>
          <rPr>
            <sz val="9"/>
            <color indexed="81"/>
            <rFont val="Tahoma"/>
            <family val="2"/>
          </rPr>
          <t xml:space="preserve">
Percentage of unregistered males among total male population</t>
        </r>
      </text>
    </comment>
    <comment ref="DJ2" authorId="0" shapeId="0">
      <text>
        <r>
          <rPr>
            <b/>
            <sz val="9"/>
            <color indexed="81"/>
            <rFont val="Tahoma"/>
            <family val="2"/>
          </rPr>
          <t>Cem Dener:</t>
        </r>
        <r>
          <rPr>
            <sz val="9"/>
            <color indexed="81"/>
            <rFont val="Tahoma"/>
            <family val="2"/>
          </rPr>
          <t xml:space="preserve">
Percentage of unregistered females among total female population</t>
        </r>
      </text>
    </comment>
    <comment ref="DK2" authorId="0" shapeId="0">
      <text>
        <r>
          <rPr>
            <b/>
            <sz val="9"/>
            <color indexed="81"/>
            <rFont val="Tahoma"/>
            <family val="2"/>
          </rPr>
          <t>Cem Dener:</t>
        </r>
        <r>
          <rPr>
            <sz val="9"/>
            <color indexed="81"/>
            <rFont val="Tahoma"/>
            <family val="2"/>
          </rPr>
          <t xml:space="preserve">
Total estimated unregistered population (no CR records) above age 14 (x 1,000)</t>
        </r>
      </text>
    </comment>
    <comment ref="DL2" authorId="0" shapeId="0">
      <text>
        <r>
          <rPr>
            <b/>
            <sz val="9"/>
            <color indexed="81"/>
            <rFont val="Tahoma"/>
            <family val="2"/>
          </rPr>
          <t>Cem Dener:</t>
        </r>
        <r>
          <rPr>
            <sz val="9"/>
            <color indexed="81"/>
            <rFont val="Tahoma"/>
            <family val="2"/>
          </rPr>
          <t xml:space="preserve">
Female % of
total unregistered population above 14</t>
        </r>
      </text>
    </comment>
    <comment ref="DO2" authorId="0" shapeId="0">
      <text>
        <r>
          <rPr>
            <b/>
            <sz val="9"/>
            <color indexed="81"/>
            <rFont val="Tahoma"/>
            <family val="2"/>
          </rPr>
          <t>Cem Dener:</t>
        </r>
        <r>
          <rPr>
            <sz val="9"/>
            <color indexed="81"/>
            <rFont val="Tahoma"/>
            <family val="2"/>
          </rPr>
          <t xml:space="preserve">
Total number of unregistered children
(x 1,000) 
(5-14 age group)</t>
        </r>
      </text>
    </comment>
    <comment ref="DP2" authorId="0" shapeId="0">
      <text>
        <r>
          <rPr>
            <b/>
            <sz val="9"/>
            <color indexed="81"/>
            <rFont val="Tahoma"/>
            <family val="2"/>
          </rPr>
          <t>Cem Dener:</t>
        </r>
        <r>
          <rPr>
            <sz val="9"/>
            <color indexed="81"/>
            <rFont val="Tahoma"/>
            <family val="2"/>
          </rPr>
          <t xml:space="preserve">
Unregistered population (0-14) Female (%)</t>
        </r>
      </text>
    </comment>
    <comment ref="DS2" authorId="0" shapeId="0">
      <text>
        <r>
          <rPr>
            <b/>
            <sz val="9"/>
            <color indexed="81"/>
            <rFont val="Tahoma"/>
            <family val="2"/>
          </rPr>
          <t>Cem Dener:</t>
        </r>
        <r>
          <rPr>
            <sz val="9"/>
            <color indexed="81"/>
            <rFont val="Tahoma"/>
            <family val="2"/>
          </rPr>
          <t xml:space="preserve">
Total number of unregistered children
(x 1,000)
(0-4 age group)</t>
        </r>
      </text>
    </comment>
    <comment ref="DT2" authorId="0" shapeId="0">
      <text>
        <r>
          <rPr>
            <b/>
            <sz val="9"/>
            <color indexed="81"/>
            <rFont val="Tahoma"/>
            <family val="2"/>
          </rPr>
          <t>Cem Dener:</t>
        </r>
        <r>
          <rPr>
            <sz val="9"/>
            <color indexed="81"/>
            <rFont val="Tahoma"/>
            <family val="2"/>
          </rPr>
          <t xml:space="preserve">
Unregistered population (0-4) Female (%)</t>
        </r>
      </text>
    </comment>
    <comment ref="DW2" authorId="0" shapeId="0">
      <text>
        <r>
          <rPr>
            <b/>
            <sz val="9"/>
            <color indexed="81"/>
            <rFont val="Tahoma"/>
            <family val="2"/>
          </rPr>
          <t>Cem Dener:</t>
        </r>
        <r>
          <rPr>
            <sz val="9"/>
            <color indexed="81"/>
            <rFont val="Tahoma"/>
            <family val="2"/>
          </rPr>
          <t xml:space="preserve">
Percentage of unregistered males among total male population (0-4 age group)</t>
        </r>
      </text>
    </comment>
    <comment ref="DX2" authorId="0" shapeId="0">
      <text>
        <r>
          <rPr>
            <b/>
            <sz val="9"/>
            <color indexed="81"/>
            <rFont val="Tahoma"/>
            <family val="2"/>
          </rPr>
          <t>Cem Dener:</t>
        </r>
        <r>
          <rPr>
            <sz val="9"/>
            <color indexed="81"/>
            <rFont val="Tahoma"/>
            <family val="2"/>
          </rPr>
          <t xml:space="preserve">
Percentage of unregistered females among total female population (0-4 age group)</t>
        </r>
      </text>
    </comment>
    <comment ref="DY2" authorId="0" shapeId="0">
      <text>
        <r>
          <rPr>
            <b/>
            <sz val="9"/>
            <color indexed="81"/>
            <rFont val="Tahoma"/>
            <family val="2"/>
          </rPr>
          <t>Cem Dener:</t>
        </r>
        <r>
          <rPr>
            <sz val="9"/>
            <color indexed="81"/>
            <rFont val="Tahoma"/>
            <family val="2"/>
          </rPr>
          <t xml:space="preserve">
Poverty headcount ratio at $1.25 a day (PPP) (% of population)</t>
        </r>
      </text>
    </comment>
    <comment ref="EA2" authorId="0" shapeId="0">
      <text>
        <r>
          <rPr>
            <sz val="9"/>
            <color indexed="81"/>
            <rFont val="Tahoma"/>
            <family val="2"/>
          </rPr>
          <t>Population below poverty line in thousands (2011)</t>
        </r>
      </text>
    </comment>
    <comment ref="EB2" authorId="0" shapeId="0">
      <text>
        <r>
          <rPr>
            <b/>
            <sz val="9"/>
            <color indexed="81"/>
            <rFont val="Tahoma"/>
            <family val="2"/>
          </rPr>
          <t>Cem Dener:</t>
        </r>
        <r>
          <rPr>
            <sz val="9"/>
            <color indexed="81"/>
            <rFont val="Tahoma"/>
            <family val="2"/>
          </rPr>
          <t xml:space="preserve">
Poverty headcount ratio at national poverty line (% of population) </t>
        </r>
      </text>
    </comment>
    <comment ref="ED2" authorId="0" shapeId="0">
      <text>
        <r>
          <rPr>
            <sz val="9"/>
            <color indexed="81"/>
            <rFont val="Tahoma"/>
            <family val="2"/>
          </rPr>
          <t>Population below national poverty line in thousands (2011)</t>
        </r>
      </text>
    </comment>
    <comment ref="EE2" authorId="0" shapeId="0">
      <text>
        <r>
          <rPr>
            <b/>
            <sz val="9"/>
            <color indexed="81"/>
            <rFont val="Tahoma"/>
            <family val="2"/>
          </rPr>
          <t>Cem Dener:</t>
        </r>
        <r>
          <rPr>
            <sz val="9"/>
            <color indexed="81"/>
            <rFont val="Tahoma"/>
            <family val="2"/>
          </rPr>
          <t xml:space="preserve">
Poverty headcount ratio below poverty line (% of population)</t>
        </r>
      </text>
    </comment>
    <comment ref="EG2" authorId="0" shapeId="0">
      <text>
        <r>
          <rPr>
            <b/>
            <sz val="9"/>
            <color indexed="81"/>
            <rFont val="Tahoma"/>
            <family val="2"/>
          </rPr>
          <t>Cem Dener:</t>
        </r>
        <r>
          <rPr>
            <sz val="9"/>
            <color indexed="81"/>
            <rFont val="Tahoma"/>
            <family val="2"/>
          </rPr>
          <t xml:space="preserve">
Literacy rate, adult total (% of people ages 15 and above)
WBG Data (2013)
</t>
        </r>
      </text>
    </comment>
    <comment ref="EH2" authorId="0" shapeId="0">
      <text>
        <r>
          <rPr>
            <b/>
            <sz val="9"/>
            <color indexed="81"/>
            <rFont val="Tahoma"/>
            <family val="2"/>
          </rPr>
          <t>Cem Dener:</t>
        </r>
        <r>
          <rPr>
            <sz val="9"/>
            <color indexed="81"/>
            <rFont val="Tahoma"/>
            <family val="2"/>
          </rPr>
          <t xml:space="preserve">
Official Language</t>
        </r>
      </text>
    </comment>
    <comment ref="EJ2" authorId="0" shapeId="0">
      <text>
        <r>
          <rPr>
            <b/>
            <sz val="9"/>
            <color indexed="81"/>
            <rFont val="Tahoma"/>
            <family val="2"/>
          </rPr>
          <t>Cem Dener:</t>
        </r>
        <r>
          <rPr>
            <sz val="9"/>
            <color indexed="81"/>
            <rFont val="Tahoma"/>
            <family val="2"/>
          </rPr>
          <t xml:space="preserve">
Category (CRVS readiness):
1:  Comprehensive assessment completed, strategic plan advanced, high level political commitment and coord established &amp; active.
2:  Comprehensive assessments underway, or commitment for comprehensive assessments in the immediate future.
3:  Countries which have not yet indicated that they are seeking a comprehensive assessment.</t>
        </r>
      </text>
    </comment>
    <comment ref="EK2" authorId="0" shapeId="0">
      <text>
        <r>
          <rPr>
            <b/>
            <sz val="9"/>
            <color indexed="81"/>
            <rFont val="Tahoma"/>
            <family val="2"/>
          </rPr>
          <t>Cem Dener:</t>
        </r>
        <r>
          <rPr>
            <sz val="9"/>
            <color indexed="81"/>
            <rFont val="Tahoma"/>
            <family val="2"/>
          </rPr>
          <t xml:space="preserve">
CRVS Rapid Assessment</t>
        </r>
      </text>
    </comment>
    <comment ref="EL2" authorId="0" shapeId="0">
      <text>
        <r>
          <rPr>
            <b/>
            <sz val="9"/>
            <color indexed="81"/>
            <rFont val="Tahoma"/>
            <family val="2"/>
          </rPr>
          <t>Cem Dener:</t>
        </r>
        <r>
          <rPr>
            <sz val="9"/>
            <color indexed="81"/>
            <rFont val="Tahoma"/>
            <family val="2"/>
          </rPr>
          <t xml:space="preserve">
CRVS Comprehensive Assessment</t>
        </r>
      </text>
    </comment>
    <comment ref="EM2" authorId="0" shapeId="0">
      <text>
        <r>
          <rPr>
            <b/>
            <sz val="9"/>
            <color indexed="81"/>
            <rFont val="Tahoma"/>
            <family val="2"/>
          </rPr>
          <t>Cem Dener:</t>
        </r>
        <r>
          <rPr>
            <sz val="9"/>
            <color indexed="81"/>
            <rFont val="Tahoma"/>
            <family val="2"/>
          </rPr>
          <t xml:space="preserve">
CRVS Strategic Plan / Commitment</t>
        </r>
      </text>
    </comment>
    <comment ref="EN2" authorId="0" shapeId="0">
      <text>
        <r>
          <rPr>
            <b/>
            <sz val="9"/>
            <color indexed="81"/>
            <rFont val="Tahoma"/>
            <family val="2"/>
          </rPr>
          <t>Cem Dener:</t>
        </r>
        <r>
          <rPr>
            <sz val="9"/>
            <color indexed="81"/>
            <rFont val="Tahoma"/>
            <family val="2"/>
          </rPr>
          <t xml:space="preserve">
CRVS Costed Investment Plan
</t>
        </r>
      </text>
    </comment>
    <comment ref="EO2" authorId="0" shapeId="0">
      <text>
        <r>
          <rPr>
            <b/>
            <sz val="9"/>
            <color indexed="81"/>
            <rFont val="Tahoma"/>
            <family val="2"/>
          </rPr>
          <t>Cem Dener:</t>
        </r>
        <r>
          <rPr>
            <sz val="9"/>
            <color indexed="81"/>
            <rFont val="Tahoma"/>
            <family val="2"/>
          </rPr>
          <t xml:space="preserve">
Political Commitment</t>
        </r>
      </text>
    </comment>
    <comment ref="EP2" authorId="0" shapeId="0">
      <text>
        <r>
          <rPr>
            <b/>
            <sz val="9"/>
            <color indexed="81"/>
            <rFont val="Tahoma"/>
            <family val="2"/>
          </rPr>
          <t>Cem Dener:</t>
        </r>
        <r>
          <rPr>
            <sz val="9"/>
            <color indexed="81"/>
            <rFont val="Tahoma"/>
            <family val="2"/>
          </rPr>
          <t xml:space="preserve">
Birth Rate coverage (%)</t>
        </r>
      </text>
    </comment>
    <comment ref="EQ2" authorId="0" shapeId="0">
      <text>
        <r>
          <rPr>
            <b/>
            <sz val="9"/>
            <color indexed="81"/>
            <rFont val="Tahoma"/>
            <family val="2"/>
          </rPr>
          <t>Cem Dener:</t>
        </r>
        <r>
          <rPr>
            <sz val="9"/>
            <color indexed="81"/>
            <rFont val="Tahoma"/>
            <family val="2"/>
          </rPr>
          <t xml:space="preserve">
Death Rate coverage (%)</t>
        </r>
      </text>
    </comment>
    <comment ref="FG2" authorId="0" shapeId="0">
      <text>
        <r>
          <rPr>
            <b/>
            <sz val="9"/>
            <color indexed="81"/>
            <rFont val="Tahoma"/>
            <family val="2"/>
          </rPr>
          <t>Cem Dener:</t>
        </r>
        <r>
          <rPr>
            <sz val="9"/>
            <color indexed="81"/>
            <rFont val="Tahoma"/>
            <family val="2"/>
          </rPr>
          <t xml:space="preserve">
Birth Registration (0-5): Unregistered births % of total</t>
        </r>
      </text>
    </comment>
    <comment ref="FH2" authorId="0" shapeId="0">
      <text>
        <r>
          <rPr>
            <b/>
            <sz val="9"/>
            <color indexed="81"/>
            <rFont val="Tahoma"/>
            <family val="2"/>
          </rPr>
          <t>Cem Dener:</t>
        </r>
        <r>
          <rPr>
            <sz val="9"/>
            <color indexed="81"/>
            <rFont val="Tahoma"/>
            <family val="2"/>
          </rPr>
          <t xml:space="preserve">
Unresigtered population
(% of total)</t>
        </r>
      </text>
    </comment>
    <comment ref="FI2" authorId="0" shapeId="0">
      <text>
        <r>
          <rPr>
            <b/>
            <sz val="9"/>
            <color indexed="81"/>
            <rFont val="Tahoma"/>
            <family val="2"/>
          </rPr>
          <t>Cem Dener:</t>
        </r>
        <r>
          <rPr>
            <sz val="9"/>
            <color indexed="81"/>
            <rFont val="Tahoma"/>
            <family val="2"/>
          </rPr>
          <t xml:space="preserve">
Institutional responsibility for Civil Registry:
0: No CR org yet / Unknown
1: Ministry of Justice
2: Entity responsible for Electoral System
3: Autonomous
4: Other</t>
        </r>
      </text>
    </comment>
    <comment ref="FJ2" authorId="0" shapeId="0">
      <text>
        <r>
          <rPr>
            <b/>
            <sz val="9"/>
            <color indexed="81"/>
            <rFont val="Tahoma"/>
            <family val="2"/>
          </rPr>
          <t>Cem Dener:</t>
        </r>
        <r>
          <rPr>
            <sz val="9"/>
            <color indexed="81"/>
            <rFont val="Tahoma"/>
            <family val="2"/>
          </rPr>
          <t xml:space="preserve">
In case of mandatory Civil Registration: Indicate the specific period (day / month / year) in which the certificate should be obtained by law.
d : day
m : month
y: year</t>
        </r>
      </text>
    </comment>
    <comment ref="FK2" authorId="0" shapeId="0">
      <text>
        <r>
          <rPr>
            <b/>
            <sz val="9"/>
            <color indexed="81"/>
            <rFont val="Tahoma"/>
            <family val="2"/>
          </rPr>
          <t>Cem Dener:</t>
        </r>
        <r>
          <rPr>
            <sz val="9"/>
            <color indexed="81"/>
            <rFont val="Tahoma"/>
            <family val="2"/>
          </rPr>
          <t xml:space="preserve">
Fees applicable to civil registration process</t>
        </r>
      </text>
    </comment>
    <comment ref="FL2" authorId="0" shapeId="0">
      <text>
        <r>
          <rPr>
            <b/>
            <sz val="9"/>
            <color indexed="81"/>
            <rFont val="Tahoma"/>
            <family val="2"/>
          </rPr>
          <t>Cem Dener:</t>
        </r>
        <r>
          <rPr>
            <sz val="9"/>
            <color indexed="81"/>
            <rFont val="Tahoma"/>
            <family val="2"/>
          </rPr>
          <t xml:space="preserve">
National Identification document</t>
        </r>
      </text>
    </comment>
    <comment ref="FM2" authorId="0" shapeId="0">
      <text>
        <r>
          <rPr>
            <b/>
            <sz val="9"/>
            <color indexed="81"/>
            <rFont val="Tahoma"/>
            <family val="2"/>
          </rPr>
          <t>Cem Dener:</t>
        </r>
        <r>
          <rPr>
            <sz val="9"/>
            <color indexed="81"/>
            <rFont val="Tahoma"/>
            <family val="2"/>
          </rPr>
          <t xml:space="preserve">
Fees applicable to obtaining National ID</t>
        </r>
      </text>
    </comment>
    <comment ref="FN2" authorId="0" shapeId="0">
      <text>
        <r>
          <rPr>
            <b/>
            <sz val="9"/>
            <color indexed="81"/>
            <rFont val="Tahoma"/>
            <family val="2"/>
          </rPr>
          <t>Cem Dener:</t>
        </r>
        <r>
          <rPr>
            <sz val="9"/>
            <color indexed="81"/>
            <rFont val="Tahoma"/>
            <family val="2"/>
          </rPr>
          <t xml:space="preserve">
Unique Identification Number</t>
        </r>
      </text>
    </comment>
    <comment ref="GD2" authorId="0" shapeId="0">
      <text>
        <r>
          <rPr>
            <b/>
            <sz val="9"/>
            <color indexed="81"/>
            <rFont val="Tahoma"/>
            <family val="2"/>
          </rPr>
          <t>Cem Dener:</t>
        </r>
        <r>
          <rPr>
            <sz val="9"/>
            <color indexed="81"/>
            <rFont val="Tahoma"/>
            <family val="2"/>
          </rPr>
          <t xml:space="preserve">
Legal system (main characteristics of the current llegal system):
1 : Civil
2 : Common
3 : Religious</t>
        </r>
      </text>
    </comment>
    <comment ref="GF2" authorId="0" shapeId="0">
      <text>
        <r>
          <rPr>
            <b/>
            <sz val="9"/>
            <color indexed="81"/>
            <rFont val="Tahoma"/>
            <family val="2"/>
          </rPr>
          <t>Cem Dener:</t>
        </r>
        <r>
          <rPr>
            <sz val="9"/>
            <color indexed="81"/>
            <rFont val="Tahoma"/>
            <family val="2"/>
          </rPr>
          <t xml:space="preserve">
Status:
Free (F): 0-30
Partly Free (PF): 31-60
Not Free (NF): 61-100</t>
        </r>
      </text>
    </comment>
    <comment ref="GG2" authorId="0" shapeId="0">
      <text>
        <r>
          <rPr>
            <b/>
            <sz val="9"/>
            <color indexed="81"/>
            <rFont val="Tahoma"/>
            <family val="2"/>
          </rPr>
          <t>Cem Dener:</t>
        </r>
        <r>
          <rPr>
            <sz val="9"/>
            <color indexed="81"/>
            <rFont val="Tahoma"/>
            <family val="2"/>
          </rPr>
          <t xml:space="preserve">
Political Rights 
(1=Best; 7=Worst)</t>
        </r>
      </text>
    </comment>
    <comment ref="GH2" authorId="0" shapeId="0">
      <text>
        <r>
          <rPr>
            <b/>
            <sz val="9"/>
            <color indexed="81"/>
            <rFont val="Tahoma"/>
            <family val="2"/>
          </rPr>
          <t>Cem Dener:</t>
        </r>
        <r>
          <rPr>
            <sz val="9"/>
            <color indexed="81"/>
            <rFont val="Tahoma"/>
            <family val="2"/>
          </rPr>
          <t xml:space="preserve">
Civil Liberties 
(1=Best; 7=Worst)</t>
        </r>
      </text>
    </comment>
    <comment ref="GI2" authorId="0" shapeId="0">
      <text>
        <r>
          <rPr>
            <b/>
            <sz val="9"/>
            <color indexed="81"/>
            <rFont val="Tahoma"/>
            <family val="2"/>
          </rPr>
          <t>Cem Dener:</t>
        </r>
        <r>
          <rPr>
            <sz val="9"/>
            <color indexed="81"/>
            <rFont val="Tahoma"/>
            <family val="2"/>
          </rPr>
          <t xml:space="preserve">
Status:
Free (F): 0-30
Partly Free (PF): 31-60
Not Free (NF): 61-100</t>
        </r>
      </text>
    </comment>
    <comment ref="GK2" authorId="0" shapeId="0">
      <text>
        <r>
          <rPr>
            <b/>
            <sz val="9"/>
            <color indexed="81"/>
            <rFont val="Tahoma"/>
            <family val="2"/>
          </rPr>
          <t>Cem Dener:</t>
        </r>
        <r>
          <rPr>
            <sz val="9"/>
            <color indexed="81"/>
            <rFont val="Tahoma"/>
            <family val="2"/>
          </rPr>
          <t xml:space="preserve">
A. Obstacles to Access
(0-25)</t>
        </r>
      </text>
    </comment>
    <comment ref="GL2" authorId="0" shapeId="0">
      <text>
        <r>
          <rPr>
            <b/>
            <sz val="9"/>
            <color indexed="81"/>
            <rFont val="Tahoma"/>
            <family val="2"/>
          </rPr>
          <t>Cem Dener:</t>
        </r>
        <r>
          <rPr>
            <sz val="9"/>
            <color indexed="81"/>
            <rFont val="Tahoma"/>
            <family val="2"/>
          </rPr>
          <t xml:space="preserve">
B. Limits on Content 
(0-35)</t>
        </r>
      </text>
    </comment>
    <comment ref="GM2" authorId="0" shapeId="0">
      <text>
        <r>
          <rPr>
            <b/>
            <sz val="9"/>
            <color indexed="81"/>
            <rFont val="Tahoma"/>
            <family val="2"/>
          </rPr>
          <t>Cem Dener:</t>
        </r>
        <r>
          <rPr>
            <sz val="9"/>
            <color indexed="81"/>
            <rFont val="Tahoma"/>
            <family val="2"/>
          </rPr>
          <t xml:space="preserve">
C, Violations of User Rights (0-40)</t>
        </r>
      </text>
    </comment>
    <comment ref="GN2" authorId="0" shapeId="0">
      <text>
        <r>
          <rPr>
            <b/>
            <sz val="9"/>
            <color indexed="81"/>
            <rFont val="Tahoma"/>
            <family val="2"/>
          </rPr>
          <t>Cem Dener:</t>
        </r>
        <r>
          <rPr>
            <sz val="9"/>
            <color indexed="81"/>
            <rFont val="Tahoma"/>
            <family val="2"/>
          </rPr>
          <t xml:space="preserve">
Status:
Free (F): 0-30
Partly Free (PF): 31-60
Not Free (NF): 61-100</t>
        </r>
      </text>
    </comment>
    <comment ref="GP2" authorId="0" shapeId="0">
      <text>
        <r>
          <rPr>
            <b/>
            <sz val="9"/>
            <color indexed="81"/>
            <rFont val="Tahoma"/>
            <family val="2"/>
          </rPr>
          <t>Cem Dener:</t>
        </r>
        <r>
          <rPr>
            <sz val="9"/>
            <color indexed="81"/>
            <rFont val="Tahoma"/>
            <family val="2"/>
          </rPr>
          <t xml:space="preserve">
A= Laws and regulations that influence media content (0-30)</t>
        </r>
      </text>
    </comment>
    <comment ref="GQ2" authorId="0" shapeId="0">
      <text>
        <r>
          <rPr>
            <b/>
            <sz val="9"/>
            <color indexed="81"/>
            <rFont val="Tahoma"/>
            <family val="2"/>
          </rPr>
          <t>Cem Dener:</t>
        </r>
        <r>
          <rPr>
            <sz val="9"/>
            <color indexed="81"/>
            <rFont val="Tahoma"/>
            <family val="2"/>
          </rPr>
          <t xml:space="preserve">
B= Political pressures and controls on media content (including harassment or violence against journalists or facilities, censorship, self-censorship etc) (0-40)</t>
        </r>
      </text>
    </comment>
    <comment ref="GR2" authorId="0" shapeId="0">
      <text>
        <r>
          <rPr>
            <b/>
            <sz val="9"/>
            <color indexed="81"/>
            <rFont val="Tahoma"/>
            <family val="2"/>
          </rPr>
          <t>Cem Dener:</t>
        </r>
        <r>
          <rPr>
            <sz val="9"/>
            <color indexed="81"/>
            <rFont val="Tahoma"/>
            <family val="2"/>
          </rPr>
          <t xml:space="preserve">
C= Economic influences over media content. (0-30)</t>
        </r>
      </text>
    </comment>
    <comment ref="GT2" authorId="0" shapeId="0">
      <text>
        <r>
          <rPr>
            <b/>
            <sz val="9"/>
            <color indexed="81"/>
            <rFont val="Tahoma"/>
            <family val="2"/>
          </rPr>
          <t>Cem Dener:</t>
        </r>
        <r>
          <rPr>
            <sz val="9"/>
            <color indexed="81"/>
            <rFont val="Tahoma"/>
            <family val="2"/>
          </rPr>
          <t xml:space="preserve">
Voice and Accountability:
Ranges from approximately -2.5 (weak) to 2.5 (strong) performance</t>
        </r>
      </text>
    </comment>
    <comment ref="GU2" authorId="0" shapeId="0">
      <text>
        <r>
          <rPr>
            <b/>
            <sz val="9"/>
            <color indexed="81"/>
            <rFont val="Tahoma"/>
            <family val="2"/>
          </rPr>
          <t>Cem Dener:</t>
        </r>
        <r>
          <rPr>
            <sz val="9"/>
            <color indexed="81"/>
            <rFont val="Tahoma"/>
            <family val="2"/>
          </rPr>
          <t xml:space="preserve">
Political Stability and Absence of Violence/Terrorism</t>
        </r>
      </text>
    </comment>
    <comment ref="GV2" authorId="0" shapeId="0">
      <text>
        <r>
          <rPr>
            <b/>
            <sz val="9"/>
            <color indexed="81"/>
            <rFont val="Tahoma"/>
            <family val="2"/>
          </rPr>
          <t>Cem Dener:</t>
        </r>
        <r>
          <rPr>
            <sz val="9"/>
            <color indexed="81"/>
            <rFont val="Tahoma"/>
            <family val="2"/>
          </rPr>
          <t xml:space="preserve">
Government Effectiveness</t>
        </r>
      </text>
    </comment>
    <comment ref="GW2" authorId="0" shapeId="0">
      <text>
        <r>
          <rPr>
            <b/>
            <sz val="9"/>
            <color indexed="81"/>
            <rFont val="Tahoma"/>
            <family val="2"/>
          </rPr>
          <t>Cem Dener:</t>
        </r>
        <r>
          <rPr>
            <sz val="9"/>
            <color indexed="81"/>
            <rFont val="Tahoma"/>
            <family val="2"/>
          </rPr>
          <t xml:space="preserve">
Regulatory Quality</t>
        </r>
      </text>
    </comment>
    <comment ref="GX2" authorId="0" shapeId="0">
      <text>
        <r>
          <rPr>
            <b/>
            <sz val="9"/>
            <color indexed="81"/>
            <rFont val="Tahoma"/>
            <family val="2"/>
          </rPr>
          <t>Cem Dener:</t>
        </r>
        <r>
          <rPr>
            <sz val="9"/>
            <color indexed="81"/>
            <rFont val="Tahoma"/>
            <family val="2"/>
          </rPr>
          <t xml:space="preserve">
Rule of Law
</t>
        </r>
      </text>
    </comment>
    <comment ref="GY2" authorId="0" shapeId="0">
      <text>
        <r>
          <rPr>
            <b/>
            <sz val="9"/>
            <color indexed="81"/>
            <rFont val="Tahoma"/>
            <family val="2"/>
          </rPr>
          <t>Cem Dener:</t>
        </r>
        <r>
          <rPr>
            <sz val="9"/>
            <color indexed="81"/>
            <rFont val="Tahoma"/>
            <family val="2"/>
          </rPr>
          <t xml:space="preserve">
Control of Corruption</t>
        </r>
      </text>
    </comment>
    <comment ref="GZ2" authorId="0" shapeId="0">
      <text>
        <r>
          <rPr>
            <sz val="9"/>
            <color indexed="81"/>
            <rFont val="Tahoma"/>
            <family val="2"/>
          </rPr>
          <t>2014 UN e-Government Ranking</t>
        </r>
      </text>
    </comment>
    <comment ref="HC2" authorId="0" shapeId="0">
      <text>
        <r>
          <rPr>
            <b/>
            <sz val="9"/>
            <color indexed="81"/>
            <rFont val="Tahoma"/>
            <family val="2"/>
          </rPr>
          <t>Cem Dener:</t>
        </r>
        <r>
          <rPr>
            <sz val="9"/>
            <color indexed="81"/>
            <rFont val="Tahoma"/>
            <family val="2"/>
          </rPr>
          <t xml:space="preserve">
Online Services</t>
        </r>
      </text>
    </comment>
    <comment ref="HD2" authorId="0" shapeId="0">
      <text>
        <r>
          <rPr>
            <b/>
            <sz val="9"/>
            <color indexed="81"/>
            <rFont val="Tahoma"/>
            <family val="2"/>
          </rPr>
          <t>Cem Dener:</t>
        </r>
        <r>
          <rPr>
            <sz val="9"/>
            <color indexed="81"/>
            <rFont val="Tahoma"/>
            <family val="2"/>
          </rPr>
          <t xml:space="preserve">
Telecom Infrastructure</t>
        </r>
      </text>
    </comment>
    <comment ref="HE2" authorId="0" shapeId="0">
      <text>
        <r>
          <rPr>
            <b/>
            <sz val="9"/>
            <color indexed="81"/>
            <rFont val="Tahoma"/>
            <family val="2"/>
          </rPr>
          <t>Cem Dener:</t>
        </r>
        <r>
          <rPr>
            <sz val="9"/>
            <color indexed="81"/>
            <rFont val="Tahoma"/>
            <family val="2"/>
          </rPr>
          <t xml:space="preserve">
Human Capital</t>
        </r>
      </text>
    </comment>
    <comment ref="HF2" authorId="0" shapeId="0">
      <text>
        <r>
          <rPr>
            <sz val="9"/>
            <color indexed="81"/>
            <rFont val="Tahoma"/>
            <family val="2"/>
          </rPr>
          <t>ICT Development Index (IDI) Ranking
[ based on 2013 data ]</t>
        </r>
      </text>
    </comment>
    <comment ref="HH2" authorId="0" shapeId="0">
      <text>
        <r>
          <rPr>
            <b/>
            <sz val="9"/>
            <color indexed="81"/>
            <rFont val="Tahoma"/>
            <family val="2"/>
          </rPr>
          <t>Cem Dener:</t>
        </r>
        <r>
          <rPr>
            <sz val="9"/>
            <color indexed="81"/>
            <rFont val="Tahoma"/>
            <family val="2"/>
          </rPr>
          <t xml:space="preserve">
ICT infrastructure and access indicator [ 0.4 ]
1. Fixed-telephone subscriptions per 100 inhabitants [0.2]
2. Mobile-cellular telephone subscriptions per 100 inhabitants [0.2]
3. International Internet bandwidth (bit/s) per Internet user [0.2]
4. Percentage of households with a computer [0.2]
5. Percentage of households with Internet access [0.2]</t>
        </r>
      </text>
    </comment>
    <comment ref="HI2" authorId="0" shapeId="0">
      <text>
        <r>
          <rPr>
            <b/>
            <sz val="9"/>
            <color indexed="81"/>
            <rFont val="Tahoma"/>
            <family val="2"/>
          </rPr>
          <t>Cem Dener:</t>
        </r>
        <r>
          <rPr>
            <sz val="9"/>
            <color indexed="81"/>
            <rFont val="Tahoma"/>
            <family val="2"/>
          </rPr>
          <t xml:space="preserve">
ICT use indicator [ 0.4 ]
1. Percentage of individuals using the Internet [0.33]
2. Fixed (wired)-broadband subscriptions per 100 inhabitants [0.33]
3. Wireless-broadband subscriptions per 100 inhabitants [0.33]
</t>
        </r>
      </text>
    </comment>
    <comment ref="HJ2" authorId="0" shapeId="0">
      <text>
        <r>
          <rPr>
            <b/>
            <sz val="9"/>
            <color indexed="81"/>
            <rFont val="Tahoma"/>
            <family val="2"/>
          </rPr>
          <t>Cem Dener:</t>
        </r>
        <r>
          <rPr>
            <sz val="9"/>
            <color indexed="81"/>
            <rFont val="Tahoma"/>
            <family val="2"/>
          </rPr>
          <t xml:space="preserve">
ICT skills indicator [ 0.2 ]
1. Adult literacy rate [0.33]
2. Gross enrolment ratio (secondary level) [0.33]
3. Gross enrolment ratio (tertiary level) [0.33]
</t>
        </r>
      </text>
    </comment>
    <comment ref="HK2" authorId="0" shapeId="0">
      <text>
        <r>
          <rPr>
            <b/>
            <sz val="9"/>
            <color indexed="81"/>
            <rFont val="Tahoma"/>
            <family val="2"/>
          </rPr>
          <t>Cem Dener:</t>
        </r>
        <r>
          <rPr>
            <sz val="9"/>
            <color indexed="81"/>
            <rFont val="Tahoma"/>
            <family val="2"/>
          </rPr>
          <t xml:space="preserve">
Name of the key data protection law or data privacy bill</t>
        </r>
      </text>
    </comment>
    <comment ref="HM2" authorId="0" shapeId="0">
      <text>
        <r>
          <rPr>
            <b/>
            <sz val="9"/>
            <color indexed="81"/>
            <rFont val="Tahoma"/>
            <family val="2"/>
          </rPr>
          <t>Cem Dener:</t>
        </r>
        <r>
          <rPr>
            <sz val="9"/>
            <color indexed="81"/>
            <rFont val="Tahoma"/>
            <family val="2"/>
          </rPr>
          <t xml:space="preserve">
Year = Date original data privacy law enacted, for either private or public sector; might not be date of current law.</t>
        </r>
      </text>
    </comment>
    <comment ref="HN2" authorId="0" shapeId="0">
      <text>
        <r>
          <rPr>
            <b/>
            <sz val="9"/>
            <color indexed="81"/>
            <rFont val="Tahoma"/>
            <family val="2"/>
          </rPr>
          <t>Cem Dener:</t>
        </r>
        <r>
          <rPr>
            <sz val="9"/>
            <color indexed="81"/>
            <rFont val="Tahoma"/>
            <family val="2"/>
          </rPr>
          <t xml:space="preserve">
Year = Date of last significant amendment known; ‘NYIF’ = not yet in force; ‘NIFU’ = not in force until year stated, where bringing into force is delayed over one year.   </t>
        </r>
      </text>
    </comment>
    <comment ref="HO2" authorId="0" shapeId="0">
      <text>
        <r>
          <rPr>
            <b/>
            <sz val="9"/>
            <color indexed="81"/>
            <rFont val="Tahoma"/>
            <family val="2"/>
          </rPr>
          <t>Cem Dener:</t>
        </r>
        <r>
          <rPr>
            <sz val="9"/>
            <color indexed="81"/>
            <rFont val="Tahoma"/>
            <family val="2"/>
          </rPr>
          <t xml:space="preserve">
Sector:
Pri = covers private sector only
Pub = covers public sector only
Both/blank = covers both sectors</t>
        </r>
      </text>
    </comment>
    <comment ref="HP2" authorId="0" shapeId="0">
      <text>
        <r>
          <rPr>
            <b/>
            <sz val="9"/>
            <color indexed="81"/>
            <rFont val="Tahoma"/>
            <family val="2"/>
          </rPr>
          <t>Cem Dener:</t>
        </r>
        <r>
          <rPr>
            <sz val="9"/>
            <color indexed="81"/>
            <rFont val="Tahoma"/>
            <family val="2"/>
          </rPr>
          <t xml:space="preserve">
DPA (Data Protection Agency): 
None = no specialised data protection authority
Name of DPA =  name of authority (enacted or appointed).</t>
        </r>
      </text>
    </comment>
    <comment ref="HR2" authorId="0" shapeId="0">
      <text>
        <r>
          <rPr>
            <b/>
            <sz val="9"/>
            <color indexed="81"/>
            <rFont val="Tahoma"/>
            <family val="2"/>
          </rPr>
          <t>Cem Dener:</t>
        </r>
        <r>
          <rPr>
            <sz val="9"/>
            <color indexed="81"/>
            <rFont val="Tahoma"/>
            <family val="2"/>
          </rPr>
          <t xml:space="preserve">
DPA is a member of’ the named association of data protection authorities; except O = Observer status only):
ICDPPC = International Conference of Data Protection and Privacy Commissioners
A29WP = EU Article 29 Working Party
GPEN = Global Privacy Enforcement Network
AFAPDP = Association of Francophone Data Protection Authorities
APPA = Asia-Pacific Privacy Authorities 
RedIPD = Latin American Network 
CEEDPA = Central and Eastern Europe Data Protection Authorities 
NDPA = Nordic Data Protection Authorities 
EDPA = European Data Protection Authorities 
BIIDPA = British, Irish and Islands Data Protection Authorities 
APEC CPEA = APEC Cross-border Privacy Enforcement Arrangement
</t>
        </r>
      </text>
    </comment>
    <comment ref="HW2" authorId="0" shapeId="0">
      <text>
        <r>
          <rPr>
            <b/>
            <sz val="9"/>
            <color indexed="81"/>
            <rFont val="Tahoma"/>
            <family val="2"/>
          </rPr>
          <t>Cem Dener:</t>
        </r>
        <r>
          <rPr>
            <sz val="9"/>
            <color indexed="81"/>
            <rFont val="Tahoma"/>
            <family val="2"/>
          </rPr>
          <t xml:space="preserve">
RTI: Right of Access [ 6 ]</t>
        </r>
      </text>
    </comment>
    <comment ref="HX2" authorId="0" shapeId="0">
      <text>
        <r>
          <rPr>
            <b/>
            <sz val="9"/>
            <color indexed="81"/>
            <rFont val="Tahoma"/>
            <family val="2"/>
          </rPr>
          <t>Cem Dener:</t>
        </r>
        <r>
          <rPr>
            <sz val="9"/>
            <color indexed="81"/>
            <rFont val="Tahoma"/>
            <family val="2"/>
          </rPr>
          <t xml:space="preserve">
RTI: Scope [ 30 ]</t>
        </r>
      </text>
    </comment>
    <comment ref="HY2" authorId="0" shapeId="0">
      <text>
        <r>
          <rPr>
            <b/>
            <sz val="9"/>
            <color indexed="81"/>
            <rFont val="Tahoma"/>
            <family val="2"/>
          </rPr>
          <t>Cem Dener:</t>
        </r>
        <r>
          <rPr>
            <sz val="9"/>
            <color indexed="81"/>
            <rFont val="Tahoma"/>
            <family val="2"/>
          </rPr>
          <t xml:space="preserve">
RTI : Requesting Procedures  [ 30 ]</t>
        </r>
      </text>
    </comment>
    <comment ref="HZ2" authorId="0" shapeId="0">
      <text>
        <r>
          <rPr>
            <b/>
            <sz val="9"/>
            <color indexed="81"/>
            <rFont val="Tahoma"/>
            <family val="2"/>
          </rPr>
          <t>Cem Dener:</t>
        </r>
        <r>
          <rPr>
            <sz val="9"/>
            <color indexed="81"/>
            <rFont val="Tahoma"/>
            <family val="2"/>
          </rPr>
          <t xml:space="preserve">
RTI : Exceptions &amp; Refusals  [ 30 ]</t>
        </r>
      </text>
    </comment>
    <comment ref="IA2" authorId="0" shapeId="0">
      <text>
        <r>
          <rPr>
            <b/>
            <sz val="9"/>
            <color indexed="81"/>
            <rFont val="Tahoma"/>
            <family val="2"/>
          </rPr>
          <t>Cem Dener:</t>
        </r>
        <r>
          <rPr>
            <sz val="9"/>
            <color indexed="81"/>
            <rFont val="Tahoma"/>
            <family val="2"/>
          </rPr>
          <t xml:space="preserve">
RTI : Appeals  [ 30 ]</t>
        </r>
      </text>
    </comment>
    <comment ref="IB2" authorId="0" shapeId="0">
      <text>
        <r>
          <rPr>
            <b/>
            <sz val="9"/>
            <color indexed="81"/>
            <rFont val="Tahoma"/>
            <family val="2"/>
          </rPr>
          <t>Cem Dener:</t>
        </r>
        <r>
          <rPr>
            <sz val="9"/>
            <color indexed="81"/>
            <rFont val="Tahoma"/>
            <family val="2"/>
          </rPr>
          <t xml:space="preserve">
RTI : Sanctions &amp; Protections  [ 8 ]</t>
        </r>
      </text>
    </comment>
    <comment ref="IC2" authorId="0" shapeId="0">
      <text>
        <r>
          <rPr>
            <b/>
            <sz val="9"/>
            <color indexed="81"/>
            <rFont val="Tahoma"/>
            <family val="2"/>
          </rPr>
          <t>Cem Dener:</t>
        </r>
        <r>
          <rPr>
            <sz val="9"/>
            <color indexed="81"/>
            <rFont val="Tahoma"/>
            <family val="2"/>
          </rPr>
          <t xml:space="preserve">
RTI : Promotional measures  [ 16 ]</t>
        </r>
      </text>
    </comment>
    <comment ref="ID2" authorId="0" shapeId="0">
      <text>
        <r>
          <rPr>
            <b/>
            <sz val="9"/>
            <color indexed="81"/>
            <rFont val="Tahoma"/>
            <family val="2"/>
          </rPr>
          <t>Cem Dener:</t>
        </r>
        <r>
          <rPr>
            <sz val="9"/>
            <color indexed="81"/>
            <rFont val="Tahoma"/>
            <family val="2"/>
          </rPr>
          <t xml:space="preserve">
Zone of various countries according to their membership in int'l organizations</t>
        </r>
      </text>
    </comment>
    <comment ref="IG2" authorId="0" shapeId="0">
      <text>
        <r>
          <rPr>
            <b/>
            <sz val="9"/>
            <color indexed="81"/>
            <rFont val="Tahoma"/>
            <family val="2"/>
          </rPr>
          <t>Cem Dener:</t>
        </r>
        <r>
          <rPr>
            <sz val="9"/>
            <color indexed="81"/>
            <rFont val="Tahoma"/>
            <family val="2"/>
          </rPr>
          <t xml:space="preserve">
Fragile and Conflict Situation (FCS) 
FY15 data
</t>
        </r>
      </text>
    </comment>
    <comment ref="IH2" authorId="0" shapeId="0">
      <text>
        <r>
          <rPr>
            <b/>
            <sz val="9"/>
            <color indexed="81"/>
            <rFont val="Tahoma"/>
            <family val="2"/>
          </rPr>
          <t>Cem Dener:</t>
        </r>
        <r>
          <rPr>
            <sz val="9"/>
            <color indexed="81"/>
            <rFont val="Tahoma"/>
            <family val="2"/>
          </rPr>
          <t xml:space="preserve">
Natural resource rich:
Resource revenues &gt; 20% GDP</t>
        </r>
      </text>
    </comment>
    <comment ref="II2" authorId="0" shapeId="0">
      <text>
        <r>
          <rPr>
            <b/>
            <sz val="9"/>
            <color indexed="81"/>
            <rFont val="Tahoma"/>
            <family val="2"/>
          </rPr>
          <t>Cem Dener:</t>
        </r>
        <r>
          <rPr>
            <sz val="9"/>
            <color indexed="81"/>
            <rFont val="Tahoma"/>
            <family val="2"/>
          </rPr>
          <t xml:space="preserve">
Lending Category:
    IDA countries are those that had a per capita income in 2013 of less than $1,215 and lack the financial ability to borrow from IBRD. IDA loans are deeply concessional—interest-free loans and grants for programs aimed at boosting economic growth and improving living conditions. 
    IBRD loans are noncessional. 
    Blend countries are eligible for IDA loans because of their low per capita incomes but are also eligible for IBRD loans because they are financially creditworthy.</t>
        </r>
      </text>
    </comment>
    <comment ref="IJ2" authorId="0" shapeId="0">
      <text>
        <r>
          <rPr>
            <b/>
            <sz val="9"/>
            <color indexed="81"/>
            <rFont val="Tahoma"/>
            <family val="2"/>
          </rPr>
          <t>Cem Dener:</t>
        </r>
        <r>
          <rPr>
            <sz val="9"/>
            <color indexed="81"/>
            <rFont val="Tahoma"/>
            <family val="2"/>
          </rPr>
          <t xml:space="preserve">
Heavily indebted poor countries (HIPC)</t>
        </r>
      </text>
    </comment>
    <comment ref="IK2" authorId="0" shapeId="0">
      <text>
        <r>
          <rPr>
            <b/>
            <sz val="9"/>
            <color indexed="81"/>
            <rFont val="Tahoma"/>
            <family val="2"/>
          </rPr>
          <t>Cem Dener:</t>
        </r>
        <r>
          <rPr>
            <sz val="9"/>
            <color indexed="81"/>
            <rFont val="Tahoma"/>
            <family val="2"/>
          </rPr>
          <t xml:space="preserve">
Select countries:
Population less than 0.5 million</t>
        </r>
      </text>
    </comment>
    <comment ref="IL2" authorId="0" shapeId="0">
      <text>
        <r>
          <rPr>
            <b/>
            <sz val="9"/>
            <color indexed="81"/>
            <rFont val="Tahoma"/>
            <family val="2"/>
          </rPr>
          <t>Cem Dener:</t>
        </r>
        <r>
          <rPr>
            <sz val="9"/>
            <color indexed="81"/>
            <rFont val="Tahoma"/>
            <family val="2"/>
          </rPr>
          <t xml:space="preserve">
Total Points
(24 pts max)</t>
        </r>
      </text>
    </comment>
    <comment ref="IM2" authorId="0" shapeId="0">
      <text>
        <r>
          <rPr>
            <b/>
            <sz val="9"/>
            <color indexed="81"/>
            <rFont val="Tahoma"/>
            <family val="2"/>
          </rPr>
          <t>Cem Dener:</t>
        </r>
        <r>
          <rPr>
            <sz val="9"/>
            <color indexed="81"/>
            <rFont val="Tahoma"/>
            <family val="2"/>
          </rPr>
          <t xml:space="preserve">
Normalized score
(0 … 100)</t>
        </r>
      </text>
    </comment>
    <comment ref="IP2" authorId="1" shapeId="0">
      <text>
        <r>
          <rPr>
            <b/>
            <sz val="9"/>
            <color indexed="81"/>
            <rFont val="Tahoma"/>
            <family val="2"/>
          </rPr>
          <t>Author:</t>
        </r>
        <r>
          <rPr>
            <sz val="9"/>
            <color indexed="81"/>
            <rFont val="Tahoma"/>
            <family val="2"/>
          </rPr>
          <t xml:space="preserve">
1…  No indication of NID
2…  No NID or Voter registration numbers, different resources captured
3.. NID captured but not easily verified
4.. Voter registration captured
5.. NID captured but not mandatory at birth  
6.. NID registration rates and BR are mandatory at birth and available</t>
        </r>
      </text>
    </comment>
    <comment ref="IQ2" authorId="1" shapeId="0">
      <text>
        <r>
          <rPr>
            <b/>
            <sz val="9"/>
            <color indexed="81"/>
            <rFont val="Tahoma"/>
            <family val="2"/>
          </rPr>
          <t>Author:</t>
        </r>
        <r>
          <rPr>
            <sz val="9"/>
            <color indexed="81"/>
            <rFont val="Tahoma"/>
            <family val="2"/>
          </rPr>
          <t xml:space="preserve">
1.. Bangladesh, Brazil, China, India, Indonesia, Nigeria, Pakistan
2.. G20 Economies excluding group 1:
Argentina, Australia, Canada, France, Germany, Italy, Japan, Mexico, Russian Federation, South Korea, Saudi Arabia, South Africa, Turkey, United Kingdom, United States</t>
        </r>
      </text>
    </comment>
    <comment ref="IR2" authorId="1" shapeId="0">
      <text>
        <r>
          <rPr>
            <b/>
            <sz val="9"/>
            <color indexed="81"/>
            <rFont val="Tahoma"/>
            <family val="2"/>
          </rPr>
          <t>Author:</t>
        </r>
        <r>
          <rPr>
            <sz val="9"/>
            <color indexed="81"/>
            <rFont val="Tahoma"/>
            <family val="2"/>
          </rPr>
          <t xml:space="preserve">
0 : NID is used a the primary ID
1 : Voter ID is used as NID as well</t>
        </r>
      </text>
    </comment>
    <comment ref="K3" authorId="0" shapeId="0">
      <text>
        <r>
          <rPr>
            <b/>
            <sz val="9"/>
            <color indexed="81"/>
            <rFont val="Tahoma"/>
            <family val="2"/>
          </rPr>
          <t>Cem Dener:</t>
        </r>
        <r>
          <rPr>
            <sz val="9"/>
            <color indexed="81"/>
            <rFont val="Tahoma"/>
            <family val="2"/>
          </rPr>
          <t xml:space="preserve">
2010: Ne wsystem only in Kabul. Most of the girls still remain unregistered.</t>
        </r>
      </text>
    </comment>
    <comment ref="O3" authorId="0" shapeId="0">
      <text>
        <r>
          <rPr>
            <b/>
            <sz val="9"/>
            <color indexed="81"/>
            <rFont val="Tahoma"/>
            <family val="2"/>
          </rPr>
          <t>Cem Dener:</t>
        </r>
        <r>
          <rPr>
            <sz val="9"/>
            <color indexed="81"/>
            <rFont val="Tahoma"/>
            <family val="2"/>
          </rPr>
          <t xml:space="preserve">
http://mcit.gov.af/en/news/273
http://www.gtr.com.my/</t>
        </r>
      </text>
    </comment>
    <comment ref="AD3" authorId="0" shapeId="0">
      <text>
        <r>
          <rPr>
            <b/>
            <sz val="9"/>
            <color indexed="81"/>
            <rFont val="Tahoma"/>
            <family val="2"/>
          </rPr>
          <t>Cem Dener:</t>
        </r>
        <r>
          <rPr>
            <sz val="9"/>
            <color indexed="81"/>
            <rFont val="Tahoma"/>
            <family val="2"/>
          </rPr>
          <t xml:space="preserve">
http://mcit.gov.af/en/page/7081
</t>
        </r>
      </text>
    </comment>
    <comment ref="AG3" authorId="0" shapeId="0">
      <text>
        <r>
          <rPr>
            <b/>
            <sz val="9"/>
            <color indexed="81"/>
            <rFont val="Tahoma"/>
            <family val="2"/>
          </rPr>
          <t>Cem Dener:</t>
        </r>
        <r>
          <rPr>
            <sz val="9"/>
            <color indexed="81"/>
            <rFont val="Tahoma"/>
            <family val="2"/>
          </rPr>
          <t xml:space="preserve">
Polycarbonated cards from IRIS</t>
        </r>
      </text>
    </comment>
    <comment ref="AH3" authorId="0" shapeId="0">
      <text>
        <r>
          <rPr>
            <b/>
            <sz val="9"/>
            <color indexed="81"/>
            <rFont val="Tahoma"/>
            <family val="2"/>
          </rPr>
          <t>Cem Dener:</t>
        </r>
        <r>
          <rPr>
            <sz val="9"/>
            <color indexed="81"/>
            <rFont val="Tahoma"/>
            <family val="2"/>
          </rPr>
          <t xml:space="preserve">
Planned use of e-ID</t>
        </r>
      </text>
    </comment>
    <comment ref="AI3" authorId="0" shapeId="0">
      <text>
        <r>
          <rPr>
            <b/>
            <sz val="9"/>
            <color indexed="81"/>
            <rFont val="Tahoma"/>
            <family val="2"/>
          </rPr>
          <t>Cem Dener:</t>
        </r>
        <r>
          <rPr>
            <sz val="9"/>
            <color indexed="81"/>
            <rFont val="Tahoma"/>
            <family val="2"/>
          </rPr>
          <t xml:space="preserve">
PKI: ENTRUST</t>
        </r>
      </text>
    </comment>
    <comment ref="AL3" authorId="0" shapeId="0">
      <text>
        <r>
          <rPr>
            <b/>
            <sz val="9"/>
            <color indexed="81"/>
            <rFont val="Tahoma"/>
            <family val="2"/>
          </rPr>
          <t>Cem Dener:</t>
        </r>
        <r>
          <rPr>
            <sz val="9"/>
            <color indexed="81"/>
            <rFont val="Tahoma"/>
            <family val="2"/>
          </rPr>
          <t xml:space="preserve">
Grand Technology Resources</t>
        </r>
      </text>
    </comment>
    <comment ref="AM3" authorId="0" shapeId="0">
      <text>
        <r>
          <rPr>
            <b/>
            <sz val="9"/>
            <color indexed="81"/>
            <rFont val="Tahoma"/>
            <family val="2"/>
          </rPr>
          <t>Cem Dener:</t>
        </r>
        <r>
          <rPr>
            <sz val="9"/>
            <color indexed="81"/>
            <rFont val="Tahoma"/>
            <family val="2"/>
          </rPr>
          <t xml:space="preserve">
</t>
        </r>
      </text>
    </comment>
    <comment ref="AY3" authorId="0" shapeId="0">
      <text>
        <r>
          <rPr>
            <b/>
            <sz val="9"/>
            <color indexed="81"/>
            <rFont val="Tahoma"/>
            <family val="2"/>
          </rPr>
          <t>Cem Dener:</t>
        </r>
        <r>
          <rPr>
            <sz val="9"/>
            <color indexed="81"/>
            <rFont val="Tahoma"/>
            <family val="2"/>
          </rPr>
          <t xml:space="preserve">
http://www.directory.aisa.org.af/</t>
        </r>
      </text>
    </comment>
    <comment ref="AZ3" authorId="0" shapeId="0">
      <text>
        <r>
          <rPr>
            <b/>
            <sz val="9"/>
            <color indexed="81"/>
            <rFont val="Tahoma"/>
            <family val="2"/>
          </rPr>
          <t>Cem Dener:</t>
        </r>
        <r>
          <rPr>
            <sz val="9"/>
            <color indexed="81"/>
            <rFont val="Tahoma"/>
            <family val="2"/>
          </rPr>
          <t xml:space="preserve">
New e-Registry is being implemented</t>
        </r>
      </text>
    </comment>
    <comment ref="BC3" authorId="0" shapeId="0">
      <text>
        <r>
          <rPr>
            <b/>
            <sz val="9"/>
            <color indexed="81"/>
            <rFont val="Tahoma"/>
            <family val="2"/>
          </rPr>
          <t>Cem Dener:</t>
        </r>
        <r>
          <rPr>
            <sz val="9"/>
            <color indexed="81"/>
            <rFont val="Tahoma"/>
            <family val="2"/>
          </rPr>
          <t xml:space="preserve">
http://acbr.gov.af/registration.html
Tax ID is used instead</t>
        </r>
      </text>
    </comment>
    <comment ref="CN3" authorId="0" shapeId="0">
      <text>
        <r>
          <rPr>
            <b/>
            <sz val="9"/>
            <color indexed="81"/>
            <rFont val="Tahoma"/>
            <family val="2"/>
          </rPr>
          <t>Cem Dener:</t>
        </r>
        <r>
          <rPr>
            <sz val="9"/>
            <color indexed="81"/>
            <rFont val="Tahoma"/>
            <family val="2"/>
          </rPr>
          <t xml:space="preserve">
2014:  20.845.988 ???
</t>
        </r>
      </text>
    </comment>
    <comment ref="CS3" authorId="1" shapeId="0">
      <text>
        <r>
          <rPr>
            <b/>
            <sz val="9"/>
            <color indexed="81"/>
            <rFont val="Tahoma"/>
            <family val="2"/>
          </rPr>
          <t>Cem Dener:</t>
        </r>
        <r>
          <rPr>
            <sz val="9"/>
            <color indexed="81"/>
            <rFont val="Tahoma"/>
            <family val="2"/>
          </rPr>
          <t xml:space="preserve">
http://www.electionguide.org/countries/id/2/ 
http://iec.org.af/results/pdf/summary_valid_invalid_votes_en.pdf 
2014 Presidential elections:
8.109.493 = 5,057,613 M + 3,051,880 F
https://www.afghanistan-analysts.org/what-to-watch-in-the-elections-1-voter-registration/
</t>
        </r>
      </text>
    </comment>
    <comment ref="H4" authorId="0" shapeId="0">
      <text>
        <r>
          <rPr>
            <b/>
            <sz val="9"/>
            <color indexed="81"/>
            <rFont val="Tahoma"/>
            <family val="2"/>
          </rPr>
          <t>Cem Dener:</t>
        </r>
        <r>
          <rPr>
            <sz val="9"/>
            <color indexed="81"/>
            <rFont val="Tahoma"/>
            <family val="2"/>
          </rPr>
          <t xml:space="preserve">
http://www.punetebrendshme.gov.al
</t>
        </r>
      </text>
    </comment>
    <comment ref="K4" authorId="0" shapeId="0">
      <text>
        <r>
          <rPr>
            <b/>
            <sz val="9"/>
            <color indexed="81"/>
            <rFont val="Tahoma"/>
            <family val="2"/>
          </rPr>
          <t>Cem Dener:</t>
        </r>
        <r>
          <rPr>
            <sz val="9"/>
            <color indexed="81"/>
            <rFont val="Tahoma"/>
            <family val="2"/>
          </rPr>
          <t xml:space="preserve">
2002: GDCS established
2009: e-ID introduced</t>
        </r>
      </text>
    </comment>
    <comment ref="N4" authorId="0" shapeId="0">
      <text>
        <r>
          <rPr>
            <b/>
            <sz val="9"/>
            <color indexed="81"/>
            <rFont val="Tahoma"/>
            <family val="2"/>
          </rPr>
          <t>Cem Dener:</t>
        </r>
        <r>
          <rPr>
            <sz val="9"/>
            <color indexed="81"/>
            <rFont val="Tahoma"/>
            <family val="2"/>
          </rPr>
          <t xml:space="preserve">
Reward in some cities (Fier): 5000 Leke within 60 days (90 d for babies born abroad)</t>
        </r>
      </text>
    </comment>
    <comment ref="O4" authorId="0" shapeId="0">
      <text>
        <r>
          <rPr>
            <b/>
            <sz val="9"/>
            <color indexed="81"/>
            <rFont val="Tahoma"/>
            <family val="2"/>
          </rPr>
          <t>Cem Dener:</t>
        </r>
        <r>
          <rPr>
            <sz val="9"/>
            <color indexed="81"/>
            <rFont val="Tahoma"/>
            <family val="2"/>
          </rPr>
          <t xml:space="preserve">
http://www.punetebrendshme.gov.al
</t>
        </r>
      </text>
    </comment>
    <comment ref="AD4" authorId="0" shapeId="0">
      <text>
        <r>
          <rPr>
            <b/>
            <sz val="9"/>
            <color indexed="81"/>
            <rFont val="Tahoma"/>
            <family val="2"/>
          </rPr>
          <t>Cem Dener:</t>
        </r>
        <r>
          <rPr>
            <sz val="9"/>
            <color indexed="81"/>
            <rFont val="Tahoma"/>
            <family val="2"/>
          </rPr>
          <t xml:space="preserve">
http://www.moi.gov.al/
http://www.morpho.com/references/identite-125/new-id-for-albania</t>
        </r>
      </text>
    </comment>
    <comment ref="AI4" authorId="0" shapeId="0">
      <text>
        <r>
          <rPr>
            <b/>
            <sz val="9"/>
            <color indexed="81"/>
            <rFont val="Tahoma"/>
            <family val="2"/>
          </rPr>
          <t>Cem Dener:</t>
        </r>
        <r>
          <rPr>
            <sz val="9"/>
            <color indexed="81"/>
            <rFont val="Tahoma"/>
            <family val="2"/>
          </rPr>
          <t xml:space="preserve">
Introduced in 2014.
SAFRAN CA for Citizens
NAIS CA for Public Sector</t>
        </r>
      </text>
    </comment>
    <comment ref="AY4" authorId="0" shapeId="0">
      <text>
        <r>
          <rPr>
            <b/>
            <sz val="9"/>
            <color indexed="81"/>
            <rFont val="Tahoma"/>
            <family val="2"/>
          </rPr>
          <t>Cem Dener:</t>
        </r>
        <r>
          <rPr>
            <sz val="9"/>
            <color indexed="81"/>
            <rFont val="Tahoma"/>
            <family val="2"/>
          </rPr>
          <t xml:space="preserve">
http://aida.gov.al/?page_id=1420</t>
        </r>
      </text>
    </comment>
    <comment ref="AZ4" authorId="2" shapeId="0">
      <text>
        <r>
          <rPr>
            <b/>
            <sz val="9"/>
            <color indexed="81"/>
            <rFont val="Tahoma"/>
            <family val="2"/>
          </rPr>
          <t>Huan Zhang:</t>
        </r>
        <r>
          <rPr>
            <sz val="9"/>
            <color indexed="81"/>
            <rFont val="Tahoma"/>
            <family val="2"/>
          </rPr>
          <t xml:space="preserve">
Registration initiated in 1992.</t>
        </r>
      </text>
    </comment>
    <comment ref="CS4" authorId="0" shapeId="0">
      <text>
        <r>
          <rPr>
            <b/>
            <sz val="9"/>
            <color indexed="81"/>
            <rFont val="Tahoma"/>
            <family val="2"/>
          </rPr>
          <t>Cem Dener:</t>
        </r>
        <r>
          <rPr>
            <sz val="9"/>
            <color indexed="81"/>
            <rFont val="Tahoma"/>
            <family val="2"/>
          </rPr>
          <t xml:space="preserve">
http://results.cec.org.al/Results/LocalMayor?cs=sq-AL&amp;r=r&amp;rd=r1
http://www.electionguide.org/countries/id/3/
</t>
        </r>
      </text>
    </comment>
    <comment ref="H5" authorId="0" shapeId="0">
      <text>
        <r>
          <rPr>
            <b/>
            <sz val="9"/>
            <color indexed="81"/>
            <rFont val="Tahoma"/>
            <family val="2"/>
          </rPr>
          <t>Cem Dener:</t>
        </r>
        <r>
          <rPr>
            <sz val="9"/>
            <color indexed="81"/>
            <rFont val="Tahoma"/>
            <family val="2"/>
          </rPr>
          <t xml:space="preserve">
http://demande12s.interieur.gov.dz
http://www.refworld.org/docid/54042db14.html
</t>
        </r>
      </text>
    </comment>
    <comment ref="K5" authorId="0" shapeId="0">
      <text>
        <r>
          <rPr>
            <b/>
            <sz val="9"/>
            <color indexed="81"/>
            <rFont val="Tahoma"/>
            <family val="2"/>
          </rPr>
          <t>Cem Dener:</t>
        </r>
        <r>
          <rPr>
            <sz val="9"/>
            <color indexed="81"/>
            <rFont val="Tahoma"/>
            <family val="2"/>
          </rPr>
          <t xml:space="preserve">
Initiated in 1882
http://www.cdc.gov/nchs/data/isp/016_Methods_And_Problems_of_Civil_Registration_Practices_and_Vital_Stat_Collection_in_Africa.pdf</t>
        </r>
      </text>
    </comment>
    <comment ref="AE5" authorId="0" shapeId="0">
      <text>
        <r>
          <rPr>
            <b/>
            <sz val="9"/>
            <color indexed="81"/>
            <rFont val="Tahoma"/>
            <family val="2"/>
          </rPr>
          <t>Cem Dener:</t>
        </r>
        <r>
          <rPr>
            <sz val="9"/>
            <color indexed="81"/>
            <rFont val="Tahoma"/>
            <family val="2"/>
          </rPr>
          <t xml:space="preserve">
Initiated in 2012</t>
        </r>
      </text>
    </comment>
    <comment ref="AL5" authorId="0" shapeId="0">
      <text>
        <r>
          <rPr>
            <b/>
            <sz val="9"/>
            <color indexed="81"/>
            <rFont val="Tahoma"/>
            <family val="2"/>
          </rPr>
          <t>Cem Dener:</t>
        </r>
        <r>
          <rPr>
            <sz val="9"/>
            <color indexed="81"/>
            <rFont val="Tahoma"/>
            <family val="2"/>
          </rPr>
          <t xml:space="preserve">
Unknown</t>
        </r>
      </text>
    </comment>
    <comment ref="AQ5" authorId="0" shapeId="0">
      <text>
        <r>
          <rPr>
            <b/>
            <sz val="9"/>
            <color indexed="81"/>
            <rFont val="Tahoma"/>
            <family val="2"/>
          </rPr>
          <t>Cem Dener:</t>
        </r>
        <r>
          <rPr>
            <sz val="9"/>
            <color indexed="81"/>
            <rFont val="Tahoma"/>
            <family val="2"/>
          </rPr>
          <t xml:space="preserve">
http://www.bank-of-algeria.dz/html/who.htm </t>
        </r>
      </text>
    </comment>
    <comment ref="AU5" authorId="3" shapeId="0">
      <text>
        <r>
          <rPr>
            <b/>
            <sz val="9"/>
            <color indexed="81"/>
            <rFont val="Tahoma"/>
            <family val="2"/>
          </rPr>
          <t>Irenezh1016:</t>
        </r>
        <r>
          <rPr>
            <sz val="9"/>
            <color indexed="81"/>
            <rFont val="Tahoma"/>
            <family val="2"/>
          </rPr>
          <t xml:space="preserve">
http://www.interieur.gov.dz/Dynamics/frmItem.aspx?html=349&amp;s=1
http://www.ventures-africa.com/2014/05/algeria-e-passport-to-be-provided-by-gemalto/</t>
        </r>
      </text>
    </comment>
    <comment ref="AY5" authorId="0" shapeId="0">
      <text>
        <r>
          <rPr>
            <b/>
            <sz val="9"/>
            <color indexed="81"/>
            <rFont val="Tahoma"/>
            <family val="2"/>
          </rPr>
          <t>Cem Dener:</t>
        </r>
        <r>
          <rPr>
            <sz val="9"/>
            <color indexed="81"/>
            <rFont val="Tahoma"/>
            <family val="2"/>
          </rPr>
          <t xml:space="preserve">
https://sidjilcom.cnrc.dz/portal/public/classic/Recherche_Commercant_s</t>
        </r>
      </text>
    </comment>
    <comment ref="AZ5" authorId="2" shapeId="0">
      <text>
        <r>
          <rPr>
            <b/>
            <sz val="9"/>
            <color indexed="81"/>
            <rFont val="Tahoma"/>
            <family val="2"/>
          </rPr>
          <t>Huan Zhang:</t>
        </r>
        <r>
          <rPr>
            <sz val="9"/>
            <color indexed="81"/>
            <rFont val="Tahoma"/>
            <family val="2"/>
          </rPr>
          <t xml:space="preserve">
Registration initiated in 1963.</t>
        </r>
      </text>
    </comment>
    <comment ref="BC5" authorId="2" shapeId="0">
      <text>
        <r>
          <rPr>
            <b/>
            <sz val="9"/>
            <color indexed="81"/>
            <rFont val="Tahoma"/>
            <family val="2"/>
          </rPr>
          <t>Huan Zhang:</t>
        </r>
        <r>
          <rPr>
            <sz val="9"/>
            <color indexed="81"/>
            <rFont val="Tahoma"/>
            <family val="2"/>
          </rPr>
          <t xml:space="preserve">
http://www.tax-news.com/news/Algeria_Radically_Streamlines_Tax_Procedures____60943.html</t>
        </r>
      </text>
    </comment>
    <comment ref="CS5" authorId="0" shapeId="0">
      <text>
        <r>
          <rPr>
            <b/>
            <sz val="9"/>
            <color indexed="81"/>
            <rFont val="Tahoma"/>
            <family val="2"/>
          </rPr>
          <t>Cem Dener:</t>
        </r>
        <r>
          <rPr>
            <sz val="9"/>
            <color indexed="81"/>
            <rFont val="Tahoma"/>
            <family val="2"/>
          </rPr>
          <t xml:space="preserve">
http://www.electionguide.org/countries/id/4/</t>
        </r>
      </text>
    </comment>
    <comment ref="HP5" authorId="0" shapeId="0">
      <text>
        <r>
          <rPr>
            <b/>
            <sz val="9"/>
            <color indexed="81"/>
            <rFont val="Tahoma"/>
            <family val="2"/>
          </rPr>
          <t>Cem Dener:</t>
        </r>
        <r>
          <rPr>
            <sz val="9"/>
            <color indexed="81"/>
            <rFont val="Tahoma"/>
            <family val="2"/>
          </rPr>
          <t xml:space="preserve">
http://maghrebemergent.info/actualite/breves/fil-maghreb/algerie-creation-des-autorites-de-certification-electronique-et-de-controle-pour-securiser-les-donnees-personnelles.html</t>
        </r>
      </text>
    </comment>
    <comment ref="F6" authorId="0" shapeId="0">
      <text>
        <r>
          <rPr>
            <b/>
            <sz val="9"/>
            <color indexed="81"/>
            <rFont val="Tahoma"/>
            <family val="2"/>
          </rPr>
          <t>Cem Dener:</t>
        </r>
        <r>
          <rPr>
            <sz val="9"/>
            <color indexed="81"/>
            <rFont val="Tahoma"/>
            <family val="2"/>
          </rPr>
          <t xml:space="preserve">
ADO</t>
        </r>
      </text>
    </comment>
    <comment ref="AZ6" authorId="2" shapeId="0">
      <text>
        <r>
          <rPr>
            <b/>
            <sz val="9"/>
            <color indexed="81"/>
            <rFont val="Tahoma"/>
            <family val="2"/>
          </rPr>
          <t>Huan Zhang:</t>
        </r>
        <r>
          <rPr>
            <sz val="9"/>
            <color indexed="81"/>
            <rFont val="Tahoma"/>
            <family val="2"/>
          </rPr>
          <t xml:space="preserve">
Registration initiated in 1996</t>
        </r>
      </text>
    </comment>
    <comment ref="K7" authorId="4" shapeId="0">
      <text>
        <r>
          <rPr>
            <b/>
            <sz val="9"/>
            <color indexed="81"/>
            <rFont val="Tahoma"/>
            <family val="2"/>
          </rPr>
          <t>Yarın Kıroğlu:</t>
        </r>
        <r>
          <rPr>
            <sz val="9"/>
            <color indexed="81"/>
            <rFont val="Tahoma"/>
            <family val="2"/>
          </rPr>
          <t xml:space="preserve">
http://www.minjusdh.gov.ao/VerPublicacao.aspx?id=784</t>
        </r>
      </text>
    </comment>
    <comment ref="AG7" authorId="0" shapeId="0">
      <text>
        <r>
          <rPr>
            <b/>
            <sz val="9"/>
            <color indexed="81"/>
            <rFont val="Tahoma"/>
            <family val="2"/>
          </rPr>
          <t>Cem Dener:</t>
        </r>
        <r>
          <rPr>
            <sz val="9"/>
            <color indexed="81"/>
            <rFont val="Tahoma"/>
            <family val="2"/>
          </rPr>
          <t xml:space="preserve">
Optical memory cards
from Digital Identification Solutions</t>
        </r>
      </text>
    </comment>
    <comment ref="AK7" authorId="0" shapeId="0">
      <text>
        <r>
          <rPr>
            <b/>
            <sz val="9"/>
            <color indexed="81"/>
            <rFont val="Tahoma"/>
            <family val="2"/>
          </rPr>
          <t>Cem Dener:</t>
        </r>
        <r>
          <rPr>
            <sz val="9"/>
            <color indexed="81"/>
            <rFont val="Tahoma"/>
            <family val="2"/>
          </rPr>
          <t xml:space="preserve">
Reported in 2011</t>
        </r>
      </text>
    </comment>
    <comment ref="AM7" authorId="0" shapeId="0">
      <text>
        <r>
          <rPr>
            <b/>
            <sz val="9"/>
            <color indexed="81"/>
            <rFont val="Tahoma"/>
            <family val="2"/>
          </rPr>
          <t>Cem Dener:</t>
        </r>
        <r>
          <rPr>
            <sz val="9"/>
            <color indexed="81"/>
            <rFont val="Tahoma"/>
            <family val="2"/>
          </rPr>
          <t xml:space="preserve">
http://www.hidglobal.com/sites/hidglobal.com/files/resource_files/hid-gov-id-angola-cs-en.pdf</t>
        </r>
      </text>
    </comment>
    <comment ref="AY7" authorId="0" shapeId="0">
      <text>
        <r>
          <rPr>
            <b/>
            <sz val="9"/>
            <color indexed="81"/>
            <rFont val="Tahoma"/>
            <family val="2"/>
          </rPr>
          <t>Cem Dener:</t>
        </r>
        <r>
          <rPr>
            <sz val="9"/>
            <color indexed="81"/>
            <rFont val="Tahoma"/>
            <family val="2"/>
          </rPr>
          <t xml:space="preserve">
http://gue.minjus-ao.com/
</t>
        </r>
      </text>
    </comment>
    <comment ref="AZ7" authorId="2" shapeId="0">
      <text>
        <r>
          <rPr>
            <b/>
            <sz val="9"/>
            <color indexed="81"/>
            <rFont val="Tahoma"/>
            <family val="2"/>
          </rPr>
          <t>Huan Zhang:</t>
        </r>
        <r>
          <rPr>
            <sz val="9"/>
            <color indexed="81"/>
            <rFont val="Tahoma"/>
            <family val="2"/>
          </rPr>
          <t xml:space="preserve">
Registration initiated in 1901.</t>
        </r>
      </text>
    </comment>
    <comment ref="CG7" authorId="0" shapeId="0">
      <text>
        <r>
          <rPr>
            <b/>
            <sz val="9"/>
            <color indexed="81"/>
            <rFont val="Tahoma"/>
            <family val="2"/>
          </rPr>
          <t>Cem Dener:</t>
        </r>
        <r>
          <rPr>
            <sz val="9"/>
            <color indexed="81"/>
            <rFont val="Tahoma"/>
            <family val="2"/>
          </rPr>
          <t xml:space="preserve">
35,6% in 2001
 http://www.unicef.org/esaro/5440_angola_eight-citizens.html</t>
        </r>
      </text>
    </comment>
    <comment ref="CH7" authorId="0" shapeId="0">
      <text>
        <r>
          <rPr>
            <b/>
            <sz val="9"/>
            <color indexed="81"/>
            <rFont val="Tahoma"/>
            <family val="2"/>
          </rPr>
          <t>Cem Dener:</t>
        </r>
        <r>
          <rPr>
            <sz val="9"/>
            <color indexed="81"/>
            <rFont val="Tahoma"/>
            <family val="2"/>
          </rPr>
          <t xml:space="preserve">
35.0</t>
        </r>
      </text>
    </comment>
    <comment ref="CI7" authorId="0" shapeId="0">
      <text>
        <r>
          <rPr>
            <b/>
            <sz val="9"/>
            <color indexed="81"/>
            <rFont val="Tahoma"/>
            <family val="2"/>
          </rPr>
          <t>Cem Dener:</t>
        </r>
        <r>
          <rPr>
            <sz val="9"/>
            <color indexed="81"/>
            <rFont val="Tahoma"/>
            <family val="2"/>
          </rPr>
          <t xml:space="preserve">
36.1</t>
        </r>
      </text>
    </comment>
    <comment ref="CM7" authorId="0" shapeId="0">
      <text>
        <r>
          <rPr>
            <b/>
            <sz val="9"/>
            <color indexed="81"/>
            <rFont val="Tahoma"/>
            <family val="2"/>
          </rPr>
          <t>Cem Dener:</t>
        </r>
        <r>
          <rPr>
            <sz val="9"/>
            <color indexed="81"/>
            <rFont val="Tahoma"/>
            <family val="2"/>
          </rPr>
          <t xml:space="preserve">
2001: MICS</t>
        </r>
      </text>
    </comment>
    <comment ref="CS7" authorId="0" shapeId="0">
      <text>
        <r>
          <rPr>
            <b/>
            <sz val="9"/>
            <color indexed="81"/>
            <rFont val="Tahoma"/>
            <family val="2"/>
          </rPr>
          <t>Cem Dener:</t>
        </r>
        <r>
          <rPr>
            <sz val="9"/>
            <color indexed="81"/>
            <rFont val="Tahoma"/>
            <family val="2"/>
          </rPr>
          <t xml:space="preserve">
http://www.eleicoes2012.cne.ao/paginas/paginas/dat99/DLG999999.htm</t>
        </r>
      </text>
    </comment>
    <comment ref="EB7" authorId="0" shapeId="0">
      <text>
        <r>
          <rPr>
            <b/>
            <sz val="9"/>
            <color indexed="81"/>
            <rFont val="Tahoma"/>
            <family val="2"/>
          </rPr>
          <t>Cem Dener:</t>
        </r>
        <r>
          <rPr>
            <sz val="9"/>
            <color indexed="81"/>
            <rFont val="Tahoma"/>
            <family val="2"/>
          </rPr>
          <t xml:space="preserve">
urban</t>
        </r>
      </text>
    </comment>
    <comment ref="HP7" authorId="3" shapeId="0">
      <text>
        <r>
          <rPr>
            <b/>
            <sz val="9"/>
            <color indexed="81"/>
            <rFont val="Tahoma"/>
            <family val="2"/>
          </rPr>
          <t>Irenezh1016:</t>
        </r>
        <r>
          <rPr>
            <sz val="9"/>
            <color indexed="81"/>
            <rFont val="Tahoma"/>
            <family val="2"/>
          </rPr>
          <t xml:space="preserve">
None (Agência da Protecção de Dados not yet established)</t>
        </r>
      </text>
    </comment>
    <comment ref="AF8" authorId="5" shapeId="0">
      <text>
        <r>
          <rPr>
            <b/>
            <sz val="9"/>
            <color indexed="81"/>
            <rFont val="Tahoma"/>
            <family val="2"/>
          </rPr>
          <t>Sophiko Skhirtladze:</t>
        </r>
        <r>
          <rPr>
            <sz val="9"/>
            <color indexed="81"/>
            <rFont val="Tahoma"/>
            <family val="2"/>
          </rPr>
          <t xml:space="preserve">
Voter Registration ID Card; Medical Benefits Scheme</t>
        </r>
      </text>
    </comment>
    <comment ref="AZ8" authorId="2" shapeId="0">
      <text>
        <r>
          <rPr>
            <b/>
            <sz val="9"/>
            <color indexed="81"/>
            <rFont val="Tahoma"/>
            <family val="2"/>
          </rPr>
          <t>Huan Zhang:</t>
        </r>
        <r>
          <rPr>
            <sz val="9"/>
            <color indexed="81"/>
            <rFont val="Tahoma"/>
            <family val="2"/>
          </rPr>
          <t xml:space="preserve">
Registration initiated in 1982.</t>
        </r>
      </text>
    </comment>
    <comment ref="CG8" authorId="0" shapeId="0">
      <text>
        <r>
          <rPr>
            <b/>
            <sz val="9"/>
            <color indexed="81"/>
            <rFont val="Tahoma"/>
            <family val="2"/>
          </rPr>
          <t>Cem Dener:</t>
        </r>
        <r>
          <rPr>
            <sz val="9"/>
            <color indexed="81"/>
            <rFont val="Tahoma"/>
            <family val="2"/>
          </rPr>
          <t xml:space="preserve">
No data.
Estimated BR rate</t>
        </r>
      </text>
    </comment>
    <comment ref="CH8" authorId="0" shapeId="0">
      <text>
        <r>
          <rPr>
            <b/>
            <sz val="9"/>
            <color indexed="81"/>
            <rFont val="Tahoma"/>
            <family val="2"/>
          </rPr>
          <t>Cem Dener:</t>
        </r>
        <r>
          <rPr>
            <sz val="9"/>
            <color indexed="81"/>
            <rFont val="Tahoma"/>
            <family val="2"/>
          </rPr>
          <t xml:space="preserve">
No data.
Estimated BR rate</t>
        </r>
      </text>
    </comment>
    <comment ref="CI8" authorId="0" shapeId="0">
      <text>
        <r>
          <rPr>
            <b/>
            <sz val="9"/>
            <color indexed="81"/>
            <rFont val="Tahoma"/>
            <family val="2"/>
          </rPr>
          <t>Cem Dener:</t>
        </r>
        <r>
          <rPr>
            <sz val="9"/>
            <color indexed="81"/>
            <rFont val="Tahoma"/>
            <family val="2"/>
          </rPr>
          <t xml:space="preserve">
No data.
Estimated BR rate</t>
        </r>
      </text>
    </comment>
    <comment ref="CS8" authorId="0" shapeId="0">
      <text>
        <r>
          <rPr>
            <b/>
            <sz val="9"/>
            <color indexed="81"/>
            <rFont val="Tahoma"/>
            <family val="2"/>
          </rPr>
          <t>Cem Dener:</t>
        </r>
        <r>
          <rPr>
            <sz val="9"/>
            <color indexed="81"/>
            <rFont val="Tahoma"/>
            <family val="2"/>
          </rPr>
          <t xml:space="preserve">
http://www.abec.gov.ag</t>
        </r>
      </text>
    </comment>
    <comment ref="H9" authorId="0" shapeId="0">
      <text>
        <r>
          <rPr>
            <b/>
            <sz val="9"/>
            <color indexed="81"/>
            <rFont val="Tahoma"/>
            <family val="2"/>
          </rPr>
          <t>Cem Dener:</t>
        </r>
        <r>
          <rPr>
            <sz val="9"/>
            <color indexed="81"/>
            <rFont val="Tahoma"/>
            <family val="2"/>
          </rPr>
          <t xml:space="preserve">
http://unstats.un.org/unsd/vitalstatkb/Attachment339.aspx</t>
        </r>
      </text>
    </comment>
    <comment ref="I9" authorId="0" shapeId="0">
      <text>
        <r>
          <rPr>
            <b/>
            <sz val="9"/>
            <color indexed="81"/>
            <rFont val="Tahoma"/>
            <family val="2"/>
          </rPr>
          <t>Cem Dener:</t>
        </r>
        <r>
          <rPr>
            <sz val="9"/>
            <color indexed="81"/>
            <rFont val="Tahoma"/>
            <family val="2"/>
          </rPr>
          <t xml:space="preserve">
El Registro Nacional de las Personas (RENAPER) 
Ministerio Provincial de Gobierno</t>
        </r>
      </text>
    </comment>
    <comment ref="AD9" authorId="0" shapeId="0">
      <text>
        <r>
          <rPr>
            <b/>
            <sz val="9"/>
            <color indexed="81"/>
            <rFont val="Tahoma"/>
            <family val="2"/>
          </rPr>
          <t>Cem Dener:</t>
        </r>
        <r>
          <rPr>
            <sz val="9"/>
            <color indexed="81"/>
            <rFont val="Tahoma"/>
            <family val="2"/>
          </rPr>
          <t xml:space="preserve">
https://www.eff.org/deeplinks/2012/01/biometrics-argentina-mass-surveillance-state-policy
http://www.giswatch.org/ca/node/2044#sdfootnote11sym
</t>
        </r>
      </text>
    </comment>
    <comment ref="AU9" authorId="2" shapeId="0">
      <text>
        <r>
          <rPr>
            <b/>
            <sz val="9"/>
            <color indexed="81"/>
            <rFont val="Tahoma"/>
            <family val="2"/>
          </rPr>
          <t>Huan Zhang:</t>
        </r>
        <r>
          <rPr>
            <sz val="9"/>
            <color indexed="81"/>
            <rFont val="Tahoma"/>
            <family val="2"/>
          </rPr>
          <t xml:space="preserve">
The ministry of Interior in Argentina introduced the biometric passport in 2012. The biometric database is available since 2011 according to the law. 
http://www.loc.gov/law/help/biometric-data-retention/index.php?loclr=bloglaw#_edn1
http://www.pulsamerica.co.uk/2012/06/18/argentina-national-home-loans-programme-launched/</t>
        </r>
      </text>
    </comment>
    <comment ref="AY9" authorId="0" shapeId="0">
      <text>
        <r>
          <rPr>
            <b/>
            <sz val="9"/>
            <color indexed="81"/>
            <rFont val="Tahoma"/>
            <family val="2"/>
          </rPr>
          <t>Cem Dener:</t>
        </r>
        <r>
          <rPr>
            <sz val="9"/>
            <color indexed="81"/>
            <rFont val="Tahoma"/>
            <family val="2"/>
          </rPr>
          <t xml:space="preserve">
https://seti.afip.gob.ar/padron-puc-constancia-internet/ConsultaConstanciaAction.do
http://www.boletinoficial.gov.ar/
https://www2.jus.gov.ar/igj-homonimia/Principal.aspx</t>
        </r>
      </text>
    </comment>
    <comment ref="AZ9" authorId="2" shapeId="0">
      <text>
        <r>
          <rPr>
            <b/>
            <sz val="9"/>
            <color indexed="81"/>
            <rFont val="Tahoma"/>
            <family val="2"/>
          </rPr>
          <t>Huan Zhang:</t>
        </r>
        <r>
          <rPr>
            <sz val="9"/>
            <color indexed="81"/>
            <rFont val="Tahoma"/>
            <family val="2"/>
          </rPr>
          <t xml:space="preserve">
Registration initiated in 1972</t>
        </r>
      </text>
    </comment>
    <comment ref="CS9" authorId="0" shapeId="0">
      <text>
        <r>
          <rPr>
            <b/>
            <sz val="9"/>
            <color indexed="81"/>
            <rFont val="Tahoma"/>
            <family val="2"/>
          </rPr>
          <t>Cem Dener:</t>
        </r>
        <r>
          <rPr>
            <sz val="9"/>
            <color indexed="81"/>
            <rFont val="Tahoma"/>
            <family val="2"/>
          </rPr>
          <t xml:space="preserve">
2015:
http://elecciones.gob.ar/admin/ckfinder/userfiles/files/P_V__DEFINITIVO%20x%20Distrito_PASO%202015(3).pdf
http://www.electionguide.org/countries/id/11/</t>
        </r>
      </text>
    </comment>
    <comment ref="CU9" authorId="0" shapeId="0">
      <text>
        <r>
          <rPr>
            <b/>
            <sz val="9"/>
            <color indexed="81"/>
            <rFont val="Tahoma"/>
            <family val="2"/>
          </rPr>
          <t>Cem Dener:</t>
        </r>
        <r>
          <rPr>
            <sz val="9"/>
            <color indexed="81"/>
            <rFont val="Tahoma"/>
            <family val="2"/>
          </rPr>
          <t xml:space="preserve">
16 to 18 and 70+ optional</t>
        </r>
      </text>
    </comment>
    <comment ref="EB9" authorId="0" shapeId="0">
      <text>
        <r>
          <rPr>
            <b/>
            <sz val="9"/>
            <color indexed="81"/>
            <rFont val="Tahoma"/>
            <family val="2"/>
          </rPr>
          <t>Cem Dener:</t>
        </r>
        <r>
          <rPr>
            <sz val="9"/>
            <color indexed="81"/>
            <rFont val="Tahoma"/>
            <family val="2"/>
          </rPr>
          <t xml:space="preserve">
urban</t>
        </r>
      </text>
    </comment>
    <comment ref="EY9" authorId="0" shapeId="0">
      <text>
        <r>
          <rPr>
            <b/>
            <sz val="9"/>
            <color indexed="81"/>
            <rFont val="Tahoma"/>
            <family val="2"/>
          </rPr>
          <t>Cem Dener:</t>
        </r>
        <r>
          <rPr>
            <sz val="9"/>
            <color indexed="81"/>
            <rFont val="Tahoma"/>
            <family val="2"/>
          </rPr>
          <t xml:space="preserve">
36,260,130  (in 2001)</t>
        </r>
      </text>
    </comment>
    <comment ref="EZ9" authorId="0" shapeId="0">
      <text>
        <r>
          <rPr>
            <b/>
            <sz val="9"/>
            <color indexed="81"/>
            <rFont val="Tahoma"/>
            <family val="2"/>
          </rPr>
          <t>Cem Dener:</t>
        </r>
        <r>
          <rPr>
            <sz val="9"/>
            <color indexed="81"/>
            <rFont val="Tahoma"/>
            <family val="2"/>
          </rPr>
          <t xml:space="preserve">
Prev: 2001</t>
        </r>
      </text>
    </comment>
    <comment ref="FI9" authorId="0" shapeId="0">
      <text>
        <r>
          <rPr>
            <b/>
            <sz val="9"/>
            <color indexed="81"/>
            <rFont val="Tahoma"/>
            <family val="2"/>
          </rPr>
          <t>Cem Dener:</t>
        </r>
        <r>
          <rPr>
            <sz val="9"/>
            <color indexed="81"/>
            <rFont val="Tahoma"/>
            <family val="2"/>
          </rPr>
          <t xml:space="preserve">
Ministerio Provincial de Gobierno</t>
        </r>
      </text>
    </comment>
    <comment ref="AL10" authorId="0" shapeId="0">
      <text>
        <r>
          <rPr>
            <b/>
            <sz val="9"/>
            <color indexed="81"/>
            <rFont val="Tahoma"/>
            <family val="2"/>
          </rPr>
          <t>Cem Dener:</t>
        </r>
        <r>
          <rPr>
            <sz val="9"/>
            <color indexed="81"/>
            <rFont val="Tahoma"/>
            <family val="2"/>
          </rPr>
          <t xml:space="preserve">
Polish Security Printing Works</t>
        </r>
      </text>
    </comment>
    <comment ref="AU10" authorId="2" shapeId="0">
      <text>
        <r>
          <rPr>
            <b/>
            <sz val="9"/>
            <color indexed="81"/>
            <rFont val="Tahoma"/>
            <family val="2"/>
          </rPr>
          <t>Huan Zhang:</t>
        </r>
        <r>
          <rPr>
            <sz val="9"/>
            <color indexed="81"/>
            <rFont val="Tahoma"/>
            <family val="2"/>
          </rPr>
          <t xml:space="preserve">
In June 2012 the official law on biometric passports was accepted in Armenia and since July 2012 the country officially introduced two new identity documents to replace ordinary passports of Armenian citizens. 
http://mail.aegee.org/eap/2012/10/biometric-passports-one-of-the-first-steps-to-visa-free-travel-for-eap-countries/</t>
        </r>
      </text>
    </comment>
    <comment ref="AY10" authorId="0" shapeId="0">
      <text>
        <r>
          <rPr>
            <b/>
            <sz val="9"/>
            <color indexed="81"/>
            <rFont val="Tahoma"/>
            <family val="2"/>
          </rPr>
          <t>Cem Dener:</t>
        </r>
        <r>
          <rPr>
            <sz val="9"/>
            <color indexed="81"/>
            <rFont val="Tahoma"/>
            <family val="2"/>
          </rPr>
          <t xml:space="preserve">
https://www.cba.am/am/SitePages/fscfinancialreports.aspx</t>
        </r>
      </text>
    </comment>
    <comment ref="AZ10" authorId="2" shapeId="0">
      <text>
        <r>
          <rPr>
            <b/>
            <sz val="9"/>
            <color indexed="81"/>
            <rFont val="Tahoma"/>
            <family val="2"/>
          </rPr>
          <t>Huan Zhang:</t>
        </r>
        <r>
          <rPr>
            <sz val="9"/>
            <color indexed="81"/>
            <rFont val="Tahoma"/>
            <family val="2"/>
          </rPr>
          <t xml:space="preserve">
Registration initiated in 2001</t>
        </r>
      </text>
    </comment>
    <comment ref="BD10" authorId="6" shapeId="0">
      <text>
        <r>
          <rPr>
            <b/>
            <sz val="9"/>
            <color indexed="81"/>
            <rFont val="Tahoma"/>
            <family val="2"/>
          </rPr>
          <t>Doruk Yarin Kiroglu:</t>
        </r>
        <r>
          <rPr>
            <sz val="9"/>
            <color indexed="81"/>
            <rFont val="Tahoma"/>
            <family val="2"/>
          </rPr>
          <t xml:space="preserve">
http://www.parliament.am/law_docs/211101HO252eng.pdf</t>
        </r>
      </text>
    </comment>
    <comment ref="CS10" authorId="0" shapeId="0">
      <text>
        <r>
          <rPr>
            <b/>
            <sz val="9"/>
            <color indexed="81"/>
            <rFont val="Tahoma"/>
            <family val="2"/>
          </rPr>
          <t>Cem Dener:</t>
        </r>
        <r>
          <rPr>
            <sz val="9"/>
            <color indexed="81"/>
            <rFont val="Tahoma"/>
            <family val="2"/>
          </rPr>
          <t xml:space="preserve">
http://www.elections.am/presidential/</t>
        </r>
      </text>
    </comment>
    <comment ref="H11" authorId="0" shapeId="0">
      <text>
        <r>
          <rPr>
            <b/>
            <sz val="9"/>
            <color indexed="81"/>
            <rFont val="Tahoma"/>
            <family val="2"/>
          </rPr>
          <t>Cem Dener:</t>
        </r>
        <r>
          <rPr>
            <sz val="9"/>
            <color indexed="81"/>
            <rFont val="Tahoma"/>
            <family val="2"/>
          </rPr>
          <t xml:space="preserve">
http://www.nt.gov.au/justice/bdm/births_deaths_marriages/births/birthreg.shtml</t>
        </r>
      </text>
    </comment>
    <comment ref="O11" authorId="0" shapeId="0">
      <text>
        <r>
          <rPr>
            <b/>
            <sz val="9"/>
            <color indexed="81"/>
            <rFont val="Tahoma"/>
            <family val="2"/>
          </rPr>
          <t>Cem Dener:</t>
        </r>
        <r>
          <rPr>
            <sz val="9"/>
            <color indexed="81"/>
            <rFont val="Tahoma"/>
            <family val="2"/>
          </rPr>
          <t xml:space="preserve">
</t>
        </r>
      </text>
    </comment>
    <comment ref="AD11" authorId="0" shapeId="0">
      <text>
        <r>
          <rPr>
            <b/>
            <sz val="9"/>
            <color indexed="81"/>
            <rFont val="Tahoma"/>
            <family val="2"/>
          </rPr>
          <t>Cem Dener:</t>
        </r>
        <r>
          <rPr>
            <sz val="9"/>
            <color indexed="81"/>
            <rFont val="Tahoma"/>
            <family val="2"/>
          </rPr>
          <t xml:space="preserve">
WA &gt; http://www.transport.wa.gov.au/licensing/proof-of-age-card.asp</t>
        </r>
      </text>
    </comment>
    <comment ref="AY11" authorId="0" shapeId="0">
      <text>
        <r>
          <rPr>
            <b/>
            <sz val="9"/>
            <color indexed="81"/>
            <rFont val="Tahoma"/>
            <family val="2"/>
          </rPr>
          <t>Cem Dener:</t>
        </r>
        <r>
          <rPr>
            <sz val="9"/>
            <color indexed="81"/>
            <rFont val="Tahoma"/>
            <family val="2"/>
          </rPr>
          <t xml:space="preserve">
https://abr.business.gov.au/
http://www.oric.gov.au/</t>
        </r>
      </text>
    </comment>
    <comment ref="AZ11" authorId="2" shapeId="0">
      <text>
        <r>
          <rPr>
            <b/>
            <sz val="9"/>
            <color indexed="81"/>
            <rFont val="Tahoma"/>
            <family val="2"/>
          </rPr>
          <t xml:space="preserve">Huan Zhang:
</t>
        </r>
        <r>
          <rPr>
            <sz val="9"/>
            <color indexed="81"/>
            <rFont val="Tahoma"/>
            <family val="2"/>
          </rPr>
          <t>Registration intiated in 1862.</t>
        </r>
        <r>
          <rPr>
            <b/>
            <sz val="9"/>
            <color indexed="81"/>
            <rFont val="Tahoma"/>
            <family val="2"/>
          </rPr>
          <t xml:space="preserve">
</t>
        </r>
        <r>
          <rPr>
            <sz val="9"/>
            <color indexed="81"/>
            <rFont val="Tahoma"/>
            <family val="2"/>
          </rPr>
          <t>http://www.law.unimelb.edu.au/cclsr/centre-resources/history-of-australian-corporate-law/key-documents-in-the-history-of-australian-corporate-law/key-documents-in-the-history-of-australian-corporate-law/flushcache/1/</t>
        </r>
      </text>
    </comment>
    <comment ref="O12" authorId="0" shapeId="0">
      <text>
        <r>
          <rPr>
            <b/>
            <sz val="9"/>
            <color indexed="81"/>
            <rFont val="Tahoma"/>
            <family val="2"/>
          </rPr>
          <t>Cem Dener:</t>
        </r>
        <r>
          <rPr>
            <sz val="9"/>
            <color indexed="81"/>
            <rFont val="Tahoma"/>
            <family val="2"/>
          </rPr>
          <t xml:space="preserve">
http://www.buergerkarte.at/en/applications-card.html  </t>
        </r>
      </text>
    </comment>
    <comment ref="P12" authorId="0" shapeId="0">
      <text>
        <r>
          <rPr>
            <b/>
            <sz val="9"/>
            <color indexed="81"/>
            <rFont val="Tahoma"/>
            <family val="2"/>
          </rPr>
          <t>Cem Dener:</t>
        </r>
        <r>
          <rPr>
            <sz val="9"/>
            <color indexed="81"/>
            <rFont val="Tahoma"/>
            <family val="2"/>
          </rPr>
          <t xml:space="preserve">
http://www.a-sit.at/pdfs/rp_eid_in_austria.pdf</t>
        </r>
      </text>
    </comment>
    <comment ref="W12" authorId="0" shapeId="0">
      <text>
        <r>
          <rPr>
            <b/>
            <sz val="9"/>
            <color indexed="81"/>
            <rFont val="Tahoma"/>
            <family val="2"/>
          </rPr>
          <t>Cem Dener:</t>
        </r>
        <r>
          <rPr>
            <sz val="9"/>
            <color indexed="81"/>
            <rFont val="Tahoma"/>
            <family val="2"/>
          </rPr>
          <t xml:space="preserve">
€61.50 (applicants aged 16 or over) / €26.30 (children aged 2–15) / Free (children under 2)</t>
        </r>
      </text>
    </comment>
    <comment ref="AI12" authorId="0" shapeId="0">
      <text>
        <r>
          <rPr>
            <b/>
            <sz val="9"/>
            <color indexed="81"/>
            <rFont val="Tahoma"/>
            <family val="2"/>
          </rPr>
          <t>Cem Dener:</t>
        </r>
        <r>
          <rPr>
            <sz val="9"/>
            <color indexed="81"/>
            <rFont val="Tahoma"/>
            <family val="2"/>
          </rPr>
          <t xml:space="preserve">
https://www.tractis.com/contracts/326024740</t>
        </r>
      </text>
    </comment>
    <comment ref="AY12" authorId="0" shapeId="0">
      <text>
        <r>
          <rPr>
            <b/>
            <sz val="9"/>
            <color indexed="81"/>
            <rFont val="Tahoma"/>
            <family val="2"/>
          </rPr>
          <t>Cem Dener:</t>
        </r>
        <r>
          <rPr>
            <sz val="9"/>
            <color indexed="81"/>
            <rFont val="Tahoma"/>
            <family val="2"/>
          </rPr>
          <t xml:space="preserve">
http://www.justiz.gv.at/</t>
        </r>
      </text>
    </comment>
    <comment ref="AZ12" authorId="2" shapeId="0">
      <text>
        <r>
          <rPr>
            <b/>
            <sz val="9"/>
            <color indexed="81"/>
            <rFont val="Tahoma"/>
            <family val="2"/>
          </rPr>
          <t>Huan Zhang:</t>
        </r>
        <r>
          <rPr>
            <sz val="9"/>
            <color indexed="81"/>
            <rFont val="Tahoma"/>
            <family val="2"/>
          </rPr>
          <t xml:space="preserve">
http://www.ebr.org/section/12/index.html
Registration initiated in 1906</t>
        </r>
      </text>
    </comment>
    <comment ref="BD12" authorId="6" shapeId="0">
      <text>
        <r>
          <rPr>
            <b/>
            <sz val="9"/>
            <color indexed="81"/>
            <rFont val="Tahoma"/>
            <family val="2"/>
          </rPr>
          <t>Doruk Yarin Kiroglu:</t>
        </r>
        <r>
          <rPr>
            <sz val="9"/>
            <color indexed="81"/>
            <rFont val="Tahoma"/>
            <family val="2"/>
          </rPr>
          <t xml:space="preserve">
Companies act 1965
http://homepage.uibk.ac.at/~c31229/pdf/oe_aktiengesetz.html
Revised in 2014
http://www.jusline.at/index.php?cpid=ba688068a8c8a95352ed951ddb88783e&amp;lawid=5&amp;paid=1</t>
        </r>
      </text>
    </comment>
    <comment ref="CS12" authorId="0" shapeId="0">
      <text>
        <r>
          <rPr>
            <b/>
            <sz val="9"/>
            <color indexed="81"/>
            <rFont val="Tahoma"/>
            <family val="2"/>
          </rPr>
          <t>Cem Dener:</t>
        </r>
        <r>
          <rPr>
            <sz val="9"/>
            <color indexed="81"/>
            <rFont val="Tahoma"/>
            <family val="2"/>
          </rPr>
          <t xml:space="preserve">
http://statcube.at/statistik.at/ext/statcube/jsf/tableView/tableView.xhtml  </t>
        </r>
      </text>
    </comment>
    <comment ref="S13" authorId="0" shapeId="0">
      <text>
        <r>
          <rPr>
            <b/>
            <sz val="9"/>
            <color indexed="81"/>
            <rFont val="Tahoma"/>
            <family val="2"/>
          </rPr>
          <t>Cem Dener:</t>
        </r>
        <r>
          <rPr>
            <sz val="9"/>
            <color indexed="81"/>
            <rFont val="Tahoma"/>
            <family val="2"/>
          </rPr>
          <t xml:space="preserve">
http://unpan1.un.org/intradoc/groups/public/documents/apcity/unpan021341.pdf</t>
        </r>
      </text>
    </comment>
    <comment ref="AE13" authorId="0" shapeId="0">
      <text>
        <r>
          <rPr>
            <b/>
            <sz val="9"/>
            <color indexed="81"/>
            <rFont val="Tahoma"/>
            <family val="2"/>
          </rPr>
          <t>Cem Dener:</t>
        </r>
        <r>
          <rPr>
            <sz val="9"/>
            <color indexed="81"/>
            <rFont val="Tahoma"/>
            <family val="2"/>
          </rPr>
          <t xml:space="preserve">
Initial eIDs issued in 2014?</t>
        </r>
      </text>
    </comment>
    <comment ref="AI13" authorId="2" shapeId="0">
      <text>
        <r>
          <rPr>
            <b/>
            <sz val="9"/>
            <color indexed="81"/>
            <rFont val="Tahoma"/>
            <family val="2"/>
          </rPr>
          <t>Huan Zhang:</t>
        </r>
        <r>
          <rPr>
            <sz val="9"/>
            <color indexed="81"/>
            <rFont val="Tahoma"/>
            <family val="2"/>
          </rPr>
          <t xml:space="preserve">
http://www.trueb.ch/en/media-information/republic-of-azerbaijan-selects-trueb-for-comprehensive-e-id-solution</t>
        </r>
      </text>
    </comment>
    <comment ref="AM13" authorId="0" shapeId="0">
      <text>
        <r>
          <rPr>
            <b/>
            <sz val="9"/>
            <color indexed="81"/>
            <rFont val="Tahoma"/>
            <family val="2"/>
          </rPr>
          <t>Cem Dener:</t>
        </r>
        <r>
          <rPr>
            <sz val="9"/>
            <color indexed="81"/>
            <rFont val="Tahoma"/>
            <family val="2"/>
          </rPr>
          <t xml:space="preserve">
TRUEB:
http://www.trueb.ch/en/media-information/republic-of-azerbaijan-selects-trueb-for-comprehensive-e-id-solution</t>
        </r>
      </text>
    </comment>
    <comment ref="AY13" authorId="0" shapeId="0">
      <text>
        <r>
          <rPr>
            <b/>
            <sz val="9"/>
            <color indexed="81"/>
            <rFont val="Tahoma"/>
            <family val="2"/>
          </rPr>
          <t>Cem Dener:</t>
        </r>
        <r>
          <rPr>
            <sz val="9"/>
            <color indexed="81"/>
            <rFont val="Tahoma"/>
            <family val="2"/>
          </rPr>
          <t xml:space="preserve">
http://www.taxes.gov.az/?name=odeyiciler&amp;lang=</t>
        </r>
      </text>
    </comment>
    <comment ref="AZ13" authorId="2" shapeId="0">
      <text>
        <r>
          <rPr>
            <b/>
            <sz val="9"/>
            <color indexed="81"/>
            <rFont val="Tahoma"/>
            <family val="2"/>
          </rPr>
          <t>Huan Zhang:</t>
        </r>
        <r>
          <rPr>
            <sz val="9"/>
            <color indexed="81"/>
            <rFont val="Tahoma"/>
            <family val="2"/>
          </rPr>
          <t xml:space="preserve">
Registration initiated in 1995</t>
        </r>
      </text>
    </comment>
    <comment ref="CS13" authorId="0" shapeId="0">
      <text>
        <r>
          <rPr>
            <b/>
            <sz val="9"/>
            <color indexed="81"/>
            <rFont val="Tahoma"/>
            <family val="2"/>
          </rPr>
          <t>Cem Dener:</t>
        </r>
        <r>
          <rPr>
            <sz val="9"/>
            <color indexed="81"/>
            <rFont val="Tahoma"/>
            <family val="2"/>
          </rPr>
          <t xml:space="preserve">
http://www.msk.gov.az/en/elections/milli-meclise-seckiler/parlament-01-11-15/</t>
        </r>
      </text>
    </comment>
    <comment ref="HP13" authorId="0" shapeId="0">
      <text>
        <r>
          <rPr>
            <b/>
            <sz val="9"/>
            <color indexed="81"/>
            <rFont val="Tahoma"/>
            <family val="2"/>
          </rPr>
          <t>Cem Dener:</t>
        </r>
        <r>
          <rPr>
            <sz val="9"/>
            <color indexed="81"/>
            <rFont val="Tahoma"/>
            <family val="2"/>
          </rPr>
          <t xml:space="preserve">
None (Ministry of Communications and Information Technologies administers Register)</t>
        </r>
      </text>
    </comment>
    <comment ref="C14" authorId="0" shapeId="0">
      <text>
        <r>
          <rPr>
            <b/>
            <sz val="9"/>
            <color indexed="81"/>
            <rFont val="Tahoma"/>
            <family val="2"/>
          </rPr>
          <t>Cem Dener:</t>
        </r>
        <r>
          <rPr>
            <sz val="9"/>
            <color indexed="81"/>
            <rFont val="Tahoma"/>
            <family val="2"/>
          </rPr>
          <t xml:space="preserve">
The Bahamas</t>
        </r>
      </text>
    </comment>
    <comment ref="I14" authorId="0" shapeId="0">
      <text>
        <r>
          <rPr>
            <b/>
            <sz val="9"/>
            <color indexed="81"/>
            <rFont val="Tahoma"/>
            <family val="2"/>
          </rPr>
          <t>Cem Dener:</t>
        </r>
        <r>
          <rPr>
            <sz val="9"/>
            <color indexed="81"/>
            <rFont val="Tahoma"/>
            <family val="2"/>
          </rPr>
          <t xml:space="preserve">
Under the portfolio of 
Office of the Attorney General &amp; Ministry of Legal Affairs</t>
        </r>
      </text>
    </comment>
    <comment ref="AZ14" authorId="2" shapeId="0">
      <text>
        <r>
          <rPr>
            <b/>
            <sz val="9"/>
            <color indexed="81"/>
            <rFont val="Tahoma"/>
            <family val="2"/>
          </rPr>
          <t>Huan Zhang:</t>
        </r>
        <r>
          <rPr>
            <sz val="9"/>
            <color indexed="81"/>
            <rFont val="Tahoma"/>
            <family val="2"/>
          </rPr>
          <t xml:space="preserve">
Registration initiated in 1914</t>
        </r>
      </text>
    </comment>
    <comment ref="CG14" authorId="0" shapeId="0">
      <text>
        <r>
          <rPr>
            <b/>
            <sz val="9"/>
            <color indexed="81"/>
            <rFont val="Tahoma"/>
            <family val="2"/>
          </rPr>
          <t>Cem Dener:</t>
        </r>
        <r>
          <rPr>
            <sz val="9"/>
            <color indexed="81"/>
            <rFont val="Tahoma"/>
            <family val="2"/>
          </rPr>
          <t xml:space="preserve">
No data.
Estimated BR rate</t>
        </r>
      </text>
    </comment>
    <comment ref="CH14" authorId="0" shapeId="0">
      <text>
        <r>
          <rPr>
            <b/>
            <sz val="9"/>
            <color indexed="81"/>
            <rFont val="Tahoma"/>
            <family val="2"/>
          </rPr>
          <t>Cem Dener:</t>
        </r>
        <r>
          <rPr>
            <sz val="9"/>
            <color indexed="81"/>
            <rFont val="Tahoma"/>
            <family val="2"/>
          </rPr>
          <t xml:space="preserve">
No data.
Estimated BR rate</t>
        </r>
      </text>
    </comment>
    <comment ref="CI14" authorId="0" shapeId="0">
      <text>
        <r>
          <rPr>
            <b/>
            <sz val="9"/>
            <color indexed="81"/>
            <rFont val="Tahoma"/>
            <family val="2"/>
          </rPr>
          <t>Cem Dener:</t>
        </r>
        <r>
          <rPr>
            <sz val="9"/>
            <color indexed="81"/>
            <rFont val="Tahoma"/>
            <family val="2"/>
          </rPr>
          <t xml:space="preserve">
No data.
Estimated BR rate</t>
        </r>
      </text>
    </comment>
    <comment ref="CS14" authorId="0" shapeId="0">
      <text>
        <r>
          <rPr>
            <b/>
            <sz val="9"/>
            <color indexed="81"/>
            <rFont val="Tahoma"/>
            <family val="2"/>
          </rPr>
          <t>Cem Dener:</t>
        </r>
        <r>
          <rPr>
            <sz val="9"/>
            <color indexed="81"/>
            <rFont val="Tahoma"/>
            <family val="2"/>
          </rPr>
          <t xml:space="preserve">
http://rgd.bahamas.gov.bs:8081/netdata/db2www.pgm/c_stat.ndm/login
http://www.bahamaslocal.com/bahamaselections
</t>
        </r>
      </text>
    </comment>
    <comment ref="FC14" authorId="0" shapeId="0">
      <text>
        <r>
          <rPr>
            <b/>
            <sz val="9"/>
            <color indexed="81"/>
            <rFont val="Tahoma"/>
            <family val="2"/>
          </rPr>
          <t>Cem Dener:</t>
        </r>
        <r>
          <rPr>
            <sz val="9"/>
            <color indexed="81"/>
            <rFont val="Tahoma"/>
            <family val="2"/>
          </rPr>
          <t xml:space="preserve">
1 % extreme poverty (2001)</t>
        </r>
      </text>
    </comment>
    <comment ref="HU14" authorId="0" shapeId="0">
      <text>
        <r>
          <rPr>
            <b/>
            <sz val="9"/>
            <color indexed="81"/>
            <rFont val="Tahoma"/>
            <family val="2"/>
          </rPr>
          <t>Cem Dener:</t>
        </r>
        <r>
          <rPr>
            <sz val="9"/>
            <color indexed="81"/>
            <rFont val="Tahoma"/>
            <family val="2"/>
          </rPr>
          <t xml:space="preserve">
http://www.weblogbahamas.com/blog_bahamas/2015/01/global-expert-bahamas-freedom-of-information-act-provisions-offensive.html</t>
        </r>
      </text>
    </comment>
    <comment ref="HV14" authorId="3" shapeId="0">
      <text>
        <r>
          <rPr>
            <b/>
            <sz val="9"/>
            <color indexed="81"/>
            <rFont val="Tahoma"/>
            <family val="2"/>
          </rPr>
          <t>Irenezh1016:</t>
        </r>
        <r>
          <rPr>
            <sz val="9"/>
            <color indexed="81"/>
            <rFont val="Tahoma"/>
            <family val="2"/>
          </rPr>
          <t xml:space="preserve">
Article 23(1) of the Constitution includes the right to receive and impart ideas and information without interference within the right to freedom of expression.
The Data Protection (Privacy of Personal Information) Act 2003, has been adopted to regulate the collection, processing, keeping, use and disclosure of certain information relating to individuals. The Act has been passed but has not yet been brought into force. </t>
        </r>
      </text>
    </comment>
    <comment ref="W15" authorId="4" shapeId="0">
      <text>
        <r>
          <rPr>
            <b/>
            <sz val="9"/>
            <color indexed="81"/>
            <rFont val="Tahoma"/>
            <family val="2"/>
          </rPr>
          <t>Yarın Kıroğlu:</t>
        </r>
        <r>
          <rPr>
            <sz val="9"/>
            <color indexed="81"/>
            <rFont val="Tahoma"/>
            <family val="2"/>
          </rPr>
          <t xml:space="preserve">
2 BD for issue, 4 BD for lost, 10 BD for non citizens</t>
        </r>
      </text>
    </comment>
    <comment ref="AD15" authorId="5" shapeId="0">
      <text>
        <r>
          <rPr>
            <b/>
            <sz val="9"/>
            <color indexed="81"/>
            <rFont val="Tahoma"/>
            <family val="2"/>
          </rPr>
          <t>Sophiko Skhirtladze:</t>
        </r>
        <r>
          <rPr>
            <sz val="9"/>
            <color indexed="81"/>
            <rFont val="Tahoma"/>
            <family val="2"/>
          </rPr>
          <t xml:space="preserve">
http://unpan1.un.org/intradoc/groups/public/documents/unescwa/unpan015333.pdf</t>
        </r>
      </text>
    </comment>
    <comment ref="AU15" authorId="2" shapeId="0">
      <text>
        <r>
          <rPr>
            <b/>
            <sz val="9"/>
            <color indexed="81"/>
            <rFont val="Tahoma"/>
            <family val="2"/>
          </rPr>
          <t>Huan Zhang:</t>
        </r>
        <r>
          <rPr>
            <sz val="9"/>
            <color indexed="81"/>
            <rFont val="Tahoma"/>
            <family val="2"/>
          </rPr>
          <t xml:space="preserve">
In 1994, Bahrain introduced machine readable passport
http://www.npra.gov.bh/about-us/historical-stages/</t>
        </r>
      </text>
    </comment>
    <comment ref="AY15" authorId="0" shapeId="0">
      <text>
        <r>
          <rPr>
            <b/>
            <sz val="9"/>
            <color indexed="81"/>
            <rFont val="Tahoma"/>
            <family val="2"/>
          </rPr>
          <t>Cem Dener:</t>
        </r>
        <r>
          <rPr>
            <sz val="9"/>
            <color indexed="81"/>
            <rFont val="Tahoma"/>
            <family val="2"/>
          </rPr>
          <t xml:space="preserve">
http://www.big.bh
http://www.bcci.bh/en/
http://www.cbb.gov.bh/page.php?p=cbb_register
</t>
        </r>
      </text>
    </comment>
    <comment ref="AZ15" authorId="2" shapeId="0">
      <text>
        <r>
          <rPr>
            <b/>
            <sz val="9"/>
            <color indexed="81"/>
            <rFont val="Tahoma"/>
            <family val="2"/>
          </rPr>
          <t>Huan Zhang:</t>
        </r>
        <r>
          <rPr>
            <sz val="9"/>
            <color indexed="81"/>
            <rFont val="Tahoma"/>
            <family val="2"/>
          </rPr>
          <t xml:space="preserve">
Registration initiated in 1975
http://www.infoprod.co.il/country/bahrai2b.htm</t>
        </r>
      </text>
    </comment>
    <comment ref="CG15" authorId="0" shapeId="0">
      <text>
        <r>
          <rPr>
            <b/>
            <sz val="9"/>
            <color indexed="81"/>
            <rFont val="Tahoma"/>
            <family val="2"/>
          </rPr>
          <t>Cem Dener:</t>
        </r>
        <r>
          <rPr>
            <sz val="9"/>
            <color indexed="81"/>
            <rFont val="Tahoma"/>
            <family val="2"/>
          </rPr>
          <t xml:space="preserve">
No data.
Estimated BR rate</t>
        </r>
      </text>
    </comment>
    <comment ref="CH15" authorId="0" shapeId="0">
      <text>
        <r>
          <rPr>
            <b/>
            <sz val="9"/>
            <color indexed="81"/>
            <rFont val="Tahoma"/>
            <family val="2"/>
          </rPr>
          <t>Cem Dener:</t>
        </r>
        <r>
          <rPr>
            <sz val="9"/>
            <color indexed="81"/>
            <rFont val="Tahoma"/>
            <family val="2"/>
          </rPr>
          <t xml:space="preserve">
No data.
Estimated BR rate</t>
        </r>
      </text>
    </comment>
    <comment ref="CI15" authorId="0" shapeId="0">
      <text>
        <r>
          <rPr>
            <b/>
            <sz val="9"/>
            <color indexed="81"/>
            <rFont val="Tahoma"/>
            <family val="2"/>
          </rPr>
          <t>Cem Dener:</t>
        </r>
        <r>
          <rPr>
            <sz val="9"/>
            <color indexed="81"/>
            <rFont val="Tahoma"/>
            <family val="2"/>
          </rPr>
          <t xml:space="preserve">
No data.
Estimated BR rate</t>
        </r>
      </text>
    </comment>
    <comment ref="CS15" authorId="0" shapeId="0">
      <text>
        <r>
          <rPr>
            <b/>
            <sz val="9"/>
            <color indexed="81"/>
            <rFont val="Tahoma"/>
            <family val="2"/>
          </rPr>
          <t>Cem Dener:</t>
        </r>
        <r>
          <rPr>
            <sz val="9"/>
            <color indexed="81"/>
            <rFont val="Tahoma"/>
            <family val="2"/>
          </rPr>
          <t xml:space="preserve">
http://www.vote.bh/En/Resultes?cms=iQRpheuphYtJ6pyXUGiNqvsAeSlLTfat</t>
        </r>
      </text>
    </comment>
    <comment ref="H16" authorId="0" shapeId="0">
      <text>
        <r>
          <rPr>
            <b/>
            <sz val="9"/>
            <color indexed="81"/>
            <rFont val="Tahoma"/>
            <family val="2"/>
          </rPr>
          <t>Cem Dener:</t>
        </r>
        <r>
          <rPr>
            <sz val="9"/>
            <color indexed="81"/>
            <rFont val="Tahoma"/>
            <family val="2"/>
          </rPr>
          <t xml:space="preserve">
http://bris.lgd.gov.bd/pub/</t>
        </r>
      </text>
    </comment>
    <comment ref="AL16" authorId="0" shapeId="0">
      <text>
        <r>
          <rPr>
            <b/>
            <sz val="9"/>
            <color indexed="81"/>
            <rFont val="Tahoma"/>
            <family val="2"/>
          </rPr>
          <t>Cem Dener:</t>
        </r>
        <r>
          <rPr>
            <sz val="9"/>
            <color indexed="81"/>
            <rFont val="Tahoma"/>
            <family val="2"/>
          </rPr>
          <t xml:space="preserve">
Implementation (procurement) in progress.
Initiated in Jan 2014</t>
        </r>
      </text>
    </comment>
    <comment ref="AM16" authorId="0" shapeId="0">
      <text>
        <r>
          <rPr>
            <b/>
            <sz val="9"/>
            <color indexed="81"/>
            <rFont val="Tahoma"/>
            <family val="2"/>
          </rPr>
          <t>Cem Dener:</t>
        </r>
        <r>
          <rPr>
            <sz val="9"/>
            <color indexed="81"/>
            <rFont val="Tahoma"/>
            <family val="2"/>
          </rPr>
          <t xml:space="preserve">
NID contract signed on Jan 14, 2015, with Oberthur </t>
        </r>
      </text>
    </comment>
    <comment ref="AU16" authorId="2" shapeId="0">
      <text>
        <r>
          <rPr>
            <b/>
            <sz val="9"/>
            <color indexed="81"/>
            <rFont val="Tahoma"/>
            <family val="2"/>
          </rPr>
          <t xml:space="preserve">Huan Zhang:
</t>
        </r>
        <r>
          <rPr>
            <sz val="9"/>
            <color indexed="81"/>
            <rFont val="Tahoma"/>
            <family val="2"/>
          </rPr>
          <t>From 01 April 2010 the Government of Bangladesh has introduced Machine Readable Passport MRP and Machine Readable Visa MRV</t>
        </r>
        <r>
          <rPr>
            <sz val="9"/>
            <color indexed="81"/>
            <rFont val="Tahoma"/>
            <family val="2"/>
          </rPr>
          <t xml:space="preserve">
https://www.youtube.com/watch?v=mpmNSXpuSAA </t>
        </r>
      </text>
    </comment>
    <comment ref="AZ16" authorId="2" shapeId="0">
      <text>
        <r>
          <rPr>
            <b/>
            <sz val="9"/>
            <color indexed="81"/>
            <rFont val="Tahoma"/>
            <family val="2"/>
          </rPr>
          <t>Huan Zhang:</t>
        </r>
        <r>
          <rPr>
            <sz val="9"/>
            <color indexed="81"/>
            <rFont val="Tahoma"/>
            <family val="2"/>
          </rPr>
          <t xml:space="preserve">
Registration initiated in 1913</t>
        </r>
      </text>
    </comment>
    <comment ref="O17" authorId="0" shapeId="0">
      <text>
        <r>
          <rPr>
            <b/>
            <sz val="9"/>
            <color indexed="81"/>
            <rFont val="Tahoma"/>
            <family val="2"/>
          </rPr>
          <t>Cem Dener:</t>
        </r>
        <r>
          <rPr>
            <sz val="9"/>
            <color indexed="81"/>
            <rFont val="Tahoma"/>
            <family val="2"/>
          </rPr>
          <t xml:space="preserve">
http://www.gov.bb/bigportal/big/howdois/showHowDoI.php?file=nrnappl.xml</t>
        </r>
      </text>
    </comment>
    <comment ref="AL17" authorId="0" shapeId="0">
      <text>
        <r>
          <rPr>
            <b/>
            <sz val="9"/>
            <color indexed="81"/>
            <rFont val="Tahoma"/>
            <family val="2"/>
          </rPr>
          <t>Cem Dener:</t>
        </r>
        <r>
          <rPr>
            <sz val="9"/>
            <color indexed="81"/>
            <rFont val="Tahoma"/>
            <family val="2"/>
          </rPr>
          <t xml:space="preserve">
Fujitsu Caribbean Barbados Ltd</t>
        </r>
      </text>
    </comment>
    <comment ref="AM17" authorId="0" shapeId="0">
      <text>
        <r>
          <rPr>
            <b/>
            <sz val="9"/>
            <color indexed="81"/>
            <rFont val="Tahoma"/>
            <family val="2"/>
          </rPr>
          <t>Cem Dener:</t>
        </r>
        <r>
          <rPr>
            <sz val="9"/>
            <color indexed="81"/>
            <rFont val="Tahoma"/>
            <family val="2"/>
          </rPr>
          <t xml:space="preserve">
http://www.nationnews.com/nationnews/news/34237/usd15m-cards</t>
        </r>
      </text>
    </comment>
    <comment ref="AU17" authorId="2" shapeId="0">
      <text>
        <r>
          <rPr>
            <b/>
            <sz val="9"/>
            <color indexed="81"/>
            <rFont val="Tahoma"/>
            <family val="2"/>
          </rPr>
          <t>Huan Zhang:</t>
        </r>
        <r>
          <rPr>
            <sz val="9"/>
            <color indexed="81"/>
            <rFont val="Tahoma"/>
            <family val="2"/>
          </rPr>
          <t xml:space="preserve">
http://www.foreign.gov.bb/Userfiles/File/MACHINE%20READABLE.pdf</t>
        </r>
      </text>
    </comment>
    <comment ref="AZ17" authorId="2" shapeId="0">
      <text>
        <r>
          <rPr>
            <b/>
            <sz val="9"/>
            <color indexed="81"/>
            <rFont val="Tahoma"/>
            <family val="2"/>
          </rPr>
          <t>Huan Zhang:</t>
        </r>
        <r>
          <rPr>
            <sz val="9"/>
            <color indexed="81"/>
            <rFont val="Tahoma"/>
            <family val="2"/>
          </rPr>
          <t xml:space="preserve">
Registration initiated in 1982</t>
        </r>
      </text>
    </comment>
    <comment ref="CG17" authorId="0" shapeId="0">
      <text>
        <r>
          <rPr>
            <b/>
            <sz val="9"/>
            <color indexed="81"/>
            <rFont val="Tahoma"/>
            <family val="2"/>
          </rPr>
          <t>Cem Dener:</t>
        </r>
        <r>
          <rPr>
            <sz val="9"/>
            <color indexed="81"/>
            <rFont val="Tahoma"/>
            <family val="2"/>
          </rPr>
          <t xml:space="preserve">
No data.
Estimated BR rate
http://www.barbadosparliament.com/htmlarea/uploaded/File/Registration%20Department%20Report%20on%20Vital%20Statistics%20and%20Registration%202006%20Laid%20HOA%2022nd%20Oct,%202013.pdf</t>
        </r>
      </text>
    </comment>
    <comment ref="CH17" authorId="0" shapeId="0">
      <text>
        <r>
          <rPr>
            <b/>
            <sz val="9"/>
            <color indexed="81"/>
            <rFont val="Tahoma"/>
            <family val="2"/>
          </rPr>
          <t>Cem Dener:</t>
        </r>
        <r>
          <rPr>
            <sz val="9"/>
            <color indexed="81"/>
            <rFont val="Tahoma"/>
            <family val="2"/>
          </rPr>
          <t xml:space="preserve">
No data.
Estimated BR rate</t>
        </r>
      </text>
    </comment>
    <comment ref="CI17" authorId="0" shapeId="0">
      <text>
        <r>
          <rPr>
            <b/>
            <sz val="9"/>
            <color indexed="81"/>
            <rFont val="Tahoma"/>
            <family val="2"/>
          </rPr>
          <t>Cem Dener:</t>
        </r>
        <r>
          <rPr>
            <sz val="9"/>
            <color indexed="81"/>
            <rFont val="Tahoma"/>
            <family val="2"/>
          </rPr>
          <t xml:space="preserve">
No data.
Estimated BR rate</t>
        </r>
      </text>
    </comment>
    <comment ref="CN17" authorId="0" shapeId="0">
      <text>
        <r>
          <rPr>
            <b/>
            <sz val="9"/>
            <color indexed="81"/>
            <rFont val="Tahoma"/>
            <family val="2"/>
          </rPr>
          <t>Cem Dener:</t>
        </r>
        <r>
          <rPr>
            <sz val="9"/>
            <color indexed="81"/>
            <rFont val="Tahoma"/>
            <family val="2"/>
          </rPr>
          <t xml:space="preserve">
Voting Age Population was used (Registered voter was greater than VAP)</t>
        </r>
      </text>
    </comment>
    <comment ref="H18" authorId="0" shapeId="0">
      <text>
        <r>
          <rPr>
            <b/>
            <sz val="9"/>
            <color indexed="81"/>
            <rFont val="Tahoma"/>
            <family val="2"/>
          </rPr>
          <t>Cem Dener:</t>
        </r>
        <r>
          <rPr>
            <sz val="9"/>
            <color indexed="81"/>
            <rFont val="Tahoma"/>
            <family val="2"/>
          </rPr>
          <t xml:space="preserve">
http://mfa.gov.by
http://rebenok.by</t>
        </r>
      </text>
    </comment>
    <comment ref="S18" authorId="0" shapeId="0">
      <text>
        <r>
          <rPr>
            <b/>
            <sz val="9"/>
            <color indexed="81"/>
            <rFont val="Tahoma"/>
            <family val="2"/>
          </rPr>
          <t>Cem Dener:</t>
        </r>
        <r>
          <rPr>
            <sz val="9"/>
            <color indexed="81"/>
            <rFont val="Tahoma"/>
            <family val="2"/>
          </rPr>
          <t xml:space="preserve">
Passport is used as ID</t>
        </r>
      </text>
    </comment>
    <comment ref="AU18" authorId="3" shapeId="0">
      <text>
        <r>
          <rPr>
            <b/>
            <sz val="9"/>
            <color indexed="81"/>
            <rFont val="Tahoma"/>
            <family val="2"/>
          </rPr>
          <t>Irenezh1016:</t>
        </r>
        <r>
          <rPr>
            <sz val="9"/>
            <color indexed="81"/>
            <rFont val="Tahoma"/>
            <family val="2"/>
          </rPr>
          <t xml:space="preserve">
Belarus would decide in the course of 2014 when e-passports could be introduced.
http://euroradio.fm/en/belarus-considers-biometric-passports</t>
        </r>
      </text>
    </comment>
    <comment ref="AZ18" authorId="2" shapeId="0">
      <text>
        <r>
          <rPr>
            <b/>
            <sz val="9"/>
            <color indexed="81"/>
            <rFont val="Tahoma"/>
            <family val="2"/>
          </rPr>
          <t>Huan Zhang:</t>
        </r>
        <r>
          <rPr>
            <sz val="9"/>
            <color indexed="81"/>
            <rFont val="Tahoma"/>
            <family val="2"/>
          </rPr>
          <t xml:space="preserve">
Registration initiated in 2005</t>
        </r>
      </text>
    </comment>
    <comment ref="W19" authorId="0" shapeId="0">
      <text>
        <r>
          <rPr>
            <b/>
            <sz val="9"/>
            <color indexed="81"/>
            <rFont val="Tahoma"/>
            <family val="2"/>
          </rPr>
          <t>Cem Dener:</t>
        </r>
        <r>
          <rPr>
            <sz val="9"/>
            <color indexed="81"/>
            <rFont val="Tahoma"/>
            <family val="2"/>
          </rPr>
          <t xml:space="preserve">
€17 (urgent: €123 or more)
equivalent of €11 or €17 in local currency (citizens registered abroad)</t>
        </r>
      </text>
    </comment>
    <comment ref="AE19" authorId="0" shapeId="0">
      <text>
        <r>
          <rPr>
            <b/>
            <sz val="9"/>
            <color indexed="81"/>
            <rFont val="Tahoma"/>
            <family val="2"/>
          </rPr>
          <t>Cem Dener:</t>
        </r>
        <r>
          <rPr>
            <sz val="9"/>
            <color indexed="81"/>
            <rFont val="Tahoma"/>
            <family val="2"/>
          </rPr>
          <t xml:space="preserve">
Started in 2000
Rolled out until 2009</t>
        </r>
      </text>
    </comment>
    <comment ref="AG19" authorId="2" shapeId="0">
      <text>
        <r>
          <rPr>
            <b/>
            <sz val="9"/>
            <color indexed="81"/>
            <rFont val="Tahoma"/>
            <family val="2"/>
          </rPr>
          <t>Huan Zhang:</t>
        </r>
        <r>
          <rPr>
            <sz val="9"/>
            <color indexed="81"/>
            <rFont val="Tahoma"/>
            <family val="2"/>
          </rPr>
          <t xml:space="preserve">
http://en.myeurop.info/2012/04/06/complicated-rise-electronic-identity-card-europe-5145</t>
        </r>
      </text>
    </comment>
    <comment ref="AK19" authorId="2" shapeId="0">
      <text>
        <r>
          <rPr>
            <b/>
            <sz val="9"/>
            <color indexed="81"/>
            <rFont val="Tahoma"/>
            <family val="2"/>
          </rPr>
          <t>Huan Zhang:</t>
        </r>
        <r>
          <rPr>
            <sz val="9"/>
            <color indexed="81"/>
            <rFont val="Tahoma"/>
            <family val="2"/>
          </rPr>
          <t xml:space="preserve">
http://www.gemalto.com/govt/customer-cases/belgium</t>
        </r>
      </text>
    </comment>
    <comment ref="AY19" authorId="2" shapeId="0">
      <text>
        <r>
          <rPr>
            <b/>
            <sz val="9"/>
            <color indexed="81"/>
            <rFont val="Tahoma"/>
            <family val="2"/>
          </rPr>
          <t>Huan Zhang:</t>
        </r>
        <r>
          <rPr>
            <sz val="9"/>
            <color indexed="81"/>
            <rFont val="Tahoma"/>
            <family val="2"/>
          </rPr>
          <t xml:space="preserve">
http://www.eurodb.be/</t>
        </r>
      </text>
    </comment>
    <comment ref="CS19" authorId="1" shapeId="0">
      <text>
        <r>
          <rPr>
            <b/>
            <sz val="9"/>
            <color indexed="81"/>
            <rFont val="Tahoma"/>
            <family val="2"/>
          </rPr>
          <t>Author:</t>
        </r>
        <r>
          <rPr>
            <sz val="9"/>
            <color indexed="81"/>
            <rFont val="Tahoma"/>
            <family val="2"/>
          </rPr>
          <t xml:space="preserve">
http://statbel.fgov.be/fr/modules/publications/statistiques/population/population_-_chiffres_population_2010_-_2012.jsp
http://www.ibz.rrn.fgov.be/fileadmin/user_upload/fr/pop/statistiques/stat-2-1_f.pdf</t>
        </r>
      </text>
    </comment>
    <comment ref="AZ20" authorId="2" shapeId="0">
      <text>
        <r>
          <rPr>
            <b/>
            <sz val="9"/>
            <color indexed="81"/>
            <rFont val="Tahoma"/>
            <family val="2"/>
          </rPr>
          <t>Huan Zhang:</t>
        </r>
        <r>
          <rPr>
            <sz val="9"/>
            <color indexed="81"/>
            <rFont val="Tahoma"/>
            <family val="2"/>
          </rPr>
          <t xml:space="preserve">
Registration initiated in 1980</t>
        </r>
      </text>
    </comment>
    <comment ref="K21" authorId="0" shapeId="0">
      <text>
        <r>
          <rPr>
            <b/>
            <sz val="9"/>
            <color indexed="81"/>
            <rFont val="Tahoma"/>
            <family val="2"/>
          </rPr>
          <t>Cem Dener:</t>
        </r>
        <r>
          <rPr>
            <sz val="9"/>
            <color indexed="81"/>
            <rFont val="Tahoma"/>
            <family val="2"/>
          </rPr>
          <t xml:space="preserve">
Initiated in 1933:
http://www.cdc.gov/nchs/data/isp/016_Methods_And_Problems_of_Civil_Registration_Practices_and_Vital_Stat_Collection_in_Africa.pdf</t>
        </r>
      </text>
    </comment>
    <comment ref="AL21" authorId="0" shapeId="0">
      <text>
        <r>
          <rPr>
            <b/>
            <sz val="9"/>
            <color indexed="81"/>
            <rFont val="Tahoma"/>
            <family val="2"/>
          </rPr>
          <t>Cem Dener:</t>
        </r>
        <r>
          <rPr>
            <sz val="9"/>
            <color indexed="81"/>
            <rFont val="Tahoma"/>
            <family val="2"/>
          </rPr>
          <t xml:space="preserve">
Biometric voter ID cards</t>
        </r>
      </text>
    </comment>
    <comment ref="AM21" authorId="0" shapeId="0">
      <text>
        <r>
          <rPr>
            <b/>
            <sz val="9"/>
            <color indexed="81"/>
            <rFont val="Tahoma"/>
            <family val="2"/>
          </rPr>
          <t>Cem Dener:</t>
        </r>
        <r>
          <rPr>
            <sz val="9"/>
            <color indexed="81"/>
            <rFont val="Tahoma"/>
            <family val="2"/>
          </rPr>
          <t xml:space="preserve">
GEMALTO &gt; Voter identification
https://www.hidglobal.com/sites/hidglobal.com/files/resource_files/reid_understanding_enrollment.pdf
ECOWAS
http://news.ecowas.int/presseshow.php?nb=240&amp;lang=en&amp;annee=2014</t>
        </r>
      </text>
    </comment>
    <comment ref="AZ21" authorId="0" shapeId="0">
      <text>
        <r>
          <rPr>
            <b/>
            <sz val="9"/>
            <color indexed="81"/>
            <rFont val="Tahoma"/>
            <family val="2"/>
          </rPr>
          <t>Cem Dener:</t>
        </r>
        <r>
          <rPr>
            <sz val="9"/>
            <color indexed="81"/>
            <rFont val="Tahoma"/>
            <family val="2"/>
          </rPr>
          <t xml:space="preserve">
Company Registration is not automated yet</t>
        </r>
      </text>
    </comment>
    <comment ref="H22" authorId="0" shapeId="0">
      <text>
        <r>
          <rPr>
            <b/>
            <sz val="9"/>
            <color indexed="81"/>
            <rFont val="Tahoma"/>
            <family val="2"/>
          </rPr>
          <t>Cem Dener:</t>
        </r>
        <r>
          <rPr>
            <sz val="9"/>
            <color indexed="81"/>
            <rFont val="Tahoma"/>
            <family val="2"/>
          </rPr>
          <t xml:space="preserve">
http://www.citizenservices.gov.bt/web/guest/birth-registration</t>
        </r>
      </text>
    </comment>
    <comment ref="AM22" authorId="0" shapeId="0">
      <text>
        <r>
          <rPr>
            <b/>
            <sz val="9"/>
            <color indexed="81"/>
            <rFont val="Tahoma"/>
            <family val="2"/>
          </rPr>
          <t>Cem Dener:</t>
        </r>
        <r>
          <rPr>
            <sz val="9"/>
            <color indexed="81"/>
            <rFont val="Tahoma"/>
            <family val="2"/>
          </rPr>
          <t xml:space="preserve">
http://www.iris.com.my/Trusted_ID/projects.html </t>
        </r>
      </text>
    </comment>
    <comment ref="AZ22" authorId="0" shapeId="0">
      <text>
        <r>
          <rPr>
            <b/>
            <sz val="9"/>
            <color indexed="81"/>
            <rFont val="Tahoma"/>
            <family val="2"/>
          </rPr>
          <t>Cem Dener:</t>
        </r>
        <r>
          <rPr>
            <sz val="9"/>
            <color indexed="81"/>
            <rFont val="Tahoma"/>
            <family val="2"/>
          </rPr>
          <t xml:space="preserve">
Company Registration is not automated yet</t>
        </r>
      </text>
    </comment>
    <comment ref="C23" authorId="0" shapeId="0">
      <text>
        <r>
          <rPr>
            <b/>
            <sz val="9"/>
            <color indexed="81"/>
            <rFont val="Tahoma"/>
            <family val="2"/>
          </rPr>
          <t>Cem Dener:</t>
        </r>
        <r>
          <rPr>
            <sz val="9"/>
            <color indexed="81"/>
            <rFont val="Tahoma"/>
            <family val="2"/>
          </rPr>
          <t xml:space="preserve">
Plurinational State of Bolivia</t>
        </r>
      </text>
    </comment>
    <comment ref="N23" authorId="0" shapeId="0">
      <text>
        <r>
          <rPr>
            <b/>
            <sz val="9"/>
            <color indexed="81"/>
            <rFont val="Tahoma"/>
            <family val="2"/>
          </rPr>
          <t>Cem Dener:</t>
        </r>
        <r>
          <rPr>
            <sz val="9"/>
            <color indexed="81"/>
            <rFont val="Tahoma"/>
            <family val="2"/>
          </rPr>
          <t xml:space="preserve">
El costo de inscripción solo se hace efective para los mayores de 18 años </t>
        </r>
      </text>
    </comment>
    <comment ref="AD23" authorId="5" shapeId="0">
      <text>
        <r>
          <rPr>
            <b/>
            <sz val="9"/>
            <color indexed="81"/>
            <rFont val="Tahoma"/>
            <family val="2"/>
          </rPr>
          <t>Sophiko Skhirtladze:</t>
        </r>
        <r>
          <rPr>
            <sz val="9"/>
            <color indexed="81"/>
            <rFont val="Tahoma"/>
            <family val="2"/>
          </rPr>
          <t xml:space="preserve">
http://elchacoinforma.com/segip-reporta-cedulas-de-identidad-duplicadas/</t>
        </r>
      </text>
    </comment>
    <comment ref="AL23" authorId="0" shapeId="0">
      <text>
        <r>
          <rPr>
            <b/>
            <sz val="9"/>
            <color indexed="81"/>
            <rFont val="Tahoma"/>
            <family val="2"/>
          </rPr>
          <t>Cem Dener:</t>
        </r>
        <r>
          <rPr>
            <sz val="9"/>
            <color indexed="81"/>
            <rFont val="Tahoma"/>
            <family val="2"/>
          </rPr>
          <t xml:space="preserve">
Unknown</t>
        </r>
      </text>
    </comment>
    <comment ref="AM23" authorId="0" shapeId="0">
      <text>
        <r>
          <rPr>
            <b/>
            <sz val="9"/>
            <color indexed="81"/>
            <rFont val="Tahoma"/>
            <family val="2"/>
          </rPr>
          <t>Cem Dener:</t>
        </r>
        <r>
          <rPr>
            <sz val="9"/>
            <color indexed="81"/>
            <rFont val="Tahoma"/>
            <family val="2"/>
          </rPr>
          <t xml:space="preserve">
http://dialogo-americas.com/en_GB/articles/saii/features/main/2012/04/04/feature-01</t>
        </r>
      </text>
    </comment>
    <comment ref="AZ23" authorId="2" shapeId="0">
      <text>
        <r>
          <rPr>
            <b/>
            <sz val="9"/>
            <color indexed="81"/>
            <rFont val="Tahoma"/>
            <family val="2"/>
          </rPr>
          <t>Huan Zhang:</t>
        </r>
        <r>
          <rPr>
            <sz val="9"/>
            <color indexed="81"/>
            <rFont val="Tahoma"/>
            <family val="2"/>
          </rPr>
          <t xml:space="preserve">
Registration initiated in 1977</t>
        </r>
      </text>
    </comment>
    <comment ref="CN23" authorId="7" shapeId="0">
      <text>
        <r>
          <rPr>
            <b/>
            <sz val="9"/>
            <color indexed="81"/>
            <rFont val="Tahoma"/>
            <family val="2"/>
          </rPr>
          <t>Lucia C. Hanmer:</t>
        </r>
        <r>
          <rPr>
            <sz val="9"/>
            <color indexed="81"/>
            <rFont val="Tahoma"/>
            <family val="2"/>
          </rPr>
          <t xml:space="preserve">
10,191 &gt; Number of ID cards issued since 7/4/2011
6 per cent of population reported undocumented 1/16/16
</t>
        </r>
      </text>
    </comment>
    <comment ref="CS23" authorId="0" shapeId="0">
      <text>
        <r>
          <rPr>
            <b/>
            <sz val="9"/>
            <color indexed="81"/>
            <rFont val="Tahoma"/>
            <family val="2"/>
          </rPr>
          <t>Cem Dener:</t>
        </r>
        <r>
          <rPr>
            <sz val="9"/>
            <color indexed="81"/>
            <rFont val="Tahoma"/>
            <family val="2"/>
          </rPr>
          <t xml:space="preserve">
https://www.segip.gob.bo/index.php/noticias/1092-nuestro-objetivo-para-el-2020-es-llegar-a-un-pais-libre-de-indocumentados</t>
        </r>
      </text>
    </comment>
    <comment ref="Z24" authorId="0" shapeId="0">
      <text>
        <r>
          <rPr>
            <b/>
            <sz val="9"/>
            <color indexed="81"/>
            <rFont val="Tahoma"/>
            <family val="2"/>
          </rPr>
          <t>Cem Dener:</t>
        </r>
        <r>
          <rPr>
            <sz val="9"/>
            <color indexed="81"/>
            <rFont val="Tahoma"/>
            <family val="2"/>
          </rPr>
          <t xml:space="preserve">
http://en.wikipedia.org/wiki/Unique_Master_Citizen_Number</t>
        </r>
      </text>
    </comment>
    <comment ref="AD24" authorId="5" shapeId="0">
      <text>
        <r>
          <rPr>
            <b/>
            <sz val="9"/>
            <color indexed="81"/>
            <rFont val="Tahoma"/>
            <family val="2"/>
          </rPr>
          <t>Sophiko Skhirtladze:</t>
        </r>
        <r>
          <rPr>
            <sz val="9"/>
            <color indexed="81"/>
            <rFont val="Tahoma"/>
            <family val="2"/>
          </rPr>
          <t xml:space="preserve">
http://www.slobodnaevropa.org/content/nove-biometrijske-licne-karte-u-bih/24910936.html</t>
        </r>
      </text>
    </comment>
    <comment ref="CU24" authorId="0" shapeId="0">
      <text>
        <r>
          <rPr>
            <b/>
            <sz val="9"/>
            <color indexed="81"/>
            <rFont val="Tahoma"/>
            <family val="2"/>
          </rPr>
          <t>Cem Dener:</t>
        </r>
        <r>
          <rPr>
            <sz val="9"/>
            <color indexed="81"/>
            <rFont val="Tahoma"/>
            <family val="2"/>
          </rPr>
          <t xml:space="preserve">
16 if employed</t>
        </r>
      </text>
    </comment>
    <comment ref="K25" authorId="0" shapeId="0">
      <text>
        <r>
          <rPr>
            <b/>
            <sz val="9"/>
            <color indexed="81"/>
            <rFont val="Tahoma"/>
            <family val="2"/>
          </rPr>
          <t>Cem Dener:</t>
        </r>
        <r>
          <rPr>
            <sz val="9"/>
            <color indexed="81"/>
            <rFont val="Tahoma"/>
            <family val="2"/>
          </rPr>
          <t xml:space="preserve">
Initiated in 1939:
http://www.cdc.gov/nchs/data/isp/016_Methods_And_Problems_of_Civil_Registration_Practices_and_Vital_Stat_Collection_in_Africa.pdf</t>
        </r>
      </text>
    </comment>
    <comment ref="AD25" authorId="5" shapeId="0">
      <text>
        <r>
          <rPr>
            <b/>
            <sz val="9"/>
            <color indexed="81"/>
            <rFont val="Tahoma"/>
            <family val="2"/>
          </rPr>
          <t>Sophiko Skhirtladze:</t>
        </r>
        <r>
          <rPr>
            <sz val="9"/>
            <color indexed="81"/>
            <rFont val="Tahoma"/>
            <family val="2"/>
          </rPr>
          <t xml:space="preserve">
http://www.itwebafrica.com/ict-and-governance/361-botswana/230600-botswana-electronic-id-cards-planned-for-2016</t>
        </r>
      </text>
    </comment>
    <comment ref="AE25" authorId="0" shapeId="0">
      <text>
        <r>
          <rPr>
            <b/>
            <sz val="9"/>
            <color indexed="81"/>
            <rFont val="Tahoma"/>
            <family val="2"/>
          </rPr>
          <t>Cem Dener:</t>
        </r>
        <r>
          <rPr>
            <sz val="9"/>
            <color indexed="81"/>
            <rFont val="Tahoma"/>
            <family val="2"/>
          </rPr>
          <t xml:space="preserve">
New e-ID with biometrics will be introduced starting fm 2016.</t>
        </r>
      </text>
    </comment>
    <comment ref="AL25" authorId="0" shapeId="0">
      <text>
        <r>
          <rPr>
            <b/>
            <sz val="9"/>
            <color indexed="81"/>
            <rFont val="Tahoma"/>
            <family val="2"/>
          </rPr>
          <t>Cem Dener:</t>
        </r>
        <r>
          <rPr>
            <sz val="9"/>
            <color indexed="81"/>
            <rFont val="Tahoma"/>
            <family val="2"/>
          </rPr>
          <t xml:space="preserve">
NIP</t>
        </r>
      </text>
    </comment>
    <comment ref="AM25" authorId="0" shapeId="0">
      <text>
        <r>
          <rPr>
            <b/>
            <sz val="9"/>
            <color indexed="81"/>
            <rFont val="Tahoma"/>
            <family val="2"/>
          </rPr>
          <t>Cem Dener:</t>
        </r>
        <r>
          <rPr>
            <sz val="9"/>
            <color indexed="81"/>
            <rFont val="Tahoma"/>
            <family val="2"/>
          </rPr>
          <t xml:space="preserve">
http://www.face.co.za/downloads/National%20ID.pdf</t>
        </r>
      </text>
    </comment>
    <comment ref="AZ25" authorId="2" shapeId="0">
      <text>
        <r>
          <rPr>
            <b/>
            <sz val="9"/>
            <color indexed="81"/>
            <rFont val="Tahoma"/>
            <family val="2"/>
          </rPr>
          <t>Huan Zhang:</t>
        </r>
        <r>
          <rPr>
            <sz val="9"/>
            <color indexed="81"/>
            <rFont val="Tahoma"/>
            <family val="2"/>
          </rPr>
          <t xml:space="preserve">
Registration initiated in 1995
</t>
        </r>
      </text>
    </comment>
    <comment ref="HU25" authorId="0" shapeId="0">
      <text>
        <r>
          <rPr>
            <b/>
            <sz val="9"/>
            <color indexed="81"/>
            <rFont val="Tahoma"/>
            <family val="2"/>
          </rPr>
          <t>Cem Dener:</t>
        </r>
        <r>
          <rPr>
            <sz val="9"/>
            <color indexed="81"/>
            <rFont val="Tahoma"/>
            <family val="2"/>
          </rPr>
          <t xml:space="preserve">
While Article 12 of the Constitution of Botswana of 1966 protects freedom of expression and encompasses the “freedom to receive ideas and information without interference”, Botswana does not currently have a legislation implementing RTI.</t>
        </r>
      </text>
    </comment>
    <comment ref="HV25" authorId="3" shapeId="0">
      <text>
        <r>
          <rPr>
            <b/>
            <sz val="9"/>
            <color indexed="81"/>
            <rFont val="Tahoma"/>
            <family val="2"/>
          </rPr>
          <t>Irenezh1016:</t>
        </r>
        <r>
          <rPr>
            <sz val="9"/>
            <color indexed="81"/>
            <rFont val="Tahoma"/>
            <family val="2"/>
          </rPr>
          <t xml:space="preserve">
Section 12 of the Constitution includes the freedom to receive and communicate ideas and information without interference as part of the right to freedom of expression.</t>
        </r>
      </text>
    </comment>
    <comment ref="H26" authorId="0" shapeId="0">
      <text>
        <r>
          <rPr>
            <b/>
            <sz val="9"/>
            <color indexed="81"/>
            <rFont val="Tahoma"/>
            <family val="2"/>
          </rPr>
          <t>Cem Dener:</t>
        </r>
        <r>
          <rPr>
            <sz val="9"/>
            <color indexed="81"/>
            <rFont val="Tahoma"/>
            <family val="2"/>
          </rPr>
          <t xml:space="preserve">
http://www.ibge.gov.br</t>
        </r>
      </text>
    </comment>
    <comment ref="I26" authorId="0" shapeId="0">
      <text>
        <r>
          <rPr>
            <b/>
            <sz val="9"/>
            <color indexed="81"/>
            <rFont val="Tahoma"/>
            <family val="2"/>
          </rPr>
          <t>Cem Dener:</t>
        </r>
        <r>
          <rPr>
            <sz val="9"/>
            <color indexed="81"/>
            <rFont val="Tahoma"/>
            <family val="2"/>
          </rPr>
          <t xml:space="preserve">
Instituto Brasileiro de
Geografía e Estadística (IBGE)</t>
        </r>
      </text>
    </comment>
    <comment ref="O26" authorId="0" shapeId="0">
      <text>
        <r>
          <rPr>
            <b/>
            <sz val="9"/>
            <color indexed="81"/>
            <rFont val="Tahoma"/>
            <family val="2"/>
          </rPr>
          <t>Cem Dener:</t>
        </r>
        <r>
          <rPr>
            <sz val="9"/>
            <color indexed="81"/>
            <rFont val="Tahoma"/>
            <family val="2"/>
          </rPr>
          <t xml:space="preserve">
http://www.loc.gov/lawweb/servlet/lloc_news?disp3_l205402458_text</t>
        </r>
      </text>
    </comment>
    <comment ref="R26" authorId="0" shapeId="0">
      <text>
        <r>
          <rPr>
            <b/>
            <sz val="9"/>
            <color indexed="81"/>
            <rFont val="Tahoma"/>
            <family val="2"/>
          </rPr>
          <t>Cem Dener:</t>
        </r>
        <r>
          <rPr>
            <sz val="9"/>
            <color indexed="81"/>
            <rFont val="Tahoma"/>
            <family val="2"/>
          </rPr>
          <t xml:space="preserve">
A new eID system was launched in July 2008, to be completed by 2017</t>
        </r>
      </text>
    </comment>
    <comment ref="AE26" authorId="0" shapeId="0">
      <text>
        <r>
          <rPr>
            <b/>
            <sz val="9"/>
            <color indexed="81"/>
            <rFont val="Tahoma"/>
            <family val="2"/>
          </rPr>
          <t>Cem Dener:</t>
        </r>
        <r>
          <rPr>
            <sz val="9"/>
            <color indexed="81"/>
            <rFont val="Tahoma"/>
            <family val="2"/>
          </rPr>
          <t xml:space="preserve">
2011: New Generation Smart Cards- called the Civil Identity Registry (Registro de Identidade Civil – RIC) with enhanced security features for biometric data of 
fingerprints and facial data launched and expected to replace all existing cards by 2019 
</t>
        </r>
      </text>
    </comment>
    <comment ref="AM26" authorId="0" shapeId="0">
      <text>
        <r>
          <rPr>
            <b/>
            <sz val="9"/>
            <color indexed="81"/>
            <rFont val="Tahoma"/>
            <family val="2"/>
          </rPr>
          <t>Cem Dener:</t>
        </r>
        <r>
          <rPr>
            <sz val="9"/>
            <color indexed="81"/>
            <rFont val="Tahoma"/>
            <family val="2"/>
          </rPr>
          <t xml:space="preserve">
https://www.gi-de.com/en/about_g_d/press/press_releases/global_press_release_19648.jsp</t>
        </r>
      </text>
    </comment>
    <comment ref="AY26" authorId="2" shapeId="0">
      <text>
        <r>
          <rPr>
            <b/>
            <sz val="9"/>
            <color indexed="81"/>
            <rFont val="Tahoma"/>
            <family val="2"/>
          </rPr>
          <t>Huan Zhang:</t>
        </r>
        <r>
          <rPr>
            <sz val="9"/>
            <color indexed="81"/>
            <rFont val="Tahoma"/>
            <family val="2"/>
          </rPr>
          <t xml:space="preserve">
http://thebrazilbusiness.com/article/company-register-in-brazil</t>
        </r>
      </text>
    </comment>
    <comment ref="AZ26" authorId="2" shapeId="0">
      <text>
        <r>
          <rPr>
            <b/>
            <sz val="9"/>
            <color indexed="81"/>
            <rFont val="Tahoma"/>
            <family val="2"/>
          </rPr>
          <t>Huan Zhang:</t>
        </r>
        <r>
          <rPr>
            <sz val="9"/>
            <color indexed="81"/>
            <rFont val="Tahoma"/>
            <family val="2"/>
          </rPr>
          <t xml:space="preserve">
Registration initiated in 1998</t>
        </r>
      </text>
    </comment>
    <comment ref="CH26" authorId="0" shapeId="0">
      <text>
        <r>
          <rPr>
            <b/>
            <sz val="9"/>
            <color indexed="81"/>
            <rFont val="Tahoma"/>
            <family val="2"/>
          </rPr>
          <t>Cem Dener:</t>
        </r>
        <r>
          <rPr>
            <sz val="9"/>
            <color indexed="81"/>
            <rFont val="Tahoma"/>
            <family val="2"/>
          </rPr>
          <t xml:space="preserve">
No data.
Estimated BR rate</t>
        </r>
      </text>
    </comment>
    <comment ref="CI26" authorId="0" shapeId="0">
      <text>
        <r>
          <rPr>
            <b/>
            <sz val="9"/>
            <color indexed="81"/>
            <rFont val="Tahoma"/>
            <family val="2"/>
          </rPr>
          <t>Cem Dener:</t>
        </r>
        <r>
          <rPr>
            <sz val="9"/>
            <color indexed="81"/>
            <rFont val="Tahoma"/>
            <family val="2"/>
          </rPr>
          <t xml:space="preserve">
No data.
Estimated BR rate</t>
        </r>
      </text>
    </comment>
    <comment ref="CU26" authorId="0" shapeId="0">
      <text>
        <r>
          <rPr>
            <b/>
            <sz val="9"/>
            <color indexed="81"/>
            <rFont val="Tahoma"/>
            <family val="2"/>
          </rPr>
          <t>Cem Dener:</t>
        </r>
        <r>
          <rPr>
            <sz val="9"/>
            <color indexed="81"/>
            <rFont val="Tahoma"/>
            <family val="2"/>
          </rPr>
          <t xml:space="preserve">
18 to 70 compulsory, 16 to under 18 AND over 70 optional. Voting is also optional to all illiterate citizens older than 16</t>
        </r>
      </text>
    </comment>
    <comment ref="M27" authorId="0" shapeId="0">
      <text>
        <r>
          <rPr>
            <b/>
            <sz val="9"/>
            <color indexed="81"/>
            <rFont val="Tahoma"/>
            <family val="2"/>
          </rPr>
          <t>Cem Dener:</t>
        </r>
        <r>
          <rPr>
            <sz val="9"/>
            <color indexed="81"/>
            <rFont val="Tahoma"/>
            <family val="2"/>
          </rPr>
          <t xml:space="preserve">
&lt; 14 d regular
14 - 42 d registration pending
&gt; 43 d late registration</t>
        </r>
      </text>
    </comment>
    <comment ref="AG27" authorId="2" shapeId="0">
      <text>
        <r>
          <rPr>
            <b/>
            <sz val="9"/>
            <color indexed="81"/>
            <rFont val="Tahoma"/>
            <family val="2"/>
          </rPr>
          <t>Huan Zhang:</t>
        </r>
        <r>
          <rPr>
            <sz val="9"/>
            <color indexed="81"/>
            <rFont val="Tahoma"/>
            <family val="2"/>
          </rPr>
          <t xml:space="preserve">
http://www.legco.gov.hk/yr01-02/english/bc/bc56/papers/bc561004cb2-2836-2e.pdf</t>
        </r>
      </text>
    </comment>
    <comment ref="AL27" authorId="0" shapeId="0">
      <text>
        <r>
          <rPr>
            <b/>
            <sz val="9"/>
            <color indexed="81"/>
            <rFont val="Tahoma"/>
            <family val="2"/>
          </rPr>
          <t>Cem Dener:</t>
        </r>
        <r>
          <rPr>
            <sz val="9"/>
            <color indexed="81"/>
            <rFont val="Tahoma"/>
            <family val="2"/>
          </rPr>
          <t xml:space="preserve">
Unknown</t>
        </r>
      </text>
    </comment>
    <comment ref="AZ27" authorId="2" shapeId="0">
      <text>
        <r>
          <rPr>
            <b/>
            <sz val="9"/>
            <color indexed="81"/>
            <rFont val="Tahoma"/>
            <family val="2"/>
          </rPr>
          <t>Huan Zhang:</t>
        </r>
        <r>
          <rPr>
            <sz val="9"/>
            <color indexed="81"/>
            <rFont val="Tahoma"/>
            <family val="2"/>
          </rPr>
          <t xml:space="preserve">
Registration initiated in 2001</t>
        </r>
      </text>
    </comment>
    <comment ref="CG27" authorId="0" shapeId="0">
      <text>
        <r>
          <rPr>
            <b/>
            <sz val="9"/>
            <color indexed="81"/>
            <rFont val="Tahoma"/>
            <family val="2"/>
          </rPr>
          <t>Cem Dener:</t>
        </r>
        <r>
          <rPr>
            <sz val="9"/>
            <color indexed="81"/>
            <rFont val="Tahoma"/>
            <family val="2"/>
          </rPr>
          <t xml:space="preserve">
No data.
Estimated BR rate</t>
        </r>
      </text>
    </comment>
    <comment ref="CH27" authorId="0" shapeId="0">
      <text>
        <r>
          <rPr>
            <b/>
            <sz val="9"/>
            <color indexed="81"/>
            <rFont val="Tahoma"/>
            <family val="2"/>
          </rPr>
          <t>Cem Dener:</t>
        </r>
        <r>
          <rPr>
            <sz val="9"/>
            <color indexed="81"/>
            <rFont val="Tahoma"/>
            <family val="2"/>
          </rPr>
          <t xml:space="preserve">
No data.
Estimated BR rate</t>
        </r>
      </text>
    </comment>
    <comment ref="CI27" authorId="0" shapeId="0">
      <text>
        <r>
          <rPr>
            <b/>
            <sz val="9"/>
            <color indexed="81"/>
            <rFont val="Tahoma"/>
            <family val="2"/>
          </rPr>
          <t>Cem Dener:</t>
        </r>
        <r>
          <rPr>
            <sz val="9"/>
            <color indexed="81"/>
            <rFont val="Tahoma"/>
            <family val="2"/>
          </rPr>
          <t xml:space="preserve">
No data.
Estimated BR rate</t>
        </r>
      </text>
    </comment>
    <comment ref="Z28" authorId="0" shapeId="0">
      <text>
        <r>
          <rPr>
            <b/>
            <sz val="9"/>
            <color indexed="81"/>
            <rFont val="Tahoma"/>
            <family val="2"/>
          </rPr>
          <t>Cem Dener:</t>
        </r>
        <r>
          <rPr>
            <sz val="9"/>
            <color indexed="81"/>
            <rFont val="Tahoma"/>
            <family val="2"/>
          </rPr>
          <t xml:space="preserve">
http://en.wikipedia.org/wiki/Uniform_civil_number</t>
        </r>
      </text>
    </comment>
    <comment ref="AD28" authorId="5" shapeId="0">
      <text>
        <r>
          <rPr>
            <b/>
            <sz val="9"/>
            <color indexed="81"/>
            <rFont val="Tahoma"/>
            <family val="2"/>
          </rPr>
          <t>Sophiko Skhirtladze:</t>
        </r>
        <r>
          <rPr>
            <sz val="9"/>
            <color indexed="81"/>
            <rFont val="Tahoma"/>
            <family val="2"/>
          </rPr>
          <t xml:space="preserve">
Not used as an Identity Card</t>
        </r>
      </text>
    </comment>
    <comment ref="AZ28" authorId="2" shapeId="0">
      <text>
        <r>
          <rPr>
            <b/>
            <sz val="9"/>
            <color indexed="81"/>
            <rFont val="Tahoma"/>
            <family val="2"/>
          </rPr>
          <t>Huan Zhang:</t>
        </r>
        <r>
          <rPr>
            <sz val="9"/>
            <color indexed="81"/>
            <rFont val="Tahoma"/>
            <family val="2"/>
          </rPr>
          <t xml:space="preserve">
Registration initiated in 1991</t>
        </r>
      </text>
    </comment>
    <comment ref="H29" authorId="0" shapeId="0">
      <text>
        <r>
          <rPr>
            <b/>
            <sz val="9"/>
            <color indexed="81"/>
            <rFont val="Tahoma"/>
            <family val="2"/>
          </rPr>
          <t>Cem Dener:</t>
        </r>
        <r>
          <rPr>
            <sz val="9"/>
            <color indexed="81"/>
            <rFont val="Tahoma"/>
            <family val="2"/>
          </rPr>
          <t xml:space="preserve">
http://www.matd.gov.bf
</t>
        </r>
      </text>
    </comment>
    <comment ref="O29" authorId="4" shapeId="0">
      <text>
        <r>
          <rPr>
            <b/>
            <sz val="9"/>
            <color indexed="81"/>
            <rFont val="Tahoma"/>
            <family val="2"/>
          </rPr>
          <t>Yarın Kıroğlu:</t>
        </r>
        <r>
          <rPr>
            <sz val="9"/>
            <color indexed="81"/>
            <rFont val="Tahoma"/>
            <family val="2"/>
          </rPr>
          <t xml:space="preserve">
http://dialogueuroafricainmd.net/web/uploads/activity/civil_registry/newsletter/Burkina_Faso_EN.pdf</t>
        </r>
      </text>
    </comment>
    <comment ref="AS29" authorId="0" shapeId="0">
      <text>
        <r>
          <rPr>
            <b/>
            <sz val="9"/>
            <color indexed="81"/>
            <rFont val="Tahoma"/>
            <family val="2"/>
          </rPr>
          <t>Cem Dener:</t>
        </r>
        <r>
          <rPr>
            <sz val="9"/>
            <color indexed="81"/>
            <rFont val="Tahoma"/>
            <family val="2"/>
          </rPr>
          <t xml:space="preserve">
e-Passport implementation initiated in 2014
http://www.oni.bf/node/81</t>
        </r>
      </text>
    </comment>
    <comment ref="AZ29" authorId="2" shapeId="0">
      <text>
        <r>
          <rPr>
            <b/>
            <sz val="9"/>
            <color indexed="81"/>
            <rFont val="Tahoma"/>
            <family val="2"/>
          </rPr>
          <t>Huan Zhang:</t>
        </r>
        <r>
          <rPr>
            <sz val="9"/>
            <color indexed="81"/>
            <rFont val="Tahoma"/>
            <family val="2"/>
          </rPr>
          <t xml:space="preserve">
Registration initiated in 2005</t>
        </r>
      </text>
    </comment>
    <comment ref="K30" authorId="0" shapeId="0">
      <text>
        <r>
          <rPr>
            <b/>
            <sz val="9"/>
            <color indexed="81"/>
            <rFont val="Tahoma"/>
            <family val="2"/>
          </rPr>
          <t>Cem Dener:</t>
        </r>
        <r>
          <rPr>
            <sz val="9"/>
            <color indexed="81"/>
            <rFont val="Tahoma"/>
            <family val="2"/>
          </rPr>
          <t xml:space="preserve">
Initiated in 1922:
http://www.cdc.gov/nchs/data/isp/016_Methods_And_Problems_of_Civil_Registration_Practices_and_Vital_Stat_Collection_in_Africa.pdf</t>
        </r>
      </text>
    </comment>
    <comment ref="N30" authorId="0" shapeId="0">
      <text>
        <r>
          <rPr>
            <b/>
            <sz val="9"/>
            <color indexed="81"/>
            <rFont val="Tahoma"/>
            <family val="2"/>
          </rPr>
          <t>Cem Dener:</t>
        </r>
        <r>
          <rPr>
            <sz val="9"/>
            <color indexed="81"/>
            <rFont val="Tahoma"/>
            <family val="2"/>
          </rPr>
          <t xml:space="preserve">
Free for 14 d after birth.
30,000 Francs after two weeks.</t>
        </r>
      </text>
    </comment>
    <comment ref="AL30" authorId="0" shapeId="0">
      <text>
        <r>
          <rPr>
            <b/>
            <sz val="9"/>
            <color indexed="81"/>
            <rFont val="Tahoma"/>
            <family val="2"/>
          </rPr>
          <t>Cem Dener:</t>
        </r>
        <r>
          <rPr>
            <sz val="9"/>
            <color indexed="81"/>
            <rFont val="Tahoma"/>
            <family val="2"/>
          </rPr>
          <t xml:space="preserve">
Shanghai Gongsi-The Third Research Institute of the Ministry of Public Security of China</t>
        </r>
      </text>
    </comment>
    <comment ref="AM30" authorId="0" shapeId="0">
      <text>
        <r>
          <rPr>
            <b/>
            <sz val="9"/>
            <color indexed="81"/>
            <rFont val="Tahoma"/>
            <family val="2"/>
          </rPr>
          <t>Cem Dener:</t>
        </r>
        <r>
          <rPr>
            <sz val="9"/>
            <color indexed="81"/>
            <rFont val="Tahoma"/>
            <family val="2"/>
          </rPr>
          <t xml:space="preserve">
http://news.ecowas.int/presseshow.php?nb=240&amp;lang=en&amp;annee=2014</t>
        </r>
      </text>
    </comment>
    <comment ref="N31" authorId="0" shapeId="0">
      <text>
        <r>
          <rPr>
            <b/>
            <sz val="9"/>
            <color indexed="81"/>
            <rFont val="Tahoma"/>
            <family val="2"/>
          </rPr>
          <t>Cem Dener:</t>
        </r>
        <r>
          <rPr>
            <sz val="9"/>
            <color indexed="81"/>
            <rFont val="Tahoma"/>
            <family val="2"/>
          </rPr>
          <t xml:space="preserve">
Free witin 30 d.
Late reg: 4000 Riel ($ 1)</t>
        </r>
      </text>
    </comment>
    <comment ref="W31" authorId="4" shapeId="0">
      <text>
        <r>
          <rPr>
            <b/>
            <sz val="9"/>
            <color indexed="81"/>
            <rFont val="Tahoma"/>
            <family val="2"/>
          </rPr>
          <t>Yarın Kıroğlu:</t>
        </r>
        <r>
          <rPr>
            <sz val="9"/>
            <color indexed="81"/>
            <rFont val="Tahoma"/>
            <family val="2"/>
          </rPr>
          <t xml:space="preserve">
10,000-20,000 riel</t>
        </r>
      </text>
    </comment>
    <comment ref="AG31" authorId="0" shapeId="0">
      <text>
        <r>
          <rPr>
            <b/>
            <sz val="9"/>
            <color indexed="81"/>
            <rFont val="Tahoma"/>
            <family val="2"/>
          </rPr>
          <t>Cem Dener:</t>
        </r>
        <r>
          <rPr>
            <sz val="9"/>
            <color indexed="81"/>
            <rFont val="Tahoma"/>
            <family val="2"/>
          </rPr>
          <t xml:space="preserve">
http://www.biometricupdate.com/201312/cambodia-introducing-eids</t>
        </r>
      </text>
    </comment>
    <comment ref="AL31" authorId="0" shapeId="0">
      <text>
        <r>
          <rPr>
            <b/>
            <sz val="9"/>
            <color indexed="81"/>
            <rFont val="Tahoma"/>
            <family val="2"/>
          </rPr>
          <t>Cem Dener:</t>
        </r>
        <r>
          <rPr>
            <sz val="9"/>
            <color indexed="81"/>
            <rFont val="Tahoma"/>
            <family val="2"/>
          </rPr>
          <t xml:space="preserve">
Unknown</t>
        </r>
      </text>
    </comment>
    <comment ref="AZ31" authorId="2" shapeId="0">
      <text>
        <r>
          <rPr>
            <b/>
            <sz val="9"/>
            <color indexed="81"/>
            <rFont val="Tahoma"/>
            <family val="2"/>
          </rPr>
          <t>Huan Zhang:</t>
        </r>
        <r>
          <rPr>
            <sz val="9"/>
            <color indexed="81"/>
            <rFont val="Tahoma"/>
            <family val="2"/>
          </rPr>
          <t xml:space="preserve">
Registration initiated in 1995
http://www.cambodiainvestment.gov.kh/law-on-amendment-to-law-on-the-commercial-regulations-and-commerce-register_991118.html</t>
        </r>
      </text>
    </comment>
    <comment ref="K32" authorId="0" shapeId="0">
      <text>
        <r>
          <rPr>
            <b/>
            <sz val="9"/>
            <color indexed="81"/>
            <rFont val="Tahoma"/>
            <family val="2"/>
          </rPr>
          <t>Cem Dener:</t>
        </r>
        <r>
          <rPr>
            <sz val="9"/>
            <color indexed="81"/>
            <rFont val="Tahoma"/>
            <family val="2"/>
          </rPr>
          <t xml:space="preserve">
Initiated in 1917:
http://www.cdc.gov/nchs/data/isp/016_Methods_And_Problems_of_Civil_Registration_Practices_and_Vital_Stat_Collection_in_Africa.pdf</t>
        </r>
      </text>
    </comment>
    <comment ref="N32" authorId="0" shapeId="0">
      <text>
        <r>
          <rPr>
            <b/>
            <sz val="9"/>
            <color indexed="81"/>
            <rFont val="Tahoma"/>
            <family val="2"/>
          </rPr>
          <t>Cem Dener:</t>
        </r>
        <r>
          <rPr>
            <sz val="9"/>
            <color indexed="81"/>
            <rFont val="Tahoma"/>
            <family val="2"/>
          </rPr>
          <t xml:space="preserve">
Free until 3 m.</t>
        </r>
      </text>
    </comment>
    <comment ref="AM32" authorId="0" shapeId="0">
      <text>
        <r>
          <rPr>
            <b/>
            <sz val="9"/>
            <color indexed="81"/>
            <rFont val="Tahoma"/>
            <family val="2"/>
          </rPr>
          <t>Cem Dener:</t>
        </r>
        <r>
          <rPr>
            <sz val="9"/>
            <color indexed="81"/>
            <rFont val="Tahoma"/>
            <family val="2"/>
          </rPr>
          <t xml:space="preserve">
Voter registration:
http://www.gi-de.com/can/en/index.jsp 
http://www.refworld.org/docid/537337df4.html
</t>
        </r>
      </text>
    </comment>
    <comment ref="AZ32" authorId="2" shapeId="0">
      <text>
        <r>
          <rPr>
            <b/>
            <sz val="9"/>
            <color indexed="81"/>
            <rFont val="Tahoma"/>
            <family val="2"/>
          </rPr>
          <t>Huan Zhang:</t>
        </r>
        <r>
          <rPr>
            <sz val="9"/>
            <color indexed="81"/>
            <rFont val="Tahoma"/>
            <family val="2"/>
          </rPr>
          <t xml:space="preserve">
Registration initiated in 2005</t>
        </r>
      </text>
    </comment>
    <comment ref="CS32" authorId="0" shapeId="0">
      <text>
        <r>
          <rPr>
            <b/>
            <sz val="9"/>
            <color indexed="81"/>
            <rFont val="Tahoma"/>
            <family val="2"/>
          </rPr>
          <t>Cem Dener:</t>
        </r>
        <r>
          <rPr>
            <sz val="9"/>
            <color indexed="81"/>
            <rFont val="Tahoma"/>
            <family val="2"/>
          </rPr>
          <t xml:space="preserve">
http://aceproject.org/ace-en/topics/vr/case-studies/biometric-voter-registration-in-cameroon</t>
        </r>
      </text>
    </comment>
    <comment ref="HU32" authorId="0" shapeId="0">
      <text>
        <r>
          <rPr>
            <b/>
            <sz val="9"/>
            <color indexed="81"/>
            <rFont val="Tahoma"/>
            <family val="2"/>
          </rPr>
          <t>Cem Dener:</t>
        </r>
        <r>
          <rPr>
            <sz val="9"/>
            <color indexed="81"/>
            <rFont val="Tahoma"/>
            <family val="2"/>
          </rPr>
          <t xml:space="preserve">
No RTI Law yet.
http://www.citizens-governance.org/accueil.html</t>
        </r>
      </text>
    </comment>
    <comment ref="HV32" authorId="3" shapeId="0">
      <text>
        <r>
          <rPr>
            <b/>
            <sz val="9"/>
            <color indexed="81"/>
            <rFont val="Tahoma"/>
            <family val="2"/>
          </rPr>
          <t>Irenezh1016:</t>
        </r>
        <r>
          <rPr>
            <sz val="9"/>
            <color indexed="81"/>
            <rFont val="Tahoma"/>
            <family val="2"/>
          </rPr>
          <t xml:space="preserve">
The Constitution endorses the provisions of the Universal Declaration of Human Rights, the UN Charter and the African Charter on Human and People's Rights. As such, Article 19 of the UDHR which recognises the right to receive and impart information as part of the right to freedom of expression applies. </t>
        </r>
      </text>
    </comment>
    <comment ref="H33" authorId="0" shapeId="0">
      <text>
        <r>
          <rPr>
            <b/>
            <sz val="9"/>
            <color indexed="81"/>
            <rFont val="Tahoma"/>
            <family val="2"/>
          </rPr>
          <t>Cem Dener:</t>
        </r>
        <r>
          <rPr>
            <sz val="9"/>
            <color indexed="81"/>
            <rFont val="Tahoma"/>
            <family val="2"/>
          </rPr>
          <t xml:space="preserve">
http://www.servicebc.gov.bc.ca/locations/
</t>
        </r>
      </text>
    </comment>
    <comment ref="R33" authorId="0" shapeId="0">
      <text>
        <r>
          <rPr>
            <b/>
            <sz val="9"/>
            <color indexed="81"/>
            <rFont val="Tahoma"/>
            <family val="2"/>
          </rPr>
          <t>Cem Dener:</t>
        </r>
        <r>
          <rPr>
            <sz val="9"/>
            <color indexed="81"/>
            <rFont val="Tahoma"/>
            <family val="2"/>
          </rPr>
          <t xml:space="preserve">
2012: Canadian Citizenship Cards discontonued</t>
        </r>
      </text>
    </comment>
    <comment ref="S33" authorId="0" shapeId="0">
      <text>
        <r>
          <rPr>
            <b/>
            <sz val="9"/>
            <color indexed="81"/>
            <rFont val="Tahoma"/>
            <family val="2"/>
          </rPr>
          <t>Cem Dener:</t>
        </r>
        <r>
          <rPr>
            <sz val="9"/>
            <color indexed="81"/>
            <rFont val="Tahoma"/>
            <family val="2"/>
          </rPr>
          <t xml:space="preserve">
Canada Permanent Resident Card</t>
        </r>
      </text>
    </comment>
    <comment ref="AE33" authorId="0" shapeId="0">
      <text>
        <r>
          <rPr>
            <b/>
            <sz val="9"/>
            <color indexed="81"/>
            <rFont val="Tahoma"/>
            <family val="2"/>
          </rPr>
          <t>Cem Dener:</t>
        </r>
        <r>
          <rPr>
            <sz val="9"/>
            <color indexed="81"/>
            <rFont val="Tahoma"/>
            <family val="2"/>
          </rPr>
          <t xml:space="preserve">
2011:  Fingerprints-based immigration and border entry system launched</t>
        </r>
      </text>
    </comment>
    <comment ref="AM33" authorId="0" shapeId="0">
      <text>
        <r>
          <rPr>
            <b/>
            <sz val="9"/>
            <color indexed="81"/>
            <rFont val="Tahoma"/>
            <family val="2"/>
          </rPr>
          <t>Cem Dener:</t>
        </r>
        <r>
          <rPr>
            <sz val="9"/>
            <color indexed="81"/>
            <rFont val="Tahoma"/>
            <family val="2"/>
          </rPr>
          <t xml:space="preserve">
British Columbia: http://www.iris.com.my/Trusted_ID/projects.html</t>
        </r>
      </text>
    </comment>
    <comment ref="AU33" authorId="2" shapeId="0">
      <text>
        <r>
          <rPr>
            <b/>
            <sz val="9"/>
            <color indexed="81"/>
            <rFont val="Tahoma"/>
            <family val="2"/>
          </rPr>
          <t>Huan Zhang:</t>
        </r>
        <r>
          <rPr>
            <sz val="9"/>
            <color indexed="81"/>
            <rFont val="Tahoma"/>
            <family val="2"/>
          </rPr>
          <t xml:space="preserve">
In the 2008 federal budget, Jim Flaherty, Minister of Finance, announced that electronic passports would be introduced by 2011. A pilot project began in 2009, with e-passports being issued to special and diplomatic passport applicants.The e-passport roll-out was pushed back to 1 July 2013.
http://en.wikipedia.org/wiki/Canadian_passport</t>
        </r>
      </text>
    </comment>
    <comment ref="AZ33" authorId="2" shapeId="0">
      <text>
        <r>
          <rPr>
            <b/>
            <sz val="9"/>
            <color indexed="81"/>
            <rFont val="Tahoma"/>
            <family val="2"/>
          </rPr>
          <t>Huan Zhang:</t>
        </r>
        <r>
          <rPr>
            <sz val="9"/>
            <color indexed="81"/>
            <rFont val="Tahoma"/>
            <family val="2"/>
          </rPr>
          <t xml:space="preserve">
Registration initiated in 1914</t>
        </r>
      </text>
    </comment>
    <comment ref="BD33" authorId="2" shapeId="0">
      <text>
        <r>
          <rPr>
            <b/>
            <sz val="9"/>
            <color indexed="81"/>
            <rFont val="Tahoma"/>
            <family val="2"/>
          </rPr>
          <t>Huan Zhang:</t>
        </r>
        <r>
          <rPr>
            <sz val="9"/>
            <color indexed="81"/>
            <rFont val="Tahoma"/>
            <family val="2"/>
          </rPr>
          <t xml:space="preserve">
http://www.gov.mb.ca/jec/emb/bn/faq.html</t>
        </r>
      </text>
    </comment>
    <comment ref="BF33" authorId="2" shapeId="0">
      <text>
        <r>
          <rPr>
            <b/>
            <sz val="9"/>
            <color indexed="81"/>
            <rFont val="Tahoma"/>
            <family val="2"/>
          </rPr>
          <t>Huan Zhang:</t>
        </r>
        <r>
          <rPr>
            <sz val="9"/>
            <color indexed="81"/>
            <rFont val="Tahoma"/>
            <family val="2"/>
          </rPr>
          <t xml:space="preserve">
Right now, the BN is being used for various government services in Nova Scotia, including licences, permits, registrations, Workers' Compensation Board insurance, in addition to the Canada Revenue Agency programs (payroll deductions, GST/HST, corporate income tax and import/export accounts).</t>
        </r>
      </text>
    </comment>
    <comment ref="CS33" authorId="0" shapeId="0">
      <text>
        <r>
          <rPr>
            <b/>
            <sz val="9"/>
            <color indexed="81"/>
            <rFont val="Tahoma"/>
            <family val="2"/>
          </rPr>
          <t>Cem Dener:</t>
        </r>
        <r>
          <rPr>
            <sz val="9"/>
            <color indexed="81"/>
            <rFont val="Tahoma"/>
            <family val="2"/>
          </rPr>
          <t xml:space="preserve">
http://enr.elections.ca/National.aspx</t>
        </r>
      </text>
    </comment>
    <comment ref="N34" authorId="0" shapeId="0">
      <text>
        <r>
          <rPr>
            <b/>
            <sz val="9"/>
            <color indexed="81"/>
            <rFont val="Tahoma"/>
            <family val="2"/>
          </rPr>
          <t>Cem Dener:</t>
        </r>
        <r>
          <rPr>
            <sz val="9"/>
            <color indexed="81"/>
            <rFont val="Tahoma"/>
            <family val="2"/>
          </rPr>
          <t xml:space="preserve">
Free up to 30 d.
Late (until 14): 258 ECV</t>
        </r>
      </text>
    </comment>
    <comment ref="AM34" authorId="0" shapeId="0">
      <text>
        <r>
          <rPr>
            <b/>
            <sz val="9"/>
            <color indexed="81"/>
            <rFont val="Tahoma"/>
            <family val="2"/>
          </rPr>
          <t>Cem Dener:</t>
        </r>
        <r>
          <rPr>
            <sz val="9"/>
            <color indexed="81"/>
            <rFont val="Tahoma"/>
            <family val="2"/>
          </rPr>
          <t xml:space="preserve">
http://news.ecowas.int/presseshow.php?nb=240&amp;lang=en&amp;annee=2014</t>
        </r>
      </text>
    </comment>
    <comment ref="CH34" authorId="0" shapeId="0">
      <text>
        <r>
          <rPr>
            <b/>
            <sz val="9"/>
            <color indexed="81"/>
            <rFont val="Tahoma"/>
            <family val="2"/>
          </rPr>
          <t>Cem Dener:</t>
        </r>
        <r>
          <rPr>
            <sz val="9"/>
            <color indexed="81"/>
            <rFont val="Tahoma"/>
            <family val="2"/>
          </rPr>
          <t xml:space="preserve">
No data.
Estimated BR rate</t>
        </r>
      </text>
    </comment>
    <comment ref="CI34" authorId="0" shapeId="0">
      <text>
        <r>
          <rPr>
            <b/>
            <sz val="9"/>
            <color indexed="81"/>
            <rFont val="Tahoma"/>
            <family val="2"/>
          </rPr>
          <t>Cem Dener:</t>
        </r>
        <r>
          <rPr>
            <sz val="9"/>
            <color indexed="81"/>
            <rFont val="Tahoma"/>
            <family val="2"/>
          </rPr>
          <t xml:space="preserve">
No data.
Estimated BR rate</t>
        </r>
      </text>
    </comment>
    <comment ref="HP34" authorId="3" shapeId="0">
      <text>
        <r>
          <rPr>
            <b/>
            <sz val="9"/>
            <color indexed="81"/>
            <rFont val="Tahoma"/>
            <family val="2"/>
          </rPr>
          <t>Irenezh1016:</t>
        </r>
        <r>
          <rPr>
            <sz val="9"/>
            <color indexed="81"/>
            <rFont val="Tahoma"/>
            <family val="2"/>
          </rPr>
          <t xml:space="preserve">
None (Parliamentary Commission for the Monitoring of Personal Data not yet appointed)</t>
        </r>
      </text>
    </comment>
    <comment ref="K35" authorId="0" shapeId="0">
      <text>
        <r>
          <rPr>
            <b/>
            <sz val="9"/>
            <color indexed="81"/>
            <rFont val="Tahoma"/>
            <family val="2"/>
          </rPr>
          <t>Cem Dener:</t>
        </r>
        <r>
          <rPr>
            <sz val="9"/>
            <color indexed="81"/>
            <rFont val="Tahoma"/>
            <family val="2"/>
          </rPr>
          <t xml:space="preserve">
Initiated in 1940:
http://www.cdc.gov/nchs/data/isp/016_Methods_And_Problems_of_Civil_Registration_Practices_and_Vital_Stat_Collection_in_Africa.pdf
http://www.refworld.org/country,LEGAL,,,CAF,,3ae6b55d4,0.html</t>
        </r>
      </text>
    </comment>
    <comment ref="AM35" authorId="0" shapeId="0">
      <text>
        <r>
          <rPr>
            <b/>
            <sz val="9"/>
            <color indexed="81"/>
            <rFont val="Tahoma"/>
            <family val="2"/>
          </rPr>
          <t>Cem Dener:</t>
        </r>
        <r>
          <rPr>
            <sz val="9"/>
            <color indexed="81"/>
            <rFont val="Tahoma"/>
            <family val="2"/>
          </rPr>
          <t xml:space="preserve">
http://www.alwihdainfo.com/RCA-Reponse-a-un-chantre-de-la-division-tribune_a12361.html</t>
        </r>
      </text>
    </comment>
    <comment ref="AE36" authorId="0" shapeId="0">
      <text>
        <r>
          <rPr>
            <b/>
            <sz val="9"/>
            <color indexed="81"/>
            <rFont val="Tahoma"/>
            <family val="2"/>
          </rPr>
          <t>Cem Dener:</t>
        </r>
        <r>
          <rPr>
            <sz val="9"/>
            <color indexed="81"/>
            <rFont val="Tahoma"/>
            <family val="2"/>
          </rPr>
          <t xml:space="preserve">
Introduced in 2014, rollout in 2015</t>
        </r>
      </text>
    </comment>
    <comment ref="AL36" authorId="0" shapeId="0">
      <text>
        <r>
          <rPr>
            <b/>
            <sz val="9"/>
            <color indexed="81"/>
            <rFont val="Tahoma"/>
            <family val="2"/>
          </rPr>
          <t>Cem Dener:</t>
        </r>
        <r>
          <rPr>
            <sz val="9"/>
            <color indexed="81"/>
            <rFont val="Tahoma"/>
            <family val="2"/>
          </rPr>
          <t xml:space="preserve">
Semlex (BE)</t>
        </r>
      </text>
    </comment>
    <comment ref="AM36" authorId="0" shapeId="0">
      <text>
        <r>
          <rPr>
            <b/>
            <sz val="9"/>
            <color indexed="81"/>
            <rFont val="Tahoma"/>
            <family val="2"/>
          </rPr>
          <t>Cem Dener:</t>
        </r>
        <r>
          <rPr>
            <sz val="9"/>
            <color indexed="81"/>
            <rFont val="Tahoma"/>
            <family val="2"/>
          </rPr>
          <t xml:space="preserve">
http://www.scoop.it/t/semlex-group</t>
        </r>
      </text>
    </comment>
    <comment ref="AU36" authorId="0" shapeId="0">
      <text>
        <r>
          <rPr>
            <b/>
            <sz val="9"/>
            <color indexed="81"/>
            <rFont val="Tahoma"/>
            <family val="2"/>
          </rPr>
          <t>Cem Dener:</t>
        </r>
        <r>
          <rPr>
            <sz val="9"/>
            <color indexed="81"/>
            <rFont val="Tahoma"/>
            <family val="2"/>
          </rPr>
          <t xml:space="preserve">
http://www.ialtchad.com/chroniquepasseportlona.htm</t>
        </r>
      </text>
    </comment>
    <comment ref="AY36" authorId="0" shapeId="0">
      <text>
        <r>
          <rPr>
            <b/>
            <sz val="9"/>
            <color indexed="81"/>
            <rFont val="Tahoma"/>
            <family val="2"/>
          </rPr>
          <t>Cem Dener:</t>
        </r>
        <r>
          <rPr>
            <sz val="9"/>
            <color indexed="81"/>
            <rFont val="Tahoma"/>
            <family val="2"/>
          </rPr>
          <t xml:space="preserve">
http://www.doingbusiness.org/data/exploreeconomies/chad/starting-a-business/</t>
        </r>
      </text>
    </comment>
    <comment ref="H37" authorId="0" shapeId="0">
      <text>
        <r>
          <rPr>
            <b/>
            <sz val="9"/>
            <color indexed="81"/>
            <rFont val="Tahoma"/>
            <family val="2"/>
          </rPr>
          <t>Cem Dener:</t>
        </r>
        <r>
          <rPr>
            <sz val="9"/>
            <color indexed="81"/>
            <rFont val="Tahoma"/>
            <family val="2"/>
          </rPr>
          <t xml:space="preserve">
http://www.ine.cl/canales/base_datos/base_datos.php</t>
        </r>
      </text>
    </comment>
    <comment ref="V37" authorId="0" shapeId="0">
      <text>
        <r>
          <rPr>
            <b/>
            <sz val="9"/>
            <color indexed="81"/>
            <rFont val="Tahoma"/>
            <family val="2"/>
          </rPr>
          <t>Cem Dener:</t>
        </r>
        <r>
          <rPr>
            <sz val="9"/>
            <color indexed="81"/>
            <rFont val="Tahoma"/>
            <family val="2"/>
          </rPr>
          <t xml:space="preserve">
First issued at 2 or 3</t>
        </r>
      </text>
    </comment>
    <comment ref="AG37" authorId="2" shapeId="0">
      <text>
        <r>
          <rPr>
            <b/>
            <sz val="9"/>
            <color indexed="81"/>
            <rFont val="Tahoma"/>
            <family val="2"/>
          </rPr>
          <t>Huan Zhang:</t>
        </r>
        <r>
          <rPr>
            <sz val="9"/>
            <color indexed="81"/>
            <rFont val="Tahoma"/>
            <family val="2"/>
          </rPr>
          <t xml:space="preserve">
http://www.ilovechile.cl/chile-steps-electronic-identity-cards-passports/</t>
        </r>
      </text>
    </comment>
    <comment ref="AI37" authorId="2" shapeId="0">
      <text>
        <r>
          <rPr>
            <b/>
            <sz val="9"/>
            <color indexed="81"/>
            <rFont val="Tahoma"/>
            <family val="2"/>
          </rPr>
          <t>Huan Zhang:</t>
        </r>
        <r>
          <rPr>
            <sz val="9"/>
            <color indexed="81"/>
            <rFont val="Tahoma"/>
            <family val="2"/>
          </rPr>
          <t xml:space="preserve">
http://www.odrandconsumers2010.org/2010/07/29/argentina-and-chile-moving-towards-the-digital-identity-card/</t>
        </r>
      </text>
    </comment>
    <comment ref="AU37" authorId="2" shapeId="0">
      <text>
        <r>
          <rPr>
            <b/>
            <sz val="9"/>
            <color indexed="81"/>
            <rFont val="Tahoma"/>
            <family val="2"/>
          </rPr>
          <t>Huan Zhang:</t>
        </r>
        <r>
          <rPr>
            <sz val="9"/>
            <color indexed="81"/>
            <rFont val="Tahoma"/>
            <family val="2"/>
          </rPr>
          <t xml:space="preserve">
New regular biometric passports issued since September 2013 are burgundy red colored.
March 5, 2012, Morpho (Safran group) announced today that it has signed a 10-year contract with Chile’s national records administration (Servicio de Registro Civil e Identificación) to produce e-ID cards and e-Passports under the country’s new identification and ID and travel document issuance system.
http://www.morpho.com/news-events-348/press/morpho-chosen-to-supply-chile-s-new-id-documents?lang=en</t>
        </r>
      </text>
    </comment>
    <comment ref="AZ37" authorId="2" shapeId="0">
      <text>
        <r>
          <rPr>
            <b/>
            <sz val="9"/>
            <color indexed="81"/>
            <rFont val="Tahoma"/>
            <family val="2"/>
          </rPr>
          <t>Huan Zhang:</t>
        </r>
        <r>
          <rPr>
            <sz val="9"/>
            <color indexed="81"/>
            <rFont val="Tahoma"/>
            <family val="2"/>
          </rPr>
          <t xml:space="preserve">
Registration initiated in 1865</t>
        </r>
      </text>
    </comment>
    <comment ref="CH37" authorId="0" shapeId="0">
      <text>
        <r>
          <rPr>
            <b/>
            <sz val="9"/>
            <color indexed="81"/>
            <rFont val="Tahoma"/>
            <family val="2"/>
          </rPr>
          <t>Cem Dener:</t>
        </r>
        <r>
          <rPr>
            <sz val="9"/>
            <color indexed="81"/>
            <rFont val="Tahoma"/>
            <family val="2"/>
          </rPr>
          <t xml:space="preserve">
No data.
Estimated BR rate</t>
        </r>
      </text>
    </comment>
    <comment ref="CI37" authorId="0" shapeId="0">
      <text>
        <r>
          <rPr>
            <b/>
            <sz val="9"/>
            <color indexed="81"/>
            <rFont val="Tahoma"/>
            <family val="2"/>
          </rPr>
          <t>Cem Dener:</t>
        </r>
        <r>
          <rPr>
            <sz val="9"/>
            <color indexed="81"/>
            <rFont val="Tahoma"/>
            <family val="2"/>
          </rPr>
          <t xml:space="preserve">
No data.
Estimated BR rate</t>
        </r>
      </text>
    </comment>
    <comment ref="O38" authorId="0" shapeId="0">
      <text>
        <r>
          <rPr>
            <b/>
            <sz val="9"/>
            <color indexed="81"/>
            <rFont val="Tahoma"/>
            <family val="2"/>
          </rPr>
          <t>Cem Dener:</t>
        </r>
        <r>
          <rPr>
            <sz val="9"/>
            <color indexed="81"/>
            <rFont val="Tahoma"/>
            <family val="2"/>
          </rPr>
          <t xml:space="preserve">
http://www.china.com.cn/chinese/zhuanti/sfz/529403.htm</t>
        </r>
      </text>
    </comment>
    <comment ref="V38" authorId="0" shapeId="0">
      <text>
        <r>
          <rPr>
            <b/>
            <sz val="9"/>
            <color indexed="81"/>
            <rFont val="Tahoma"/>
            <family val="2"/>
          </rPr>
          <t>Cem Dener:</t>
        </r>
        <r>
          <rPr>
            <sz val="9"/>
            <color indexed="81"/>
            <rFont val="Tahoma"/>
            <family val="2"/>
          </rPr>
          <t xml:space="preserve">
First issued at school age</t>
        </r>
      </text>
    </comment>
    <comment ref="AL38" authorId="0" shapeId="0">
      <text>
        <r>
          <rPr>
            <b/>
            <sz val="9"/>
            <color indexed="81"/>
            <rFont val="Tahoma"/>
            <family val="2"/>
          </rPr>
          <t>Cem Dener:</t>
        </r>
        <r>
          <rPr>
            <sz val="9"/>
            <color indexed="81"/>
            <rFont val="Tahoma"/>
            <family val="2"/>
          </rPr>
          <t xml:space="preserve">
Multiple producers</t>
        </r>
      </text>
    </comment>
    <comment ref="AZ38" authorId="2" shapeId="0">
      <text>
        <r>
          <rPr>
            <b/>
            <sz val="9"/>
            <color indexed="81"/>
            <rFont val="Tahoma"/>
            <family val="2"/>
          </rPr>
          <t>Huan Zhang:</t>
        </r>
        <r>
          <rPr>
            <sz val="9"/>
            <color indexed="81"/>
            <rFont val="Tahoma"/>
            <family val="2"/>
          </rPr>
          <t xml:space="preserve">
http://qyj.saic.gov.cn/qyj/201206/t20120629_127510.html
Registration initiated in 1993
</t>
        </r>
      </text>
    </comment>
    <comment ref="BF38" authorId="2" shapeId="0">
      <text>
        <r>
          <rPr>
            <b/>
            <sz val="9"/>
            <color indexed="81"/>
            <rFont val="Tahoma"/>
            <family val="2"/>
          </rPr>
          <t>Huan Zhang:</t>
        </r>
        <r>
          <rPr>
            <sz val="9"/>
            <color indexed="81"/>
            <rFont val="Tahoma"/>
            <family val="2"/>
          </rPr>
          <t xml:space="preserve">
For identification use. Other IDs are avaliable for permits/tax </t>
        </r>
      </text>
    </comment>
    <comment ref="CG38" authorId="0" shapeId="0">
      <text>
        <r>
          <rPr>
            <b/>
            <sz val="9"/>
            <color indexed="81"/>
            <rFont val="Tahoma"/>
            <family val="2"/>
          </rPr>
          <t>Cem Dener:</t>
        </r>
        <r>
          <rPr>
            <sz val="9"/>
            <color indexed="81"/>
            <rFont val="Tahoma"/>
            <family val="2"/>
          </rPr>
          <t xml:space="preserve">
No data.
Estimated BR rate</t>
        </r>
      </text>
    </comment>
    <comment ref="CH38" authorId="0" shapeId="0">
      <text>
        <r>
          <rPr>
            <b/>
            <sz val="9"/>
            <color indexed="81"/>
            <rFont val="Tahoma"/>
            <family val="2"/>
          </rPr>
          <t>Cem Dener:</t>
        </r>
        <r>
          <rPr>
            <sz val="9"/>
            <color indexed="81"/>
            <rFont val="Tahoma"/>
            <family val="2"/>
          </rPr>
          <t xml:space="preserve">
No data.
Estimated BR rate</t>
        </r>
      </text>
    </comment>
    <comment ref="CI38" authorId="0" shapeId="0">
      <text>
        <r>
          <rPr>
            <b/>
            <sz val="9"/>
            <color indexed="81"/>
            <rFont val="Tahoma"/>
            <family val="2"/>
          </rPr>
          <t>Cem Dener:</t>
        </r>
        <r>
          <rPr>
            <sz val="9"/>
            <color indexed="81"/>
            <rFont val="Tahoma"/>
            <family val="2"/>
          </rPr>
          <t xml:space="preserve">
No data.
Estimated BR rate</t>
        </r>
      </text>
    </comment>
    <comment ref="CM38" authorId="0" shapeId="0">
      <text>
        <r>
          <rPr>
            <b/>
            <sz val="9"/>
            <color indexed="81"/>
            <rFont val="Tahoma"/>
            <family val="2"/>
          </rPr>
          <t>Cem Dener:</t>
        </r>
        <r>
          <rPr>
            <sz val="9"/>
            <color indexed="81"/>
            <rFont val="Tahoma"/>
            <family val="2"/>
          </rPr>
          <t xml:space="preserve">
http://www.unicef.cn/en/uploadfile/2015/0114/20150114094309619.pdf</t>
        </r>
      </text>
    </comment>
    <comment ref="CS38" authorId="0" shapeId="0">
      <text>
        <r>
          <rPr>
            <b/>
            <sz val="9"/>
            <color indexed="81"/>
            <rFont val="Tahoma"/>
            <family val="2"/>
          </rPr>
          <t>Cem Dener:</t>
        </r>
        <r>
          <rPr>
            <sz val="9"/>
            <color indexed="81"/>
            <rFont val="Tahoma"/>
            <family val="2"/>
          </rPr>
          <t xml:space="preserve">
http://www.keesingjournalofdocuments.com/content/Identity_management/Keesing_Identity_Management_2013_Tan_Liu.pdf
http://thediplomat.com/2015/12/china-wants-hukous-for-its-13-million-unregistered-citizens/</t>
        </r>
      </text>
    </comment>
    <comment ref="EB38" authorId="0" shapeId="0">
      <text>
        <r>
          <rPr>
            <b/>
            <sz val="9"/>
            <color indexed="81"/>
            <rFont val="Tahoma"/>
            <family val="2"/>
          </rPr>
          <t>Cem Dener:</t>
        </r>
        <r>
          <rPr>
            <sz val="9"/>
            <color indexed="81"/>
            <rFont val="Tahoma"/>
            <family val="2"/>
          </rPr>
          <t xml:space="preserve">
rural</t>
        </r>
      </text>
    </comment>
    <comment ref="H39" authorId="0" shapeId="0">
      <text>
        <r>
          <rPr>
            <b/>
            <sz val="9"/>
            <color indexed="81"/>
            <rFont val="Tahoma"/>
            <family val="2"/>
          </rPr>
          <t>Cem Dener:</t>
        </r>
        <r>
          <rPr>
            <sz val="9"/>
            <color indexed="81"/>
            <rFont val="Tahoma"/>
            <family val="2"/>
          </rPr>
          <t xml:space="preserve">
http://www.dane.gov.co/daneweb_V09/</t>
        </r>
      </text>
    </comment>
    <comment ref="V39" authorId="0" shapeId="0">
      <text>
        <r>
          <rPr>
            <b/>
            <sz val="9"/>
            <color indexed="81"/>
            <rFont val="Tahoma"/>
            <family val="2"/>
          </rPr>
          <t>Cem Dener:</t>
        </r>
        <r>
          <rPr>
            <sz val="9"/>
            <color indexed="81"/>
            <rFont val="Tahoma"/>
            <family val="2"/>
          </rPr>
          <t xml:space="preserve">
First issued at 7</t>
        </r>
      </text>
    </comment>
    <comment ref="AG39" authorId="2" shapeId="0">
      <text>
        <r>
          <rPr>
            <b/>
            <sz val="9"/>
            <color indexed="81"/>
            <rFont val="Tahoma"/>
            <family val="2"/>
          </rPr>
          <t>Huan Zhang:</t>
        </r>
        <r>
          <rPr>
            <sz val="9"/>
            <color indexed="81"/>
            <rFont val="Tahoma"/>
            <family val="2"/>
          </rPr>
          <t xml:space="preserve">
http://www.mundoelectoral.com/html/index.php?id=781</t>
        </r>
      </text>
    </comment>
    <comment ref="AM39" authorId="0" shapeId="0">
      <text>
        <r>
          <rPr>
            <b/>
            <sz val="9"/>
            <color indexed="81"/>
            <rFont val="Tahoma"/>
            <family val="2"/>
          </rPr>
          <t>Cem Dener:</t>
        </r>
        <r>
          <rPr>
            <sz val="9"/>
            <color indexed="81"/>
            <rFont val="Tahoma"/>
            <family val="2"/>
          </rPr>
          <t xml:space="preserve">
http://international.iteem.ec-lille.fr/south-america/morpho-a-worldwide-leader-in-security-solutions/
http://www.safran-group.com/IMG/pdf/n11-EN_21-23.pdf
</t>
        </r>
      </text>
    </comment>
    <comment ref="AU39" authorId="2" shapeId="0">
      <text>
        <r>
          <rPr>
            <b/>
            <sz val="9"/>
            <color indexed="81"/>
            <rFont val="Tahoma"/>
            <family val="2"/>
          </rPr>
          <t>Huan Zhang:</t>
        </r>
        <r>
          <rPr>
            <sz val="9"/>
            <color indexed="81"/>
            <rFont val="Tahoma"/>
            <family val="2"/>
          </rPr>
          <t xml:space="preserve">
Colombia is preparing for the implementation of electronic biometric passports in the medium 
term. In this connection, the Ministry of Foreign Affairs will include the electronic biometric 
passport in the terms of reference for the procurement of new passports. The bidding process is expected to be launched in the second half of 2014. 
http://ec.europa.eu/dgs/home-affairs/what-is-new/news/news/docs/20141029_assessment_colombia_schengen_area_en.pdf</t>
        </r>
      </text>
    </comment>
    <comment ref="AZ39" authorId="2" shapeId="0">
      <text>
        <r>
          <rPr>
            <b/>
            <sz val="9"/>
            <color indexed="81"/>
            <rFont val="Tahoma"/>
            <family val="2"/>
          </rPr>
          <t>Huan Zhang:</t>
        </r>
        <r>
          <rPr>
            <sz val="9"/>
            <color indexed="81"/>
            <rFont val="Tahoma"/>
            <family val="2"/>
          </rPr>
          <t xml:space="preserve">
Registration initiate in 2000</t>
        </r>
      </text>
    </comment>
    <comment ref="CH39" authorId="0" shapeId="0">
      <text>
        <r>
          <rPr>
            <b/>
            <sz val="9"/>
            <color indexed="81"/>
            <rFont val="Tahoma"/>
            <family val="2"/>
          </rPr>
          <t>Cem Dener:</t>
        </r>
        <r>
          <rPr>
            <sz val="9"/>
            <color indexed="81"/>
            <rFont val="Tahoma"/>
            <family val="2"/>
          </rPr>
          <t xml:space="preserve">
No data.
Estimated BR rate</t>
        </r>
      </text>
    </comment>
    <comment ref="CI39" authorId="0" shapeId="0">
      <text>
        <r>
          <rPr>
            <b/>
            <sz val="9"/>
            <color indexed="81"/>
            <rFont val="Tahoma"/>
            <family val="2"/>
          </rPr>
          <t>Cem Dener:</t>
        </r>
        <r>
          <rPr>
            <sz val="9"/>
            <color indexed="81"/>
            <rFont val="Tahoma"/>
            <family val="2"/>
          </rPr>
          <t xml:space="preserve">
No data.
Estimated BR rate</t>
        </r>
      </text>
    </comment>
    <comment ref="CS39" authorId="0" shapeId="0">
      <text>
        <r>
          <rPr>
            <b/>
            <sz val="9"/>
            <color indexed="81"/>
            <rFont val="Tahoma"/>
            <family val="2"/>
          </rPr>
          <t>Cem Dener:</t>
        </r>
        <r>
          <rPr>
            <sz val="9"/>
            <color indexed="81"/>
            <rFont val="Tahoma"/>
            <family val="2"/>
          </rPr>
          <t xml:space="preserve">
http://www.idea.int/vt/countryview.cfm?id=48</t>
        </r>
      </text>
    </comment>
    <comment ref="K40" authorId="0" shapeId="0">
      <text>
        <r>
          <rPr>
            <b/>
            <sz val="9"/>
            <color indexed="81"/>
            <rFont val="Tahoma"/>
            <family val="2"/>
          </rPr>
          <t>Cem Dener:</t>
        </r>
        <r>
          <rPr>
            <sz val="9"/>
            <color indexed="81"/>
            <rFont val="Tahoma"/>
            <family val="2"/>
          </rPr>
          <t xml:space="preserve">
http://comoros.eregulations.org/media/ohada%20-%20au%20droit%20commercial.pdf</t>
        </r>
      </text>
    </comment>
    <comment ref="R40" authorId="0" shapeId="0">
      <text>
        <r>
          <rPr>
            <b/>
            <sz val="9"/>
            <color indexed="81"/>
            <rFont val="Tahoma"/>
            <family val="2"/>
          </rPr>
          <t>Cem Dener:</t>
        </r>
        <r>
          <rPr>
            <sz val="9"/>
            <color indexed="81"/>
            <rFont val="Tahoma"/>
            <family val="2"/>
          </rPr>
          <t xml:space="preserve">
http://www.refworld.org/country,LEGAL,,,COM,50ffbce525c,,,0.html
http://www.droit-afrique.com/images/textes/Comores/Comores%20-%20Loi%201987%20carte%20d'identite.pdf
</t>
        </r>
      </text>
    </comment>
    <comment ref="AD40" authorId="0" shapeId="0">
      <text>
        <r>
          <rPr>
            <b/>
            <sz val="9"/>
            <color indexed="81"/>
            <rFont val="Tahoma"/>
            <family val="2"/>
          </rPr>
          <t>Cem Dener:</t>
        </r>
        <r>
          <rPr>
            <sz val="9"/>
            <color indexed="81"/>
            <rFont val="Tahoma"/>
            <family val="2"/>
          </rPr>
          <t xml:space="preserve">
http://roinaka.skyrock.com/3223982313-Carte-nationale-d-identite-biometrique-Une-loi-legifere-six-ans-apres.html</t>
        </r>
      </text>
    </comment>
    <comment ref="AF40" authorId="0" shapeId="0">
      <text>
        <r>
          <rPr>
            <b/>
            <sz val="9"/>
            <color indexed="81"/>
            <rFont val="Tahoma"/>
            <family val="2"/>
          </rPr>
          <t>Cem Dener:</t>
        </r>
        <r>
          <rPr>
            <sz val="9"/>
            <color indexed="81"/>
            <rFont val="Tahoma"/>
            <family val="2"/>
          </rPr>
          <t xml:space="preserve">
+ Biometric national ID card is compulsory. 
2. Biometric IDs for elections are rolled out in 2014. Issued to ~ 60 percent of the voting population so far. 
Duplicate biometric ID solutions. 
E-ID enabled services not supported yet.
</t>
        </r>
      </text>
    </comment>
    <comment ref="AM40" authorId="0" shapeId="0">
      <text>
        <r>
          <rPr>
            <b/>
            <sz val="9"/>
            <color indexed="81"/>
            <rFont val="Tahoma"/>
            <family val="2"/>
          </rPr>
          <t>Cem Dener:</t>
        </r>
        <r>
          <rPr>
            <sz val="9"/>
            <color indexed="81"/>
            <rFont val="Tahoma"/>
            <family val="2"/>
          </rPr>
          <t xml:space="preserve">
http://www.comores-infos.net/changement-de-la-carte-identite-comorienne-une-nouvelle-carte-didentite-dici-le-mois-prochain/</t>
        </r>
      </text>
    </comment>
    <comment ref="AY40" authorId="2" shapeId="0">
      <text>
        <r>
          <rPr>
            <b/>
            <sz val="9"/>
            <color indexed="81"/>
            <rFont val="Tahoma"/>
            <family val="2"/>
          </rPr>
          <t>Huan Zhang:</t>
        </r>
        <r>
          <rPr>
            <sz val="9"/>
            <color indexed="81"/>
            <rFont val="Tahoma"/>
            <family val="2"/>
          </rPr>
          <t xml:space="preserve">
http://www.ccibenin.org/index.php/repertoire-entreprises.html</t>
        </r>
      </text>
    </comment>
    <comment ref="AZ40" authorId="0" shapeId="0">
      <text>
        <r>
          <rPr>
            <b/>
            <sz val="9"/>
            <color indexed="81"/>
            <rFont val="Tahoma"/>
            <family val="2"/>
          </rPr>
          <t>Cem Dener:</t>
        </r>
        <r>
          <rPr>
            <sz val="9"/>
            <color indexed="81"/>
            <rFont val="Tahoma"/>
            <family val="2"/>
          </rPr>
          <t xml:space="preserve">
Company Registration is not automated yet
--------------
http://www.droit-afrique.com/images/textes/Comores/Comores%20-%20Decret%201967%20registre%20du%20commerce.pdf</t>
        </r>
      </text>
    </comment>
    <comment ref="I41" authorId="0" shapeId="0">
      <text>
        <r>
          <rPr>
            <b/>
            <sz val="9"/>
            <color indexed="81"/>
            <rFont val="Tahoma"/>
            <family val="2"/>
          </rPr>
          <t>Cem Dener:</t>
        </r>
        <r>
          <rPr>
            <sz val="9"/>
            <color indexed="81"/>
            <rFont val="Tahoma"/>
            <family val="2"/>
          </rPr>
          <t xml:space="preserve">
No birth registration system yet
</t>
        </r>
      </text>
    </comment>
    <comment ref="K41" authorId="0" shapeId="0">
      <text>
        <r>
          <rPr>
            <b/>
            <sz val="9"/>
            <color indexed="81"/>
            <rFont val="Tahoma"/>
            <family val="2"/>
          </rPr>
          <t>Cem Dener:</t>
        </r>
        <r>
          <rPr>
            <sz val="9"/>
            <color indexed="81"/>
            <rFont val="Tahoma"/>
            <family val="2"/>
          </rPr>
          <t xml:space="preserve">
Initiated in 1922:
http://www.cdc.gov/nchs/data/isp/016_Methods_And_Problems_of_Civil_Registration_Practices_and_Vital_Stat_Collection_in_Africa.pdf
http://www.refworld.org/docid/45f1471c20.html</t>
        </r>
      </text>
    </comment>
    <comment ref="R41" authorId="0" shapeId="0">
      <text>
        <r>
          <rPr>
            <b/>
            <sz val="9"/>
            <color indexed="81"/>
            <rFont val="Tahoma"/>
            <family val="2"/>
          </rPr>
          <t>Cem Dener:</t>
        </r>
        <r>
          <rPr>
            <sz val="9"/>
            <color indexed="81"/>
            <rFont val="Tahoma"/>
            <family val="2"/>
          </rPr>
          <t xml:space="preserve">
http://www.refworld.org/country,LEGAL,,,COG,,3ae6b4db4,0.html</t>
        </r>
      </text>
    </comment>
    <comment ref="AL41" authorId="0" shapeId="0">
      <text>
        <r>
          <rPr>
            <b/>
            <sz val="9"/>
            <color indexed="81"/>
            <rFont val="Tahoma"/>
            <family val="2"/>
          </rPr>
          <t>Cem Dener:</t>
        </r>
        <r>
          <rPr>
            <sz val="9"/>
            <color indexed="81"/>
            <rFont val="Tahoma"/>
            <family val="2"/>
          </rPr>
          <t xml:space="preserve">
Mühlbauer Group</t>
        </r>
      </text>
    </comment>
    <comment ref="AM41" authorId="0" shapeId="0">
      <text>
        <r>
          <rPr>
            <b/>
            <sz val="9"/>
            <color indexed="81"/>
            <rFont val="Tahoma"/>
            <family val="2"/>
          </rPr>
          <t>Cem Dener:</t>
        </r>
        <r>
          <rPr>
            <sz val="9"/>
            <color indexed="81"/>
            <rFont val="Tahoma"/>
            <family val="2"/>
          </rPr>
          <t xml:space="preserve">
http://www.securitydocumentworld.com/article-details/i/10399/
http://www.cto.int/media/events/pst-ev/2013/e-Gove/Matthias%20K.%20Kohler.pdf
http://www.muhlbauer.com/security-summit-2014/speaker
http://www.printedelectronicsnow.com/news/2010/12/22/first_biometric_id_card_produced_in_the_republic_of_congo
http://1984.over-blog.com/article-6472936.html</t>
        </r>
      </text>
    </comment>
    <comment ref="AY41" authorId="2" shapeId="0">
      <text>
        <r>
          <rPr>
            <b/>
            <sz val="9"/>
            <color indexed="81"/>
            <rFont val="Tahoma"/>
            <family val="2"/>
          </rPr>
          <t>Huan Zhang:</t>
        </r>
        <r>
          <rPr>
            <sz val="9"/>
            <color indexed="81"/>
            <rFont val="Tahoma"/>
            <family val="2"/>
          </rPr>
          <t xml:space="preserve">
http://www.moea.gov.bt/departments/department.php?id=2</t>
        </r>
      </text>
    </comment>
    <comment ref="AZ41" authorId="0" shapeId="0">
      <text>
        <r>
          <rPr>
            <b/>
            <sz val="9"/>
            <color indexed="81"/>
            <rFont val="Tahoma"/>
            <family val="2"/>
          </rPr>
          <t>Cem Dener:</t>
        </r>
        <r>
          <rPr>
            <sz val="9"/>
            <color indexed="81"/>
            <rFont val="Tahoma"/>
            <family val="2"/>
          </rPr>
          <t xml:space="preserve">
Company Registration is not automated yet</t>
        </r>
      </text>
    </comment>
    <comment ref="C42" authorId="0" shapeId="0">
      <text>
        <r>
          <rPr>
            <b/>
            <sz val="9"/>
            <color indexed="81"/>
            <rFont val="Tahoma"/>
            <family val="2"/>
          </rPr>
          <t>Cem Dener:</t>
        </r>
        <r>
          <rPr>
            <sz val="9"/>
            <color indexed="81"/>
            <rFont val="Tahoma"/>
            <family val="2"/>
          </rPr>
          <t xml:space="preserve">
Democratic Republic of the Congo</t>
        </r>
      </text>
    </comment>
    <comment ref="F42" authorId="0" shapeId="0">
      <text>
        <r>
          <rPr>
            <b/>
            <sz val="9"/>
            <color indexed="81"/>
            <rFont val="Tahoma"/>
            <family val="2"/>
          </rPr>
          <t>Cem Dener:</t>
        </r>
        <r>
          <rPr>
            <sz val="9"/>
            <color indexed="81"/>
            <rFont val="Tahoma"/>
            <family val="2"/>
          </rPr>
          <t xml:space="preserve">
ZAR</t>
        </r>
      </text>
    </comment>
    <comment ref="H42" authorId="0" shapeId="0">
      <text>
        <r>
          <rPr>
            <b/>
            <sz val="9"/>
            <color indexed="81"/>
            <rFont val="Tahoma"/>
            <family val="2"/>
          </rPr>
          <t>Cem Dener:</t>
        </r>
        <r>
          <rPr>
            <sz val="9"/>
            <color indexed="81"/>
            <rFont val="Tahoma"/>
            <family val="2"/>
          </rPr>
          <t xml:space="preserve">
Prev:
http://www.minisanterdc.cd</t>
        </r>
      </text>
    </comment>
    <comment ref="I42" authorId="0" shapeId="0">
      <text>
        <r>
          <rPr>
            <b/>
            <sz val="9"/>
            <color indexed="81"/>
            <rFont val="Tahoma"/>
            <family val="2"/>
          </rPr>
          <t>Cem Dener:</t>
        </r>
        <r>
          <rPr>
            <sz val="9"/>
            <color indexed="81"/>
            <rFont val="Tahoma"/>
            <family val="2"/>
          </rPr>
          <t xml:space="preserve">
Prev:
Municipality or Registry of Min of Health</t>
        </r>
      </text>
    </comment>
    <comment ref="K42" authorId="0" shapeId="0">
      <text>
        <r>
          <rPr>
            <b/>
            <sz val="9"/>
            <color indexed="81"/>
            <rFont val="Tahoma"/>
            <family val="2"/>
          </rPr>
          <t>Cem Dener:</t>
        </r>
        <r>
          <rPr>
            <sz val="9"/>
            <color indexed="81"/>
            <rFont val="Tahoma"/>
            <family val="2"/>
          </rPr>
          <t xml:space="preserve">
http://www.refworld.org/country,LEGAL,,,COD,,3ae6b4e022,0.html</t>
        </r>
      </text>
    </comment>
    <comment ref="N42" authorId="0" shapeId="0">
      <text>
        <r>
          <rPr>
            <b/>
            <sz val="9"/>
            <color indexed="81"/>
            <rFont val="Tahoma"/>
            <family val="2"/>
          </rPr>
          <t>Cem Dener:</t>
        </r>
        <r>
          <rPr>
            <sz val="9"/>
            <color indexed="81"/>
            <rFont val="Tahoma"/>
            <family val="2"/>
          </rPr>
          <t xml:space="preserve">
Free up to 30 d.
400 Francs after 30 d.</t>
        </r>
      </text>
    </comment>
    <comment ref="O42" authorId="0" shapeId="0">
      <text>
        <r>
          <rPr>
            <b/>
            <sz val="9"/>
            <color indexed="81"/>
            <rFont val="Tahoma"/>
            <family val="2"/>
          </rPr>
          <t>Cem Dener:</t>
        </r>
        <r>
          <rPr>
            <sz val="9"/>
            <color indexed="81"/>
            <rFont val="Tahoma"/>
            <family val="2"/>
          </rPr>
          <t xml:space="preserve">
http://www.lesoftonline.net/articles/lumanu-recherche-un-demi-milliard-de-dollars-pour-l%E2%80%99onip
http://unstats.un.org/unsd/demographic/CRVS/Technical%20report%20SADC%20final%20v2.pdf  
</t>
        </r>
      </text>
    </comment>
    <comment ref="R42" authorId="0" shapeId="0">
      <text>
        <r>
          <rPr>
            <b/>
            <sz val="9"/>
            <color indexed="81"/>
            <rFont val="Tahoma"/>
            <family val="2"/>
          </rPr>
          <t>Cem Dener:</t>
        </r>
        <r>
          <rPr>
            <sz val="9"/>
            <color indexed="81"/>
            <rFont val="Tahoma"/>
            <family val="2"/>
          </rPr>
          <t xml:space="preserve">
ONIP was established in 2014.
NID regulation in 1972:
http://www.refworld.org/country,LEGAL,,,COD,,3ae6b4e022,0.html</t>
        </r>
      </text>
    </comment>
    <comment ref="AL42" authorId="0" shapeId="0">
      <text>
        <r>
          <rPr>
            <b/>
            <sz val="9"/>
            <color indexed="81"/>
            <rFont val="Tahoma"/>
            <family val="2"/>
          </rPr>
          <t>Cem Dener:</t>
        </r>
        <r>
          <rPr>
            <sz val="9"/>
            <color indexed="81"/>
            <rFont val="Tahoma"/>
            <family val="2"/>
          </rPr>
          <t xml:space="preserve">
Huawei</t>
        </r>
      </text>
    </comment>
    <comment ref="AM42" authorId="0" shapeId="0">
      <text>
        <r>
          <rPr>
            <b/>
            <sz val="9"/>
            <color indexed="81"/>
            <rFont val="Tahoma"/>
            <family val="2"/>
          </rPr>
          <t>Cem Dener:</t>
        </r>
        <r>
          <rPr>
            <sz val="9"/>
            <color indexed="81"/>
            <rFont val="Tahoma"/>
            <family val="2"/>
          </rPr>
          <t xml:space="preserve">
2011 &gt; Contract signed with Huawei (CN) for Biometric ID system through PPP.
Also,
http://www.semlex.com/en/references/references-clients.html</t>
        </r>
      </text>
    </comment>
    <comment ref="AZ42" authorId="0" shapeId="0">
      <text>
        <r>
          <rPr>
            <b/>
            <sz val="9"/>
            <color indexed="81"/>
            <rFont val="Tahoma"/>
            <family val="2"/>
          </rPr>
          <t>Cem Dener:</t>
        </r>
        <r>
          <rPr>
            <sz val="9"/>
            <color indexed="81"/>
            <rFont val="Tahoma"/>
            <family val="2"/>
          </rPr>
          <t xml:space="preserve">
Company Registration is not automated yet</t>
        </r>
      </text>
    </comment>
    <comment ref="O43" authorId="0" shapeId="0">
      <text>
        <r>
          <rPr>
            <b/>
            <sz val="9"/>
            <color indexed="81"/>
            <rFont val="Tahoma"/>
            <family val="2"/>
          </rPr>
          <t>Cem Dener:</t>
        </r>
        <r>
          <rPr>
            <sz val="9"/>
            <color indexed="81"/>
            <rFont val="Tahoma"/>
            <family val="2"/>
          </rPr>
          <t xml:space="preserve">
http://www.registronacional.go.cr/  </t>
        </r>
      </text>
    </comment>
    <comment ref="R43" authorId="0" shapeId="0">
      <text>
        <r>
          <rPr>
            <b/>
            <sz val="9"/>
            <color indexed="81"/>
            <rFont val="Tahoma"/>
            <family val="2"/>
          </rPr>
          <t>Cem Dener:</t>
        </r>
        <r>
          <rPr>
            <sz val="9"/>
            <color indexed="81"/>
            <rFont val="Tahoma"/>
            <family val="2"/>
          </rPr>
          <t xml:space="preserve">
http://www.registronacional.go.cr/Institucion/index.htm</t>
        </r>
      </text>
    </comment>
    <comment ref="AZ43" authorId="0" shapeId="0">
      <text>
        <r>
          <rPr>
            <b/>
            <sz val="9"/>
            <color indexed="81"/>
            <rFont val="Tahoma"/>
            <family val="2"/>
          </rPr>
          <t>Cem Dener:</t>
        </r>
        <r>
          <rPr>
            <sz val="9"/>
            <color indexed="81"/>
            <rFont val="Tahoma"/>
            <family val="2"/>
          </rPr>
          <t xml:space="preserve">
Registration started in 1984 (paper based). Registry system was introduced in 2012.</t>
        </r>
      </text>
    </comment>
    <comment ref="H44" authorId="0" shapeId="0">
      <text>
        <r>
          <rPr>
            <b/>
            <sz val="9"/>
            <color indexed="81"/>
            <rFont val="Tahoma"/>
            <family val="2"/>
          </rPr>
          <t>Cem Dener:</t>
        </r>
        <r>
          <rPr>
            <sz val="9"/>
            <color indexed="81"/>
            <rFont val="Tahoma"/>
            <family val="2"/>
          </rPr>
          <t xml:space="preserve">
http://www.unicef.org/infobycountry/cotedivoire_49867.html</t>
        </r>
      </text>
    </comment>
    <comment ref="K44" authorId="0" shapeId="0">
      <text>
        <r>
          <rPr>
            <b/>
            <sz val="9"/>
            <color indexed="81"/>
            <rFont val="Tahoma"/>
            <family val="2"/>
          </rPr>
          <t>Cem Dener:</t>
        </r>
        <r>
          <rPr>
            <sz val="9"/>
            <color indexed="81"/>
            <rFont val="Tahoma"/>
            <family val="2"/>
          </rPr>
          <t xml:space="preserve">
Initiated in 1933:
http://www.cdc.gov/nchs/data/isp/016_Methods_And_Problems_of_Civil_Registration_Practices_and_Vital_Stat_Collection_in_Africa.pdf
http://www.refworld.org/country,LEGAL,,,CIV,50ffbce525c,,,0.html#SRTop11</t>
        </r>
      </text>
    </comment>
    <comment ref="AG44" authorId="2" shapeId="0">
      <text>
        <r>
          <rPr>
            <b/>
            <sz val="9"/>
            <color indexed="81"/>
            <rFont val="Tahoma"/>
            <family val="2"/>
          </rPr>
          <t>Huan Zhang:</t>
        </r>
        <r>
          <rPr>
            <sz val="9"/>
            <color indexed="81"/>
            <rFont val="Tahoma"/>
            <family val="2"/>
          </rPr>
          <t xml:space="preserve">
http://www.morpho.com/IMG/pdf/CASE_STUDY_Cote_d_Ivoire-final_EN_10_2014.pdf</t>
        </r>
      </text>
    </comment>
    <comment ref="AK44" authorId="2" shapeId="0">
      <text>
        <r>
          <rPr>
            <b/>
            <sz val="9"/>
            <color indexed="81"/>
            <rFont val="Tahoma"/>
            <family val="2"/>
          </rPr>
          <t>Huan Zhang:</t>
        </r>
        <r>
          <rPr>
            <sz val="9"/>
            <color indexed="81"/>
            <rFont val="Tahoma"/>
            <family val="2"/>
          </rPr>
          <t xml:space="preserve">
http://www.morpho.com/references/identite-125/morpho-helps-end-a-decade-of-conflict-in-cote-d-ivoire?lang=en</t>
        </r>
      </text>
    </comment>
    <comment ref="AM44" authorId="0" shapeId="0">
      <text>
        <r>
          <rPr>
            <b/>
            <sz val="9"/>
            <color indexed="81"/>
            <rFont val="Tahoma"/>
            <family val="2"/>
          </rPr>
          <t>Cem Dener:</t>
        </r>
        <r>
          <rPr>
            <sz val="9"/>
            <color indexed="81"/>
            <rFont val="Tahoma"/>
            <family val="2"/>
          </rPr>
          <t xml:space="preserve">
SAFRAN/MORPHO
http://news.ecowas.int/presseshow.php?nb=240&amp;lang=en&amp;annee=2014</t>
        </r>
      </text>
    </comment>
    <comment ref="R45" authorId="0" shapeId="0">
      <text>
        <r>
          <rPr>
            <b/>
            <sz val="9"/>
            <color indexed="81"/>
            <rFont val="Tahoma"/>
            <family val="2"/>
          </rPr>
          <t>Cem Dener:</t>
        </r>
        <r>
          <rPr>
            <sz val="9"/>
            <color indexed="81"/>
            <rFont val="Tahoma"/>
            <family val="2"/>
          </rPr>
          <t xml:space="preserve">
New version: 2013</t>
        </r>
      </text>
    </comment>
    <comment ref="Z45" authorId="0" shapeId="0">
      <text>
        <r>
          <rPr>
            <b/>
            <sz val="9"/>
            <color indexed="81"/>
            <rFont val="Tahoma"/>
            <family val="2"/>
          </rPr>
          <t>Cem Dener:</t>
        </r>
        <r>
          <rPr>
            <sz val="9"/>
            <color indexed="81"/>
            <rFont val="Tahoma"/>
            <family val="2"/>
          </rPr>
          <t xml:space="preserve">
http://en.wikipedia.org/wiki/Personal_identification_number_(Croatia)</t>
        </r>
      </text>
    </comment>
    <comment ref="AD45" authorId="0" shapeId="0">
      <text>
        <r>
          <rPr>
            <b/>
            <sz val="9"/>
            <color indexed="81"/>
            <rFont val="Tahoma"/>
            <family val="2"/>
          </rPr>
          <t>Cem Dener:</t>
        </r>
        <r>
          <rPr>
            <sz val="9"/>
            <color indexed="81"/>
            <rFont val="Tahoma"/>
            <family val="2"/>
          </rPr>
          <t xml:space="preserve">
http://ec.europa.eu/idabc/servlets/Doc2955.pdf?id=32299</t>
        </r>
      </text>
    </comment>
    <comment ref="CG45" authorId="0" shapeId="0">
      <text>
        <r>
          <rPr>
            <b/>
            <sz val="9"/>
            <color indexed="81"/>
            <rFont val="Tahoma"/>
            <family val="2"/>
          </rPr>
          <t>Cem Dener:</t>
        </r>
        <r>
          <rPr>
            <sz val="9"/>
            <color indexed="81"/>
            <rFont val="Tahoma"/>
            <family val="2"/>
          </rPr>
          <t xml:space="preserve">
No data.
Estimated BR rate</t>
        </r>
      </text>
    </comment>
    <comment ref="CH45" authorId="0" shapeId="0">
      <text>
        <r>
          <rPr>
            <b/>
            <sz val="9"/>
            <color indexed="81"/>
            <rFont val="Tahoma"/>
            <family val="2"/>
          </rPr>
          <t>Cem Dener:</t>
        </r>
        <r>
          <rPr>
            <sz val="9"/>
            <color indexed="81"/>
            <rFont val="Tahoma"/>
            <family val="2"/>
          </rPr>
          <t xml:space="preserve">
No data.
Estimated BR rate</t>
        </r>
      </text>
    </comment>
    <comment ref="CI45" authorId="0" shapeId="0">
      <text>
        <r>
          <rPr>
            <b/>
            <sz val="9"/>
            <color indexed="81"/>
            <rFont val="Tahoma"/>
            <family val="2"/>
          </rPr>
          <t>Cem Dener:</t>
        </r>
        <r>
          <rPr>
            <sz val="9"/>
            <color indexed="81"/>
            <rFont val="Tahoma"/>
            <family val="2"/>
          </rPr>
          <t xml:space="preserve">
No data.
Estimated BR rate</t>
        </r>
      </text>
    </comment>
    <comment ref="CN45" authorId="0" shapeId="0">
      <text>
        <r>
          <rPr>
            <b/>
            <sz val="9"/>
            <color indexed="81"/>
            <rFont val="Tahoma"/>
            <family val="2"/>
          </rPr>
          <t>Cem Dener:</t>
        </r>
        <r>
          <rPr>
            <sz val="9"/>
            <color indexed="81"/>
            <rFont val="Tahoma"/>
            <family val="2"/>
          </rPr>
          <t xml:space="preserve">
Voting Age Population was used (Registered voter was greater than VAP)</t>
        </r>
      </text>
    </comment>
    <comment ref="CS45" authorId="0" shapeId="0">
      <text>
        <r>
          <rPr>
            <b/>
            <sz val="9"/>
            <color indexed="81"/>
            <rFont val="Tahoma"/>
            <family val="2"/>
          </rPr>
          <t>Cem Dener:</t>
        </r>
        <r>
          <rPr>
            <sz val="9"/>
            <color indexed="81"/>
            <rFont val="Tahoma"/>
            <family val="2"/>
          </rPr>
          <t xml:space="preserve">
http://www.izbori.hr/ws/index.html</t>
        </r>
      </text>
    </comment>
    <comment ref="R46" authorId="0" shapeId="0">
      <text>
        <r>
          <rPr>
            <b/>
            <sz val="9"/>
            <color indexed="81"/>
            <rFont val="Tahoma"/>
            <family val="2"/>
          </rPr>
          <t>Cem Dener:</t>
        </r>
        <r>
          <rPr>
            <sz val="9"/>
            <color indexed="81"/>
            <rFont val="Tahoma"/>
            <family val="2"/>
          </rPr>
          <t xml:space="preserve">
http://75aniversario.efe.com/noticias/2-de-marzo-de-1944-se-crea-el-documento-nacional-de-identidad-dni/</t>
        </r>
      </text>
    </comment>
    <comment ref="AK46" authorId="2" shapeId="0">
      <text>
        <r>
          <rPr>
            <b/>
            <sz val="9"/>
            <color indexed="81"/>
            <rFont val="Tahoma"/>
            <family val="2"/>
          </rPr>
          <t>Huan Zhang:</t>
        </r>
        <r>
          <rPr>
            <sz val="9"/>
            <color indexed="81"/>
            <rFont val="Tahoma"/>
            <family val="2"/>
          </rPr>
          <t xml:space="preserve">
http://www.cubaheadlines.com/2014/12/17/p6/new-cuban-id-is-already-in-the-hands-of-more-than-40000-people.html</t>
        </r>
      </text>
    </comment>
    <comment ref="AL46" authorId="0" shapeId="0">
      <text>
        <r>
          <rPr>
            <b/>
            <sz val="9"/>
            <color indexed="81"/>
            <rFont val="Tahoma"/>
            <family val="2"/>
          </rPr>
          <t>Cem Dener:</t>
        </r>
        <r>
          <rPr>
            <sz val="9"/>
            <color indexed="81"/>
            <rFont val="Tahoma"/>
            <family val="2"/>
          </rPr>
          <t xml:space="preserve">
DATYS Tecnología y Sistemas</t>
        </r>
      </text>
    </comment>
    <comment ref="AM46" authorId="0" shapeId="0">
      <text>
        <r>
          <rPr>
            <b/>
            <sz val="9"/>
            <color indexed="81"/>
            <rFont val="Tahoma"/>
            <family val="2"/>
          </rPr>
          <t>Cem Dener:</t>
        </r>
        <r>
          <rPr>
            <sz val="9"/>
            <color indexed="81"/>
            <rFont val="Tahoma"/>
            <family val="2"/>
          </rPr>
          <t xml:space="preserve">
http://www.cubaheadlines.com/2014/12/17/p6/new-cuban-id-is-already-in-the-hands-of-more-than-40000-people.html
http://www.cuba.cu/categorias.php
http://www.granma.cu/cuba/2014-10-16/nuevo-carne-de-identidad-a-partir-del-29-de-octubre   
</t>
        </r>
      </text>
    </comment>
    <comment ref="AU46" authorId="0" shapeId="0">
      <text>
        <r>
          <rPr>
            <b/>
            <sz val="9"/>
            <color indexed="81"/>
            <rFont val="Tahoma"/>
            <family val="2"/>
          </rPr>
          <t>Cem Dener:</t>
        </r>
        <r>
          <rPr>
            <sz val="9"/>
            <color indexed="81"/>
            <rFont val="Tahoma"/>
            <family val="2"/>
          </rPr>
          <t xml:space="preserve">
http://www.dw.de/cubas-new-travel-rules-still-restrictive/a-16519708
http://www.nysun.com/foreign/huge-costs-confront-cubans-who-seek-to-travel/88153/</t>
        </r>
      </text>
    </comment>
    <comment ref="AZ46" authorId="0" shapeId="0">
      <text>
        <r>
          <rPr>
            <b/>
            <sz val="9"/>
            <color indexed="81"/>
            <rFont val="Tahoma"/>
            <family val="2"/>
          </rPr>
          <t>Cem Dener:</t>
        </r>
        <r>
          <rPr>
            <sz val="9"/>
            <color indexed="81"/>
            <rFont val="Tahoma"/>
            <family val="2"/>
          </rPr>
          <t xml:space="preserve">
Company Registration is not automated yet</t>
        </r>
      </text>
    </comment>
    <comment ref="R47" authorId="0" shapeId="0">
      <text>
        <r>
          <rPr>
            <b/>
            <sz val="9"/>
            <color indexed="81"/>
            <rFont val="Tahoma"/>
            <family val="2"/>
          </rPr>
          <t>Cem Dener:</t>
        </r>
        <r>
          <rPr>
            <sz val="9"/>
            <color indexed="81"/>
            <rFont val="Tahoma"/>
            <family val="2"/>
          </rPr>
          <t xml:space="preserve">
http://www.refworld.org/pdfid/50b393b22.pdf</t>
        </r>
      </text>
    </comment>
    <comment ref="AZ47" authorId="2" shapeId="0">
      <text>
        <r>
          <rPr>
            <b/>
            <sz val="9"/>
            <color indexed="81"/>
            <rFont val="Tahoma"/>
            <family val="2"/>
          </rPr>
          <t>Huan Zhang:</t>
        </r>
        <r>
          <rPr>
            <sz val="9"/>
            <color indexed="81"/>
            <rFont val="Tahoma"/>
            <family val="2"/>
          </rPr>
          <t xml:space="preserve">
Registration initiated in 1968</t>
        </r>
      </text>
    </comment>
    <comment ref="BD47" authorId="2" shapeId="0">
      <text>
        <r>
          <rPr>
            <b/>
            <sz val="9"/>
            <color indexed="81"/>
            <rFont val="Tahoma"/>
            <family val="2"/>
          </rPr>
          <t>Huan Zhang:</t>
        </r>
        <r>
          <rPr>
            <sz val="9"/>
            <color indexed="81"/>
            <rFont val="Tahoma"/>
            <family val="2"/>
          </rPr>
          <t xml:space="preserve">
http://www.aretilawyers.com/en/legal/66-registration-and-obtaining-a-tax-identification-code-t-i-c</t>
        </r>
      </text>
    </comment>
    <comment ref="CS47" authorId="0" shapeId="0">
      <text>
        <r>
          <rPr>
            <b/>
            <sz val="9"/>
            <color indexed="81"/>
            <rFont val="Tahoma"/>
            <family val="2"/>
          </rPr>
          <t>Cem Dener:</t>
        </r>
        <r>
          <rPr>
            <sz val="9"/>
            <color indexed="81"/>
            <rFont val="Tahoma"/>
            <family val="2"/>
          </rPr>
          <t xml:space="preserve">
http://www.electionguide.org/countries/id/57/</t>
        </r>
      </text>
    </comment>
    <comment ref="HV47" authorId="3" shapeId="0">
      <text>
        <r>
          <rPr>
            <b/>
            <sz val="9"/>
            <color indexed="81"/>
            <rFont val="Tahoma"/>
            <family val="2"/>
          </rPr>
          <t>Irenezh1016:</t>
        </r>
        <r>
          <rPr>
            <sz val="9"/>
            <color indexed="81"/>
            <rFont val="Tahoma"/>
            <family val="2"/>
          </rPr>
          <t xml:space="preserve">
Article 19(2) of the Constitution includes the freedom to hold opinions and receive and impart information and ideas without interference by any public authority and regardless of frontiers as part of the right to freedom of speech and expression.</t>
        </r>
      </text>
    </comment>
    <comment ref="K48" authorId="0" shapeId="0">
      <text>
        <r>
          <rPr>
            <b/>
            <sz val="9"/>
            <color indexed="81"/>
            <rFont val="Tahoma"/>
            <family val="2"/>
          </rPr>
          <t>Cem Dener:</t>
        </r>
        <r>
          <rPr>
            <sz val="9"/>
            <color indexed="81"/>
            <rFont val="Tahoma"/>
            <family val="2"/>
          </rPr>
          <t xml:space="preserve">
http://cs.wikipedia.org/wiki/Rodn%C3%A9_%C4%8D%C3%ADslo</t>
        </r>
      </text>
    </comment>
    <comment ref="AF48" authorId="2" shapeId="0">
      <text>
        <r>
          <rPr>
            <b/>
            <sz val="9"/>
            <color indexed="81"/>
            <rFont val="Tahoma"/>
            <family val="2"/>
          </rPr>
          <t>Huan Zhang:</t>
        </r>
        <r>
          <rPr>
            <sz val="9"/>
            <color indexed="81"/>
            <rFont val="Tahoma"/>
            <family val="2"/>
          </rPr>
          <t xml:space="preserve">
http://www.gemalto.com/govt/customer-cases/czech-id</t>
        </r>
      </text>
    </comment>
    <comment ref="AJ48" authorId="2" shapeId="0">
      <text>
        <r>
          <rPr>
            <b/>
            <sz val="9"/>
            <color indexed="81"/>
            <rFont val="Tahoma"/>
            <family val="2"/>
          </rPr>
          <t>Huan Zhang:</t>
        </r>
        <r>
          <rPr>
            <sz val="9"/>
            <color indexed="81"/>
            <rFont val="Tahoma"/>
            <family val="2"/>
          </rPr>
          <t xml:space="preserve">
http://www.gemalto.com/brochures-site/download-site/Documents/gov_cs_czech_eID_card.pdf</t>
        </r>
      </text>
    </comment>
    <comment ref="AM48" authorId="0" shapeId="0">
      <text>
        <r>
          <rPr>
            <b/>
            <sz val="9"/>
            <color indexed="81"/>
            <rFont val="Tahoma"/>
            <family val="2"/>
          </rPr>
          <t>Cem Dener:</t>
        </r>
        <r>
          <rPr>
            <sz val="9"/>
            <color indexed="81"/>
            <rFont val="Tahoma"/>
            <family val="2"/>
          </rPr>
          <t xml:space="preserve">
http://www.smartpaymentassociation.com/en/news_events/latest_news/smart-payment-association-spa-welcomes-tr%C3%BCb-ag-as-_hxpx6922.html</t>
        </r>
      </text>
    </comment>
    <comment ref="AY48" authorId="0" shapeId="0">
      <text>
        <r>
          <rPr>
            <b/>
            <sz val="9"/>
            <color indexed="81"/>
            <rFont val="Tahoma"/>
            <family val="2"/>
          </rPr>
          <t>Cem Dener:</t>
        </r>
        <r>
          <rPr>
            <sz val="9"/>
            <color indexed="81"/>
            <rFont val="Tahoma"/>
            <family val="2"/>
          </rPr>
          <t xml:space="preserve">
http://portal.justice.cz/uvod/JusticeEN.aspx</t>
        </r>
      </text>
    </comment>
    <comment ref="AZ48" authorId="2" shapeId="0">
      <text>
        <r>
          <rPr>
            <b/>
            <sz val="9"/>
            <color indexed="81"/>
            <rFont val="Tahoma"/>
            <family val="2"/>
          </rPr>
          <t>Huan Zhang:</t>
        </r>
        <r>
          <rPr>
            <sz val="9"/>
            <color indexed="81"/>
            <rFont val="Tahoma"/>
            <family val="2"/>
          </rPr>
          <t xml:space="preserve">
Registration initiated in 1991</t>
        </r>
      </text>
    </comment>
    <comment ref="CS48" authorId="0" shapeId="0">
      <text>
        <r>
          <rPr>
            <b/>
            <sz val="9"/>
            <color indexed="81"/>
            <rFont val="Tahoma"/>
            <family val="2"/>
          </rPr>
          <t>Cem Dener:</t>
        </r>
        <r>
          <rPr>
            <sz val="9"/>
            <color indexed="81"/>
            <rFont val="Tahoma"/>
            <family val="2"/>
          </rPr>
          <t xml:space="preserve">
http://www.electionguide.org/countries/id/58/</t>
        </r>
      </text>
    </comment>
    <comment ref="H49" authorId="0" shapeId="0">
      <text>
        <r>
          <rPr>
            <b/>
            <sz val="9"/>
            <color indexed="81"/>
            <rFont val="Tahoma"/>
            <family val="2"/>
          </rPr>
          <t>Cem Dener:</t>
        </r>
        <r>
          <rPr>
            <sz val="9"/>
            <color indexed="81"/>
            <rFont val="Tahoma"/>
            <family val="2"/>
          </rPr>
          <t xml:space="preserve">
http://www.borger.dk</t>
        </r>
      </text>
    </comment>
    <comment ref="S49" authorId="0" shapeId="0">
      <text>
        <r>
          <rPr>
            <b/>
            <sz val="9"/>
            <color indexed="81"/>
            <rFont val="Tahoma"/>
            <family val="2"/>
          </rPr>
          <t>Cem Dener:</t>
        </r>
        <r>
          <rPr>
            <sz val="9"/>
            <color indexed="81"/>
            <rFont val="Tahoma"/>
            <family val="2"/>
          </rPr>
          <t xml:space="preserve">
Danish citizens are not required by law to carry an identity card. A traditional identity document (without photo), the personal identification number certificate (Danish:Personnummerbevis) is of little use in Danish society, as it has been largely replaced by the much more versatile National Health Insurance Card (Danish:Sundhedskortet) which contains the same information and more. The National Health Insurance Card is issued to all citizens age 12 and above</t>
        </r>
      </text>
    </comment>
    <comment ref="V49" authorId="0" shapeId="0">
      <text>
        <r>
          <rPr>
            <b/>
            <sz val="9"/>
            <color indexed="81"/>
            <rFont val="Tahoma"/>
            <family val="2"/>
          </rPr>
          <t>Cem Dener:</t>
        </r>
        <r>
          <rPr>
            <sz val="9"/>
            <color indexed="81"/>
            <rFont val="Tahoma"/>
            <family val="2"/>
          </rPr>
          <t xml:space="preserve">
National Health Insurance Card</t>
        </r>
      </text>
    </comment>
    <comment ref="AL49" authorId="0" shapeId="0">
      <text>
        <r>
          <rPr>
            <b/>
            <sz val="9"/>
            <color indexed="81"/>
            <rFont val="Tahoma"/>
            <family val="2"/>
          </rPr>
          <t>Cem Dener:</t>
        </r>
        <r>
          <rPr>
            <sz val="9"/>
            <color indexed="81"/>
            <rFont val="Tahoma"/>
            <family val="2"/>
          </rPr>
          <t xml:space="preserve">
eERP
Residence Permit</t>
        </r>
      </text>
    </comment>
    <comment ref="AM49" authorId="0" shapeId="0">
      <text>
        <r>
          <rPr>
            <b/>
            <sz val="9"/>
            <color indexed="81"/>
            <rFont val="Tahoma"/>
            <family val="2"/>
          </rPr>
          <t>Cem Dener:</t>
        </r>
        <r>
          <rPr>
            <sz val="9"/>
            <color indexed="81"/>
            <rFont val="Tahoma"/>
            <family val="2"/>
          </rPr>
          <t xml:space="preserve">
http://www.gemalto.com/govt/customer-cases/denmark-bio-eresidence-card</t>
        </r>
      </text>
    </comment>
    <comment ref="AZ49" authorId="2" shapeId="0">
      <text>
        <r>
          <rPr>
            <b/>
            <sz val="9"/>
            <color indexed="81"/>
            <rFont val="Tahoma"/>
            <family val="2"/>
          </rPr>
          <t>Huan Zhang:</t>
        </r>
        <r>
          <rPr>
            <sz val="9"/>
            <color indexed="81"/>
            <rFont val="Tahoma"/>
            <family val="2"/>
          </rPr>
          <t xml:space="preserve">
Registration initiated in 1996</t>
        </r>
      </text>
    </comment>
    <comment ref="CS49" authorId="0" shapeId="0">
      <text>
        <r>
          <rPr>
            <b/>
            <sz val="9"/>
            <color indexed="81"/>
            <rFont val="Tahoma"/>
            <family val="2"/>
          </rPr>
          <t>Cem Dener:</t>
        </r>
        <r>
          <rPr>
            <sz val="9"/>
            <color indexed="81"/>
            <rFont val="Tahoma"/>
            <family val="2"/>
          </rPr>
          <t xml:space="preserve">
http://www.ft.dk/Valg.aspx  </t>
        </r>
      </text>
    </comment>
    <comment ref="O50" authorId="0" shapeId="0">
      <text>
        <r>
          <rPr>
            <b/>
            <sz val="9"/>
            <color indexed="81"/>
            <rFont val="Tahoma"/>
            <family val="2"/>
          </rPr>
          <t>Cem Dener:</t>
        </r>
        <r>
          <rPr>
            <sz val="9"/>
            <color indexed="81"/>
            <rFont val="Tahoma"/>
            <family val="2"/>
          </rPr>
          <t xml:space="preserve">
http://www.lanationdj.com/ministere-linterieur-decentralisation-ministre-linterieur-lance-vaste-campagne-seances-foraines/#</t>
        </r>
      </text>
    </comment>
    <comment ref="R50" authorId="0" shapeId="0">
      <text>
        <r>
          <rPr>
            <b/>
            <sz val="9"/>
            <color indexed="81"/>
            <rFont val="Tahoma"/>
            <family val="2"/>
          </rPr>
          <t>Cem Dener:</t>
        </r>
        <r>
          <rPr>
            <sz val="9"/>
            <color indexed="81"/>
            <rFont val="Tahoma"/>
            <family val="2"/>
          </rPr>
          <t xml:space="preserve">
http://www.refworld.org/country,LEGAL,,,DJI,50ffbce525c,,,0.html</t>
        </r>
      </text>
    </comment>
    <comment ref="AE50" authorId="0" shapeId="0">
      <text>
        <r>
          <rPr>
            <b/>
            <sz val="9"/>
            <color indexed="81"/>
            <rFont val="Tahoma"/>
            <family val="2"/>
          </rPr>
          <t>Cem Dener:</t>
        </r>
        <r>
          <rPr>
            <sz val="9"/>
            <color indexed="81"/>
            <rFont val="Tahoma"/>
            <family val="2"/>
          </rPr>
          <t xml:space="preserve">
Expected to be rolloed out until 2016</t>
        </r>
      </text>
    </comment>
    <comment ref="AM50" authorId="0" shapeId="0">
      <text>
        <r>
          <rPr>
            <b/>
            <sz val="9"/>
            <color indexed="81"/>
            <rFont val="Tahoma"/>
            <family val="2"/>
          </rPr>
          <t>Cem Dener:</t>
        </r>
        <r>
          <rPr>
            <sz val="9"/>
            <color indexed="81"/>
            <rFont val="Tahoma"/>
            <family val="2"/>
          </rPr>
          <t xml:space="preserve">
http://french.china.org.cn/foreign/txt/2014-08/20/content_33284670.htm</t>
        </r>
      </text>
    </comment>
    <comment ref="AZ50" authorId="2" shapeId="0">
      <text>
        <r>
          <rPr>
            <b/>
            <sz val="9"/>
            <color indexed="81"/>
            <rFont val="Tahoma"/>
            <family val="2"/>
          </rPr>
          <t>Huan Zhang:</t>
        </r>
        <r>
          <rPr>
            <sz val="9"/>
            <color indexed="81"/>
            <rFont val="Tahoma"/>
            <family val="2"/>
          </rPr>
          <t xml:space="preserve">
http://www.polity.org.za/article/conducting-a-business-ethiopia-djibouti-2014-06-17</t>
        </r>
      </text>
    </comment>
    <comment ref="AE51" authorId="0" shapeId="0">
      <text>
        <r>
          <rPr>
            <b/>
            <sz val="9"/>
            <color indexed="81"/>
            <rFont val="Tahoma"/>
            <family val="2"/>
          </rPr>
          <t>Cem Dener:</t>
        </r>
        <r>
          <rPr>
            <sz val="9"/>
            <color indexed="81"/>
            <rFont val="Tahoma"/>
            <family val="2"/>
          </rPr>
          <t xml:space="preserve">
Expected to be rolloed out until 2016
</t>
        </r>
      </text>
    </comment>
    <comment ref="AF51" authorId="2" shapeId="0">
      <text>
        <r>
          <rPr>
            <b/>
            <sz val="9"/>
            <color indexed="81"/>
            <rFont val="Tahoma"/>
            <family val="2"/>
          </rPr>
          <t>Huan Zhang:</t>
        </r>
        <r>
          <rPr>
            <sz val="9"/>
            <color indexed="81"/>
            <rFont val="Tahoma"/>
            <family val="2"/>
          </rPr>
          <t xml:space="preserve">
http://dominicanewsonline.com/news/homepage/news/general/multi-purpose-identification-card-to-be-issued-in-october/</t>
        </r>
      </text>
    </comment>
    <comment ref="AL51" authorId="0" shapeId="0">
      <text>
        <r>
          <rPr>
            <b/>
            <sz val="9"/>
            <color indexed="81"/>
            <rFont val="Tahoma"/>
            <family val="2"/>
          </rPr>
          <t>Cem Dener:</t>
        </r>
        <r>
          <rPr>
            <sz val="9"/>
            <color indexed="81"/>
            <rFont val="Tahoma"/>
            <family val="2"/>
          </rPr>
          <t xml:space="preserve">
Unknown</t>
        </r>
      </text>
    </comment>
    <comment ref="AM51" authorId="0" shapeId="0">
      <text>
        <r>
          <rPr>
            <b/>
            <sz val="9"/>
            <color indexed="81"/>
            <rFont val="Tahoma"/>
            <family val="2"/>
          </rPr>
          <t>Cem Dener:</t>
        </r>
        <r>
          <rPr>
            <sz val="9"/>
            <color indexed="81"/>
            <rFont val="Tahoma"/>
            <family val="2"/>
          </rPr>
          <t xml:space="preserve">
http://dominicanewsonline.com/news/homepage/news/general/multi-purpose-identification-card-to-be-issued-in-october/
http://dominicanewsonline.com/news/homepage/news/astaphan-questions-issuing-of-national-id-cards-by-electoral-commission-with-poll/
</t>
        </r>
      </text>
    </comment>
    <comment ref="AZ51" authorId="2" shapeId="0">
      <text>
        <r>
          <rPr>
            <b/>
            <sz val="9"/>
            <color indexed="81"/>
            <rFont val="Tahoma"/>
            <family val="2"/>
          </rPr>
          <t>Huan Zhang:</t>
        </r>
        <r>
          <rPr>
            <sz val="9"/>
            <color indexed="81"/>
            <rFont val="Tahoma"/>
            <family val="2"/>
          </rPr>
          <t xml:space="preserve">
Registration initiated in 1999</t>
        </r>
      </text>
    </comment>
    <comment ref="CF51" authorId="0" shapeId="0">
      <text>
        <r>
          <rPr>
            <b/>
            <sz val="9"/>
            <color indexed="81"/>
            <rFont val="Tahoma"/>
            <family val="2"/>
          </rPr>
          <t>Cem Dener:</t>
        </r>
        <r>
          <rPr>
            <sz val="9"/>
            <color indexed="81"/>
            <rFont val="Tahoma"/>
            <family val="2"/>
          </rPr>
          <t xml:space="preserve">
2011:
http://finance.gov.dm/index.php/statistics/file/20-2011-census-report </t>
        </r>
      </text>
    </comment>
    <comment ref="CG51" authorId="0" shapeId="0">
      <text>
        <r>
          <rPr>
            <b/>
            <sz val="9"/>
            <color indexed="81"/>
            <rFont val="Tahoma"/>
            <family val="2"/>
          </rPr>
          <t>Cem Dener:</t>
        </r>
        <r>
          <rPr>
            <sz val="9"/>
            <color indexed="81"/>
            <rFont val="Tahoma"/>
            <family val="2"/>
          </rPr>
          <t xml:space="preserve">
No data.
Estimated BR rate</t>
        </r>
      </text>
    </comment>
    <comment ref="CH51" authorId="0" shapeId="0">
      <text>
        <r>
          <rPr>
            <b/>
            <sz val="9"/>
            <color indexed="81"/>
            <rFont val="Tahoma"/>
            <family val="2"/>
          </rPr>
          <t>Cem Dener:</t>
        </r>
        <r>
          <rPr>
            <sz val="9"/>
            <color indexed="81"/>
            <rFont val="Tahoma"/>
            <family val="2"/>
          </rPr>
          <t xml:space="preserve">
No data.
Estimated BR rate</t>
        </r>
      </text>
    </comment>
    <comment ref="CI51" authorId="0" shapeId="0">
      <text>
        <r>
          <rPr>
            <b/>
            <sz val="9"/>
            <color indexed="81"/>
            <rFont val="Tahoma"/>
            <family val="2"/>
          </rPr>
          <t>Cem Dener:</t>
        </r>
        <r>
          <rPr>
            <sz val="9"/>
            <color indexed="81"/>
            <rFont val="Tahoma"/>
            <family val="2"/>
          </rPr>
          <t xml:space="preserve">
No data.
Estimated BR rate</t>
        </r>
      </text>
    </comment>
    <comment ref="CN51" authorId="0" shapeId="0">
      <text>
        <r>
          <rPr>
            <b/>
            <sz val="9"/>
            <color indexed="81"/>
            <rFont val="Tahoma"/>
            <family val="2"/>
          </rPr>
          <t>Cem Dener:</t>
        </r>
        <r>
          <rPr>
            <sz val="9"/>
            <color indexed="81"/>
            <rFont val="Tahoma"/>
            <family val="2"/>
          </rPr>
          <t xml:space="preserve">
Voting Age Population was used (Registered voter was greater than VAP)</t>
        </r>
      </text>
    </comment>
    <comment ref="DY51" authorId="0" shapeId="0">
      <text>
        <r>
          <rPr>
            <b/>
            <sz val="9"/>
            <color indexed="81"/>
            <rFont val="Tahoma"/>
            <family val="2"/>
          </rPr>
          <t>Cem Dener:</t>
        </r>
        <r>
          <rPr>
            <sz val="9"/>
            <color indexed="81"/>
            <rFont val="Tahoma"/>
            <family val="2"/>
          </rPr>
          <t xml:space="preserve">
http://www.bb.undp.org/content/barbados/en/home/ourwork/povertyreduction/in_depth/</t>
        </r>
      </text>
    </comment>
    <comment ref="HV51" authorId="3" shapeId="0">
      <text>
        <r>
          <rPr>
            <b/>
            <sz val="9"/>
            <color indexed="81"/>
            <rFont val="Tahoma"/>
            <family val="2"/>
          </rPr>
          <t>Irenezh1016:</t>
        </r>
        <r>
          <rPr>
            <sz val="9"/>
            <color indexed="81"/>
            <rFont val="Tahoma"/>
            <family val="2"/>
          </rPr>
          <t xml:space="preserve">
Section 10 of the Constitution includes the freedom to receive ideas and information without interference freedom to communicate ideas and information without interference as part of the right to freedom of expression.</t>
        </r>
      </text>
    </comment>
    <comment ref="H52" authorId="0" shapeId="0">
      <text>
        <r>
          <rPr>
            <b/>
            <sz val="9"/>
            <color indexed="81"/>
            <rFont val="Tahoma"/>
            <family val="2"/>
          </rPr>
          <t>Cem Dener:</t>
        </r>
        <r>
          <rPr>
            <sz val="9"/>
            <color indexed="81"/>
            <rFont val="Tahoma"/>
            <family val="2"/>
          </rPr>
          <t xml:space="preserve">
http://www.one.gob.do</t>
        </r>
      </text>
    </comment>
    <comment ref="M52" authorId="0" shapeId="0">
      <text>
        <r>
          <rPr>
            <b/>
            <sz val="9"/>
            <color indexed="81"/>
            <rFont val="Tahoma"/>
            <family val="2"/>
          </rPr>
          <t>Cem Dener:</t>
        </r>
        <r>
          <rPr>
            <sz val="9"/>
            <color indexed="81"/>
            <rFont val="Tahoma"/>
            <family val="2"/>
          </rPr>
          <t xml:space="preserve">
30 di</t>
        </r>
        <r>
          <rPr>
            <sz val="9"/>
            <color indexed="81"/>
            <rFont val="Calibri"/>
            <family val="2"/>
          </rPr>
          <t>á</t>
        </r>
        <r>
          <rPr>
            <sz val="9"/>
            <color indexed="81"/>
            <rFont val="Tahoma"/>
            <family val="2"/>
          </rPr>
          <t>s en la capital y
60 diás en el interior</t>
        </r>
      </text>
    </comment>
    <comment ref="AG52" authorId="2" shapeId="0">
      <text>
        <r>
          <rPr>
            <b/>
            <sz val="9"/>
            <color indexed="81"/>
            <rFont val="Tahoma"/>
            <family val="2"/>
          </rPr>
          <t>Huan Zhang:</t>
        </r>
        <r>
          <rPr>
            <sz val="9"/>
            <color indexed="81"/>
            <rFont val="Tahoma"/>
            <family val="2"/>
          </rPr>
          <t xml:space="preserve">
http://www.sosuanews.com/mobi.php?id=3044&amp;article=1</t>
        </r>
      </text>
    </comment>
    <comment ref="AL52" authorId="0" shapeId="0">
      <text>
        <r>
          <rPr>
            <b/>
            <sz val="9"/>
            <color indexed="81"/>
            <rFont val="Tahoma"/>
            <family val="2"/>
          </rPr>
          <t>Cem Dener:</t>
        </r>
        <r>
          <rPr>
            <sz val="9"/>
            <color indexed="81"/>
            <rFont val="Tahoma"/>
            <family val="2"/>
          </rPr>
          <t xml:space="preserve">
Unknown</t>
        </r>
      </text>
    </comment>
    <comment ref="AZ52" authorId="2" shapeId="0">
      <text>
        <r>
          <rPr>
            <b/>
            <sz val="9"/>
            <color indexed="81"/>
            <rFont val="Tahoma"/>
            <family val="2"/>
          </rPr>
          <t>Huan Zhang:</t>
        </r>
        <r>
          <rPr>
            <sz val="9"/>
            <color indexed="81"/>
            <rFont val="Tahoma"/>
            <family val="2"/>
          </rPr>
          <t xml:space="preserve">
Registration initiated in 2000</t>
        </r>
      </text>
    </comment>
    <comment ref="BD52" authorId="2" shapeId="0">
      <text>
        <r>
          <rPr>
            <b/>
            <sz val="9"/>
            <color indexed="81"/>
            <rFont val="Tahoma"/>
            <family val="2"/>
          </rPr>
          <t>Huan Zhang:</t>
        </r>
        <r>
          <rPr>
            <sz val="9"/>
            <color indexed="81"/>
            <rFont val="Tahoma"/>
            <family val="2"/>
          </rPr>
          <t xml:space="preserve">
http://www.phlaw.com/imagen?file=articulos/293/main-fiscal-obligations-in-dominican-republic</t>
        </r>
      </text>
    </comment>
    <comment ref="CH52" authorId="0" shapeId="0">
      <text>
        <r>
          <rPr>
            <b/>
            <sz val="9"/>
            <color indexed="81"/>
            <rFont val="Tahoma"/>
            <family val="2"/>
          </rPr>
          <t>Cem Dener:</t>
        </r>
        <r>
          <rPr>
            <sz val="9"/>
            <color indexed="81"/>
            <rFont val="Tahoma"/>
            <family val="2"/>
          </rPr>
          <t xml:space="preserve">
No data.
Estimated BR rate</t>
        </r>
      </text>
    </comment>
    <comment ref="CI52" authorId="0" shapeId="0">
      <text>
        <r>
          <rPr>
            <b/>
            <sz val="9"/>
            <color indexed="81"/>
            <rFont val="Tahoma"/>
            <family val="2"/>
          </rPr>
          <t>Cem Dener:</t>
        </r>
        <r>
          <rPr>
            <sz val="9"/>
            <color indexed="81"/>
            <rFont val="Tahoma"/>
            <family val="2"/>
          </rPr>
          <t xml:space="preserve">
No data.
Estimated BR rate</t>
        </r>
      </text>
    </comment>
    <comment ref="CN52" authorId="0" shapeId="0">
      <text>
        <r>
          <rPr>
            <b/>
            <sz val="9"/>
            <color indexed="81"/>
            <rFont val="Tahoma"/>
            <family val="2"/>
          </rPr>
          <t>Cem Dener:</t>
        </r>
        <r>
          <rPr>
            <sz val="9"/>
            <color indexed="81"/>
            <rFont val="Tahoma"/>
            <family val="2"/>
          </rPr>
          <t xml:space="preserve">
Voting Age Population was used (Registered voter was greater than VAP)</t>
        </r>
      </text>
    </comment>
    <comment ref="FC52" authorId="0" shapeId="0">
      <text>
        <r>
          <rPr>
            <b/>
            <sz val="9"/>
            <color indexed="81"/>
            <rFont val="Tahoma"/>
            <family val="2"/>
          </rPr>
          <t>Cem Dener:</t>
        </r>
        <r>
          <rPr>
            <sz val="9"/>
            <color indexed="81"/>
            <rFont val="Tahoma"/>
            <family val="2"/>
          </rPr>
          <t xml:space="preserve">
8% extreme poverty</t>
        </r>
      </text>
    </comment>
    <comment ref="FJ52" authorId="0" shapeId="0">
      <text>
        <r>
          <rPr>
            <b/>
            <sz val="9"/>
            <color indexed="81"/>
            <rFont val="Tahoma"/>
            <family val="2"/>
          </rPr>
          <t>Cem Dener:</t>
        </r>
        <r>
          <rPr>
            <sz val="9"/>
            <color indexed="81"/>
            <rFont val="Tahoma"/>
            <family val="2"/>
          </rPr>
          <t xml:space="preserve">
30 di</t>
        </r>
        <r>
          <rPr>
            <sz val="9"/>
            <color indexed="81"/>
            <rFont val="Calibri"/>
            <family val="2"/>
          </rPr>
          <t>á</t>
        </r>
        <r>
          <rPr>
            <sz val="9"/>
            <color indexed="81"/>
            <rFont val="Tahoma"/>
            <family val="2"/>
          </rPr>
          <t>s en la capital y
60 diás en el interior</t>
        </r>
      </text>
    </comment>
    <comment ref="H53" authorId="0" shapeId="0">
      <text>
        <r>
          <rPr>
            <b/>
            <sz val="9"/>
            <color indexed="81"/>
            <rFont val="Tahoma"/>
            <family val="2"/>
          </rPr>
          <t>Cem Dener:</t>
        </r>
        <r>
          <rPr>
            <sz val="9"/>
            <color indexed="81"/>
            <rFont val="Tahoma"/>
            <family val="2"/>
          </rPr>
          <t xml:space="preserve">
http://www.concope.gov.ec/index.php?q=node/5
http://www.mmrree.gob.ec/ecuador/geografia.asp</t>
        </r>
      </text>
    </comment>
    <comment ref="N53" authorId="0" shapeId="0">
      <text>
        <r>
          <rPr>
            <b/>
            <sz val="9"/>
            <color indexed="81"/>
            <rFont val="Tahoma"/>
            <family val="2"/>
          </rPr>
          <t>Cem Dener:</t>
        </r>
        <r>
          <rPr>
            <sz val="9"/>
            <color indexed="81"/>
            <rFont val="Tahoma"/>
            <family val="2"/>
          </rPr>
          <t xml:space="preserve">
$0.5 if registered in 30 d.
$2 if late (until 18). 
</t>
        </r>
      </text>
    </comment>
    <comment ref="AZ53" authorId="2" shapeId="0">
      <text>
        <r>
          <rPr>
            <b/>
            <sz val="9"/>
            <color indexed="81"/>
            <rFont val="Tahoma"/>
            <family val="2"/>
          </rPr>
          <t>Huan Zhang:</t>
        </r>
        <r>
          <rPr>
            <sz val="9"/>
            <color indexed="81"/>
            <rFont val="Tahoma"/>
            <family val="2"/>
          </rPr>
          <t xml:space="preserve">
Registration initiated in 2006</t>
        </r>
      </text>
    </comment>
    <comment ref="CN53" authorId="0" shapeId="0">
      <text>
        <r>
          <rPr>
            <b/>
            <sz val="9"/>
            <color indexed="81"/>
            <rFont val="Tahoma"/>
            <family val="2"/>
          </rPr>
          <t>Cem Dener:</t>
        </r>
        <r>
          <rPr>
            <sz val="9"/>
            <color indexed="81"/>
            <rFont val="Tahoma"/>
            <family val="2"/>
          </rPr>
          <t xml:space="preserve">
Voting Age Population was used (Registered voter was greater than VAP)</t>
        </r>
      </text>
    </comment>
    <comment ref="CU53" authorId="0" shapeId="0">
      <text>
        <r>
          <rPr>
            <b/>
            <sz val="9"/>
            <color indexed="81"/>
            <rFont val="Tahoma"/>
            <family val="2"/>
          </rPr>
          <t>Cem Dener:</t>
        </r>
        <r>
          <rPr>
            <sz val="9"/>
            <color indexed="81"/>
            <rFont val="Tahoma"/>
            <family val="2"/>
          </rPr>
          <t xml:space="preserve">
universal, compulsory for literate persons ages 18–65, optional for other eligible voters</t>
        </r>
      </text>
    </comment>
    <comment ref="C54" authorId="0" shapeId="0">
      <text>
        <r>
          <rPr>
            <b/>
            <sz val="9"/>
            <color indexed="81"/>
            <rFont val="Tahoma"/>
            <family val="2"/>
          </rPr>
          <t>Cem Dener:</t>
        </r>
        <r>
          <rPr>
            <sz val="9"/>
            <color indexed="81"/>
            <rFont val="Tahoma"/>
            <family val="2"/>
          </rPr>
          <t xml:space="preserve">
Arab Republic of Egypt</t>
        </r>
      </text>
    </comment>
    <comment ref="S54" authorId="0" shapeId="0">
      <text>
        <r>
          <rPr>
            <b/>
            <sz val="9"/>
            <color indexed="81"/>
            <rFont val="Tahoma"/>
            <family val="2"/>
          </rPr>
          <t>Cem Dener:</t>
        </r>
        <r>
          <rPr>
            <sz val="9"/>
            <color indexed="81"/>
            <rFont val="Tahoma"/>
            <family val="2"/>
          </rPr>
          <t xml:space="preserve">
 "el-biṭāqa ("the card")</t>
        </r>
      </text>
    </comment>
    <comment ref="AZ54" authorId="0" shapeId="0">
      <text>
        <r>
          <rPr>
            <b/>
            <sz val="9"/>
            <color indexed="81"/>
            <rFont val="Tahoma"/>
            <family val="2"/>
          </rPr>
          <t>Cem Dener:</t>
        </r>
        <r>
          <rPr>
            <sz val="9"/>
            <color indexed="81"/>
            <rFont val="Tahoma"/>
            <family val="2"/>
          </rPr>
          <t xml:space="preserve">
Registration initiated in 1976. e-Registry was introduced in 2004.</t>
        </r>
      </text>
    </comment>
    <comment ref="H55" authorId="0" shapeId="0">
      <text>
        <r>
          <rPr>
            <b/>
            <sz val="9"/>
            <color indexed="81"/>
            <rFont val="Tahoma"/>
            <family val="2"/>
          </rPr>
          <t>Cem Dener:</t>
        </r>
        <r>
          <rPr>
            <sz val="9"/>
            <color indexed="81"/>
            <rFont val="Tahoma"/>
            <family val="2"/>
          </rPr>
          <t xml:space="preserve">
http://www.digestyc.gob.sv
www.dui.com.sv</t>
        </r>
      </text>
    </comment>
    <comment ref="AU55" authorId="2" shapeId="0">
      <text>
        <r>
          <rPr>
            <b/>
            <sz val="9"/>
            <color indexed="81"/>
            <rFont val="Tahoma"/>
            <family val="2"/>
          </rPr>
          <t>Huan Zhang:</t>
        </r>
        <r>
          <rPr>
            <sz val="9"/>
            <color indexed="81"/>
            <rFont val="Tahoma"/>
            <family val="2"/>
          </rPr>
          <t xml:space="preserve">
http://elmundo.com.sv/migracion-emitiria-pasaporte-electronico</t>
        </r>
      </text>
    </comment>
    <comment ref="AZ55" authorId="2" shapeId="0">
      <text>
        <r>
          <rPr>
            <b/>
            <sz val="9"/>
            <color indexed="81"/>
            <rFont val="Tahoma"/>
            <family val="2"/>
          </rPr>
          <t>Huan Zhang:</t>
        </r>
        <r>
          <rPr>
            <sz val="9"/>
            <color indexed="81"/>
            <rFont val="Tahoma"/>
            <family val="2"/>
          </rPr>
          <t xml:space="preserve">
Registration initiated in 2005</t>
        </r>
      </text>
    </comment>
    <comment ref="R56" authorId="0" shapeId="0">
      <text>
        <r>
          <rPr>
            <b/>
            <sz val="9"/>
            <color indexed="81"/>
            <rFont val="Tahoma"/>
            <family val="2"/>
          </rPr>
          <t>Cem Dener:</t>
        </r>
        <r>
          <rPr>
            <sz val="9"/>
            <color indexed="81"/>
            <rFont val="Tahoma"/>
            <family val="2"/>
          </rPr>
          <t xml:space="preserve">
http://www.refworld.org/country,LEGAL,,,GNQ,,3ae6b4e220,0.html</t>
        </r>
      </text>
    </comment>
    <comment ref="AU56" authorId="2" shapeId="0">
      <text>
        <r>
          <rPr>
            <b/>
            <sz val="9"/>
            <color indexed="81"/>
            <rFont val="Tahoma"/>
            <family val="2"/>
          </rPr>
          <t>Huan Zhang:</t>
        </r>
        <r>
          <rPr>
            <sz val="9"/>
            <color indexed="81"/>
            <rFont val="Tahoma"/>
            <family val="2"/>
          </rPr>
          <t xml:space="preserve">
Equatorial Guinea passport are non machine-readable without a digital photograph.
http://travel.state.gov/content/visas/english/fees/reciprocity-by-country/EK.html</t>
        </r>
      </text>
    </comment>
    <comment ref="AZ56" authorId="0" shapeId="0">
      <text>
        <r>
          <rPr>
            <b/>
            <sz val="9"/>
            <color indexed="81"/>
            <rFont val="Tahoma"/>
            <family val="2"/>
          </rPr>
          <t>Cem Dener:</t>
        </r>
        <r>
          <rPr>
            <sz val="9"/>
            <color indexed="81"/>
            <rFont val="Tahoma"/>
            <family val="2"/>
          </rPr>
          <t xml:space="preserve">
Online registration is currently not available.</t>
        </r>
      </text>
    </comment>
    <comment ref="DY56" authorId="0" shapeId="0">
      <text>
        <r>
          <rPr>
            <b/>
            <sz val="9"/>
            <color indexed="81"/>
            <rFont val="Tahoma"/>
            <family val="2"/>
          </rPr>
          <t>Cem Dener:</t>
        </r>
        <r>
          <rPr>
            <sz val="9"/>
            <color indexed="81"/>
            <rFont val="Tahoma"/>
            <family val="2"/>
          </rPr>
          <t xml:space="preserve">
http://borgenproject.org/poverty-in-equatorial-guinea/</t>
        </r>
      </text>
    </comment>
    <comment ref="O57" authorId="0" shapeId="0">
      <text>
        <r>
          <rPr>
            <b/>
            <sz val="9"/>
            <color indexed="81"/>
            <rFont val="Tahoma"/>
            <family val="2"/>
          </rPr>
          <t>Cem Dener:</t>
        </r>
        <r>
          <rPr>
            <sz val="9"/>
            <color indexed="81"/>
            <rFont val="Tahoma"/>
            <family val="2"/>
          </rPr>
          <t xml:space="preserve">
http://www.refworld.org/docid/524970044.html
http://www.refworld.org/cgi-bin/texis/vtx/rwmain?docid=52496f484
</t>
        </r>
      </text>
    </comment>
    <comment ref="AG57" authorId="2" shapeId="0">
      <text>
        <r>
          <rPr>
            <b/>
            <sz val="9"/>
            <color indexed="81"/>
            <rFont val="Tahoma"/>
            <family val="2"/>
          </rPr>
          <t>Huan Zhang:</t>
        </r>
        <r>
          <rPr>
            <sz val="9"/>
            <color indexed="81"/>
            <rFont val="Tahoma"/>
            <family val="2"/>
          </rPr>
          <t xml:space="preserve">
http://www.madote.com/2014/04/eritrea-is-preparing-to-distribute-new.html</t>
        </r>
      </text>
    </comment>
    <comment ref="AY57" authorId="2" shapeId="0">
      <text>
        <r>
          <rPr>
            <b/>
            <sz val="9"/>
            <color indexed="81"/>
            <rFont val="Tahoma"/>
            <family val="2"/>
          </rPr>
          <t>Huan Zhang:</t>
        </r>
        <r>
          <rPr>
            <sz val="9"/>
            <color indexed="81"/>
            <rFont val="Tahoma"/>
            <family val="2"/>
          </rPr>
          <t xml:space="preserve">
http://www.polity.org.za/article/conducting-a-business-in-africa-somalia-eritrea-sudan-and-south-sudan-2014-07-08</t>
        </r>
      </text>
    </comment>
    <comment ref="AZ57" authorId="0" shapeId="0">
      <text>
        <r>
          <rPr>
            <b/>
            <sz val="9"/>
            <color indexed="81"/>
            <rFont val="Tahoma"/>
            <family val="2"/>
          </rPr>
          <t>Cem Dener:</t>
        </r>
        <r>
          <rPr>
            <sz val="9"/>
            <color indexed="81"/>
            <rFont val="Tahoma"/>
            <family val="2"/>
          </rPr>
          <t xml:space="preserve">
Company Registration is not automated yet</t>
        </r>
      </text>
    </comment>
    <comment ref="BC57" authorId="0" shapeId="0">
      <text>
        <r>
          <rPr>
            <b/>
            <sz val="9"/>
            <color indexed="81"/>
            <rFont val="Tahoma"/>
            <family val="2"/>
          </rPr>
          <t>Cem Dener:</t>
        </r>
        <r>
          <rPr>
            <sz val="9"/>
            <color indexed="81"/>
            <rFont val="Tahoma"/>
            <family val="2"/>
          </rPr>
          <t xml:space="preserve">
http://www.doingbusiness.org/data/exploreeconomies/eritrea/starting-a-business </t>
        </r>
      </text>
    </comment>
    <comment ref="CG57" authorId="0" shapeId="0">
      <text>
        <r>
          <rPr>
            <b/>
            <sz val="9"/>
            <color indexed="81"/>
            <rFont val="Tahoma"/>
            <family val="2"/>
          </rPr>
          <t>Cem Dener:</t>
        </r>
        <r>
          <rPr>
            <sz val="9"/>
            <color indexed="81"/>
            <rFont val="Tahoma"/>
            <family val="2"/>
          </rPr>
          <t xml:space="preserve">
No data.
Estimated BR rate</t>
        </r>
      </text>
    </comment>
    <comment ref="CH57" authorId="0" shapeId="0">
      <text>
        <r>
          <rPr>
            <b/>
            <sz val="9"/>
            <color indexed="81"/>
            <rFont val="Tahoma"/>
            <family val="2"/>
          </rPr>
          <t>Cem Dener:</t>
        </r>
        <r>
          <rPr>
            <sz val="9"/>
            <color indexed="81"/>
            <rFont val="Tahoma"/>
            <family val="2"/>
          </rPr>
          <t xml:space="preserve">
No data.
Estimated BR rate</t>
        </r>
      </text>
    </comment>
    <comment ref="CI57" authorId="0" shapeId="0">
      <text>
        <r>
          <rPr>
            <b/>
            <sz val="9"/>
            <color indexed="81"/>
            <rFont val="Tahoma"/>
            <family val="2"/>
          </rPr>
          <t>Cem Dener:</t>
        </r>
        <r>
          <rPr>
            <sz val="9"/>
            <color indexed="81"/>
            <rFont val="Tahoma"/>
            <family val="2"/>
          </rPr>
          <t xml:space="preserve">
No data.
Estimated BR rate</t>
        </r>
      </text>
    </comment>
    <comment ref="CM57" authorId="0" shapeId="0">
      <text>
        <r>
          <rPr>
            <b/>
            <sz val="9"/>
            <color indexed="81"/>
            <rFont val="Tahoma"/>
            <family val="2"/>
          </rPr>
          <t>Cem Dener:</t>
        </r>
        <r>
          <rPr>
            <sz val="9"/>
            <color indexed="81"/>
            <rFont val="Tahoma"/>
            <family val="2"/>
          </rPr>
          <t xml:space="preserve">
http://www.unicef.org/protection/birth_registration_and_armed_conflict(1).pdf</t>
        </r>
      </text>
    </comment>
    <comment ref="K58" authorId="0" shapeId="0">
      <text>
        <r>
          <rPr>
            <b/>
            <sz val="9"/>
            <color indexed="81"/>
            <rFont val="Tahoma"/>
            <family val="2"/>
          </rPr>
          <t>Cem Dener:</t>
        </r>
        <r>
          <rPr>
            <sz val="9"/>
            <color indexed="81"/>
            <rFont val="Tahoma"/>
            <family val="2"/>
          </rPr>
          <t xml:space="preserve">
https://familysearch.org/learn/wiki/en/Estonia</t>
        </r>
      </text>
    </comment>
    <comment ref="N58" authorId="0" shapeId="0">
      <text>
        <r>
          <rPr>
            <b/>
            <sz val="9"/>
            <color indexed="81"/>
            <rFont val="Tahoma"/>
            <family val="2"/>
          </rPr>
          <t>Cem Dener:</t>
        </r>
        <r>
          <rPr>
            <sz val="9"/>
            <color indexed="81"/>
            <rFont val="Tahoma"/>
            <family val="2"/>
          </rPr>
          <t xml:space="preserve">
Ranging from Euro 7 to 80</t>
        </r>
      </text>
    </comment>
    <comment ref="W58" authorId="0" shapeId="0">
      <text>
        <r>
          <rPr>
            <b/>
            <sz val="9"/>
            <color indexed="81"/>
            <rFont val="Tahoma"/>
            <family val="2"/>
          </rPr>
          <t>Cem Dener:</t>
        </r>
        <r>
          <rPr>
            <sz val="9"/>
            <color indexed="81"/>
            <rFont val="Tahoma"/>
            <family val="2"/>
          </rPr>
          <t xml:space="preserve">
€24.28 (applicants aged 15 or over) or €50 (in embassies) /  €6.39 (children under 15, retirees, persons with disabilities) or €10 (in embassies) / €44.73 (urgent)</t>
        </r>
      </text>
    </comment>
    <comment ref="AD58" authorId="0" shapeId="0">
      <text>
        <r>
          <rPr>
            <b/>
            <sz val="9"/>
            <color indexed="81"/>
            <rFont val="Tahoma"/>
            <family val="2"/>
          </rPr>
          <t>Cem Dener:</t>
        </r>
        <r>
          <rPr>
            <sz val="9"/>
            <color indexed="81"/>
            <rFont val="Tahoma"/>
            <family val="2"/>
          </rPr>
          <t xml:space="preserve">
http://e-estonia.com/component/electronic-id-card/</t>
        </r>
      </text>
    </comment>
    <comment ref="AF58" authorId="2" shapeId="0">
      <text>
        <r>
          <rPr>
            <b/>
            <sz val="9"/>
            <color indexed="81"/>
            <rFont val="Tahoma"/>
            <family val="2"/>
          </rPr>
          <t>Huan Zhang:</t>
        </r>
        <r>
          <rPr>
            <sz val="9"/>
            <color indexed="81"/>
            <rFont val="Tahoma"/>
            <family val="2"/>
          </rPr>
          <t xml:space="preserve">
http://www.trueb.ee/services-and-products/documents/id-cards</t>
        </r>
      </text>
    </comment>
    <comment ref="AM58" authorId="0" shapeId="0">
      <text>
        <r>
          <rPr>
            <b/>
            <sz val="9"/>
            <color indexed="81"/>
            <rFont val="Tahoma"/>
            <family val="2"/>
          </rPr>
          <t>Cem Dener:</t>
        </r>
        <r>
          <rPr>
            <sz val="9"/>
            <color indexed="81"/>
            <rFont val="Tahoma"/>
            <family val="2"/>
          </rPr>
          <t xml:space="preserve">
http://www.smartpaymentassociation.com/en/news_events/latest_news/smart-payment-association-spa-welcomes-tr%C3%BCb-ag-as-_hxpx6922.html</t>
        </r>
      </text>
    </comment>
    <comment ref="AX58" authorId="2" shapeId="0">
      <text>
        <r>
          <rPr>
            <b/>
            <sz val="9"/>
            <color indexed="81"/>
            <rFont val="Tahoma"/>
            <family val="2"/>
          </rPr>
          <t>Huan Zhang:</t>
        </r>
        <r>
          <rPr>
            <sz val="9"/>
            <color indexed="81"/>
            <rFont val="Tahoma"/>
            <family val="2"/>
          </rPr>
          <t xml:space="preserve">
The passport, along with the national identity card allows for free rights of movement and residence in any of the states of the European Union and European Economic Area.
</t>
        </r>
      </text>
    </comment>
    <comment ref="AZ58" authorId="2" shapeId="0">
      <text>
        <r>
          <rPr>
            <b/>
            <sz val="9"/>
            <color indexed="81"/>
            <rFont val="Tahoma"/>
            <family val="2"/>
          </rPr>
          <t>Huan Zhang:</t>
        </r>
        <r>
          <rPr>
            <sz val="9"/>
            <color indexed="81"/>
            <rFont val="Tahoma"/>
            <family val="2"/>
          </rPr>
          <t xml:space="preserve">
http://www.egov-estonia.eu/e-business-register</t>
        </r>
      </text>
    </comment>
    <comment ref="BC58" authorId="0" shapeId="0">
      <text>
        <r>
          <rPr>
            <b/>
            <sz val="9"/>
            <color indexed="81"/>
            <rFont val="Tahoma"/>
            <family val="2"/>
          </rPr>
          <t>Cem Dener:</t>
        </r>
        <r>
          <rPr>
            <sz val="9"/>
            <color indexed="81"/>
            <rFont val="Tahoma"/>
            <family val="2"/>
          </rPr>
          <t xml:space="preserve">
http://www.companyincorporationestonia.com/establish-branch-estonia</t>
        </r>
      </text>
    </comment>
    <comment ref="CU58" authorId="0" shapeId="0">
      <text>
        <r>
          <rPr>
            <b/>
            <sz val="9"/>
            <color indexed="81"/>
            <rFont val="Tahoma"/>
            <family val="2"/>
          </rPr>
          <t>Cem Dener:</t>
        </r>
        <r>
          <rPr>
            <sz val="9"/>
            <color indexed="81"/>
            <rFont val="Tahoma"/>
            <family val="2"/>
          </rPr>
          <t xml:space="preserve">
16 for local elections</t>
        </r>
      </text>
    </comment>
    <comment ref="H59" authorId="0" shapeId="0">
      <text>
        <r>
          <rPr>
            <b/>
            <sz val="9"/>
            <color indexed="81"/>
            <rFont val="Tahoma"/>
            <family val="2"/>
          </rPr>
          <t>Cem Dener:</t>
        </r>
        <r>
          <rPr>
            <sz val="9"/>
            <color indexed="81"/>
            <rFont val="Tahoma"/>
            <family val="2"/>
          </rPr>
          <t xml:space="preserve">
http://www.abyssinialaw.com/uploads/760.pdf</t>
        </r>
      </text>
    </comment>
    <comment ref="AM59" authorId="0" shapeId="0">
      <text>
        <r>
          <rPr>
            <b/>
            <sz val="9"/>
            <color indexed="81"/>
            <rFont val="Tahoma"/>
            <family val="2"/>
          </rPr>
          <t>Cem Dener:</t>
        </r>
        <r>
          <rPr>
            <sz val="9"/>
            <color indexed="81"/>
            <rFont val="Tahoma"/>
            <family val="2"/>
          </rPr>
          <t xml:space="preserve">
http://www.diretube.com/articles/read-ultra-modern-national-identification-card-for-ethiopia_2034.html#.VIyEC4HETTo
http://www.face.co.za/mediacentre.html</t>
        </r>
      </text>
    </comment>
    <comment ref="AZ59" authorId="2" shapeId="0">
      <text>
        <r>
          <rPr>
            <b/>
            <sz val="9"/>
            <color indexed="81"/>
            <rFont val="Tahoma"/>
            <family val="2"/>
          </rPr>
          <t>Huan Zhang:</t>
        </r>
        <r>
          <rPr>
            <sz val="9"/>
            <color indexed="81"/>
            <rFont val="Tahoma"/>
            <family val="2"/>
          </rPr>
          <t xml:space="preserve">
Registration initiated in 2010, not automated yet</t>
        </r>
      </text>
    </comment>
    <comment ref="BD59" authorId="6" shapeId="0">
      <text>
        <r>
          <rPr>
            <b/>
            <sz val="9"/>
            <color indexed="81"/>
            <rFont val="Tahoma"/>
            <family val="2"/>
          </rPr>
          <t>Doruk Yarin Kiroglu:</t>
        </r>
        <r>
          <rPr>
            <sz val="9"/>
            <color indexed="81"/>
            <rFont val="Tahoma"/>
            <family val="2"/>
          </rPr>
          <t xml:space="preserve">
Commercial code enacted in 1960, Registry act started in 1997
https://egateg.usaid.gov/sites/default/files/ethiopia.pdf</t>
        </r>
      </text>
    </comment>
    <comment ref="H60" authorId="0" shapeId="0">
      <text>
        <r>
          <rPr>
            <b/>
            <sz val="9"/>
            <color indexed="81"/>
            <rFont val="Tahoma"/>
            <family val="2"/>
          </rPr>
          <t>Cem Dener:</t>
        </r>
        <r>
          <rPr>
            <sz val="9"/>
            <color indexed="81"/>
            <rFont val="Tahoma"/>
            <family val="2"/>
          </rPr>
          <t xml:space="preserve">
http://www.egov.gov.fj  </t>
        </r>
      </text>
    </comment>
    <comment ref="K60" authorId="0" shapeId="0">
      <text>
        <r>
          <rPr>
            <b/>
            <sz val="9"/>
            <color indexed="81"/>
            <rFont val="Tahoma"/>
            <family val="2"/>
          </rPr>
          <t>Cem Dener:</t>
        </r>
        <r>
          <rPr>
            <sz val="9"/>
            <color indexed="81"/>
            <rFont val="Tahoma"/>
            <family val="2"/>
          </rPr>
          <t xml:space="preserve">
http://heritagegenealogy.com.au/fijigenealogy/births-marriages-and-deaths/</t>
        </r>
      </text>
    </comment>
    <comment ref="S60" authorId="0" shapeId="0">
      <text>
        <r>
          <rPr>
            <b/>
            <sz val="9"/>
            <color indexed="81"/>
            <rFont val="Tahoma"/>
            <family val="2"/>
          </rPr>
          <t>Cem Dener:</t>
        </r>
        <r>
          <rPr>
            <sz val="9"/>
            <color indexed="81"/>
            <rFont val="Tahoma"/>
            <family val="2"/>
          </rPr>
          <t xml:space="preserve">
http://www.frca.org.fj/wp-content/uploads/2013/05/Statement-by-Chair-on-FRCA-FNPF-Card.pdf</t>
        </r>
      </text>
    </comment>
    <comment ref="AL60" authorId="0" shapeId="0">
      <text>
        <r>
          <rPr>
            <b/>
            <sz val="9"/>
            <color indexed="81"/>
            <rFont val="Tahoma"/>
            <family val="2"/>
          </rPr>
          <t>Cem Dener:</t>
        </r>
        <r>
          <rPr>
            <sz val="9"/>
            <color indexed="81"/>
            <rFont val="Tahoma"/>
            <family val="2"/>
          </rPr>
          <t xml:space="preserve">
Electoral Services International Inc.</t>
        </r>
      </text>
    </comment>
    <comment ref="AM60" authorId="0" shapeId="0">
      <text>
        <r>
          <rPr>
            <b/>
            <sz val="9"/>
            <color indexed="81"/>
            <rFont val="Tahoma"/>
            <family val="2"/>
          </rPr>
          <t>Cem Dener:</t>
        </r>
        <r>
          <rPr>
            <sz val="9"/>
            <color indexed="81"/>
            <rFont val="Tahoma"/>
            <family val="2"/>
          </rPr>
          <t xml:space="preserve">
Electronic Voter Registration Cards (biometric)
http://www.electionsfiji.gov.fj/voter-registration/
Joint ID:
http://www.fbc.com.fj/fiji/10648/new-identification-card-announced</t>
        </r>
      </text>
    </comment>
    <comment ref="AZ60" authorId="0" shapeId="0">
      <text>
        <r>
          <rPr>
            <b/>
            <sz val="9"/>
            <color indexed="81"/>
            <rFont val="Tahoma"/>
            <family val="2"/>
          </rPr>
          <t>Cem Dener:</t>
        </r>
        <r>
          <rPr>
            <sz val="9"/>
            <color indexed="81"/>
            <rFont val="Tahoma"/>
            <family val="2"/>
          </rPr>
          <t xml:space="preserve">
Registration initiated in 1985. e-Registry in 2008.</t>
        </r>
      </text>
    </comment>
    <comment ref="BD60" authorId="2" shapeId="0">
      <text>
        <r>
          <rPr>
            <b/>
            <sz val="9"/>
            <color indexed="81"/>
            <rFont val="Tahoma"/>
            <family val="2"/>
          </rPr>
          <t>Huan Zhang:</t>
        </r>
        <r>
          <rPr>
            <sz val="9"/>
            <color indexed="81"/>
            <rFont val="Tahoma"/>
            <family val="2"/>
          </rPr>
          <t xml:space="preserve">
http://www.frca.org.fj/wp-content/uploads/Brochures/Compulsory_Tax_Identification_Number_TIN.PDF</t>
        </r>
      </text>
    </comment>
    <comment ref="CG60" authorId="0" shapeId="0">
      <text>
        <r>
          <rPr>
            <b/>
            <sz val="9"/>
            <color indexed="81"/>
            <rFont val="Tahoma"/>
            <family val="2"/>
          </rPr>
          <t>Cem Dener:</t>
        </r>
        <r>
          <rPr>
            <sz val="9"/>
            <color indexed="81"/>
            <rFont val="Tahoma"/>
            <family val="2"/>
          </rPr>
          <t xml:space="preserve">
No data.
Estimated BR rate</t>
        </r>
      </text>
    </comment>
    <comment ref="CH60" authorId="0" shapeId="0">
      <text>
        <r>
          <rPr>
            <b/>
            <sz val="9"/>
            <color indexed="81"/>
            <rFont val="Tahoma"/>
            <family val="2"/>
          </rPr>
          <t>Cem Dener:</t>
        </r>
        <r>
          <rPr>
            <sz val="9"/>
            <color indexed="81"/>
            <rFont val="Tahoma"/>
            <family val="2"/>
          </rPr>
          <t xml:space="preserve">
No data.
Estimated BR rate</t>
        </r>
      </text>
    </comment>
    <comment ref="CI60" authorId="0" shapeId="0">
      <text>
        <r>
          <rPr>
            <b/>
            <sz val="9"/>
            <color indexed="81"/>
            <rFont val="Tahoma"/>
            <family val="2"/>
          </rPr>
          <t>Cem Dener:</t>
        </r>
        <r>
          <rPr>
            <sz val="9"/>
            <color indexed="81"/>
            <rFont val="Tahoma"/>
            <family val="2"/>
          </rPr>
          <t xml:space="preserve">
No data.
Estimated BR rate</t>
        </r>
      </text>
    </comment>
    <comment ref="CU60" authorId="0" shapeId="0">
      <text>
        <r>
          <rPr>
            <b/>
            <sz val="9"/>
            <color indexed="81"/>
            <rFont val="Tahoma"/>
            <family val="2"/>
          </rPr>
          <t>Cem Dener:</t>
        </r>
        <r>
          <rPr>
            <sz val="9"/>
            <color indexed="81"/>
            <rFont val="Tahoma"/>
            <family val="2"/>
          </rPr>
          <t xml:space="preserve">
as of 2013 Constitution (previously 21)</t>
        </r>
      </text>
    </comment>
    <comment ref="R61" authorId="0" shapeId="0">
      <text>
        <r>
          <rPr>
            <b/>
            <sz val="9"/>
            <color indexed="81"/>
            <rFont val="Tahoma"/>
            <family val="2"/>
          </rPr>
          <t>Cem Dener:</t>
        </r>
        <r>
          <rPr>
            <sz val="9"/>
            <color indexed="81"/>
            <rFont val="Tahoma"/>
            <family val="2"/>
          </rPr>
          <t xml:space="preserve">
Initially in 1999</t>
        </r>
      </text>
    </comment>
    <comment ref="W61" authorId="0" shapeId="0">
      <text>
        <r>
          <rPr>
            <b/>
            <sz val="9"/>
            <color indexed="81"/>
            <rFont val="Tahoma"/>
            <family val="2"/>
          </rPr>
          <t>Cem Dener:</t>
        </r>
        <r>
          <rPr>
            <sz val="9"/>
            <color indexed="81"/>
            <rFont val="Tahoma"/>
            <family val="2"/>
          </rPr>
          <t xml:space="preserve">
€53 (applicants aged 18 or over)[34] / €36 (children under 18)</t>
        </r>
      </text>
    </comment>
    <comment ref="AE61" authorId="0" shapeId="0">
      <text>
        <r>
          <rPr>
            <b/>
            <sz val="9"/>
            <color indexed="81"/>
            <rFont val="Tahoma"/>
            <family val="2"/>
          </rPr>
          <t>Cem Dener:</t>
        </r>
        <r>
          <rPr>
            <sz val="9"/>
            <color indexed="81"/>
            <rFont val="Tahoma"/>
            <family val="2"/>
          </rPr>
          <t xml:space="preserve">
Introduce in 1999: only 300,000 issued until 2011 (since it's optional).
Not effectively used.</t>
        </r>
      </text>
    </comment>
    <comment ref="AG61" authorId="2" shapeId="0">
      <text>
        <r>
          <rPr>
            <b/>
            <sz val="9"/>
            <color indexed="81"/>
            <rFont val="Tahoma"/>
            <family val="2"/>
          </rPr>
          <t>Huan Zhang:</t>
        </r>
        <r>
          <rPr>
            <sz val="9"/>
            <color indexed="81"/>
            <rFont val="Tahoma"/>
            <family val="2"/>
          </rPr>
          <t xml:space="preserve">
http://en.myeurop.info/2012/04/06/complicated-rise-electronic-identity-card-europe-5145</t>
        </r>
      </text>
    </comment>
    <comment ref="AX61" authorId="2" shapeId="0">
      <text>
        <r>
          <rPr>
            <b/>
            <sz val="9"/>
            <color indexed="81"/>
            <rFont val="Tahoma"/>
            <family val="2"/>
          </rPr>
          <t>Huan Zhang:</t>
        </r>
        <r>
          <rPr>
            <sz val="9"/>
            <color indexed="81"/>
            <rFont val="Tahoma"/>
            <family val="2"/>
          </rPr>
          <t xml:space="preserve">
The passport, along with the national identity card allows for free rights of movement and residence in any of the states of the European Union and European Economic Area.</t>
        </r>
      </text>
    </comment>
    <comment ref="AZ61" authorId="2" shapeId="0">
      <text>
        <r>
          <rPr>
            <b/>
            <sz val="9"/>
            <color indexed="81"/>
            <rFont val="Tahoma"/>
            <family val="2"/>
          </rPr>
          <t>Huan Zhang:</t>
        </r>
        <r>
          <rPr>
            <sz val="9"/>
            <color indexed="81"/>
            <rFont val="Tahoma"/>
            <family val="2"/>
          </rPr>
          <t xml:space="preserve">
http://www.prh.fi/en/presentation_and_duties/historia.html
Registration initiated in 1896</t>
        </r>
      </text>
    </comment>
    <comment ref="BF61" authorId="2" shapeId="0">
      <text>
        <r>
          <rPr>
            <b/>
            <sz val="9"/>
            <color indexed="81"/>
            <rFont val="Tahoma"/>
            <family val="2"/>
          </rPr>
          <t>Huan Zhang:</t>
        </r>
        <r>
          <rPr>
            <sz val="9"/>
            <color indexed="81"/>
            <rFont val="Tahoma"/>
            <family val="2"/>
          </rPr>
          <t xml:space="preserve">
https://www.ytj.fi/english/what-is-the-bis</t>
        </r>
      </text>
    </comment>
    <comment ref="W62" authorId="0" shapeId="0">
      <text>
        <r>
          <rPr>
            <b/>
            <sz val="9"/>
            <color indexed="81"/>
            <rFont val="Tahoma"/>
            <family val="2"/>
          </rPr>
          <t>Cem Dener:</t>
        </r>
        <r>
          <rPr>
            <sz val="9"/>
            <color indexed="81"/>
            <rFont val="Tahoma"/>
            <family val="2"/>
          </rPr>
          <t xml:space="preserve">
Free of charge /   €25 (if the previous one cannot be presented, e.g. it was lost or stolen)</t>
        </r>
      </text>
    </comment>
    <comment ref="AL62" authorId="0" shapeId="0">
      <text>
        <r>
          <rPr>
            <b/>
            <sz val="9"/>
            <color indexed="81"/>
            <rFont val="Tahoma"/>
            <family val="2"/>
          </rPr>
          <t>Cem Dener:</t>
        </r>
        <r>
          <rPr>
            <sz val="9"/>
            <color indexed="81"/>
            <rFont val="Tahoma"/>
            <family val="2"/>
          </rPr>
          <t xml:space="preserve">
eRP</t>
        </r>
      </text>
    </comment>
    <comment ref="AX62" authorId="2" shapeId="0">
      <text>
        <r>
          <rPr>
            <b/>
            <sz val="9"/>
            <color indexed="81"/>
            <rFont val="Tahoma"/>
            <family val="2"/>
          </rPr>
          <t>Huan Zhang:</t>
        </r>
        <r>
          <rPr>
            <sz val="9"/>
            <color indexed="81"/>
            <rFont val="Tahoma"/>
            <family val="2"/>
          </rPr>
          <t xml:space="preserve">
The passport, along with the national identity card allows for free rights of movement and residence in any of the states of the European Union and European Economic Area.</t>
        </r>
      </text>
    </comment>
    <comment ref="AZ62" authorId="2" shapeId="0">
      <text>
        <r>
          <rPr>
            <b/>
            <sz val="9"/>
            <color indexed="81"/>
            <rFont val="Tahoma"/>
            <family val="2"/>
          </rPr>
          <t>Huan Zhang:</t>
        </r>
        <r>
          <rPr>
            <sz val="9"/>
            <color indexed="81"/>
            <rFont val="Tahoma"/>
            <family val="2"/>
          </rPr>
          <t xml:space="preserve">
http://www.lawyersfrance.eu/french-register-of-commerce-and-companies</t>
        </r>
      </text>
    </comment>
    <comment ref="K63" authorId="0" shapeId="0">
      <text>
        <r>
          <rPr>
            <b/>
            <sz val="9"/>
            <color indexed="81"/>
            <rFont val="Tahoma"/>
            <family val="2"/>
          </rPr>
          <t>Cem Dener:</t>
        </r>
        <r>
          <rPr>
            <sz val="9"/>
            <color indexed="81"/>
            <rFont val="Tahoma"/>
            <family val="2"/>
          </rPr>
          <t xml:space="preserve">
Initiated in 1940:
http://www.cdc.gov/nchs/data/isp/016_Methods_And_Problems_of_Civil_Registration_Practices_and_Vital_Stat_Collection_in_Africa.pdf
https://unstats.un.org/unsd/demographic/meetings/wshops/1995_Rabat_CRVS/Docs/Doc.9_Gabon.pdf</t>
        </r>
      </text>
    </comment>
    <comment ref="AM63" authorId="0" shapeId="0">
      <text>
        <r>
          <rPr>
            <b/>
            <sz val="9"/>
            <color indexed="81"/>
            <rFont val="Tahoma"/>
            <family val="2"/>
          </rPr>
          <t>Cem Dener:</t>
        </r>
        <r>
          <rPr>
            <sz val="9"/>
            <color indexed="81"/>
            <rFont val="Tahoma"/>
            <family val="2"/>
          </rPr>
          <t xml:space="preserve">
http://www.semlex.com/en/references/references-clients.html</t>
        </r>
      </text>
    </comment>
    <comment ref="AU63" authorId="2" shapeId="0">
      <text>
        <r>
          <rPr>
            <b/>
            <sz val="9"/>
            <color indexed="81"/>
            <rFont val="Tahoma"/>
            <family val="2"/>
          </rPr>
          <t>Huan Zhang:</t>
        </r>
        <r>
          <rPr>
            <sz val="9"/>
            <color indexed="81"/>
            <rFont val="Tahoma"/>
            <family val="2"/>
          </rPr>
          <t xml:space="preserve">
http://www.en.legabon.org/news/1613/launch-biometric-passport-gabon</t>
        </r>
      </text>
    </comment>
    <comment ref="AY63" authorId="2" shapeId="0">
      <text>
        <r>
          <rPr>
            <b/>
            <sz val="9"/>
            <color indexed="81"/>
            <rFont val="Tahoma"/>
            <family val="2"/>
          </rPr>
          <t>Huan Zhang:</t>
        </r>
        <r>
          <rPr>
            <sz val="9"/>
            <color indexed="81"/>
            <rFont val="Tahoma"/>
            <family val="2"/>
          </rPr>
          <t xml:space="preserve">
http://www.cdegabon.com/spip.php?rubrique3&amp;lang=fr</t>
        </r>
      </text>
    </comment>
    <comment ref="AZ63" authorId="0" shapeId="0">
      <text>
        <r>
          <rPr>
            <b/>
            <sz val="9"/>
            <color indexed="81"/>
            <rFont val="Tahoma"/>
            <family val="2"/>
          </rPr>
          <t>Cem Dener:</t>
        </r>
        <r>
          <rPr>
            <sz val="9"/>
            <color indexed="81"/>
            <rFont val="Tahoma"/>
            <family val="2"/>
          </rPr>
          <t xml:space="preserve">
WB project to support the development of Business e-Registry and one-stop shop.</t>
        </r>
      </text>
    </comment>
    <comment ref="BH63" authorId="0" shapeId="0">
      <text>
        <r>
          <rPr>
            <b/>
            <sz val="9"/>
            <color indexed="81"/>
            <rFont val="Tahoma"/>
            <family val="2"/>
          </rPr>
          <t>Cem Dener:</t>
        </r>
        <r>
          <rPr>
            <sz val="9"/>
            <color indexed="81"/>
            <rFont val="Tahoma"/>
            <family val="2"/>
          </rPr>
          <t xml:space="preserve">
one-stop shop is being implemented
http://www.worldbank.org/en/news/press-release/2014/03/11/world-bank-helps-gabon-diversify-economy-create-new-jobs-women-youth</t>
        </r>
      </text>
    </comment>
    <comment ref="C64" authorId="0" shapeId="0">
      <text>
        <r>
          <rPr>
            <b/>
            <sz val="9"/>
            <color indexed="81"/>
            <rFont val="Tahoma"/>
            <family val="2"/>
          </rPr>
          <t>Cem Dener:</t>
        </r>
        <r>
          <rPr>
            <sz val="9"/>
            <color indexed="81"/>
            <rFont val="Tahoma"/>
            <family val="2"/>
          </rPr>
          <t xml:space="preserve">
The Gambia</t>
        </r>
      </text>
    </comment>
    <comment ref="K64" authorId="0" shapeId="0">
      <text>
        <r>
          <rPr>
            <b/>
            <sz val="9"/>
            <color indexed="81"/>
            <rFont val="Tahoma"/>
            <family val="2"/>
          </rPr>
          <t>Cem Dener:</t>
        </r>
        <r>
          <rPr>
            <sz val="9"/>
            <color indexed="81"/>
            <rFont val="Tahoma"/>
            <family val="2"/>
          </rPr>
          <t xml:space="preserve">
http://www.refworld.org/country,LEGAL,,,GMB,,3ae6b4fb18,0.html</t>
        </r>
      </text>
    </comment>
    <comment ref="AL64" authorId="0" shapeId="0">
      <text>
        <r>
          <rPr>
            <b/>
            <sz val="9"/>
            <color indexed="81"/>
            <rFont val="Tahoma"/>
            <family val="2"/>
          </rPr>
          <t>Cem Dener:</t>
        </r>
        <r>
          <rPr>
            <sz val="9"/>
            <color indexed="81"/>
            <rFont val="Tahoma"/>
            <family val="2"/>
          </rPr>
          <t xml:space="preserve">
INNOVATRICS and Smartmatic</t>
        </r>
      </text>
    </comment>
    <comment ref="HV64" authorId="3" shapeId="0">
      <text>
        <r>
          <rPr>
            <b/>
            <sz val="9"/>
            <color indexed="81"/>
            <rFont val="Tahoma"/>
            <family val="2"/>
          </rPr>
          <t>Irenezh1016:</t>
        </r>
        <r>
          <rPr>
            <sz val="9"/>
            <color indexed="81"/>
            <rFont val="Tahoma"/>
            <family val="2"/>
          </rPr>
          <t xml:space="preserve">
Article 25 of the Constitution guarantees a list of rights and freedoms, but there is no reference to the right to information. </t>
        </r>
      </text>
    </comment>
    <comment ref="AF65" authorId="2" shapeId="0">
      <text>
        <r>
          <rPr>
            <b/>
            <sz val="9"/>
            <color indexed="81"/>
            <rFont val="Tahoma"/>
            <family val="2"/>
          </rPr>
          <t>Huan Zhang:</t>
        </r>
        <r>
          <rPr>
            <sz val="9"/>
            <color indexed="81"/>
            <rFont val="Tahoma"/>
            <family val="2"/>
          </rPr>
          <t xml:space="preserve">
http://www.cto.int/media/events/pst-ev/2013/e-Gove/Matthias%20K.%20Kohler.pdf</t>
        </r>
      </text>
    </comment>
    <comment ref="AM65" authorId="0" shapeId="0">
      <text>
        <r>
          <rPr>
            <b/>
            <sz val="9"/>
            <color indexed="81"/>
            <rFont val="Tahoma"/>
            <family val="2"/>
          </rPr>
          <t>Cem Dener:</t>
        </r>
        <r>
          <rPr>
            <sz val="9"/>
            <color indexed="81"/>
            <rFont val="Tahoma"/>
            <family val="2"/>
          </rPr>
          <t xml:space="preserve">
http://www.cto.int/media/events/pst-ev/2013/e-Gove/Matthias%20K.%20Kohler.pdf   </t>
        </r>
      </text>
    </comment>
    <comment ref="AZ65" authorId="2" shapeId="0">
      <text>
        <r>
          <rPr>
            <b/>
            <sz val="9"/>
            <color indexed="81"/>
            <rFont val="Tahoma"/>
            <family val="2"/>
          </rPr>
          <t>Huan Zhang:</t>
        </r>
        <r>
          <rPr>
            <sz val="9"/>
            <color indexed="81"/>
            <rFont val="Tahoma"/>
            <family val="2"/>
          </rPr>
          <t xml:space="preserve">
http://www.doingbusiness.org/data/exploreeconomies/georgia/registering-property</t>
        </r>
      </text>
    </comment>
    <comment ref="CN65" authorId="0" shapeId="0">
      <text>
        <r>
          <rPr>
            <b/>
            <sz val="9"/>
            <color indexed="81"/>
            <rFont val="Tahoma"/>
            <family val="2"/>
          </rPr>
          <t>Cem Dener:</t>
        </r>
        <r>
          <rPr>
            <sz val="9"/>
            <color indexed="81"/>
            <rFont val="Tahoma"/>
            <family val="2"/>
          </rPr>
          <t xml:space="preserve">
Voting Age Population was used (Registered voter was greater than VAP)</t>
        </r>
      </text>
    </comment>
    <comment ref="O66" authorId="0" shapeId="0">
      <text>
        <r>
          <rPr>
            <b/>
            <sz val="9"/>
            <color indexed="81"/>
            <rFont val="Tahoma"/>
            <family val="2"/>
          </rPr>
          <t>Cem Dener:</t>
        </r>
        <r>
          <rPr>
            <sz val="9"/>
            <color indexed="81"/>
            <rFont val="Tahoma"/>
            <family val="2"/>
          </rPr>
          <t xml:space="preserve">
http://www.personalausweisportal.de/DE/Buergerinnen-und-Buerger/Der-Personalausweis/der-personalausweis_node.html
</t>
        </r>
      </text>
    </comment>
    <comment ref="W66" authorId="0" shapeId="0">
      <text>
        <r>
          <rPr>
            <b/>
            <sz val="9"/>
            <color indexed="81"/>
            <rFont val="Tahoma"/>
            <family val="2"/>
          </rPr>
          <t>Cem Dener:</t>
        </r>
        <r>
          <rPr>
            <sz val="9"/>
            <color indexed="81"/>
            <rFont val="Tahoma"/>
            <family val="2"/>
          </rPr>
          <t xml:space="preserve">
€28.80 (adults aged 24 or over) / €22.80 (applicants aged under 24)</t>
        </r>
      </text>
    </comment>
    <comment ref="AM66" authorId="0" shapeId="0">
      <text>
        <r>
          <rPr>
            <b/>
            <sz val="9"/>
            <color indexed="81"/>
            <rFont val="Tahoma"/>
            <family val="2"/>
          </rPr>
          <t>Cem Dener:</t>
        </r>
        <r>
          <rPr>
            <sz val="9"/>
            <color indexed="81"/>
            <rFont val="Tahoma"/>
            <family val="2"/>
          </rPr>
          <t xml:space="preserve">
http://www.trueb.ee/services-and-products/documents/id-cards</t>
        </r>
      </text>
    </comment>
    <comment ref="AX66" authorId="2" shapeId="0">
      <text>
        <r>
          <rPr>
            <b/>
            <sz val="9"/>
            <color indexed="81"/>
            <rFont val="Tahoma"/>
            <family val="2"/>
          </rPr>
          <t>Huan Zhang:</t>
        </r>
        <r>
          <rPr>
            <sz val="9"/>
            <color indexed="81"/>
            <rFont val="Tahoma"/>
            <family val="2"/>
          </rPr>
          <t xml:space="preserve">
The passport, along with the national identity card allows for free rights of movement and residence in any of the states of the European Union and European Economic Area.</t>
        </r>
      </text>
    </comment>
    <comment ref="AZ66" authorId="2" shapeId="0">
      <text>
        <r>
          <rPr>
            <b/>
            <sz val="9"/>
            <color indexed="81"/>
            <rFont val="Tahoma"/>
            <family val="2"/>
          </rPr>
          <t>Huan Zhang:</t>
        </r>
        <r>
          <rPr>
            <sz val="9"/>
            <color indexed="81"/>
            <rFont val="Tahoma"/>
            <family val="2"/>
          </rPr>
          <t xml:space="preserve">
http://www.learn4good.com/settingup-business/germany-registering-a-company.htm</t>
        </r>
      </text>
    </comment>
    <comment ref="CU66" authorId="0" shapeId="0">
      <text>
        <r>
          <rPr>
            <b/>
            <sz val="9"/>
            <color indexed="81"/>
            <rFont val="Tahoma"/>
            <family val="2"/>
          </rPr>
          <t>Cem Dener:</t>
        </r>
        <r>
          <rPr>
            <sz val="9"/>
            <color indexed="81"/>
            <rFont val="Tahoma"/>
            <family val="2"/>
          </rPr>
          <t xml:space="preserve">
Voting age 16 for state elections + municipal elections in some states</t>
        </r>
      </text>
    </comment>
    <comment ref="K67" authorId="0" shapeId="0">
      <text>
        <r>
          <rPr>
            <b/>
            <sz val="9"/>
            <color indexed="81"/>
            <rFont val="Tahoma"/>
            <family val="2"/>
          </rPr>
          <t>Cem Dener:</t>
        </r>
        <r>
          <rPr>
            <sz val="9"/>
            <color indexed="81"/>
            <rFont val="Tahoma"/>
            <family val="2"/>
          </rPr>
          <t xml:space="preserve">
Initiated in 1888:
http://www.cdc.gov/nchs/data/isp/016_Methods_And_Problems_of_Civil_Registration_Practices_and_Vital_Stat_Collection_in_Africa.pdf</t>
        </r>
      </text>
    </comment>
    <comment ref="AD67" authorId="0" shapeId="0">
      <text>
        <r>
          <rPr>
            <b/>
            <sz val="9"/>
            <color indexed="81"/>
            <rFont val="Tahoma"/>
            <family val="2"/>
          </rPr>
          <t>Cem Dener:</t>
        </r>
        <r>
          <rPr>
            <sz val="9"/>
            <color indexed="81"/>
            <rFont val="Tahoma"/>
            <family val="2"/>
          </rPr>
          <t xml:space="preserve">
http://www.eservices.gov.gh/NIA/SitePages/NIA-AreaOfInterest.aspx</t>
        </r>
      </text>
    </comment>
    <comment ref="AL67" authorId="0" shapeId="0">
      <text>
        <r>
          <rPr>
            <b/>
            <sz val="9"/>
            <color indexed="81"/>
            <rFont val="Tahoma"/>
            <family val="2"/>
          </rPr>
          <t>Cem Dener:</t>
        </r>
        <r>
          <rPr>
            <sz val="9"/>
            <color indexed="81"/>
            <rFont val="Tahoma"/>
            <family val="2"/>
          </rPr>
          <t xml:space="preserve">
INNOVATRICS</t>
        </r>
      </text>
    </comment>
    <comment ref="AM67" authorId="0" shapeId="0">
      <text>
        <r>
          <rPr>
            <b/>
            <sz val="9"/>
            <color indexed="81"/>
            <rFont val="Tahoma"/>
            <family val="2"/>
          </rPr>
          <t>Cem Dener:</t>
        </r>
        <r>
          <rPr>
            <sz val="9"/>
            <color indexed="81"/>
            <rFont val="Tahoma"/>
            <family val="2"/>
          </rPr>
          <t xml:space="preserve">
http://www.myjoyonline.com/news/2014/October-17th/ggdp-wants-proposed-national-id-registration-suspended.php</t>
        </r>
      </text>
    </comment>
    <comment ref="AZ67" authorId="0" shapeId="0">
      <text>
        <r>
          <rPr>
            <b/>
            <sz val="9"/>
            <color indexed="81"/>
            <rFont val="Tahoma"/>
            <family val="2"/>
          </rPr>
          <t>Cem Dener:</t>
        </r>
        <r>
          <rPr>
            <sz val="9"/>
            <color indexed="81"/>
            <rFont val="Tahoma"/>
            <family val="2"/>
          </rPr>
          <t xml:space="preserve">
Oregistration initiated in 1963.
e-Registry created in 2004?</t>
        </r>
      </text>
    </comment>
    <comment ref="CS67" authorId="0" shapeId="0">
      <text>
        <r>
          <rPr>
            <b/>
            <sz val="9"/>
            <color indexed="81"/>
            <rFont val="Tahoma"/>
            <family val="2"/>
          </rPr>
          <t>Cem Dener:</t>
        </r>
        <r>
          <rPr>
            <sz val="9"/>
            <color indexed="81"/>
            <rFont val="Tahoma"/>
            <family val="2"/>
          </rPr>
          <t xml:space="preserve">
http://www.statsghana.gov.gh/censuses.html</t>
        </r>
      </text>
    </comment>
    <comment ref="W68" authorId="0" shapeId="0">
      <text>
        <r>
          <rPr>
            <b/>
            <sz val="9"/>
            <color indexed="81"/>
            <rFont val="Tahoma"/>
            <family val="2"/>
          </rPr>
          <t>Cem Dener:</t>
        </r>
        <r>
          <rPr>
            <sz val="9"/>
            <color indexed="81"/>
            <rFont val="Tahoma"/>
            <family val="2"/>
          </rPr>
          <t xml:space="preserve">
Free of charge for first issue / €9 for reissue if lost or destroyed (free if reported stolen)</t>
        </r>
      </text>
    </comment>
    <comment ref="AL68" authorId="0" shapeId="0">
      <text>
        <r>
          <rPr>
            <b/>
            <sz val="9"/>
            <color indexed="81"/>
            <rFont val="Tahoma"/>
            <family val="2"/>
          </rPr>
          <t>Cem Dener:</t>
        </r>
        <r>
          <rPr>
            <sz val="9"/>
            <color indexed="81"/>
            <rFont val="Tahoma"/>
            <family val="2"/>
          </rPr>
          <t xml:space="preserve">
eRP
</t>
        </r>
      </text>
    </comment>
    <comment ref="AM68" authorId="0" shapeId="0">
      <text>
        <r>
          <rPr>
            <b/>
            <sz val="9"/>
            <color indexed="81"/>
            <rFont val="Tahoma"/>
            <family val="2"/>
          </rPr>
          <t>Cem Dener:</t>
        </r>
        <r>
          <rPr>
            <sz val="9"/>
            <color indexed="81"/>
            <rFont val="Tahoma"/>
            <family val="2"/>
          </rPr>
          <t xml:space="preserve">
http://www.gemalto.com/brochures-site/download-site/Documents/gov-ID-programs.pdf</t>
        </r>
      </text>
    </comment>
    <comment ref="AX68" authorId="2" shapeId="0">
      <text>
        <r>
          <rPr>
            <b/>
            <sz val="9"/>
            <color indexed="81"/>
            <rFont val="Tahoma"/>
            <family val="2"/>
          </rPr>
          <t>Huan Zhang:</t>
        </r>
        <r>
          <rPr>
            <sz val="9"/>
            <color indexed="81"/>
            <rFont val="Tahoma"/>
            <family val="2"/>
          </rPr>
          <t xml:space="preserve">
The passport, along with the national identity card allows for free rights of movement and residence in any of the states of the European Union and European Economic Area.</t>
        </r>
      </text>
    </comment>
    <comment ref="AZ68" authorId="2" shapeId="0">
      <text>
        <r>
          <rPr>
            <b/>
            <sz val="9"/>
            <color indexed="81"/>
            <rFont val="Tahoma"/>
            <family val="2"/>
          </rPr>
          <t>Huan Zhang:</t>
        </r>
        <r>
          <rPr>
            <sz val="9"/>
            <color indexed="81"/>
            <rFont val="Tahoma"/>
            <family val="2"/>
          </rPr>
          <t xml:space="preserve">
Registration initiated in 1920</t>
        </r>
      </text>
    </comment>
    <comment ref="CN68" authorId="0" shapeId="0">
      <text>
        <r>
          <rPr>
            <b/>
            <sz val="9"/>
            <color indexed="81"/>
            <rFont val="Tahoma"/>
            <family val="2"/>
          </rPr>
          <t>Cem Dener:</t>
        </r>
        <r>
          <rPr>
            <sz val="9"/>
            <color indexed="81"/>
            <rFont val="Tahoma"/>
            <family val="2"/>
          </rPr>
          <t xml:space="preserve">
Voting Age Population was used (Registered voter was greater than VAP)</t>
        </r>
      </text>
    </comment>
    <comment ref="N69" authorId="0" shapeId="0">
      <text>
        <r>
          <rPr>
            <b/>
            <sz val="9"/>
            <color indexed="81"/>
            <rFont val="Tahoma"/>
            <family val="2"/>
          </rPr>
          <t>Cem Dener:</t>
        </r>
        <r>
          <rPr>
            <sz val="9"/>
            <color indexed="81"/>
            <rFont val="Tahoma"/>
            <family val="2"/>
          </rPr>
          <t xml:space="preserve">
Free up to 1 year.
$5 after 1 y.</t>
        </r>
      </text>
    </comment>
    <comment ref="O69" authorId="0" shapeId="0">
      <text>
        <r>
          <rPr>
            <b/>
            <sz val="9"/>
            <color indexed="81"/>
            <rFont val="Tahoma"/>
            <family val="2"/>
          </rPr>
          <t>Cem Dener:</t>
        </r>
        <r>
          <rPr>
            <sz val="9"/>
            <color indexed="81"/>
            <rFont val="Tahoma"/>
            <family val="2"/>
          </rPr>
          <t xml:space="preserve">
http://www.gov.gd/egov/pdf/OAS_Assessment_Evaluation_New_Voters_Registration_System_Grenada.pdf</t>
        </r>
      </text>
    </comment>
    <comment ref="AL69" authorId="0" shapeId="0">
      <text>
        <r>
          <rPr>
            <b/>
            <sz val="9"/>
            <color indexed="81"/>
            <rFont val="Tahoma"/>
            <family val="2"/>
          </rPr>
          <t>Cem Dener:</t>
        </r>
        <r>
          <rPr>
            <sz val="9"/>
            <color indexed="81"/>
            <rFont val="Tahoma"/>
            <family val="2"/>
          </rPr>
          <t xml:space="preserve">
Unknown</t>
        </r>
      </text>
    </comment>
    <comment ref="AY69" authorId="0" shapeId="0">
      <text>
        <r>
          <rPr>
            <b/>
            <sz val="9"/>
            <color indexed="81"/>
            <rFont val="Tahoma"/>
            <family val="2"/>
          </rPr>
          <t>Cem Dener:</t>
        </r>
        <r>
          <rPr>
            <sz val="9"/>
            <color indexed="81"/>
            <rFont val="Tahoma"/>
            <family val="2"/>
          </rPr>
          <t xml:space="preserve">
http://laws.gov.gd/</t>
        </r>
      </text>
    </comment>
    <comment ref="AZ69" authorId="0" shapeId="0">
      <text>
        <r>
          <rPr>
            <b/>
            <sz val="9"/>
            <color indexed="81"/>
            <rFont val="Tahoma"/>
            <family val="2"/>
          </rPr>
          <t>Cem Dener:</t>
        </r>
        <r>
          <rPr>
            <sz val="9"/>
            <color indexed="81"/>
            <rFont val="Tahoma"/>
            <family val="2"/>
          </rPr>
          <t xml:space="preserve">
Company Registration is not automated yet</t>
        </r>
      </text>
    </comment>
    <comment ref="CG69" authorId="0" shapeId="0">
      <text>
        <r>
          <rPr>
            <b/>
            <sz val="9"/>
            <color indexed="81"/>
            <rFont val="Tahoma"/>
            <family val="2"/>
          </rPr>
          <t>Cem Dener:</t>
        </r>
        <r>
          <rPr>
            <sz val="9"/>
            <color indexed="81"/>
            <rFont val="Tahoma"/>
            <family val="2"/>
          </rPr>
          <t xml:space="preserve">
No data.
Estimated BR rate</t>
        </r>
      </text>
    </comment>
    <comment ref="CH69" authorId="0" shapeId="0">
      <text>
        <r>
          <rPr>
            <b/>
            <sz val="9"/>
            <color indexed="81"/>
            <rFont val="Tahoma"/>
            <family val="2"/>
          </rPr>
          <t>Cem Dener:</t>
        </r>
        <r>
          <rPr>
            <sz val="9"/>
            <color indexed="81"/>
            <rFont val="Tahoma"/>
            <family val="2"/>
          </rPr>
          <t xml:space="preserve">
No data.
Estimated BR rate</t>
        </r>
      </text>
    </comment>
    <comment ref="CI69" authorId="0" shapeId="0">
      <text>
        <r>
          <rPr>
            <b/>
            <sz val="9"/>
            <color indexed="81"/>
            <rFont val="Tahoma"/>
            <family val="2"/>
          </rPr>
          <t>Cem Dener:</t>
        </r>
        <r>
          <rPr>
            <sz val="9"/>
            <color indexed="81"/>
            <rFont val="Tahoma"/>
            <family val="2"/>
          </rPr>
          <t xml:space="preserve">
No data.
Estimated BR rate</t>
        </r>
      </text>
    </comment>
    <comment ref="DY69" authorId="0" shapeId="0">
      <text>
        <r>
          <rPr>
            <b/>
            <sz val="9"/>
            <color indexed="81"/>
            <rFont val="Tahoma"/>
            <family val="2"/>
          </rPr>
          <t>Cem Dener:</t>
        </r>
        <r>
          <rPr>
            <sz val="9"/>
            <color indexed="81"/>
            <rFont val="Tahoma"/>
            <family val="2"/>
          </rPr>
          <t xml:space="preserve">
http://www.bb.undp.org/content/barbados/en/home/ourwork/povertyreduction/in_depth/</t>
        </r>
      </text>
    </comment>
    <comment ref="HL69" authorId="3" shapeId="0">
      <text>
        <r>
          <rPr>
            <b/>
            <sz val="9"/>
            <color indexed="81"/>
            <rFont val="Tahoma"/>
            <family val="2"/>
          </rPr>
          <t>Irenezh1016:</t>
        </r>
        <r>
          <rPr>
            <sz val="9"/>
            <color indexed="81"/>
            <rFont val="Tahoma"/>
            <family val="2"/>
          </rPr>
          <t xml:space="preserve">
Data protection bill is still a draft according to this document. </t>
        </r>
      </text>
    </comment>
    <comment ref="HM69" authorId="0" shapeId="0">
      <text>
        <r>
          <rPr>
            <b/>
            <sz val="9"/>
            <color indexed="81"/>
            <rFont val="Tahoma"/>
            <family val="2"/>
          </rPr>
          <t>Cem Dener:</t>
        </r>
        <r>
          <rPr>
            <sz val="9"/>
            <color indexed="81"/>
            <rFont val="Tahoma"/>
            <family val="2"/>
          </rPr>
          <t xml:space="preserve">
Bill was drafted in 2012.</t>
        </r>
      </text>
    </comment>
    <comment ref="HV69" authorId="3" shapeId="0">
      <text>
        <r>
          <rPr>
            <b/>
            <sz val="9"/>
            <color indexed="81"/>
            <rFont val="Tahoma"/>
            <family val="2"/>
          </rPr>
          <t>Irenezh1016:</t>
        </r>
        <r>
          <rPr>
            <sz val="9"/>
            <color indexed="81"/>
            <rFont val="Tahoma"/>
            <family val="2"/>
          </rPr>
          <t xml:space="preserve">
Article 10 of the Constitution includes the freedom to receive and communicate ideas and information without interference as part of the right to freedom of expression. </t>
        </r>
      </text>
    </comment>
    <comment ref="H70" authorId="0" shapeId="0">
      <text>
        <r>
          <rPr>
            <b/>
            <sz val="9"/>
            <color indexed="81"/>
            <rFont val="Tahoma"/>
            <family val="2"/>
          </rPr>
          <t>Cem Dener:</t>
        </r>
        <r>
          <rPr>
            <sz val="9"/>
            <color indexed="81"/>
            <rFont val="Tahoma"/>
            <family val="2"/>
          </rPr>
          <t xml:space="preserve">
http://www.ine.gob.gt</t>
        </r>
      </text>
    </comment>
    <comment ref="AM70" authorId="0" shapeId="0">
      <text>
        <r>
          <rPr>
            <b/>
            <sz val="9"/>
            <color indexed="81"/>
            <rFont val="Tahoma"/>
            <family val="2"/>
          </rPr>
          <t>Cem Dener:</t>
        </r>
        <r>
          <rPr>
            <sz val="9"/>
            <color indexed="81"/>
            <rFont val="Tahoma"/>
            <family val="2"/>
          </rPr>
          <t xml:space="preserve">
http://www.icao.int/Security/mrtd/2011qatar/Documents/15_Morpho.pdf</t>
        </r>
      </text>
    </comment>
    <comment ref="AY70" authorId="2" shapeId="0">
      <text>
        <r>
          <rPr>
            <b/>
            <sz val="9"/>
            <color indexed="81"/>
            <rFont val="Tahoma"/>
            <family val="2"/>
          </rPr>
          <t>Huan Zhang:</t>
        </r>
        <r>
          <rPr>
            <sz val="9"/>
            <color indexed="81"/>
            <rFont val="Tahoma"/>
            <family val="2"/>
          </rPr>
          <t xml:space="preserve">
http://www.guatecompras.gt/proveedores/busquedaProvee.aspx</t>
        </r>
      </text>
    </comment>
    <comment ref="AZ70" authorId="2" shapeId="0">
      <text>
        <r>
          <rPr>
            <b/>
            <sz val="9"/>
            <color indexed="81"/>
            <rFont val="Tahoma"/>
            <family val="2"/>
          </rPr>
          <t>Huan Zhang:</t>
        </r>
        <r>
          <rPr>
            <sz val="9"/>
            <color indexed="81"/>
            <rFont val="Tahoma"/>
            <family val="2"/>
          </rPr>
          <t xml:space="preserve">
Registration initiated in 1970</t>
        </r>
      </text>
    </comment>
    <comment ref="CH70" authorId="0" shapeId="0">
      <text>
        <r>
          <rPr>
            <b/>
            <sz val="9"/>
            <color indexed="81"/>
            <rFont val="Tahoma"/>
            <family val="2"/>
          </rPr>
          <t>Cem Dener:</t>
        </r>
        <r>
          <rPr>
            <sz val="9"/>
            <color indexed="81"/>
            <rFont val="Tahoma"/>
            <family val="2"/>
          </rPr>
          <t xml:space="preserve">
No data.
Estimated BR rate</t>
        </r>
      </text>
    </comment>
    <comment ref="CI70" authorId="0" shapeId="0">
      <text>
        <r>
          <rPr>
            <b/>
            <sz val="9"/>
            <color indexed="81"/>
            <rFont val="Tahoma"/>
            <family val="2"/>
          </rPr>
          <t>Cem Dener:</t>
        </r>
        <r>
          <rPr>
            <sz val="9"/>
            <color indexed="81"/>
            <rFont val="Tahoma"/>
            <family val="2"/>
          </rPr>
          <t xml:space="preserve">
No data.
Estimated BR rate</t>
        </r>
      </text>
    </comment>
    <comment ref="CS70" authorId="0" shapeId="0">
      <text>
        <r>
          <rPr>
            <b/>
            <sz val="9"/>
            <color indexed="81"/>
            <rFont val="Tahoma"/>
            <family val="2"/>
          </rPr>
          <t>Cem Dener:</t>
        </r>
        <r>
          <rPr>
            <sz val="9"/>
            <color indexed="81"/>
            <rFont val="Tahoma"/>
            <family val="2"/>
          </rPr>
          <t xml:space="preserve">
https://www.renap.gob.gt/estadisticas  </t>
        </r>
      </text>
    </comment>
    <comment ref="CU70" authorId="0" shapeId="0">
      <text>
        <r>
          <rPr>
            <b/>
            <sz val="9"/>
            <color indexed="81"/>
            <rFont val="Tahoma"/>
            <family val="2"/>
          </rPr>
          <t>Cem Dener:</t>
        </r>
        <r>
          <rPr>
            <sz val="9"/>
            <color indexed="81"/>
            <rFont val="Tahoma"/>
            <family val="2"/>
          </rPr>
          <t xml:space="preserve">
universal (active duty members of the armed forces may not vote and are restricted to their barracks on election day)</t>
        </r>
      </text>
    </comment>
    <comment ref="FC70" authorId="0" shapeId="0">
      <text>
        <r>
          <rPr>
            <b/>
            <sz val="9"/>
            <color indexed="81"/>
            <rFont val="Tahoma"/>
            <family val="2"/>
          </rPr>
          <t>Cem Dener:</t>
        </r>
        <r>
          <rPr>
            <sz val="9"/>
            <color indexed="81"/>
            <rFont val="Tahoma"/>
            <family val="2"/>
          </rPr>
          <t xml:space="preserve">
16% extreme poverty</t>
        </r>
      </text>
    </comment>
    <comment ref="K71" authorId="0" shapeId="0">
      <text>
        <r>
          <rPr>
            <b/>
            <sz val="9"/>
            <color indexed="81"/>
            <rFont val="Tahoma"/>
            <family val="2"/>
          </rPr>
          <t>Cem Dener:</t>
        </r>
        <r>
          <rPr>
            <sz val="9"/>
            <color indexed="81"/>
            <rFont val="Tahoma"/>
            <family val="2"/>
          </rPr>
          <t xml:space="preserve">
http://www.refworld.org/country,LEGAL,NATLEGBOD,,GIN,,3ae6b4e88,0.html</t>
        </r>
      </text>
    </comment>
    <comment ref="W71" authorId="4" shapeId="0">
      <text>
        <r>
          <rPr>
            <b/>
            <sz val="9"/>
            <color indexed="81"/>
            <rFont val="Tahoma"/>
            <family val="2"/>
          </rPr>
          <t>Yarın Kıroğlu:</t>
        </r>
        <r>
          <rPr>
            <sz val="9"/>
            <color indexed="81"/>
            <rFont val="Tahoma"/>
            <family val="2"/>
          </rPr>
          <t xml:space="preserve">
35,000-45,000 GNF
</t>
        </r>
      </text>
    </comment>
    <comment ref="AD71" authorId="0" shapeId="0">
      <text>
        <r>
          <rPr>
            <b/>
            <sz val="9"/>
            <color indexed="81"/>
            <rFont val="Tahoma"/>
            <family val="2"/>
          </rPr>
          <t>Cem Dener:</t>
        </r>
        <r>
          <rPr>
            <sz val="9"/>
            <color indexed="81"/>
            <rFont val="Tahoma"/>
            <family val="2"/>
          </rPr>
          <t xml:space="preserve">
http://www.bytessi.co.za/BNTech/
http://www.waymark.co.za
http://guineeactu.info/actualite-informations/actualite-informations-generale/1016-des-cartes-didentite-pour-un-fichier-sur-mesure-.html
http://www.nrgui.com/2-actualites/1422-guinee-la-carte-biometrique-plombe-le-dialogue</t>
        </r>
      </text>
    </comment>
    <comment ref="AM71" authorId="0" shapeId="0">
      <text>
        <r>
          <rPr>
            <b/>
            <sz val="9"/>
            <color indexed="81"/>
            <rFont val="Tahoma"/>
            <family val="2"/>
          </rPr>
          <t>Cem Dener:</t>
        </r>
        <r>
          <rPr>
            <sz val="9"/>
            <color indexed="81"/>
            <rFont val="Tahoma"/>
            <family val="2"/>
          </rPr>
          <t xml:space="preserve">
http://fr.africatime.com/guinee/articles/le-premier-ministre-mohamed-said-fofana-lance-les-operations-didentification-biometrique
http://news.ecowas.int/presseshow.php?nb=240&amp;lang=en&amp;annee=2014</t>
        </r>
      </text>
    </comment>
    <comment ref="AU71" authorId="2" shapeId="0">
      <text>
        <r>
          <rPr>
            <b/>
            <sz val="9"/>
            <color indexed="81"/>
            <rFont val="Tahoma"/>
            <family val="2"/>
          </rPr>
          <t>Huan Zhang:</t>
        </r>
        <r>
          <rPr>
            <sz val="9"/>
            <color indexed="81"/>
            <rFont val="Tahoma"/>
            <family val="2"/>
          </rPr>
          <t xml:space="preserve">
http://www.dailynewsofguinea.com/news/guinea-launches-biometric-passports</t>
        </r>
      </text>
    </comment>
    <comment ref="AZ71" authorId="2" shapeId="0">
      <text>
        <r>
          <rPr>
            <b/>
            <sz val="9"/>
            <color indexed="81"/>
            <rFont val="Tahoma"/>
            <family val="2"/>
          </rPr>
          <t>Huan Zhang:</t>
        </r>
        <r>
          <rPr>
            <sz val="9"/>
            <color indexed="81"/>
            <rFont val="Tahoma"/>
            <family val="2"/>
          </rPr>
          <t xml:space="preserve">
Registration initiated in 1997</t>
        </r>
      </text>
    </comment>
    <comment ref="BD71" authorId="6" shapeId="0">
      <text>
        <r>
          <rPr>
            <b/>
            <sz val="9"/>
            <color indexed="81"/>
            <rFont val="Tahoma"/>
            <family val="2"/>
          </rPr>
          <t>Doruk Yarin Kiroglu:</t>
        </r>
        <r>
          <rPr>
            <sz val="9"/>
            <color indexed="81"/>
            <rFont val="Tahoma"/>
            <family val="2"/>
          </rPr>
          <t xml:space="preserve">
Article 38 on business registration
http://www.droit-afrique.com/images/textes/Ohada/AU/OHADA%20-%20AU%20Droit%20commercial.pdf</t>
        </r>
      </text>
    </comment>
    <comment ref="CN71" authorId="7" shapeId="0">
      <text>
        <r>
          <rPr>
            <b/>
            <sz val="9"/>
            <color indexed="81"/>
            <rFont val="Tahoma"/>
            <family val="2"/>
          </rPr>
          <t>Lucia C. Hanmer:</t>
        </r>
        <r>
          <rPr>
            <sz val="9"/>
            <color indexed="81"/>
            <rFont val="Tahoma"/>
            <family val="2"/>
          </rPr>
          <t xml:space="preserve">
Voter reistration  October 11  2015</t>
        </r>
      </text>
    </comment>
    <comment ref="K72" authorId="0" shapeId="0">
      <text>
        <r>
          <rPr>
            <b/>
            <sz val="9"/>
            <color indexed="81"/>
            <rFont val="Tahoma"/>
            <family val="2"/>
          </rPr>
          <t>Cem Dener:</t>
        </r>
        <r>
          <rPr>
            <sz val="9"/>
            <color indexed="81"/>
            <rFont val="Tahoma"/>
            <family val="2"/>
          </rPr>
          <t xml:space="preserve">
http://www.refworld.org/country,LEGAL,,,GNB,,3ae6b4e91c,0.html</t>
        </r>
      </text>
    </comment>
    <comment ref="N72" authorId="0" shapeId="0">
      <text>
        <r>
          <rPr>
            <b/>
            <sz val="9"/>
            <color indexed="81"/>
            <rFont val="Tahoma"/>
            <family val="2"/>
          </rPr>
          <t>Cem Dener:</t>
        </r>
        <r>
          <rPr>
            <sz val="9"/>
            <color indexed="81"/>
            <rFont val="Tahoma"/>
            <family val="2"/>
          </rPr>
          <t xml:space="preserve">
Free until 8.
Euro 7 after 8.</t>
        </r>
      </text>
    </comment>
    <comment ref="AE72" authorId="0" shapeId="0">
      <text>
        <r>
          <rPr>
            <b/>
            <sz val="9"/>
            <color indexed="81"/>
            <rFont val="Tahoma"/>
            <family val="2"/>
          </rPr>
          <t>Cem Dener:</t>
        </r>
        <r>
          <rPr>
            <sz val="9"/>
            <color indexed="81"/>
            <rFont val="Tahoma"/>
            <family val="2"/>
          </rPr>
          <t xml:space="preserve">
Initiated in 2009-2010</t>
        </r>
      </text>
    </comment>
    <comment ref="AM72" authorId="0" shapeId="0">
      <text>
        <r>
          <rPr>
            <b/>
            <sz val="9"/>
            <color indexed="81"/>
            <rFont val="Tahoma"/>
            <family val="2"/>
          </rPr>
          <t>Cem Dener:</t>
        </r>
        <r>
          <rPr>
            <sz val="9"/>
            <color indexed="81"/>
            <rFont val="Tahoma"/>
            <family val="2"/>
          </rPr>
          <t xml:space="preserve">
http://www.semlex.com/en/references/references-clients.html</t>
        </r>
      </text>
    </comment>
    <comment ref="AQ72" authorId="2" shapeId="0">
      <text>
        <r>
          <rPr>
            <b/>
            <sz val="9"/>
            <color indexed="81"/>
            <rFont val="Tahoma"/>
            <family val="2"/>
          </rPr>
          <t>Huan Zhang:</t>
        </r>
        <r>
          <rPr>
            <sz val="9"/>
            <color indexed="81"/>
            <rFont val="Tahoma"/>
            <family val="2"/>
          </rPr>
          <t xml:space="preserve">
No other website available</t>
        </r>
      </text>
    </comment>
    <comment ref="AZ72" authorId="2" shapeId="0">
      <text>
        <r>
          <rPr>
            <b/>
            <sz val="9"/>
            <color indexed="81"/>
            <rFont val="Tahoma"/>
            <family val="2"/>
          </rPr>
          <t>Huan Zhang:</t>
        </r>
        <r>
          <rPr>
            <sz val="9"/>
            <color indexed="81"/>
            <rFont val="Tahoma"/>
            <family val="2"/>
          </rPr>
          <t xml:space="preserve">
Registration initiated in 1974</t>
        </r>
      </text>
    </comment>
    <comment ref="CM72" authorId="0" shapeId="0">
      <text>
        <r>
          <rPr>
            <b/>
            <sz val="9"/>
            <color indexed="81"/>
            <rFont val="Tahoma"/>
            <family val="2"/>
          </rPr>
          <t>Cem Dener:</t>
        </r>
        <r>
          <rPr>
            <sz val="9"/>
            <color indexed="81"/>
            <rFont val="Tahoma"/>
            <family val="2"/>
          </rPr>
          <t xml:space="preserve">
39% reported in:
http://www.unicef.org/wcaro/Countries_2345.html
</t>
        </r>
      </text>
    </comment>
    <comment ref="H73" authorId="0" shapeId="0">
      <text>
        <r>
          <rPr>
            <b/>
            <sz val="9"/>
            <color indexed="81"/>
            <rFont val="Tahoma"/>
            <family val="2"/>
          </rPr>
          <t>Cem Dener:</t>
        </r>
        <r>
          <rPr>
            <sz val="9"/>
            <color indexed="81"/>
            <rFont val="Tahoma"/>
            <family val="2"/>
          </rPr>
          <t xml:space="preserve">
http://www.gksoft.com/govt/en/gy.html
http://www.gina.gov.gy/govservicesbenefits.html
</t>
        </r>
      </text>
    </comment>
    <comment ref="N73" authorId="0" shapeId="0">
      <text>
        <r>
          <rPr>
            <b/>
            <sz val="9"/>
            <color indexed="81"/>
            <rFont val="Tahoma"/>
            <family val="2"/>
          </rPr>
          <t>Cem Dener:</t>
        </r>
        <r>
          <rPr>
            <sz val="9"/>
            <color indexed="81"/>
            <rFont val="Tahoma"/>
            <family val="2"/>
          </rPr>
          <t xml:space="preserve">
Free in 14 d.
Late reg fee: G$ 100</t>
        </r>
      </text>
    </comment>
    <comment ref="AM73" authorId="0" shapeId="0">
      <text>
        <r>
          <rPr>
            <b/>
            <sz val="9"/>
            <color indexed="81"/>
            <rFont val="Tahoma"/>
            <family val="2"/>
          </rPr>
          <t>Cem Dener:</t>
        </r>
        <r>
          <rPr>
            <sz val="9"/>
            <color indexed="81"/>
            <rFont val="Tahoma"/>
            <family val="2"/>
          </rPr>
          <t xml:space="preserve">
http://www.kaieteurnewsonline.com/2011/09/02/old-id-cards-to-be-decommissioned-from-nov-1/</t>
        </r>
      </text>
    </comment>
    <comment ref="AZ73" authorId="2" shapeId="0">
      <text>
        <r>
          <rPr>
            <b/>
            <sz val="9"/>
            <color indexed="81"/>
            <rFont val="Tahoma"/>
            <family val="2"/>
          </rPr>
          <t>Huan Zhang:</t>
        </r>
        <r>
          <rPr>
            <sz val="9"/>
            <color indexed="81"/>
            <rFont val="Tahoma"/>
            <family val="2"/>
          </rPr>
          <t xml:space="preserve">
Business registration is not automated yet</t>
        </r>
      </text>
    </comment>
    <comment ref="CN73" authorId="0" shapeId="0">
      <text>
        <r>
          <rPr>
            <b/>
            <sz val="9"/>
            <color indexed="81"/>
            <rFont val="Tahoma"/>
            <family val="2"/>
          </rPr>
          <t>Cem Dener:</t>
        </r>
        <r>
          <rPr>
            <sz val="9"/>
            <color indexed="81"/>
            <rFont val="Tahoma"/>
            <family val="2"/>
          </rPr>
          <t xml:space="preserve">
Voting Age Population was used (Registered voter was greater than VAP)</t>
        </r>
      </text>
    </comment>
    <comment ref="FI73" authorId="0" shapeId="0">
      <text>
        <r>
          <rPr>
            <b/>
            <sz val="9"/>
            <color indexed="81"/>
            <rFont val="Tahoma"/>
            <family val="2"/>
          </rPr>
          <t>Cem Dener:</t>
        </r>
        <r>
          <rPr>
            <sz val="9"/>
            <color indexed="81"/>
            <rFont val="Tahoma"/>
            <family val="2"/>
          </rPr>
          <t xml:space="preserve">
Ministerio del Interior</t>
        </r>
      </text>
    </comment>
    <comment ref="AG74" authorId="2" shapeId="0">
      <text>
        <r>
          <rPr>
            <b/>
            <sz val="9"/>
            <color indexed="81"/>
            <rFont val="Tahoma"/>
            <family val="2"/>
          </rPr>
          <t>Huan Zhang:</t>
        </r>
        <r>
          <rPr>
            <sz val="9"/>
            <color indexed="81"/>
            <rFont val="Tahoma"/>
            <family val="2"/>
          </rPr>
          <t xml:space="preserve">
http://lenouvelliste.com/lenouvelliste/article/120874/Signature-electronique-et-renforcement-de-la-confiance-numerique-en-Haiti
http://qmiphotos.photoshelter.com/image/I00007fO.ll3_TmY</t>
        </r>
      </text>
    </comment>
    <comment ref="AL74" authorId="0" shapeId="0">
      <text>
        <r>
          <rPr>
            <b/>
            <sz val="9"/>
            <color indexed="81"/>
            <rFont val="Tahoma"/>
            <family val="2"/>
          </rPr>
          <t>Cem Dener:</t>
        </r>
        <r>
          <rPr>
            <sz val="9"/>
            <color indexed="81"/>
            <rFont val="Tahoma"/>
            <family val="2"/>
          </rPr>
          <t xml:space="preserve">
Smartmatic</t>
        </r>
      </text>
    </comment>
    <comment ref="AM74" authorId="0" shapeId="0">
      <text>
        <r>
          <rPr>
            <b/>
            <sz val="9"/>
            <color indexed="81"/>
            <rFont val="Tahoma"/>
            <family val="2"/>
          </rPr>
          <t>Cem Dener:</t>
        </r>
        <r>
          <rPr>
            <sz val="9"/>
            <color indexed="81"/>
            <rFont val="Tahoma"/>
            <family val="2"/>
          </rPr>
          <t xml:space="preserve">
http://www.hpnhaiti.com/site/index.php?option=com_content&amp;view=article&amp;id=11001:haiti-identification-un-dilemme-pour-sidentifier-&amp;catid=8:societe&amp;Itemid=14</t>
        </r>
      </text>
    </comment>
    <comment ref="AU74" authorId="2" shapeId="0">
      <text>
        <r>
          <rPr>
            <b/>
            <sz val="9"/>
            <color indexed="81"/>
            <rFont val="Tahoma"/>
            <family val="2"/>
          </rPr>
          <t>Huan Zhang:</t>
        </r>
        <r>
          <rPr>
            <sz val="9"/>
            <color indexed="81"/>
            <rFont val="Tahoma"/>
            <family val="2"/>
          </rPr>
          <t xml:space="preserve">
http://jetairways.globallinker.com/bizforum/news/haitian-government-one-step-closer-to-transition-to-biometric-passport/9076017?indid=0</t>
        </r>
      </text>
    </comment>
    <comment ref="AZ74" authorId="2" shapeId="0">
      <text>
        <r>
          <rPr>
            <b/>
            <sz val="9"/>
            <color indexed="81"/>
            <rFont val="Tahoma"/>
            <family val="2"/>
          </rPr>
          <t>Huan Zhang:</t>
        </r>
        <r>
          <rPr>
            <sz val="9"/>
            <color indexed="81"/>
            <rFont val="Tahoma"/>
            <family val="2"/>
          </rPr>
          <t xml:space="preserve">
http://haitibusinessweek.com/business-news/176/the-haitian-government-is-launching-an-online-application-for-business-registration
Registration initiated in 1980</t>
        </r>
      </text>
    </comment>
    <comment ref="H75" authorId="0" shapeId="0">
      <text>
        <r>
          <rPr>
            <b/>
            <sz val="9"/>
            <color indexed="81"/>
            <rFont val="Tahoma"/>
            <family val="2"/>
          </rPr>
          <t>Cem Dener:</t>
        </r>
        <r>
          <rPr>
            <sz val="9"/>
            <color indexed="81"/>
            <rFont val="Tahoma"/>
            <family val="2"/>
          </rPr>
          <t xml:space="preserve">
http://www.ine-hn.org/sociales/indexsociales.html</t>
        </r>
      </text>
    </comment>
    <comment ref="AL75" authorId="0" shapeId="0">
      <text>
        <r>
          <rPr>
            <b/>
            <sz val="9"/>
            <color indexed="81"/>
            <rFont val="Tahoma"/>
            <family val="2"/>
          </rPr>
          <t>Cem Dener:</t>
        </r>
        <r>
          <rPr>
            <sz val="9"/>
            <color indexed="81"/>
            <rFont val="Tahoma"/>
            <family val="2"/>
          </rPr>
          <t xml:space="preserve">
Unknown</t>
        </r>
      </text>
    </comment>
    <comment ref="FC75" authorId="0" shapeId="0">
      <text>
        <r>
          <rPr>
            <b/>
            <sz val="9"/>
            <color indexed="81"/>
            <rFont val="Tahoma"/>
            <family val="2"/>
          </rPr>
          <t>Cem Dener:</t>
        </r>
        <r>
          <rPr>
            <sz val="9"/>
            <color indexed="81"/>
            <rFont val="Tahoma"/>
            <family val="2"/>
          </rPr>
          <t xml:space="preserve">
47.4 extreme poverty
</t>
        </r>
      </text>
    </comment>
    <comment ref="C76" authorId="0" shapeId="0">
      <text>
        <r>
          <rPr>
            <b/>
            <sz val="9"/>
            <color indexed="81"/>
            <rFont val="Tahoma"/>
            <family val="2"/>
          </rPr>
          <t>Cem Dener:</t>
        </r>
        <r>
          <rPr>
            <sz val="9"/>
            <color indexed="81"/>
            <rFont val="Tahoma"/>
            <family val="2"/>
          </rPr>
          <t xml:space="preserve">
Hong Kong Special Administrative Region of the People's Republic of China</t>
        </r>
      </text>
    </comment>
    <comment ref="N76" authorId="0" shapeId="0">
      <text>
        <r>
          <rPr>
            <b/>
            <sz val="9"/>
            <color indexed="81"/>
            <rFont val="Tahoma"/>
            <family val="2"/>
          </rPr>
          <t>Cem Dener:</t>
        </r>
        <r>
          <rPr>
            <sz val="9"/>
            <color indexed="81"/>
            <rFont val="Tahoma"/>
            <family val="2"/>
          </rPr>
          <t xml:space="preserve">
Within the 42 days period: Registration is free of charge
Beyond the 42 days period but within 1 year: HK$140
Beyond 1 year: HK$680</t>
        </r>
      </text>
    </comment>
    <comment ref="R76" authorId="0" shapeId="0">
      <text>
        <r>
          <rPr>
            <b/>
            <sz val="9"/>
            <color indexed="81"/>
            <rFont val="Tahoma"/>
            <family val="2"/>
          </rPr>
          <t>Cem Dener:</t>
        </r>
        <r>
          <rPr>
            <sz val="9"/>
            <color indexed="81"/>
            <rFont val="Tahoma"/>
            <family val="2"/>
          </rPr>
          <t xml:space="preserve">
Since 1980</t>
        </r>
      </text>
    </comment>
    <comment ref="AJ76" authorId="2" shapeId="0">
      <text>
        <r>
          <rPr>
            <b/>
            <sz val="9"/>
            <color indexed="81"/>
            <rFont val="Tahoma"/>
            <family val="2"/>
          </rPr>
          <t>Huan Zhang:</t>
        </r>
        <r>
          <rPr>
            <sz val="9"/>
            <color indexed="81"/>
            <rFont val="Tahoma"/>
            <family val="2"/>
          </rPr>
          <t xml:space="preserve">
http://www.gov.hk/sc/residents/immigration/idcard/hkic/smartid.htm</t>
        </r>
      </text>
    </comment>
    <comment ref="AM76" authorId="0" shapeId="0">
      <text>
        <r>
          <rPr>
            <b/>
            <sz val="9"/>
            <color indexed="81"/>
            <rFont val="Tahoma"/>
            <family val="2"/>
          </rPr>
          <t>Cem Dener:</t>
        </r>
        <r>
          <rPr>
            <sz val="9"/>
            <color indexed="81"/>
            <rFont val="Tahoma"/>
            <family val="2"/>
          </rPr>
          <t xml:space="preserve">
http://www.smartpaymentassociation.com/en/news_events/latest_news/smart-payment-association-spa-welcomes-tr%C3%BCb-ag-as-_hxpx6922.html</t>
        </r>
      </text>
    </comment>
    <comment ref="AZ76" authorId="2" shapeId="0">
      <text>
        <r>
          <rPr>
            <b/>
            <sz val="9"/>
            <color indexed="81"/>
            <rFont val="Tahoma"/>
            <family val="2"/>
          </rPr>
          <t>Huan Zhang:</t>
        </r>
        <r>
          <rPr>
            <sz val="9"/>
            <color indexed="81"/>
            <rFont val="Tahoma"/>
            <family val="2"/>
          </rPr>
          <t xml:space="preserve">
Registration initiated in 1993</t>
        </r>
      </text>
    </comment>
    <comment ref="CG76" authorId="0" shapeId="0">
      <text>
        <r>
          <rPr>
            <b/>
            <sz val="9"/>
            <color indexed="81"/>
            <rFont val="Tahoma"/>
            <family val="2"/>
          </rPr>
          <t>Cem Dener:</t>
        </r>
        <r>
          <rPr>
            <sz val="9"/>
            <color indexed="81"/>
            <rFont val="Tahoma"/>
            <family val="2"/>
          </rPr>
          <t xml:space="preserve">
No data.
Estimated BR rate</t>
        </r>
      </text>
    </comment>
    <comment ref="CH76" authorId="0" shapeId="0">
      <text>
        <r>
          <rPr>
            <b/>
            <sz val="9"/>
            <color indexed="81"/>
            <rFont val="Tahoma"/>
            <family val="2"/>
          </rPr>
          <t>Cem Dener:</t>
        </r>
        <r>
          <rPr>
            <sz val="9"/>
            <color indexed="81"/>
            <rFont val="Tahoma"/>
            <family val="2"/>
          </rPr>
          <t xml:space="preserve">
No data.
Estimated BR rate</t>
        </r>
      </text>
    </comment>
    <comment ref="CI76" authorId="0" shapeId="0">
      <text>
        <r>
          <rPr>
            <b/>
            <sz val="9"/>
            <color indexed="81"/>
            <rFont val="Tahoma"/>
            <family val="2"/>
          </rPr>
          <t>Cem Dener:</t>
        </r>
        <r>
          <rPr>
            <sz val="9"/>
            <color indexed="81"/>
            <rFont val="Tahoma"/>
            <family val="2"/>
          </rPr>
          <t xml:space="preserve">
No data.
Estimated BR rate</t>
        </r>
      </text>
    </comment>
    <comment ref="CS76" authorId="0" shapeId="0">
      <text>
        <r>
          <rPr>
            <b/>
            <sz val="9"/>
            <color indexed="81"/>
            <rFont val="Tahoma"/>
            <family val="2"/>
          </rPr>
          <t>Cem Dener:</t>
        </r>
        <r>
          <rPr>
            <sz val="9"/>
            <color indexed="81"/>
            <rFont val="Tahoma"/>
            <family val="2"/>
          </rPr>
          <t xml:space="preserve">
http://www.census2011.gov.hk/pdf/main-report-volume-I.pdf</t>
        </r>
      </text>
    </comment>
    <comment ref="HV76" authorId="3" shapeId="0">
      <text>
        <r>
          <rPr>
            <b/>
            <sz val="9"/>
            <color indexed="81"/>
            <rFont val="Tahoma"/>
            <family val="2"/>
          </rPr>
          <t>Irenezh1016:</t>
        </r>
        <r>
          <rPr>
            <sz val="9"/>
            <color indexed="81"/>
            <rFont val="Tahoma"/>
            <family val="2"/>
          </rPr>
          <t xml:space="preserve">
No RTI law:
http://www.freedominfo.org/regions/east-asia/hong-kong-sar/</t>
        </r>
      </text>
    </comment>
    <comment ref="H77" authorId="0" shapeId="0">
      <text>
        <r>
          <rPr>
            <b/>
            <sz val="9"/>
            <color indexed="81"/>
            <rFont val="Tahoma"/>
            <family val="2"/>
          </rPr>
          <t>Cem Dener:</t>
        </r>
        <r>
          <rPr>
            <sz val="9"/>
            <color indexed="81"/>
            <rFont val="Tahoma"/>
            <family val="2"/>
          </rPr>
          <t xml:space="preserve">
http://www.bmbah.hu/</t>
        </r>
      </text>
    </comment>
    <comment ref="N77" authorId="0" shapeId="0">
      <text>
        <r>
          <rPr>
            <b/>
            <sz val="9"/>
            <color indexed="81"/>
            <rFont val="Tahoma"/>
            <family val="2"/>
          </rPr>
          <t>Cem Dener:</t>
        </r>
        <r>
          <rPr>
            <sz val="9"/>
            <color indexed="81"/>
            <rFont val="Tahoma"/>
            <family val="2"/>
          </rPr>
          <t xml:space="preserve">
It is free to obtain it, but if it is lost, 2000 Forints have to be paid to request a new one.</t>
        </r>
      </text>
    </comment>
    <comment ref="O77" authorId="0" shapeId="0">
      <text>
        <r>
          <rPr>
            <b/>
            <sz val="9"/>
            <color indexed="81"/>
            <rFont val="Tahoma"/>
            <family val="2"/>
          </rPr>
          <t>Cem Dener:</t>
        </r>
        <r>
          <rPr>
            <sz val="9"/>
            <color indexed="81"/>
            <rFont val="Tahoma"/>
            <family val="2"/>
          </rPr>
          <t xml:space="preserve">
https://ugyintezes.magyarorszag.hu/ugyek/410010/Szemelyi_okmanyok20091202.html?ugy=szemaz.html#topicissue  </t>
        </r>
      </text>
    </comment>
    <comment ref="AL77" authorId="0" shapeId="0">
      <text>
        <r>
          <rPr>
            <b/>
            <sz val="9"/>
            <color indexed="81"/>
            <rFont val="Tahoma"/>
            <family val="2"/>
          </rPr>
          <t>Cem Dener:</t>
        </r>
        <r>
          <rPr>
            <sz val="9"/>
            <color indexed="81"/>
            <rFont val="Tahoma"/>
            <family val="2"/>
          </rPr>
          <t xml:space="preserve">
MP Informatikai Ltd.</t>
        </r>
      </text>
    </comment>
    <comment ref="AM77" authorId="0" shapeId="0">
      <text>
        <r>
          <rPr>
            <b/>
            <sz val="9"/>
            <color indexed="81"/>
            <rFont val="Tahoma"/>
            <family val="2"/>
          </rPr>
          <t>Cem Dener:</t>
        </r>
        <r>
          <rPr>
            <sz val="9"/>
            <color indexed="81"/>
            <rFont val="Tahoma"/>
            <family val="2"/>
          </rPr>
          <t xml:space="preserve">
https://prezi.com/uhuift_5km87/mpi-company-presentation/</t>
        </r>
      </text>
    </comment>
    <comment ref="AZ77" authorId="2" shapeId="0">
      <text>
        <r>
          <rPr>
            <b/>
            <sz val="9"/>
            <color indexed="81"/>
            <rFont val="Tahoma"/>
            <family val="2"/>
          </rPr>
          <t>Huan Zhang:</t>
        </r>
        <r>
          <rPr>
            <sz val="9"/>
            <color indexed="81"/>
            <rFont val="Tahoma"/>
            <family val="2"/>
          </rPr>
          <t xml:space="preserve">
Registration initiated in 1993 
https://e-justice.europa.eu/content_business_registers_in_member_states-106-hu-en.do?member=1</t>
        </r>
      </text>
    </comment>
    <comment ref="K78" authorId="0" shapeId="0">
      <text>
        <r>
          <rPr>
            <b/>
            <sz val="9"/>
            <color indexed="81"/>
            <rFont val="Tahoma"/>
            <family val="2"/>
          </rPr>
          <t>Cem Dener:</t>
        </r>
        <r>
          <rPr>
            <sz val="9"/>
            <color indexed="81"/>
            <rFont val="Tahoma"/>
            <family val="2"/>
          </rPr>
          <t xml:space="preserve">
http://www.refworld.org/country,LEGAL,,,ISL,,3ae6b52e1c,0.html</t>
        </r>
      </text>
    </comment>
    <comment ref="AM78" authorId="0" shapeId="0">
      <text>
        <r>
          <rPr>
            <b/>
            <sz val="9"/>
            <color indexed="81"/>
            <rFont val="Tahoma"/>
            <family val="2"/>
          </rPr>
          <t>Cem Dener:</t>
        </r>
        <r>
          <rPr>
            <sz val="9"/>
            <color indexed="81"/>
            <rFont val="Tahoma"/>
            <family val="2"/>
          </rPr>
          <t xml:space="preserve">
Digital Signature:
http://skilriki.is/notendur/</t>
        </r>
      </text>
    </comment>
    <comment ref="AZ78" authorId="2" shapeId="0">
      <text>
        <r>
          <rPr>
            <b/>
            <sz val="9"/>
            <color indexed="81"/>
            <rFont val="Tahoma"/>
            <family val="2"/>
          </rPr>
          <t>Huan Zhang:</t>
        </r>
        <r>
          <rPr>
            <sz val="9"/>
            <color indexed="81"/>
            <rFont val="Tahoma"/>
            <family val="2"/>
          </rPr>
          <t xml:space="preserve">
Registration initiated in 1962</t>
        </r>
      </text>
    </comment>
    <comment ref="K79" authorId="0" shapeId="0">
      <text>
        <r>
          <rPr>
            <b/>
            <sz val="9"/>
            <color indexed="81"/>
            <rFont val="Tahoma"/>
            <family val="2"/>
          </rPr>
          <t>Cem Dener:</t>
        </r>
        <r>
          <rPr>
            <sz val="9"/>
            <color indexed="81"/>
            <rFont val="Tahoma"/>
            <family val="2"/>
          </rPr>
          <t xml:space="preserve">
http://www.refworld.org/country,LEGAL,,,IND,,3ae6b57b8,0.html</t>
        </r>
      </text>
    </comment>
    <comment ref="O79" authorId="0" shapeId="0">
      <text>
        <r>
          <rPr>
            <b/>
            <sz val="9"/>
            <color indexed="81"/>
            <rFont val="Tahoma"/>
            <family val="2"/>
          </rPr>
          <t>Cem Dener:</t>
        </r>
        <r>
          <rPr>
            <sz val="9"/>
            <color indexed="81"/>
            <rFont val="Tahoma"/>
            <family val="2"/>
          </rPr>
          <t xml:space="preserve">
http://ditnpr.nic.in/FAQs.aspx</t>
        </r>
      </text>
    </comment>
    <comment ref="S79" authorId="0" shapeId="0">
      <text>
        <r>
          <rPr>
            <b/>
            <sz val="9"/>
            <color indexed="81"/>
            <rFont val="Tahoma"/>
            <family val="2"/>
          </rPr>
          <t>Cem Dener:</t>
        </r>
        <r>
          <rPr>
            <sz val="9"/>
            <color indexed="81"/>
            <rFont val="Tahoma"/>
            <family val="2"/>
          </rPr>
          <t xml:space="preserve">
The NPR is a register of usual residents. The data collected in NPR after authentication will be sent to UIDAI for de-duplication and issue of Aadhaar Number. Thus the register will contain three elements of data - (i) demographic data, (ii) biometric data and (iii) the Aadhaar (UlD Number).</t>
        </r>
      </text>
    </comment>
    <comment ref="AD79" authorId="0" shapeId="0">
      <text>
        <r>
          <rPr>
            <b/>
            <sz val="9"/>
            <color indexed="81"/>
            <rFont val="Tahoma"/>
            <family val="2"/>
          </rPr>
          <t>Cem Dener:</t>
        </r>
        <r>
          <rPr>
            <sz val="9"/>
            <color indexed="81"/>
            <rFont val="Tahoma"/>
            <family val="2"/>
          </rPr>
          <t xml:space="preserve">
http://ditnpr.nic.in/FAQs.aspx</t>
        </r>
      </text>
    </comment>
    <comment ref="AJ79" authorId="2" shapeId="0">
      <text>
        <r>
          <rPr>
            <b/>
            <sz val="9"/>
            <color indexed="81"/>
            <rFont val="Tahoma"/>
            <family val="2"/>
          </rPr>
          <t>Huan Zhang:</t>
        </r>
        <r>
          <rPr>
            <sz val="9"/>
            <color indexed="81"/>
            <rFont val="Tahoma"/>
            <family val="2"/>
          </rPr>
          <t xml:space="preserve">
https://www.eff.org/deeplinks/2012/05/growing-mistrust-india-biometric-id-scheme</t>
        </r>
      </text>
    </comment>
    <comment ref="AL79" authorId="0" shapeId="0">
      <text>
        <r>
          <rPr>
            <b/>
            <sz val="9"/>
            <color indexed="81"/>
            <rFont val="Tahoma"/>
            <family val="2"/>
          </rPr>
          <t>Cem Dener:</t>
        </r>
        <r>
          <rPr>
            <sz val="9"/>
            <color indexed="81"/>
            <rFont val="Tahoma"/>
            <family val="2"/>
          </rPr>
          <t xml:space="preserve">
Multiple solution providers</t>
        </r>
      </text>
    </comment>
    <comment ref="AM79" authorId="0" shapeId="0">
      <text>
        <r>
          <rPr>
            <b/>
            <sz val="9"/>
            <color indexed="81"/>
            <rFont val="Tahoma"/>
            <family val="2"/>
          </rPr>
          <t>Cem Dener:</t>
        </r>
        <r>
          <rPr>
            <sz val="9"/>
            <color indexed="81"/>
            <rFont val="Tahoma"/>
            <family val="2"/>
          </rPr>
          <t xml:space="preserve">
GEMALTO (Mobile ID)
http://www.gemalto.com/brochures-site/download-site/Documents/gov-ID-programs.pdf</t>
        </r>
      </text>
    </comment>
    <comment ref="AZ79" authorId="2" shapeId="0">
      <text>
        <r>
          <rPr>
            <b/>
            <sz val="9"/>
            <color indexed="81"/>
            <rFont val="Tahoma"/>
            <family val="2"/>
          </rPr>
          <t>Huan Zhang:</t>
        </r>
        <r>
          <rPr>
            <sz val="9"/>
            <color indexed="81"/>
            <rFont val="Tahoma"/>
            <family val="2"/>
          </rPr>
          <t xml:space="preserve">
Registration initiated in 1956</t>
        </r>
      </text>
    </comment>
    <comment ref="CH79" authorId="0" shapeId="0">
      <text>
        <r>
          <rPr>
            <b/>
            <sz val="9"/>
            <color indexed="81"/>
            <rFont val="Tahoma"/>
            <family val="2"/>
          </rPr>
          <t>Cem Dener:</t>
        </r>
        <r>
          <rPr>
            <sz val="9"/>
            <color indexed="81"/>
            <rFont val="Tahoma"/>
            <family val="2"/>
          </rPr>
          <t xml:space="preserve">
No data.
Estimated BR rate</t>
        </r>
      </text>
    </comment>
    <comment ref="CI79" authorId="0" shapeId="0">
      <text>
        <r>
          <rPr>
            <b/>
            <sz val="9"/>
            <color indexed="81"/>
            <rFont val="Tahoma"/>
            <family val="2"/>
          </rPr>
          <t>Cem Dener:</t>
        </r>
        <r>
          <rPr>
            <sz val="9"/>
            <color indexed="81"/>
            <rFont val="Tahoma"/>
            <family val="2"/>
          </rPr>
          <t xml:space="preserve">
No data.
Estimated BR rate</t>
        </r>
      </text>
    </comment>
    <comment ref="CM79" authorId="0" shapeId="0">
      <text>
        <r>
          <rPr>
            <b/>
            <sz val="9"/>
            <color indexed="81"/>
            <rFont val="Tahoma"/>
            <family val="2"/>
          </rPr>
          <t>Cem Dener:</t>
        </r>
        <r>
          <rPr>
            <sz val="9"/>
            <color indexed="81"/>
            <rFont val="Tahoma"/>
            <family val="2"/>
          </rPr>
          <t xml:space="preserve">
UNICEF: 41.1% in 2006
India Vital Stats 2011:
LOR = 79.5% 
India CRS 2012:
CBR= 84.4 %</t>
        </r>
      </text>
    </comment>
    <comment ref="CN79" authorId="0" shapeId="0">
      <text>
        <r>
          <rPr>
            <b/>
            <sz val="9"/>
            <color indexed="81"/>
            <rFont val="Tahoma"/>
            <family val="2"/>
          </rPr>
          <t>Cem Dener:</t>
        </r>
        <r>
          <rPr>
            <sz val="9"/>
            <color indexed="81"/>
            <rFont val="Tahoma"/>
            <family val="2"/>
          </rPr>
          <t xml:space="preserve">
Aadhaar (Jan 25, 2016):
966251.098
National ID:
834082.814</t>
        </r>
      </text>
    </comment>
    <comment ref="CP79" authorId="0" shapeId="0">
      <text>
        <r>
          <rPr>
            <b/>
            <sz val="9"/>
            <color indexed="81"/>
            <rFont val="Tahoma"/>
            <family val="2"/>
          </rPr>
          <t>Cem Dener:</t>
        </r>
        <r>
          <rPr>
            <sz val="9"/>
            <color indexed="81"/>
            <rFont val="Tahoma"/>
            <family val="2"/>
          </rPr>
          <t xml:space="preserve">
Aadhaar (Jan 25, 2016):
500518.069
National ID:
437063.899</t>
        </r>
      </text>
    </comment>
    <comment ref="CQ79" authorId="0" shapeId="0">
      <text>
        <r>
          <rPr>
            <b/>
            <sz val="9"/>
            <color indexed="81"/>
            <rFont val="Tahoma"/>
            <family val="2"/>
          </rPr>
          <t>Cem Dener:</t>
        </r>
        <r>
          <rPr>
            <sz val="9"/>
            <color indexed="81"/>
            <rFont val="Tahoma"/>
            <family val="2"/>
          </rPr>
          <t xml:space="preserve">
Aadhaar (Jan 25, 2016):
465733.029
National ID:
397018.915</t>
        </r>
      </text>
    </comment>
    <comment ref="CS79" authorId="0" shapeId="0">
      <text>
        <r>
          <rPr>
            <b/>
            <sz val="9"/>
            <color indexed="81"/>
            <rFont val="Tahoma"/>
            <family val="2"/>
          </rPr>
          <t>Cem Dener:</t>
        </r>
        <r>
          <rPr>
            <sz val="9"/>
            <color indexed="81"/>
            <rFont val="Tahoma"/>
            <family val="2"/>
          </rPr>
          <t xml:space="preserve">
http://eci.nic.in/eci_main1/statistical_reportge2014.aspx  
http://eci.nic.in/eci_main1/GE2014/STATE_WISE_TURNOUT.htm
http://eci.nic.in/eci_main/archiveofge2014/23%20-%20Participation%20of%20Women%20eletors%20in%20Poll.pdf</t>
        </r>
      </text>
    </comment>
    <comment ref="HP79" authorId="0" shapeId="0">
      <text>
        <r>
          <rPr>
            <b/>
            <sz val="9"/>
            <color indexed="81"/>
            <rFont val="Tahoma"/>
            <family val="2"/>
          </rPr>
          <t>Cem Dener:</t>
        </r>
        <r>
          <rPr>
            <sz val="9"/>
            <color indexed="81"/>
            <rFont val="Tahoma"/>
            <family val="2"/>
          </rPr>
          <t xml:space="preserve">
None</t>
        </r>
      </text>
    </comment>
    <comment ref="K80" authorId="0" shapeId="0">
      <text>
        <r>
          <rPr>
            <b/>
            <sz val="9"/>
            <color indexed="81"/>
            <rFont val="Tahoma"/>
            <family val="2"/>
          </rPr>
          <t>Cem Dener:</t>
        </r>
        <r>
          <rPr>
            <sz val="9"/>
            <color indexed="81"/>
            <rFont val="Tahoma"/>
            <family val="2"/>
          </rPr>
          <t xml:space="preserve">
http://www.refworld.org/country,LEGAL,,,IDN,,3ae6b4ec8,0.html</t>
        </r>
      </text>
    </comment>
    <comment ref="AD80" authorId="0" shapeId="0">
      <text>
        <r>
          <rPr>
            <b/>
            <sz val="9"/>
            <color indexed="81"/>
            <rFont val="Tahoma"/>
            <family val="2"/>
          </rPr>
          <t>Cem Dener:</t>
        </r>
        <r>
          <rPr>
            <sz val="9"/>
            <color indexed="81"/>
            <rFont val="Tahoma"/>
            <family val="2"/>
          </rPr>
          <t xml:space="preserve">
The Indonesia government has adopted the world`s most aspiring biometric-based national identity card project costing approximately $600 million with the goal of to provide 172 million citizens a national id card by the end of 2014.</t>
        </r>
      </text>
    </comment>
    <comment ref="AE80" authorId="0" shapeId="0">
      <text>
        <r>
          <rPr>
            <b/>
            <sz val="9"/>
            <color indexed="81"/>
            <rFont val="Tahoma"/>
            <family val="2"/>
          </rPr>
          <t>Cem Dener:</t>
        </r>
        <r>
          <rPr>
            <sz val="9"/>
            <color indexed="81"/>
            <rFont val="Tahoma"/>
            <family val="2"/>
          </rPr>
          <t xml:space="preserve">
Initiated in 2011
</t>
        </r>
      </text>
    </comment>
    <comment ref="AL80" authorId="0" shapeId="0">
      <text>
        <r>
          <rPr>
            <b/>
            <sz val="9"/>
            <color indexed="81"/>
            <rFont val="Tahoma"/>
            <family val="2"/>
          </rPr>
          <t>Cem Dener:</t>
        </r>
        <r>
          <rPr>
            <sz val="9"/>
            <color indexed="81"/>
            <rFont val="Tahoma"/>
            <family val="2"/>
          </rPr>
          <t xml:space="preserve">
Unknown</t>
        </r>
      </text>
    </comment>
    <comment ref="AM80" authorId="0" shapeId="0">
      <text>
        <r>
          <rPr>
            <b/>
            <sz val="9"/>
            <color indexed="81"/>
            <rFont val="Tahoma"/>
            <family val="2"/>
          </rPr>
          <t>Cem Dener:</t>
        </r>
        <r>
          <rPr>
            <sz val="9"/>
            <color indexed="81"/>
            <rFont val="Tahoma"/>
            <family val="2"/>
          </rPr>
          <t xml:space="preserve">
http://www.securitydocumentworld.com/article-details/i/11841/</t>
        </r>
      </text>
    </comment>
    <comment ref="AZ80" authorId="2" shapeId="0">
      <text>
        <r>
          <rPr>
            <b/>
            <sz val="9"/>
            <color indexed="81"/>
            <rFont val="Tahoma"/>
            <family val="2"/>
          </rPr>
          <t>Huan Zhang:</t>
        </r>
        <r>
          <rPr>
            <sz val="9"/>
            <color indexed="81"/>
            <rFont val="Tahoma"/>
            <family val="2"/>
          </rPr>
          <t xml:space="preserve">
Registration initiated in 1977</t>
        </r>
      </text>
    </comment>
    <comment ref="CN80" authorId="0" shapeId="0">
      <text>
        <r>
          <rPr>
            <b/>
            <sz val="9"/>
            <color indexed="81"/>
            <rFont val="Tahoma"/>
            <family val="2"/>
          </rPr>
          <t>Cem Dener:</t>
        </r>
        <r>
          <rPr>
            <sz val="9"/>
            <color indexed="81"/>
            <rFont val="Tahoma"/>
            <family val="2"/>
          </rPr>
          <t xml:space="preserve">
Voting Age Population was used (Registered voter was greater than VAP)</t>
        </r>
      </text>
    </comment>
    <comment ref="CS80" authorId="0" shapeId="0">
      <text>
        <r>
          <rPr>
            <b/>
            <sz val="9"/>
            <color indexed="81"/>
            <rFont val="Tahoma"/>
            <family val="2"/>
          </rPr>
          <t>Cem Dener:</t>
        </r>
        <r>
          <rPr>
            <sz val="9"/>
            <color indexed="81"/>
            <rFont val="Tahoma"/>
            <family val="2"/>
          </rPr>
          <t xml:space="preserve">
http://www.securitydocumentworld.com/article-details/i/11841/</t>
        </r>
      </text>
    </comment>
    <comment ref="CU80" authorId="0" shapeId="0">
      <text>
        <r>
          <rPr>
            <b/>
            <sz val="9"/>
            <color indexed="81"/>
            <rFont val="Tahoma"/>
            <family val="2"/>
          </rPr>
          <t>Cem Dener:</t>
        </r>
        <r>
          <rPr>
            <sz val="9"/>
            <color indexed="81"/>
            <rFont val="Tahoma"/>
            <family val="2"/>
          </rPr>
          <t xml:space="preserve">
universal and married persons regardless of age. except for the military and police</t>
        </r>
      </text>
    </comment>
    <comment ref="C81" authorId="0" shapeId="0">
      <text>
        <r>
          <rPr>
            <b/>
            <sz val="9"/>
            <color indexed="81"/>
            <rFont val="Tahoma"/>
            <family val="2"/>
          </rPr>
          <t>Cem Dener:</t>
        </r>
        <r>
          <rPr>
            <sz val="9"/>
            <color indexed="81"/>
            <rFont val="Tahoma"/>
            <family val="2"/>
          </rPr>
          <t xml:space="preserve">
Islamic Republic of Iran
</t>
        </r>
      </text>
    </comment>
    <comment ref="H81" authorId="0" shapeId="0">
      <text>
        <r>
          <rPr>
            <b/>
            <sz val="9"/>
            <color indexed="81"/>
            <rFont val="Tahoma"/>
            <family val="2"/>
          </rPr>
          <t>Cem Dener:</t>
        </r>
        <r>
          <rPr>
            <sz val="9"/>
            <color indexed="81"/>
            <rFont val="Tahoma"/>
            <family val="2"/>
          </rPr>
          <t xml:space="preserve">
http://www.unicef.org/iran/IRN_resources_BR_eng-word.pdf</t>
        </r>
      </text>
    </comment>
    <comment ref="K81" authorId="0" shapeId="0">
      <text>
        <r>
          <rPr>
            <b/>
            <sz val="9"/>
            <color indexed="81"/>
            <rFont val="Tahoma"/>
            <family val="2"/>
          </rPr>
          <t>Cem Dener:</t>
        </r>
        <r>
          <rPr>
            <sz val="9"/>
            <color indexed="81"/>
            <rFont val="Tahoma"/>
            <family val="2"/>
          </rPr>
          <t xml:space="preserve">
http://www.refworld.org/country,LEGAL,,,IRN,,49997adb27,0.html</t>
        </r>
      </text>
    </comment>
    <comment ref="AJ81" authorId="2" shapeId="0">
      <text>
        <r>
          <rPr>
            <b/>
            <sz val="9"/>
            <color indexed="81"/>
            <rFont val="Tahoma"/>
            <family val="2"/>
          </rPr>
          <t>Huan Zhang:</t>
        </r>
        <r>
          <rPr>
            <sz val="9"/>
            <color indexed="81"/>
            <rFont val="Tahoma"/>
            <family val="2"/>
          </rPr>
          <t xml:space="preserve">
https://www.youtube.com/watch?v=gIFHn3hKOhU</t>
        </r>
      </text>
    </comment>
    <comment ref="AL81" authorId="0" shapeId="0">
      <text>
        <r>
          <rPr>
            <b/>
            <sz val="9"/>
            <color indexed="81"/>
            <rFont val="Tahoma"/>
            <family val="2"/>
          </rPr>
          <t>Cem Dener:</t>
        </r>
        <r>
          <rPr>
            <sz val="9"/>
            <color indexed="81"/>
            <rFont val="Tahoma"/>
            <family val="2"/>
          </rPr>
          <t xml:space="preserve">
Unknown</t>
        </r>
      </text>
    </comment>
    <comment ref="AZ81" authorId="2" shapeId="0">
      <text>
        <r>
          <rPr>
            <b/>
            <sz val="9"/>
            <color indexed="81"/>
            <rFont val="Tahoma"/>
            <family val="2"/>
          </rPr>
          <t>Huan Zhang:</t>
        </r>
        <r>
          <rPr>
            <sz val="9"/>
            <color indexed="81"/>
            <rFont val="Tahoma"/>
            <family val="2"/>
          </rPr>
          <t xml:space="preserve">
Registration initiated in 1969
System is not automated yet</t>
        </r>
      </text>
    </comment>
    <comment ref="CU81" authorId="0" shapeId="0">
      <text>
        <r>
          <rPr>
            <b/>
            <sz val="9"/>
            <color indexed="81"/>
            <rFont val="Tahoma"/>
            <family val="2"/>
          </rPr>
          <t>Cem Dener:</t>
        </r>
        <r>
          <rPr>
            <sz val="9"/>
            <color indexed="81"/>
            <rFont val="Tahoma"/>
            <family val="2"/>
          </rPr>
          <t xml:space="preserve">
(changed from 15 Years to 18 Years in 2007, but that was changed back in 2009 and changed again to 18 in 2011)</t>
        </r>
      </text>
    </comment>
    <comment ref="H82" authorId="0" shapeId="0">
      <text>
        <r>
          <rPr>
            <b/>
            <sz val="9"/>
            <color indexed="81"/>
            <rFont val="Tahoma"/>
            <family val="2"/>
          </rPr>
          <t>Cem Dener:</t>
        </r>
        <r>
          <rPr>
            <sz val="9"/>
            <color indexed="81"/>
            <rFont val="Tahoma"/>
            <family val="2"/>
          </rPr>
          <t xml:space="preserve">
http://www.moh.gov.iq/english/</t>
        </r>
      </text>
    </comment>
    <comment ref="M82" authorId="0" shapeId="0">
      <text>
        <r>
          <rPr>
            <b/>
            <sz val="9"/>
            <color indexed="81"/>
            <rFont val="Tahoma"/>
            <family val="2"/>
          </rPr>
          <t>Cem Dener:</t>
        </r>
        <r>
          <rPr>
            <sz val="9"/>
            <color indexed="81"/>
            <rFont val="Tahoma"/>
            <family val="2"/>
          </rPr>
          <t xml:space="preserve">
Rural: 45 days</t>
        </r>
      </text>
    </comment>
    <comment ref="R82" authorId="0" shapeId="0">
      <text>
        <r>
          <rPr>
            <b/>
            <sz val="9"/>
            <color indexed="81"/>
            <rFont val="Tahoma"/>
            <family val="2"/>
          </rPr>
          <t>Cem Dener:</t>
        </r>
        <r>
          <rPr>
            <sz val="9"/>
            <color indexed="81"/>
            <rFont val="Tahoma"/>
            <family val="2"/>
          </rPr>
          <t xml:space="preserve">
http://www.refworld.org/country,LEGAL,NATLEGBOD,LEGISLATION,IRQ,,4b1e364c2,0.html</t>
        </r>
      </text>
    </comment>
    <comment ref="AE82" authorId="0" shapeId="0">
      <text>
        <r>
          <rPr>
            <b/>
            <sz val="9"/>
            <color indexed="81"/>
            <rFont val="Tahoma"/>
            <family val="2"/>
          </rPr>
          <t>Cem Dener:</t>
        </r>
        <r>
          <rPr>
            <sz val="9"/>
            <color indexed="81"/>
            <rFont val="Tahoma"/>
            <family val="2"/>
          </rPr>
          <t xml:space="preserve">
Distribution would be initiated in 2014</t>
        </r>
      </text>
    </comment>
    <comment ref="AM82" authorId="0" shapeId="0">
      <text>
        <r>
          <rPr>
            <b/>
            <sz val="9"/>
            <color indexed="81"/>
            <rFont val="Tahoma"/>
            <family val="2"/>
          </rPr>
          <t>Cem Dener:</t>
        </r>
        <r>
          <rPr>
            <sz val="9"/>
            <color indexed="81"/>
            <rFont val="Tahoma"/>
            <family val="2"/>
          </rPr>
          <t xml:space="preserve">
http://www.pbs.org/wgbh/nova/next/tech/biometrics-and-the-future-of-identification/</t>
        </r>
      </text>
    </comment>
    <comment ref="AZ82" authorId="2" shapeId="0">
      <text>
        <r>
          <rPr>
            <b/>
            <sz val="9"/>
            <color indexed="81"/>
            <rFont val="Tahoma"/>
            <family val="2"/>
          </rPr>
          <t>Huan Zhang:</t>
        </r>
        <r>
          <rPr>
            <sz val="9"/>
            <color indexed="81"/>
            <rFont val="Tahoma"/>
            <family val="2"/>
          </rPr>
          <t xml:space="preserve">
Registration initiated in 1997</t>
        </r>
      </text>
    </comment>
    <comment ref="CN82" authorId="0" shapeId="0">
      <text>
        <r>
          <rPr>
            <b/>
            <sz val="9"/>
            <color indexed="81"/>
            <rFont val="Tahoma"/>
            <family val="2"/>
          </rPr>
          <t>Cem Dener:</t>
        </r>
        <r>
          <rPr>
            <sz val="9"/>
            <color indexed="81"/>
            <rFont val="Tahoma"/>
            <family val="2"/>
          </rPr>
          <t xml:space="preserve">
Voting Age Population was used (Registered voter was greater than VAP)</t>
        </r>
      </text>
    </comment>
    <comment ref="H83" authorId="0" shapeId="0">
      <text>
        <r>
          <rPr>
            <b/>
            <sz val="9"/>
            <color indexed="81"/>
            <rFont val="Tahoma"/>
            <family val="2"/>
          </rPr>
          <t>Cem Dener:</t>
        </r>
        <r>
          <rPr>
            <sz val="9"/>
            <color indexed="81"/>
            <rFont val="Tahoma"/>
            <family val="2"/>
          </rPr>
          <t xml:space="preserve">
http://www.civilregistrationservice.ie/</t>
        </r>
      </text>
    </comment>
    <comment ref="AL83" authorId="0" shapeId="0">
      <text>
        <r>
          <rPr>
            <b/>
            <sz val="9"/>
            <color indexed="81"/>
            <rFont val="Tahoma"/>
            <family val="2"/>
          </rPr>
          <t>Cem Dener:</t>
        </r>
        <r>
          <rPr>
            <sz val="9"/>
            <color indexed="81"/>
            <rFont val="Tahoma"/>
            <family val="2"/>
          </rPr>
          <t xml:space="preserve">
eRP
</t>
        </r>
      </text>
    </comment>
    <comment ref="AM83" authorId="0" shapeId="0">
      <text>
        <r>
          <rPr>
            <b/>
            <sz val="9"/>
            <color indexed="81"/>
            <rFont val="Tahoma"/>
            <family val="2"/>
          </rPr>
          <t>Cem Dener:</t>
        </r>
        <r>
          <rPr>
            <sz val="9"/>
            <color indexed="81"/>
            <rFont val="Tahoma"/>
            <family val="2"/>
          </rPr>
          <t xml:space="preserve">
http://www.gemalto.com/brochures-site/download-site/Documents/gov-ID-programs.pdf</t>
        </r>
      </text>
    </comment>
    <comment ref="AX83" authorId="2" shapeId="0">
      <text>
        <r>
          <rPr>
            <b/>
            <sz val="9"/>
            <color indexed="81"/>
            <rFont val="Tahoma"/>
            <family val="2"/>
          </rPr>
          <t xml:space="preserve">Huan Zhang:
</t>
        </r>
        <r>
          <rPr>
            <sz val="9"/>
            <color indexed="81"/>
            <rFont val="Tahoma"/>
            <family val="2"/>
          </rPr>
          <t>The Minister for Foreign Affairs and Trade, Charlie Flanagan TD, today (Monday) unveiled the design of the new Irish Passport Card, which will be accepted for travel within the European Union and the European Economic Area and will be available from mid-July.
https://www.dfa.ie/news-and-media/press-releases/press-release-archive/2015/january/minister-flanagan-announces-new-passport-card/</t>
        </r>
      </text>
    </comment>
    <comment ref="AZ83" authorId="2" shapeId="0">
      <text>
        <r>
          <rPr>
            <b/>
            <sz val="9"/>
            <color indexed="81"/>
            <rFont val="Tahoma"/>
            <family val="2"/>
          </rPr>
          <t>Huan Zhang:</t>
        </r>
        <r>
          <rPr>
            <sz val="9"/>
            <color indexed="81"/>
            <rFont val="Tahoma"/>
            <family val="2"/>
          </rPr>
          <t xml:space="preserve">
Registration initiated in 1963</t>
        </r>
      </text>
    </comment>
    <comment ref="BD83" authorId="2" shapeId="0">
      <text>
        <r>
          <rPr>
            <b/>
            <sz val="9"/>
            <color indexed="81"/>
            <rFont val="Tahoma"/>
            <family val="2"/>
          </rPr>
          <t>Huan Zhang:</t>
        </r>
        <r>
          <rPr>
            <sz val="9"/>
            <color indexed="81"/>
            <rFont val="Tahoma"/>
            <family val="2"/>
          </rPr>
          <t xml:space="preserve">
http://www.meridianglobalservices.com/blog/2013/01/01/New-tax-number-format-Ireland</t>
        </r>
      </text>
    </comment>
    <comment ref="K84" authorId="0" shapeId="0">
      <text>
        <r>
          <rPr>
            <b/>
            <sz val="9"/>
            <color indexed="81"/>
            <rFont val="Tahoma"/>
            <family val="2"/>
          </rPr>
          <t>Cem Dener:</t>
        </r>
        <r>
          <rPr>
            <sz val="9"/>
            <color indexed="81"/>
            <rFont val="Tahoma"/>
            <family val="2"/>
          </rPr>
          <t xml:space="preserve">
http://www.refworld.org/country,LEGAL,,,ISR,,3ae6b4ec20,0.html</t>
        </r>
      </text>
    </comment>
    <comment ref="AE84" authorId="0" shapeId="0">
      <text>
        <r>
          <rPr>
            <b/>
            <sz val="9"/>
            <color indexed="81"/>
            <rFont val="Tahoma"/>
            <family val="2"/>
          </rPr>
          <t>Cem Dener:</t>
        </r>
        <r>
          <rPr>
            <sz val="9"/>
            <color indexed="81"/>
            <rFont val="Tahoma"/>
            <family val="2"/>
          </rPr>
          <t xml:space="preserve">
Pilot initiated in 2013. </t>
        </r>
      </text>
    </comment>
    <comment ref="AY84" authorId="2" shapeId="0">
      <text>
        <r>
          <rPr>
            <b/>
            <sz val="9"/>
            <color indexed="81"/>
            <rFont val="Tahoma"/>
            <family val="2"/>
          </rPr>
          <t>Huan Zhang:</t>
        </r>
        <r>
          <rPr>
            <sz val="9"/>
            <color indexed="81"/>
            <rFont val="Tahoma"/>
            <family val="2"/>
          </rPr>
          <t xml:space="preserve">
http://havarot.justice.gov.il/
http://index.justice.gov.il/En/Services/Pages/OnLineServices.aspx</t>
        </r>
      </text>
    </comment>
    <comment ref="CN84" authorId="0" shapeId="0">
      <text>
        <r>
          <rPr>
            <b/>
            <sz val="9"/>
            <color indexed="81"/>
            <rFont val="Tahoma"/>
            <family val="2"/>
          </rPr>
          <t>Cem Dener:</t>
        </r>
        <r>
          <rPr>
            <sz val="9"/>
            <color indexed="81"/>
            <rFont val="Tahoma"/>
            <family val="2"/>
          </rPr>
          <t xml:space="preserve">
Voting Age Population was used (Registered voter was greater than VAP)</t>
        </r>
      </text>
    </comment>
    <comment ref="CU84" authorId="0" shapeId="0">
      <text>
        <r>
          <rPr>
            <b/>
            <sz val="9"/>
            <color indexed="81"/>
            <rFont val="Tahoma"/>
            <family val="2"/>
          </rPr>
          <t>Cem Dener:</t>
        </r>
        <r>
          <rPr>
            <sz val="9"/>
            <color indexed="81"/>
            <rFont val="Tahoma"/>
            <family val="2"/>
          </rPr>
          <t xml:space="preserve">
17 for municipal elections</t>
        </r>
      </text>
    </comment>
    <comment ref="W85" authorId="0" shapeId="0">
      <text>
        <r>
          <rPr>
            <b/>
            <sz val="9"/>
            <color indexed="81"/>
            <rFont val="Tahoma"/>
            <family val="2"/>
          </rPr>
          <t>Cem Dener:</t>
        </r>
        <r>
          <rPr>
            <sz val="9"/>
            <color indexed="81"/>
            <rFont val="Tahoma"/>
            <family val="2"/>
          </rPr>
          <t xml:space="preserve">
€25.42 (duplicate €30.58)</t>
        </r>
      </text>
    </comment>
    <comment ref="Z85" authorId="0" shapeId="0">
      <text>
        <r>
          <rPr>
            <b/>
            <sz val="9"/>
            <color indexed="81"/>
            <rFont val="Tahoma"/>
            <family val="2"/>
          </rPr>
          <t>Cem Dener:</t>
        </r>
        <r>
          <rPr>
            <sz val="9"/>
            <color indexed="81"/>
            <rFont val="Tahoma"/>
            <family val="2"/>
          </rPr>
          <t xml:space="preserve">
http://en.wikipedia.org/wiki/Italian_fiscal_code_card</t>
        </r>
      </text>
    </comment>
    <comment ref="AD85" authorId="0" shapeId="0">
      <text>
        <r>
          <rPr>
            <b/>
            <sz val="9"/>
            <color indexed="81"/>
            <rFont val="Tahoma"/>
            <family val="2"/>
          </rPr>
          <t>Cem Dener:</t>
        </r>
        <r>
          <rPr>
            <sz val="9"/>
            <color indexed="81"/>
            <rFont val="Tahoma"/>
            <family val="2"/>
          </rPr>
          <t xml:space="preserve">
http://www.hidglobal.com/government/citizen-id/italy</t>
        </r>
      </text>
    </comment>
    <comment ref="AZ85" authorId="2" shapeId="0">
      <text>
        <r>
          <rPr>
            <b/>
            <sz val="9"/>
            <color indexed="81"/>
            <rFont val="Tahoma"/>
            <family val="2"/>
          </rPr>
          <t>Huan Zhang:</t>
        </r>
        <r>
          <rPr>
            <sz val="9"/>
            <color indexed="81"/>
            <rFont val="Tahoma"/>
            <family val="2"/>
          </rPr>
          <t xml:space="preserve">
Registration initiated in 1974</t>
        </r>
      </text>
    </comment>
    <comment ref="CS85" authorId="0" shapeId="0">
      <text>
        <r>
          <rPr>
            <b/>
            <sz val="9"/>
            <color indexed="81"/>
            <rFont val="Tahoma"/>
            <family val="2"/>
          </rPr>
          <t>Cem Dener:</t>
        </r>
        <r>
          <rPr>
            <sz val="9"/>
            <color indexed="81"/>
            <rFont val="Tahoma"/>
            <family val="2"/>
          </rPr>
          <t xml:space="preserve">
http://elezioni.interno.it/opendata.html  </t>
        </r>
      </text>
    </comment>
    <comment ref="CU85" authorId="0" shapeId="0">
      <text>
        <r>
          <rPr>
            <b/>
            <sz val="9"/>
            <color indexed="81"/>
            <rFont val="Tahoma"/>
            <family val="2"/>
          </rPr>
          <t>Cem Dener:</t>
        </r>
        <r>
          <rPr>
            <sz val="9"/>
            <color indexed="81"/>
            <rFont val="Tahoma"/>
            <family val="2"/>
          </rPr>
          <t xml:space="preserve">
25 for Senate elections</t>
        </r>
      </text>
    </comment>
    <comment ref="H86" authorId="0" shapeId="0">
      <text>
        <r>
          <rPr>
            <b/>
            <sz val="9"/>
            <color indexed="81"/>
            <rFont val="Tahoma"/>
            <family val="2"/>
          </rPr>
          <t>Cem Dener:</t>
        </r>
        <r>
          <rPr>
            <sz val="9"/>
            <color indexed="81"/>
            <rFont val="Tahoma"/>
            <family val="2"/>
          </rPr>
          <t xml:space="preserve">
http://statinja.gov.jm</t>
        </r>
      </text>
    </comment>
    <comment ref="K86" authorId="0" shapeId="0">
      <text>
        <r>
          <rPr>
            <b/>
            <sz val="9"/>
            <color indexed="81"/>
            <rFont val="Tahoma"/>
            <family val="2"/>
          </rPr>
          <t>Cem Dener:</t>
        </r>
        <r>
          <rPr>
            <sz val="9"/>
            <color indexed="81"/>
            <rFont val="Tahoma"/>
            <family val="2"/>
          </rPr>
          <t xml:space="preserve">
http://www.rgd.gov.jm/about-us/history
http://www.refworld.org/country,LEGAL,,,JAM,,3ae6b4ed44,0.html</t>
        </r>
      </text>
    </comment>
    <comment ref="M86" authorId="0" shapeId="0">
      <text>
        <r>
          <rPr>
            <b/>
            <sz val="9"/>
            <color indexed="81"/>
            <rFont val="Tahoma"/>
            <family val="2"/>
          </rPr>
          <t>Cem Dener:</t>
        </r>
        <r>
          <rPr>
            <sz val="9"/>
            <color indexed="81"/>
            <rFont val="Tahoma"/>
            <family val="2"/>
          </rPr>
          <t xml:space="preserve">
within 3 months (and less than one year) if registered by parents
within 14 days if registered by the Chief Resident Officer
</t>
        </r>
      </text>
    </comment>
    <comment ref="AE86" authorId="0" shapeId="0">
      <text>
        <r>
          <rPr>
            <b/>
            <sz val="9"/>
            <color indexed="81"/>
            <rFont val="Tahoma"/>
            <family val="2"/>
          </rPr>
          <t>Cem Dener:</t>
        </r>
        <r>
          <rPr>
            <sz val="9"/>
            <color indexed="81"/>
            <rFont val="Tahoma"/>
            <family val="2"/>
          </rPr>
          <t xml:space="preserve">
Launched in Oct 2011.
Gov declared NIDS in 2013.</t>
        </r>
      </text>
    </comment>
    <comment ref="AL86" authorId="0" shapeId="0">
      <text>
        <r>
          <rPr>
            <b/>
            <sz val="9"/>
            <color indexed="81"/>
            <rFont val="Tahoma"/>
            <family val="2"/>
          </rPr>
          <t>Cem Dener:</t>
        </r>
        <r>
          <rPr>
            <sz val="9"/>
            <color indexed="81"/>
            <rFont val="Tahoma"/>
            <family val="2"/>
          </rPr>
          <t xml:space="preserve">
eGov Jamaica Limited</t>
        </r>
      </text>
    </comment>
    <comment ref="AZ86" authorId="2" shapeId="0">
      <text>
        <r>
          <rPr>
            <b/>
            <sz val="9"/>
            <color indexed="81"/>
            <rFont val="Tahoma"/>
            <family val="2"/>
          </rPr>
          <t>Huan Zhang:</t>
        </r>
        <r>
          <rPr>
            <sz val="9"/>
            <color indexed="81"/>
            <rFont val="Tahoma"/>
            <family val="2"/>
          </rPr>
          <t xml:space="preserve">
Registration initiated in 1975</t>
        </r>
      </text>
    </comment>
    <comment ref="FI86" authorId="0" shapeId="0">
      <text>
        <r>
          <rPr>
            <b/>
            <sz val="9"/>
            <color indexed="81"/>
            <rFont val="Tahoma"/>
            <family val="2"/>
          </rPr>
          <t>Cem Dener:</t>
        </r>
        <r>
          <rPr>
            <sz val="9"/>
            <color indexed="81"/>
            <rFont val="Tahoma"/>
            <family val="2"/>
          </rPr>
          <t xml:space="preserve">
Ministerio del Salud</t>
        </r>
      </text>
    </comment>
    <comment ref="HK86" authorId="2" shapeId="0">
      <text>
        <r>
          <rPr>
            <b/>
            <sz val="9"/>
            <color indexed="81"/>
            <rFont val="Tahoma"/>
            <family val="2"/>
          </rPr>
          <t>Huan Zhang:</t>
        </r>
        <r>
          <rPr>
            <sz val="9"/>
            <color indexed="81"/>
            <rFont val="Tahoma"/>
            <family val="2"/>
          </rPr>
          <t xml:space="preserve">
Not published yet</t>
        </r>
      </text>
    </comment>
    <comment ref="HM86" authorId="3" shapeId="0">
      <text>
        <r>
          <rPr>
            <b/>
            <sz val="9"/>
            <color indexed="81"/>
            <rFont val="Tahoma"/>
            <family val="2"/>
          </rPr>
          <t>Irenezh1016:</t>
        </r>
        <r>
          <rPr>
            <sz val="9"/>
            <color indexed="81"/>
            <rFont val="Tahoma"/>
            <family val="2"/>
          </rPr>
          <t xml:space="preserve">
Bill was drafted in 2012</t>
        </r>
      </text>
    </comment>
    <comment ref="H87" authorId="0" shapeId="0">
      <text>
        <r>
          <rPr>
            <b/>
            <sz val="9"/>
            <color indexed="81"/>
            <rFont val="Tahoma"/>
            <family val="2"/>
          </rPr>
          <t>Cem Dener:</t>
        </r>
        <r>
          <rPr>
            <sz val="9"/>
            <color indexed="81"/>
            <rFont val="Tahoma"/>
            <family val="2"/>
          </rPr>
          <t xml:space="preserve">
http://en.wikipedia.org/wiki/Koseki</t>
        </r>
      </text>
    </comment>
    <comment ref="O87" authorId="0" shapeId="0">
      <text>
        <r>
          <rPr>
            <b/>
            <sz val="9"/>
            <color indexed="81"/>
            <rFont val="Tahoma"/>
            <family val="2"/>
          </rPr>
          <t>Cem Dener:</t>
        </r>
        <r>
          <rPr>
            <sz val="9"/>
            <color indexed="81"/>
            <rFont val="Tahoma"/>
            <family val="2"/>
          </rPr>
          <t xml:space="preserve">
http://www.soumu.go.jp/main_sosiki/jichi_gyousei/c-gyousei/daityo/index.html</t>
        </r>
      </text>
    </comment>
    <comment ref="AD87" authorId="0" shapeId="0">
      <text>
        <r>
          <rPr>
            <b/>
            <sz val="9"/>
            <color indexed="81"/>
            <rFont val="Tahoma"/>
            <family val="2"/>
          </rPr>
          <t>Cem Dener:</t>
        </r>
        <r>
          <rPr>
            <sz val="9"/>
            <color indexed="81"/>
            <rFont val="Tahoma"/>
            <family val="2"/>
          </rPr>
          <t xml:space="preserve">
http://www.soumu.go.jp/main_sosiki/jichi_gyousei/daityo/gaiyou.html  </t>
        </r>
      </text>
    </comment>
    <comment ref="AL87" authorId="0" shapeId="0">
      <text>
        <r>
          <rPr>
            <b/>
            <sz val="9"/>
            <color indexed="81"/>
            <rFont val="Tahoma"/>
            <family val="2"/>
          </rPr>
          <t>Cem Dener:</t>
        </r>
        <r>
          <rPr>
            <sz val="9"/>
            <color indexed="81"/>
            <rFont val="Tahoma"/>
            <family val="2"/>
          </rPr>
          <t xml:space="preserve">
Unknown</t>
        </r>
      </text>
    </comment>
    <comment ref="AY87" authorId="2" shapeId="0">
      <text>
        <r>
          <rPr>
            <b/>
            <sz val="9"/>
            <color indexed="81"/>
            <rFont val="Tahoma"/>
            <family val="2"/>
          </rPr>
          <t>Huan Zhang:</t>
        </r>
        <r>
          <rPr>
            <sz val="9"/>
            <color indexed="81"/>
            <rFont val="Tahoma"/>
            <family val="2"/>
          </rPr>
          <t xml:space="preserve">
http://www.touki-kyoutaku-net.moj.go.jp/index.html</t>
        </r>
      </text>
    </comment>
    <comment ref="AZ87" authorId="2" shapeId="0">
      <text>
        <r>
          <rPr>
            <b/>
            <sz val="9"/>
            <color indexed="81"/>
            <rFont val="Tahoma"/>
            <family val="2"/>
          </rPr>
          <t>Huan Zhang:</t>
        </r>
        <r>
          <rPr>
            <sz val="9"/>
            <color indexed="81"/>
            <rFont val="Tahoma"/>
            <family val="2"/>
          </rPr>
          <t xml:space="preserve">
Registration system initiated in 1959</t>
        </r>
      </text>
    </comment>
    <comment ref="CS87" authorId="0" shapeId="0">
      <text>
        <r>
          <rPr>
            <b/>
            <sz val="9"/>
            <color indexed="81"/>
            <rFont val="Tahoma"/>
            <family val="2"/>
          </rPr>
          <t>Cem Dener:</t>
        </r>
        <r>
          <rPr>
            <sz val="9"/>
            <color indexed="81"/>
            <rFont val="Tahoma"/>
            <family val="2"/>
          </rPr>
          <t xml:space="preserve">
http://www.soumu.go.jp/main_content/000200394.pdf</t>
        </r>
      </text>
    </comment>
    <comment ref="CU87" authorId="0" shapeId="0">
      <text>
        <r>
          <rPr>
            <b/>
            <sz val="9"/>
            <color indexed="81"/>
            <rFont val="Tahoma"/>
            <family val="2"/>
          </rPr>
          <t>Cem Dener:</t>
        </r>
        <r>
          <rPr>
            <sz val="9"/>
            <color indexed="81"/>
            <rFont val="Tahoma"/>
            <family val="2"/>
          </rPr>
          <t xml:space="preserve">
Changed from 20 to 18 in 2016</t>
        </r>
      </text>
    </comment>
    <comment ref="K88" authorId="0" shapeId="0">
      <text>
        <r>
          <rPr>
            <b/>
            <sz val="9"/>
            <color indexed="81"/>
            <rFont val="Tahoma"/>
            <family val="2"/>
          </rPr>
          <t>Cem Dener:</t>
        </r>
        <r>
          <rPr>
            <sz val="9"/>
            <color indexed="81"/>
            <rFont val="Tahoma"/>
            <family val="2"/>
          </rPr>
          <t xml:space="preserve">
http://www.refworld.org/country,LEGAL,,,JOR,,3ae6b4ea13,0.html</t>
        </r>
      </text>
    </comment>
    <comment ref="N88" authorId="0" shapeId="0">
      <text>
        <r>
          <rPr>
            <b/>
            <sz val="9"/>
            <color indexed="81"/>
            <rFont val="Tahoma"/>
            <family val="2"/>
          </rPr>
          <t>Cem Dener:</t>
        </r>
        <r>
          <rPr>
            <sz val="9"/>
            <color indexed="81"/>
            <rFont val="Tahoma"/>
            <family val="2"/>
          </rPr>
          <t xml:space="preserve">
1 JOD if &lt; 30 days
10 JOD until 12 months
</t>
        </r>
      </text>
    </comment>
    <comment ref="AL88" authorId="0" shapeId="0">
      <text>
        <r>
          <rPr>
            <b/>
            <sz val="9"/>
            <color indexed="81"/>
            <rFont val="Tahoma"/>
            <family val="2"/>
          </rPr>
          <t>Cem Dener:</t>
        </r>
        <r>
          <rPr>
            <sz val="9"/>
            <color indexed="81"/>
            <rFont val="Tahoma"/>
            <family val="2"/>
          </rPr>
          <t xml:space="preserve">
Daon</t>
        </r>
      </text>
    </comment>
    <comment ref="AM88" authorId="0" shapeId="0">
      <text>
        <r>
          <rPr>
            <b/>
            <sz val="9"/>
            <color indexed="81"/>
            <rFont val="Tahoma"/>
            <family val="2"/>
          </rPr>
          <t>Cem Dener:</t>
        </r>
        <r>
          <rPr>
            <sz val="9"/>
            <color indexed="81"/>
            <rFont val="Tahoma"/>
            <family val="2"/>
          </rPr>
          <t xml:space="preserve">
http://www.biometrics.org/bc2011/presentations/FutureTech/0929_1040_Rm13_Tilton.pdf</t>
        </r>
      </text>
    </comment>
    <comment ref="K89" authorId="0" shapeId="0">
      <text>
        <r>
          <rPr>
            <b/>
            <sz val="9"/>
            <color indexed="81"/>
            <rFont val="Tahoma"/>
            <family val="2"/>
          </rPr>
          <t>Cem Dener:</t>
        </r>
        <r>
          <rPr>
            <sz val="9"/>
            <color indexed="81"/>
            <rFont val="Tahoma"/>
            <family val="2"/>
          </rPr>
          <t xml:space="preserve">
http://www.refworld.org/country,LEGAL,,,KAZ,,502caf112,0.html</t>
        </r>
      </text>
    </comment>
    <comment ref="O89" authorId="0" shapeId="0">
      <text>
        <r>
          <rPr>
            <b/>
            <sz val="9"/>
            <color indexed="81"/>
            <rFont val="Tahoma"/>
            <family val="2"/>
          </rPr>
          <t>Cem Dener:</t>
        </r>
        <r>
          <rPr>
            <sz val="9"/>
            <color indexed="81"/>
            <rFont val="Tahoma"/>
            <family val="2"/>
          </rPr>
          <t xml:space="preserve">
http://www.landinfo.no/asset/2193/1/2193_1.pdf  </t>
        </r>
      </text>
    </comment>
    <comment ref="AM89" authorId="0" shapeId="0">
      <text>
        <r>
          <rPr>
            <b/>
            <sz val="9"/>
            <color indexed="81"/>
            <rFont val="Tahoma"/>
            <family val="2"/>
          </rPr>
          <t>Cem Dener:</t>
        </r>
        <r>
          <rPr>
            <sz val="9"/>
            <color indexed="81"/>
            <rFont val="Tahoma"/>
            <family val="2"/>
          </rPr>
          <t xml:space="preserve">
http://www.icao.int/Security/mrtd/2011qatar/Documents/15_Morpho.pdf</t>
        </r>
      </text>
    </comment>
    <comment ref="AX89" authorId="2" shapeId="0">
      <text>
        <r>
          <rPr>
            <b/>
            <sz val="9"/>
            <color indexed="81"/>
            <rFont val="Tahoma"/>
            <family val="2"/>
          </rPr>
          <t>Huan Zhang:</t>
        </r>
        <r>
          <rPr>
            <sz val="9"/>
            <color indexed="81"/>
            <rFont val="Tahoma"/>
            <family val="2"/>
          </rPr>
          <t xml:space="preserve">
Within the Republic of Kazakhstan citizens are required to use internal identification card which can also be used for travel to Russian Federation, Kyrgyzstan and Azerbaijan.</t>
        </r>
      </text>
    </comment>
    <comment ref="BD89" authorId="6" shapeId="0">
      <text>
        <r>
          <rPr>
            <b/>
            <sz val="9"/>
            <color indexed="81"/>
            <rFont val="Tahoma"/>
            <family val="2"/>
          </rPr>
          <t>Doruk Yarin Kiroglu:</t>
        </r>
        <r>
          <rPr>
            <sz val="9"/>
            <color indexed="81"/>
            <rFont val="Tahoma"/>
            <family val="2"/>
          </rPr>
          <t xml:space="preserve">
2007</t>
        </r>
      </text>
    </comment>
    <comment ref="AL90" authorId="0" shapeId="0">
      <text>
        <r>
          <rPr>
            <b/>
            <sz val="9"/>
            <color indexed="81"/>
            <rFont val="Tahoma"/>
            <family val="2"/>
          </rPr>
          <t>Cem Dener:</t>
        </r>
        <r>
          <rPr>
            <sz val="9"/>
            <color indexed="81"/>
            <rFont val="Tahoma"/>
            <family val="2"/>
          </rPr>
          <t xml:space="preserve">
EDAPS Consortium</t>
        </r>
      </text>
    </comment>
    <comment ref="AM90" authorId="0" shapeId="0">
      <text>
        <r>
          <rPr>
            <b/>
            <sz val="9"/>
            <color indexed="81"/>
            <rFont val="Tahoma"/>
            <family val="2"/>
          </rPr>
          <t>Cem Dener:</t>
        </r>
        <r>
          <rPr>
            <sz val="9"/>
            <color indexed="81"/>
            <rFont val="Tahoma"/>
            <family val="2"/>
          </rPr>
          <t xml:space="preserve">
http://www.icao.int/Meetings/mrtd-symposium-2012/Documents/10_am_EDAPS.pdf</t>
        </r>
      </text>
    </comment>
    <comment ref="AU90" authorId="0" shapeId="0">
      <text>
        <r>
          <rPr>
            <b/>
            <sz val="9"/>
            <color indexed="81"/>
            <rFont val="Tahoma"/>
            <family val="2"/>
          </rPr>
          <t>Cem Dener:</t>
        </r>
        <r>
          <rPr>
            <sz val="9"/>
            <color indexed="81"/>
            <rFont val="Tahoma"/>
            <family val="2"/>
          </rPr>
          <t xml:space="preserve">
http://allafrica.com/stories/201501151326.html
http://www.icao.int/Meetings/mrtd-Zimbabwe2012/Documents/2-5_DeLaRue.pdf</t>
        </r>
      </text>
    </comment>
    <comment ref="AY90" authorId="6" shapeId="0">
      <text>
        <r>
          <rPr>
            <b/>
            <sz val="9"/>
            <color indexed="81"/>
            <rFont val="Tahoma"/>
            <family val="2"/>
          </rPr>
          <t>Doruk Yarin Kiroglu:</t>
        </r>
        <r>
          <rPr>
            <sz val="9"/>
            <color indexed="81"/>
            <rFont val="Tahoma"/>
            <family val="2"/>
          </rPr>
          <t xml:space="preserve">
Requires login</t>
        </r>
      </text>
    </comment>
    <comment ref="CS90" authorId="0" shapeId="0">
      <text>
        <r>
          <rPr>
            <b/>
            <sz val="9"/>
            <color indexed="81"/>
            <rFont val="Tahoma"/>
            <family val="2"/>
          </rPr>
          <t>Cem Dener:</t>
        </r>
        <r>
          <rPr>
            <sz val="9"/>
            <color indexed="81"/>
            <rFont val="Tahoma"/>
            <family val="2"/>
          </rPr>
          <t xml:space="preserve">
https://www.facebook.com/National-Registration-Bureau-552960121419846/
http://softkenya.com/kenya/kenya-id/</t>
        </r>
      </text>
    </comment>
    <comment ref="K91" authorId="0" shapeId="0">
      <text>
        <r>
          <rPr>
            <b/>
            <sz val="9"/>
            <color indexed="81"/>
            <rFont val="Tahoma"/>
            <family val="2"/>
          </rPr>
          <t>Cem Dener:</t>
        </r>
        <r>
          <rPr>
            <sz val="9"/>
            <color indexed="81"/>
            <rFont val="Tahoma"/>
            <family val="2"/>
          </rPr>
          <t xml:space="preserve">
http://www.refworld.org/country,LEGAL,,,KIR,,3ae6b4eab,0.html</t>
        </r>
      </text>
    </comment>
    <comment ref="N91" authorId="0" shapeId="0">
      <text>
        <r>
          <rPr>
            <b/>
            <sz val="9"/>
            <color indexed="81"/>
            <rFont val="Tahoma"/>
            <family val="2"/>
          </rPr>
          <t>Cem Dener:</t>
        </r>
        <r>
          <rPr>
            <sz val="9"/>
            <color indexed="81"/>
            <rFont val="Tahoma"/>
            <family val="2"/>
          </rPr>
          <t xml:space="preserve">
Free. 
There is a fee after 12 months: $4</t>
        </r>
      </text>
    </comment>
    <comment ref="AU91" authorId="0" shapeId="0">
      <text>
        <r>
          <rPr>
            <b/>
            <sz val="9"/>
            <color indexed="81"/>
            <rFont val="Tahoma"/>
            <family val="2"/>
          </rPr>
          <t>Cem Dener:</t>
        </r>
        <r>
          <rPr>
            <sz val="9"/>
            <color indexed="81"/>
            <rFont val="Tahoma"/>
            <family val="2"/>
          </rPr>
          <t xml:space="preserve">
http://www.icao.int/Security/mrtd/2011qatar/Documents/4_Ellis.pdf</t>
        </r>
      </text>
    </comment>
    <comment ref="AY91" authorId="6" shapeId="0">
      <text>
        <r>
          <rPr>
            <b/>
            <sz val="9"/>
            <color indexed="81"/>
            <rFont val="Tahoma"/>
            <family val="2"/>
          </rPr>
          <t>Doruk Yarin Kiroglu:</t>
        </r>
        <r>
          <rPr>
            <sz val="9"/>
            <color indexed="81"/>
            <rFont val="Tahoma"/>
            <family val="2"/>
          </rPr>
          <t xml:space="preserve">
No registry search available</t>
        </r>
      </text>
    </comment>
    <comment ref="HV91" authorId="3" shapeId="0">
      <text>
        <r>
          <rPr>
            <b/>
            <sz val="9"/>
            <color indexed="81"/>
            <rFont val="Tahoma"/>
            <family val="2"/>
          </rPr>
          <t>Irenezh1016:</t>
        </r>
        <r>
          <rPr>
            <sz val="9"/>
            <color indexed="81"/>
            <rFont val="Tahoma"/>
            <family val="2"/>
          </rPr>
          <t xml:space="preserve">
Article 12 of the Constitution includes the freedom to receive and communicate ideas and information without interference as part of the right to freedom of expression.</t>
        </r>
      </text>
    </comment>
    <comment ref="C92" authorId="0" shapeId="0">
      <text>
        <r>
          <rPr>
            <b/>
            <sz val="9"/>
            <color indexed="81"/>
            <rFont val="Tahoma"/>
            <family val="2"/>
          </rPr>
          <t>Cem Dener:</t>
        </r>
        <r>
          <rPr>
            <sz val="9"/>
            <color indexed="81"/>
            <rFont val="Tahoma"/>
            <family val="2"/>
          </rPr>
          <t xml:space="preserve">
Democratic People's Republic of Korea
North Korea</t>
        </r>
      </text>
    </comment>
    <comment ref="K92" authorId="0" shapeId="0">
      <text>
        <r>
          <rPr>
            <b/>
            <sz val="9"/>
            <color indexed="81"/>
            <rFont val="Tahoma"/>
            <family val="2"/>
          </rPr>
          <t>Cem Dener:</t>
        </r>
        <r>
          <rPr>
            <sz val="9"/>
            <color indexed="81"/>
            <rFont val="Tahoma"/>
            <family val="2"/>
          </rPr>
          <t xml:space="preserve">
http://www.refworld.org/country,LEGAL,,,PRK,,3ae6b56d0,0.html</t>
        </r>
      </text>
    </comment>
    <comment ref="AE92" authorId="0" shapeId="0">
      <text>
        <r>
          <rPr>
            <b/>
            <sz val="9"/>
            <color indexed="81"/>
            <rFont val="Tahoma"/>
            <family val="2"/>
          </rPr>
          <t>Cem Dener:</t>
        </r>
        <r>
          <rPr>
            <sz val="9"/>
            <color indexed="81"/>
            <rFont val="Tahoma"/>
            <family val="2"/>
          </rPr>
          <t xml:space="preserve">
Electronic ID cards created from 2004-2008</t>
        </r>
      </text>
    </comment>
    <comment ref="AL92" authorId="0" shapeId="0">
      <text>
        <r>
          <rPr>
            <b/>
            <sz val="9"/>
            <color indexed="81"/>
            <rFont val="Tahoma"/>
            <family val="2"/>
          </rPr>
          <t>Cem Dener:</t>
        </r>
        <r>
          <rPr>
            <sz val="9"/>
            <color indexed="81"/>
            <rFont val="Tahoma"/>
            <family val="2"/>
          </rPr>
          <t xml:space="preserve">
Unknown</t>
        </r>
      </text>
    </comment>
    <comment ref="AS92" authorId="0" shapeId="0">
      <text>
        <r>
          <rPr>
            <b/>
            <sz val="9"/>
            <color indexed="81"/>
            <rFont val="Tahoma"/>
            <family val="2"/>
          </rPr>
          <t>Cem Dener:</t>
        </r>
        <r>
          <rPr>
            <sz val="9"/>
            <color indexed="81"/>
            <rFont val="Tahoma"/>
            <family val="2"/>
          </rPr>
          <t xml:space="preserve">
http://en.wikipedia.org/wiki/Democratic_People's_Republic_of_Korea_passport</t>
        </r>
      </text>
    </comment>
    <comment ref="AY92" authorId="6" shapeId="0">
      <text>
        <r>
          <rPr>
            <b/>
            <sz val="9"/>
            <color indexed="81"/>
            <rFont val="Tahoma"/>
            <family val="2"/>
          </rPr>
          <t>Doruk Yarin Kiroglu:</t>
        </r>
        <r>
          <rPr>
            <sz val="9"/>
            <color indexed="81"/>
            <rFont val="Tahoma"/>
            <family val="2"/>
          </rPr>
          <t xml:space="preserve">
No official government website or business registry</t>
        </r>
      </text>
    </comment>
    <comment ref="CS92" authorId="0" shapeId="0">
      <text>
        <r>
          <rPr>
            <b/>
            <sz val="9"/>
            <color indexed="81"/>
            <rFont val="Tahoma"/>
            <family val="2"/>
          </rPr>
          <t>Cem Dener:</t>
        </r>
        <r>
          <rPr>
            <sz val="9"/>
            <color indexed="81"/>
            <rFont val="Tahoma"/>
            <family val="2"/>
          </rPr>
          <t xml:space="preserve">
https://en.wikipedia.org/wiki/North_Korean_parliamentary_election,_2014#Voting_practices_and_procedures</t>
        </r>
      </text>
    </comment>
    <comment ref="CU92" authorId="0" shapeId="0">
      <text>
        <r>
          <rPr>
            <b/>
            <sz val="9"/>
            <color indexed="81"/>
            <rFont val="Tahoma"/>
            <family val="2"/>
          </rPr>
          <t>Cem Dener:</t>
        </r>
        <r>
          <rPr>
            <sz val="9"/>
            <color indexed="81"/>
            <rFont val="Tahoma"/>
            <family val="2"/>
          </rPr>
          <t xml:space="preserve">
members of the military have the right to vote, regardless of ag</t>
        </r>
      </text>
    </comment>
    <comment ref="DY92" authorId="0" shapeId="0">
      <text>
        <r>
          <rPr>
            <b/>
            <sz val="9"/>
            <color indexed="81"/>
            <rFont val="Tahoma"/>
            <family val="2"/>
          </rPr>
          <t>Cem Dener:</t>
        </r>
        <r>
          <rPr>
            <sz val="9"/>
            <color indexed="81"/>
            <rFont val="Tahoma"/>
            <family val="2"/>
          </rPr>
          <t xml:space="preserve">
http://www.theguardian.com/news/datablog/2011/dec/19/north-korea-facts-secretive-state</t>
        </r>
      </text>
    </comment>
    <comment ref="C93" authorId="0" shapeId="0">
      <text>
        <r>
          <rPr>
            <b/>
            <sz val="9"/>
            <color indexed="81"/>
            <rFont val="Tahoma"/>
            <family val="2"/>
          </rPr>
          <t>Cem Dener:</t>
        </r>
        <r>
          <rPr>
            <sz val="9"/>
            <color indexed="81"/>
            <rFont val="Tahoma"/>
            <family val="2"/>
          </rPr>
          <t xml:space="preserve">
Republic of Korea
South Korea</t>
        </r>
      </text>
    </comment>
    <comment ref="N93" authorId="0" shapeId="0">
      <text>
        <r>
          <rPr>
            <b/>
            <sz val="9"/>
            <color indexed="81"/>
            <rFont val="Tahoma"/>
            <family val="2"/>
          </rPr>
          <t>Cem Dener:</t>
        </r>
        <r>
          <rPr>
            <sz val="9"/>
            <color indexed="81"/>
            <rFont val="Tahoma"/>
            <family val="2"/>
          </rPr>
          <t xml:space="preserve">
$3 indicated in some sources (2010)</t>
        </r>
      </text>
    </comment>
    <comment ref="AL93" authorId="0" shapeId="0">
      <text>
        <r>
          <rPr>
            <b/>
            <sz val="9"/>
            <color indexed="81"/>
            <rFont val="Tahoma"/>
            <family val="2"/>
          </rPr>
          <t>Cem Dener:</t>
        </r>
        <r>
          <rPr>
            <sz val="9"/>
            <color indexed="81"/>
            <rFont val="Tahoma"/>
            <family val="2"/>
          </rPr>
          <t xml:space="preserve">
KOMSCO </t>
        </r>
      </text>
    </comment>
    <comment ref="CS93" authorId="0" shapeId="0">
      <text>
        <r>
          <rPr>
            <b/>
            <sz val="9"/>
            <color indexed="81"/>
            <rFont val="Tahoma"/>
            <family val="2"/>
          </rPr>
          <t>Cem Dener:</t>
        </r>
        <r>
          <rPr>
            <sz val="9"/>
            <color indexed="81"/>
            <rFont val="Tahoma"/>
            <family val="2"/>
          </rPr>
          <t xml:space="preserve">
http://www.electionguide.org/countries/id/114/</t>
        </r>
      </text>
    </comment>
    <comment ref="H94" authorId="0" shapeId="0">
      <text>
        <r>
          <rPr>
            <b/>
            <sz val="9"/>
            <color indexed="81"/>
            <rFont val="Tahoma"/>
            <family val="2"/>
          </rPr>
          <t>Cem Dener:</t>
        </r>
        <r>
          <rPr>
            <sz val="9"/>
            <color indexed="81"/>
            <rFont val="Tahoma"/>
            <family val="2"/>
          </rPr>
          <t xml:space="preserve">
http://www.unicef.org/ceecis/RIGHT_AT_BIRTH.CEECIS(1).pdf</t>
        </r>
      </text>
    </comment>
    <comment ref="K94" authorId="0" shapeId="0">
      <text>
        <r>
          <rPr>
            <b/>
            <sz val="9"/>
            <color indexed="81"/>
            <rFont val="Tahoma"/>
            <family val="2"/>
          </rPr>
          <t>Cem Dener:</t>
        </r>
        <r>
          <rPr>
            <sz val="9"/>
            <color indexed="81"/>
            <rFont val="Tahoma"/>
            <family val="2"/>
          </rPr>
          <t xml:space="preserve">
http://www.unicef.org/kosovoprogramme/UNICEF_Birth_Registration_2009_English.pdf</t>
        </r>
      </text>
    </comment>
    <comment ref="AM94" authorId="0" shapeId="0">
      <text>
        <r>
          <rPr>
            <b/>
            <sz val="9"/>
            <color indexed="81"/>
            <rFont val="Tahoma"/>
            <family val="2"/>
          </rPr>
          <t>Cem Dener:</t>
        </r>
        <r>
          <rPr>
            <sz val="9"/>
            <color indexed="81"/>
            <rFont val="Tahoma"/>
            <family val="2"/>
          </rPr>
          <t xml:space="preserve">
https://www.gi-de.com/en/products_and_solutions/products/national_id_cards/National-ID-cards-for-secure-identification-6530.jsp</t>
        </r>
      </text>
    </comment>
    <comment ref="AZ94" authorId="6" shapeId="0">
      <text>
        <r>
          <rPr>
            <b/>
            <sz val="9"/>
            <color indexed="81"/>
            <rFont val="Tahoma"/>
            <family val="2"/>
          </rPr>
          <t>Doruk Yarin Kiroglu:</t>
        </r>
        <r>
          <rPr>
            <sz val="9"/>
            <color indexed="81"/>
            <rFont val="Tahoma"/>
            <family val="2"/>
          </rPr>
          <t xml:space="preserve">
Manual registratiion initiated in 2001</t>
        </r>
      </text>
    </comment>
    <comment ref="BK94" authorId="0" shapeId="0">
      <text>
        <r>
          <rPr>
            <b/>
            <sz val="9"/>
            <color indexed="81"/>
            <rFont val="Tahoma"/>
            <family val="2"/>
          </rPr>
          <t>Cem Dener:</t>
        </r>
        <r>
          <rPr>
            <sz val="9"/>
            <color indexed="81"/>
            <rFont val="Tahoma"/>
            <family val="2"/>
          </rPr>
          <t xml:space="preserve">
2014:
1,804,944
</t>
        </r>
      </text>
    </comment>
    <comment ref="CF94" authorId="0" shapeId="0">
      <text>
        <r>
          <rPr>
            <b/>
            <sz val="9"/>
            <color indexed="81"/>
            <rFont val="Tahoma"/>
            <family val="2"/>
          </rPr>
          <t>Cem Dener:</t>
        </r>
        <r>
          <rPr>
            <sz val="9"/>
            <color indexed="81"/>
            <rFont val="Tahoma"/>
            <family val="2"/>
          </rPr>
          <t xml:space="preserve">
file:///C:/Users/wb270851/Downloads/Kosovo%20population%20projection%202011-2061.pdf</t>
        </r>
      </text>
    </comment>
    <comment ref="CN94" authorId="0" shapeId="0">
      <text>
        <r>
          <rPr>
            <b/>
            <sz val="9"/>
            <color indexed="81"/>
            <rFont val="Tahoma"/>
            <family val="2"/>
          </rPr>
          <t>Cem Dener:</t>
        </r>
        <r>
          <rPr>
            <sz val="9"/>
            <color indexed="81"/>
            <rFont val="Tahoma"/>
            <family val="2"/>
          </rPr>
          <t xml:space="preserve">
Voting Age Population was used (Registered voter was greater than VAP)</t>
        </r>
      </text>
    </comment>
    <comment ref="DY94" authorId="0" shapeId="0">
      <text>
        <r>
          <rPr>
            <b/>
            <sz val="9"/>
            <color indexed="81"/>
            <rFont val="Tahoma"/>
            <family val="2"/>
          </rPr>
          <t>Cem Dener:</t>
        </r>
        <r>
          <rPr>
            <sz val="9"/>
            <color indexed="81"/>
            <rFont val="Tahoma"/>
            <family val="2"/>
          </rPr>
          <t xml:space="preserve">
https://ask.rks-gov.net/eng/
http://www.ks.undp.org/content/kosovo/en/home/countryinfo/</t>
        </r>
      </text>
    </comment>
    <comment ref="EB94" authorId="0" shapeId="0">
      <text>
        <r>
          <rPr>
            <b/>
            <sz val="9"/>
            <color indexed="81"/>
            <rFont val="Tahoma"/>
            <family val="2"/>
          </rPr>
          <t>Cem Dener:</t>
        </r>
        <r>
          <rPr>
            <sz val="9"/>
            <color indexed="81"/>
            <rFont val="Tahoma"/>
            <family val="2"/>
          </rPr>
          <t xml:space="preserve">
https://ask.rks-gov.net/eng/
http://www.ks.undp.org/content/kosovo/en/home/countryinfo/</t>
        </r>
      </text>
    </comment>
    <comment ref="GE94" authorId="0" shapeId="0">
      <text>
        <r>
          <rPr>
            <b/>
            <sz val="9"/>
            <color indexed="81"/>
            <rFont val="Tahoma"/>
            <family val="2"/>
          </rPr>
          <t>Cem Dener:</t>
        </r>
        <r>
          <rPr>
            <sz val="9"/>
            <color indexed="81"/>
            <rFont val="Tahoma"/>
            <family val="2"/>
          </rPr>
          <t xml:space="preserve">
evolving legal system; mixture of applicable Kosovo law, UNMIK laws and regulations, and applicable laws of the Former Socialist Republic of Yugoslavia that were in effect in Kosovo as of 22 March 1989.</t>
        </r>
      </text>
    </comment>
    <comment ref="K95" authorId="0" shapeId="0">
      <text>
        <r>
          <rPr>
            <b/>
            <sz val="9"/>
            <color indexed="81"/>
            <rFont val="Tahoma"/>
            <family val="2"/>
          </rPr>
          <t>Cem Dener:</t>
        </r>
        <r>
          <rPr>
            <sz val="9"/>
            <color indexed="81"/>
            <rFont val="Tahoma"/>
            <family val="2"/>
          </rPr>
          <t xml:space="preserve">
http://www.refworld.org/country,LEGAL,,,KWT,,3ae6b4ef1c,0.html</t>
        </r>
      </text>
    </comment>
    <comment ref="N95" authorId="0" shapeId="0">
      <text>
        <r>
          <rPr>
            <b/>
            <sz val="9"/>
            <color indexed="81"/>
            <rFont val="Tahoma"/>
            <family val="2"/>
          </rPr>
          <t>Cem Dener:</t>
        </r>
        <r>
          <rPr>
            <sz val="9"/>
            <color indexed="81"/>
            <rFont val="Tahoma"/>
            <family val="2"/>
          </rPr>
          <t xml:space="preserve">
Free within 60 d.
20 KD fine if later than 60 d</t>
        </r>
      </text>
    </comment>
    <comment ref="AM95" authorId="0" shapeId="0">
      <text>
        <r>
          <rPr>
            <b/>
            <sz val="9"/>
            <color indexed="81"/>
            <rFont val="Tahoma"/>
            <family val="2"/>
          </rPr>
          <t>Cem Dener:</t>
        </r>
        <r>
          <rPr>
            <sz val="9"/>
            <color indexed="81"/>
            <rFont val="Tahoma"/>
            <family val="2"/>
          </rPr>
          <t xml:space="preserve">
http://www.intercede.com/wp-content/uploads/2014/01/Kuwait_nat_ID_letter.pdf</t>
        </r>
      </text>
    </comment>
    <comment ref="AZ95" authorId="6" shapeId="0">
      <text>
        <r>
          <rPr>
            <b/>
            <sz val="9"/>
            <color indexed="81"/>
            <rFont val="Tahoma"/>
            <family val="2"/>
          </rPr>
          <t>Doruk Yarin Kiroglu:</t>
        </r>
        <r>
          <rPr>
            <sz val="9"/>
            <color indexed="81"/>
            <rFont val="Tahoma"/>
            <family val="2"/>
          </rPr>
          <t xml:space="preserve">
1964</t>
        </r>
      </text>
    </comment>
    <comment ref="CG95" authorId="0" shapeId="0">
      <text>
        <r>
          <rPr>
            <b/>
            <sz val="9"/>
            <color indexed="81"/>
            <rFont val="Tahoma"/>
            <family val="2"/>
          </rPr>
          <t>Cem Dener:</t>
        </r>
        <r>
          <rPr>
            <sz val="9"/>
            <color indexed="81"/>
            <rFont val="Tahoma"/>
            <family val="2"/>
          </rPr>
          <t xml:space="preserve">
No data.
Estimated BR rate</t>
        </r>
      </text>
    </comment>
    <comment ref="CH95" authorId="0" shapeId="0">
      <text>
        <r>
          <rPr>
            <b/>
            <sz val="9"/>
            <color indexed="81"/>
            <rFont val="Tahoma"/>
            <family val="2"/>
          </rPr>
          <t>Cem Dener:</t>
        </r>
        <r>
          <rPr>
            <sz val="9"/>
            <color indexed="81"/>
            <rFont val="Tahoma"/>
            <family val="2"/>
          </rPr>
          <t xml:space="preserve">
No data.
Estimated BR rate</t>
        </r>
      </text>
    </comment>
    <comment ref="CI95" authorId="0" shapeId="0">
      <text>
        <r>
          <rPr>
            <b/>
            <sz val="9"/>
            <color indexed="81"/>
            <rFont val="Tahoma"/>
            <family val="2"/>
          </rPr>
          <t>Cem Dener:</t>
        </r>
        <r>
          <rPr>
            <sz val="9"/>
            <color indexed="81"/>
            <rFont val="Tahoma"/>
            <family val="2"/>
          </rPr>
          <t xml:space="preserve">
No data.
Estimated BR rate</t>
        </r>
      </text>
    </comment>
    <comment ref="CM95" authorId="0" shapeId="0">
      <text>
        <r>
          <rPr>
            <b/>
            <sz val="9"/>
            <color indexed="81"/>
            <rFont val="Tahoma"/>
            <family val="2"/>
          </rPr>
          <t>Cem Dener:</t>
        </r>
        <r>
          <rPr>
            <sz val="9"/>
            <color indexed="81"/>
            <rFont val="Tahoma"/>
            <family val="2"/>
          </rPr>
          <t xml:space="preserve">
http://www.unicef.org/pon98/06-13.pdf</t>
        </r>
      </text>
    </comment>
    <comment ref="CS95" authorId="0" shapeId="0">
      <text>
        <r>
          <rPr>
            <b/>
            <sz val="9"/>
            <color indexed="81"/>
            <rFont val="Tahoma"/>
            <family val="2"/>
          </rPr>
          <t>Cem Dener:</t>
        </r>
        <r>
          <rPr>
            <sz val="9"/>
            <color indexed="81"/>
            <rFont val="Tahoma"/>
            <family val="2"/>
          </rPr>
          <t xml:space="preserve">
http://www.electionguide.org/countries/id/116/
http://www.csb.gov.kw/Socan_Statistic_EN.aspx?ID=6</t>
        </r>
      </text>
    </comment>
    <comment ref="CU95" authorId="0" shapeId="0">
      <text>
        <r>
          <rPr>
            <b/>
            <sz val="9"/>
            <color indexed="81"/>
            <rFont val="Tahoma"/>
            <family val="2"/>
          </rPr>
          <t>Cem Dener:</t>
        </r>
        <r>
          <rPr>
            <sz val="9"/>
            <color indexed="81"/>
            <rFont val="Tahoma"/>
            <family val="2"/>
          </rPr>
          <t xml:space="preserve">
females and males who are not in the military or police forces; all voters must have been citizens for 20 years; current proposal for reduction to 18</t>
        </r>
      </text>
    </comment>
    <comment ref="C96" authorId="0" shapeId="0">
      <text>
        <r>
          <rPr>
            <b/>
            <sz val="9"/>
            <color indexed="81"/>
            <rFont val="Tahoma"/>
            <family val="2"/>
          </rPr>
          <t>Cem Dener:</t>
        </r>
        <r>
          <rPr>
            <sz val="9"/>
            <color indexed="81"/>
            <rFont val="Tahoma"/>
            <family val="2"/>
          </rPr>
          <t xml:space="preserve">
Kyrgyzstan
</t>
        </r>
      </text>
    </comment>
    <comment ref="H96" authorId="0" shapeId="0">
      <text>
        <r>
          <rPr>
            <b/>
            <sz val="9"/>
            <color indexed="81"/>
            <rFont val="Tahoma"/>
            <family val="2"/>
          </rPr>
          <t>Cem Dener:</t>
        </r>
        <r>
          <rPr>
            <sz val="9"/>
            <color indexed="81"/>
            <rFont val="Tahoma"/>
            <family val="2"/>
          </rPr>
          <t xml:space="preserve">
http://www.landinfo.no/asset/2357/1/2357_1.pdf
</t>
        </r>
      </text>
    </comment>
    <comment ref="AD96" authorId="0" shapeId="0">
      <text>
        <r>
          <rPr>
            <b/>
            <sz val="9"/>
            <color indexed="81"/>
            <rFont val="Tahoma"/>
            <family val="2"/>
          </rPr>
          <t>Cem Dener:</t>
        </r>
        <r>
          <rPr>
            <sz val="9"/>
            <color indexed="81"/>
            <rFont val="Tahoma"/>
            <family val="2"/>
          </rPr>
          <t xml:space="preserve">
http://grs.gov.kg/ru/activities/projects/
http://grs.gov.kg/ru/documents/laws/29-Zakon-KR-O-biomietrichieskoi-rieghistratsii-ghrazh/   </t>
        </r>
      </text>
    </comment>
    <comment ref="AL96" authorId="0" shapeId="0">
      <text>
        <r>
          <rPr>
            <b/>
            <sz val="9"/>
            <color indexed="81"/>
            <rFont val="Tahoma"/>
            <family val="2"/>
          </rPr>
          <t>Cem Dener:</t>
        </r>
        <r>
          <rPr>
            <sz val="9"/>
            <color indexed="81"/>
            <rFont val="Tahoma"/>
            <family val="2"/>
          </rPr>
          <t xml:space="preserve">
Unknown</t>
        </r>
      </text>
    </comment>
    <comment ref="AU96" authorId="2" shapeId="0">
      <text>
        <r>
          <rPr>
            <b/>
            <sz val="9"/>
            <color indexed="81"/>
            <rFont val="Tahoma"/>
            <family val="2"/>
          </rPr>
          <t>Huan Zhang:</t>
        </r>
        <r>
          <rPr>
            <sz val="9"/>
            <color indexed="81"/>
            <rFont val="Tahoma"/>
            <family val="2"/>
          </rPr>
          <t xml:space="preserve">
http://centralasiaonline.com/en_GB/articles/caii/features/main/2014/05/26/feature-02</t>
        </r>
      </text>
    </comment>
    <comment ref="AZ96" authorId="6" shapeId="0">
      <text>
        <r>
          <rPr>
            <b/>
            <sz val="9"/>
            <color indexed="81"/>
            <rFont val="Tahoma"/>
            <family val="2"/>
          </rPr>
          <t>Doruk Yarin Kiroglu:</t>
        </r>
        <r>
          <rPr>
            <sz val="9"/>
            <color indexed="81"/>
            <rFont val="Tahoma"/>
            <family val="2"/>
          </rPr>
          <t xml:space="preserve">
1939</t>
        </r>
      </text>
    </comment>
    <comment ref="BD96" authorId="6" shapeId="0">
      <text>
        <r>
          <rPr>
            <b/>
            <sz val="9"/>
            <color indexed="81"/>
            <rFont val="Tahoma"/>
            <family val="2"/>
          </rPr>
          <t>Doruk Yarin Kiroglu:</t>
        </r>
        <r>
          <rPr>
            <sz val="9"/>
            <color indexed="81"/>
            <rFont val="Tahoma"/>
            <family val="2"/>
          </rPr>
          <t xml:space="preserve">
http://www.legislationline.org/documents/action/popup/id/4956</t>
        </r>
      </text>
    </comment>
    <comment ref="BH96" authorId="6" shapeId="0">
      <text>
        <r>
          <rPr>
            <b/>
            <sz val="9"/>
            <color indexed="81"/>
            <rFont val="Tahoma"/>
            <family val="2"/>
          </rPr>
          <t>Doruk Yarin Kiroglu:</t>
        </r>
        <r>
          <rPr>
            <sz val="9"/>
            <color indexed="81"/>
            <rFont val="Tahoma"/>
            <family val="2"/>
          </rPr>
          <t xml:space="preserve">
https://www.synisys.com/index.jsp?sid=3&amp;nid=69&amp;y=2010&amp;m=11&amp;d=4</t>
        </r>
      </text>
    </comment>
    <comment ref="CS96" authorId="0" shapeId="0">
      <text>
        <r>
          <rPr>
            <b/>
            <sz val="9"/>
            <color indexed="81"/>
            <rFont val="Tahoma"/>
            <family val="2"/>
          </rPr>
          <t>Cem Dener:</t>
        </r>
        <r>
          <rPr>
            <sz val="9"/>
            <color indexed="81"/>
            <rFont val="Tahoma"/>
            <family val="2"/>
          </rPr>
          <t xml:space="preserve">
http://www.electionguide.org/countries/id/117/
http://grs.gov.kg/ru/subord/drnags/</t>
        </r>
      </text>
    </comment>
    <comment ref="HP96" authorId="0" shapeId="0">
      <text>
        <r>
          <rPr>
            <b/>
            <sz val="9"/>
            <color indexed="81"/>
            <rFont val="Tahoma"/>
            <family val="2"/>
          </rPr>
          <t>Cem Dener:</t>
        </r>
        <r>
          <rPr>
            <sz val="9"/>
            <color indexed="81"/>
            <rFont val="Tahoma"/>
            <family val="2"/>
          </rPr>
          <t xml:space="preserve">
None</t>
        </r>
      </text>
    </comment>
    <comment ref="C97" authorId="0" shapeId="0">
      <text>
        <r>
          <rPr>
            <b/>
            <sz val="9"/>
            <color indexed="81"/>
            <rFont val="Tahoma"/>
            <family val="2"/>
          </rPr>
          <t>Cem Dener:</t>
        </r>
        <r>
          <rPr>
            <sz val="9"/>
            <color indexed="81"/>
            <rFont val="Tahoma"/>
            <family val="2"/>
          </rPr>
          <t xml:space="preserve">
Lao People's Democratic Republic</t>
        </r>
      </text>
    </comment>
    <comment ref="H97" authorId="0" shapeId="0">
      <text>
        <r>
          <rPr>
            <b/>
            <sz val="9"/>
            <color indexed="81"/>
            <rFont val="Tahoma"/>
            <family val="2"/>
          </rPr>
          <t>Cem Dener:</t>
        </r>
        <r>
          <rPr>
            <sz val="9"/>
            <color indexed="81"/>
            <rFont val="Tahoma"/>
            <family val="2"/>
          </rPr>
          <t xml:space="preserve">
http://photos.state.gov/libraries/laos/19452/pdfs/Example_Birth_Certificate.pdf</t>
        </r>
      </text>
    </comment>
    <comment ref="I97" authorId="0" shapeId="0">
      <text>
        <r>
          <rPr>
            <b/>
            <sz val="9"/>
            <color indexed="81"/>
            <rFont val="Tahoma"/>
            <family val="2"/>
          </rPr>
          <t>Cem Dener:</t>
        </r>
        <r>
          <rPr>
            <sz val="9"/>
            <color indexed="81"/>
            <rFont val="Tahoma"/>
            <family val="2"/>
          </rPr>
          <t xml:space="preserve">
Registration in "Family Book". No birth certificate or universal registry yet</t>
        </r>
      </text>
    </comment>
    <comment ref="O97" authorId="0" shapeId="0">
      <text>
        <r>
          <rPr>
            <b/>
            <sz val="9"/>
            <color indexed="81"/>
            <rFont val="Tahoma"/>
            <family val="2"/>
          </rPr>
          <t>Cem Dener:</t>
        </r>
        <r>
          <rPr>
            <sz val="9"/>
            <color indexed="81"/>
            <rFont val="Tahoma"/>
            <family val="2"/>
          </rPr>
          <t xml:space="preserve">
http://www.vientianetimes.org.la/Con_titution/Constitution_nationalityLaw.htm</t>
        </r>
      </text>
    </comment>
    <comment ref="AU97" authorId="0" shapeId="0">
      <text>
        <r>
          <rPr>
            <b/>
            <sz val="9"/>
            <color indexed="81"/>
            <rFont val="Tahoma"/>
            <family val="2"/>
          </rPr>
          <t>Cem Dener:</t>
        </r>
        <r>
          <rPr>
            <sz val="9"/>
            <color indexed="81"/>
            <rFont val="Tahoma"/>
            <family val="2"/>
          </rPr>
          <t xml:space="preserve">
http://www.statewatch.org/news/2005/aug/mrtd-list-2004.pdf</t>
        </r>
      </text>
    </comment>
    <comment ref="AY97" authorId="2" shapeId="0">
      <text>
        <r>
          <rPr>
            <b/>
            <sz val="9"/>
            <color indexed="81"/>
            <rFont val="Tahoma"/>
            <family val="2"/>
          </rPr>
          <t>Huan Zhang:</t>
        </r>
        <r>
          <rPr>
            <sz val="9"/>
            <color indexed="81"/>
            <rFont val="Tahoma"/>
            <family val="2"/>
          </rPr>
          <t xml:space="preserve">
http://www.moic.gov.la/?page_id=283&amp;lang=en</t>
        </r>
      </text>
    </comment>
    <comment ref="W98" authorId="0" shapeId="0">
      <text>
        <r>
          <rPr>
            <b/>
            <sz val="9"/>
            <color indexed="81"/>
            <rFont val="Tahoma"/>
            <family val="2"/>
          </rPr>
          <t>Cem Dener:</t>
        </r>
        <r>
          <rPr>
            <sz val="9"/>
            <color indexed="81"/>
            <rFont val="Tahoma"/>
            <family val="2"/>
          </rPr>
          <t xml:space="preserve">
€14.23 / €7.11 (citizens under age of 20, retirees)</t>
        </r>
      </text>
    </comment>
    <comment ref="AJ98" authorId="2" shapeId="0">
      <text>
        <r>
          <rPr>
            <b/>
            <sz val="9"/>
            <color indexed="81"/>
            <rFont val="Tahoma"/>
            <family val="2"/>
          </rPr>
          <t>Huan Zhang:</t>
        </r>
        <r>
          <rPr>
            <sz val="9"/>
            <color indexed="81"/>
            <rFont val="Tahoma"/>
            <family val="2"/>
          </rPr>
          <t xml:space="preserve">
http://www.pmlp.gov.lv/en/home/services/personal-certificates-(eid)/</t>
        </r>
      </text>
    </comment>
    <comment ref="AL98" authorId="0" shapeId="0">
      <text>
        <r>
          <rPr>
            <b/>
            <sz val="9"/>
            <color indexed="81"/>
            <rFont val="Tahoma"/>
            <family val="2"/>
          </rPr>
          <t>Cem Dener:</t>
        </r>
        <r>
          <rPr>
            <sz val="9"/>
            <color indexed="81"/>
            <rFont val="Tahoma"/>
            <family val="2"/>
          </rPr>
          <t xml:space="preserve">
Multiple producers (Levira and LVRTC )</t>
        </r>
      </text>
    </comment>
    <comment ref="AX98" authorId="2" shapeId="0">
      <text>
        <r>
          <rPr>
            <b/>
            <sz val="9"/>
            <color indexed="81"/>
            <rFont val="Tahoma"/>
            <family val="2"/>
          </rPr>
          <t>Huan Zhang:</t>
        </r>
        <r>
          <rPr>
            <sz val="9"/>
            <color indexed="81"/>
            <rFont val="Tahoma"/>
            <family val="2"/>
          </rPr>
          <t xml:space="preserve">
The passport, along with the national identity card allows for free rights of movement and residence in any of the states of the European Union and European Economic Area.</t>
        </r>
      </text>
    </comment>
    <comment ref="AZ98" authorId="6" shapeId="0">
      <text>
        <r>
          <rPr>
            <b/>
            <sz val="9"/>
            <color indexed="81"/>
            <rFont val="Tahoma"/>
            <family val="2"/>
          </rPr>
          <t>Doruk Yarin Kiroglu:</t>
        </r>
        <r>
          <rPr>
            <sz val="9"/>
            <color indexed="81"/>
            <rFont val="Tahoma"/>
            <family val="2"/>
          </rPr>
          <t xml:space="preserve">
2000</t>
        </r>
      </text>
    </comment>
    <comment ref="BD98" authorId="6" shapeId="0">
      <text>
        <r>
          <rPr>
            <b/>
            <sz val="9"/>
            <color indexed="81"/>
            <rFont val="Tahoma"/>
            <family val="2"/>
          </rPr>
          <t>Doruk Yarin Kiroglu:</t>
        </r>
        <r>
          <rPr>
            <sz val="9"/>
            <color indexed="81"/>
            <rFont val="Tahoma"/>
            <family val="2"/>
          </rPr>
          <t xml:space="preserve">
1992</t>
        </r>
      </text>
    </comment>
    <comment ref="H99" authorId="0" shapeId="0">
      <text>
        <r>
          <rPr>
            <b/>
            <sz val="9"/>
            <color indexed="81"/>
            <rFont val="Tahoma"/>
            <family val="2"/>
          </rPr>
          <t>Cem Dener:</t>
        </r>
        <r>
          <rPr>
            <sz val="9"/>
            <color indexed="81"/>
            <rFont val="Tahoma"/>
            <family val="2"/>
          </rPr>
          <t xml:space="preserve">
http://unstats.un.org/unsd/vitalstatkb/Attachment70.aspx</t>
        </r>
      </text>
    </comment>
    <comment ref="AE99" authorId="0" shapeId="0">
      <text>
        <r>
          <rPr>
            <b/>
            <sz val="9"/>
            <color indexed="81"/>
            <rFont val="Tahoma"/>
            <family val="2"/>
          </rPr>
          <t>Cem Dener:</t>
        </r>
        <r>
          <rPr>
            <sz val="9"/>
            <color indexed="81"/>
            <rFont val="Tahoma"/>
            <family val="2"/>
          </rPr>
          <t xml:space="preserve">
As of June 30th 2006, all Lebanese nationals must hold the new magnetic Identification Card (ID).</t>
        </r>
      </text>
    </comment>
    <comment ref="AL99" authorId="0" shapeId="0">
      <text>
        <r>
          <rPr>
            <b/>
            <sz val="9"/>
            <color indexed="81"/>
            <rFont val="Tahoma"/>
            <family val="2"/>
          </rPr>
          <t>Cem Dener:</t>
        </r>
        <r>
          <rPr>
            <sz val="9"/>
            <color indexed="81"/>
            <rFont val="Tahoma"/>
            <family val="2"/>
          </rPr>
          <t xml:space="preserve">
Inkript </t>
        </r>
      </text>
    </comment>
    <comment ref="AU99" authorId="2" shapeId="0">
      <text>
        <r>
          <rPr>
            <b/>
            <sz val="9"/>
            <color indexed="81"/>
            <rFont val="Tahoma"/>
            <family val="2"/>
          </rPr>
          <t>Huan Zhang:</t>
        </r>
        <r>
          <rPr>
            <sz val="9"/>
            <color indexed="81"/>
            <rFont val="Tahoma"/>
            <family val="2"/>
          </rPr>
          <t xml:space="preserve">
http://www.biometricupdate.com/201211/lebanon-to-introduce-biometric-passports-in-2014</t>
        </r>
      </text>
    </comment>
    <comment ref="AY99" authorId="6" shapeId="0">
      <text>
        <r>
          <rPr>
            <b/>
            <sz val="9"/>
            <color indexed="81"/>
            <rFont val="Tahoma"/>
            <family val="2"/>
          </rPr>
          <t>Doruk Yarin Kiroglu:</t>
        </r>
        <r>
          <rPr>
            <sz val="9"/>
            <color indexed="81"/>
            <rFont val="Tahoma"/>
            <family val="2"/>
          </rPr>
          <t xml:space="preserve">
Business registration is available. No search option.</t>
        </r>
      </text>
    </comment>
    <comment ref="DY99" authorId="0" shapeId="0">
      <text>
        <r>
          <rPr>
            <b/>
            <sz val="9"/>
            <color indexed="81"/>
            <rFont val="Tahoma"/>
            <family val="2"/>
          </rPr>
          <t>Cem Dener:</t>
        </r>
        <r>
          <rPr>
            <sz val="9"/>
            <color indexed="81"/>
            <rFont val="Tahoma"/>
            <family val="2"/>
          </rPr>
          <t xml:space="preserve">
http://www.lb.undp.org/content/lebanon/en/home/mdgoverview/overview/mdg1/</t>
        </r>
      </text>
    </comment>
    <comment ref="EB99" authorId="0" shapeId="0">
      <text>
        <r>
          <rPr>
            <b/>
            <sz val="9"/>
            <color indexed="81"/>
            <rFont val="Tahoma"/>
            <family val="2"/>
          </rPr>
          <t>Cem Dener:</t>
        </r>
        <r>
          <rPr>
            <sz val="9"/>
            <color indexed="81"/>
            <rFont val="Tahoma"/>
            <family val="2"/>
          </rPr>
          <t xml:space="preserve">
http://www.lb.undp.org/content/lebanon/en/home/mdgoverview/overview/mdg1/</t>
        </r>
      </text>
    </comment>
    <comment ref="I100" authorId="0" shapeId="0">
      <text>
        <r>
          <rPr>
            <b/>
            <sz val="9"/>
            <color indexed="81"/>
            <rFont val="Tahoma"/>
            <family val="2"/>
          </rPr>
          <t>Cem Dener:</t>
        </r>
        <r>
          <rPr>
            <sz val="9"/>
            <color indexed="81"/>
            <rFont val="Tahoma"/>
            <family val="2"/>
          </rPr>
          <t xml:space="preserve">
Decentralized &gt;&gt; The registration of births, deaths, orphans and change of names in 
Lesotho is administered by the office of the Registrar of Births and Deaths under 
the Ministry of Local Government.</t>
        </r>
      </text>
    </comment>
    <comment ref="K100" authorId="0" shapeId="0">
      <text>
        <r>
          <rPr>
            <b/>
            <sz val="9"/>
            <color indexed="81"/>
            <rFont val="Tahoma"/>
            <family val="2"/>
          </rPr>
          <t>Cem Dener:</t>
        </r>
        <r>
          <rPr>
            <sz val="9"/>
            <color indexed="81"/>
            <rFont val="Tahoma"/>
            <family val="2"/>
          </rPr>
          <t xml:space="preserve">
Initiated in 1880:
http://www.cdc.gov/nchs/data/isp/016_Methods_And_Problems_of_Civil_Registration_Practices_and_Vital_Stat_Collection_in_Africa.pdf
http://unstats.un.org/unsd/vitalstatkb/Attachment108.aspx</t>
        </r>
      </text>
    </comment>
    <comment ref="L100" authorId="0" shapeId="0">
      <text>
        <r>
          <rPr>
            <b/>
            <sz val="9"/>
            <color indexed="81"/>
            <rFont val="Tahoma"/>
            <family val="2"/>
          </rPr>
          <t>Cem Dener:</t>
        </r>
        <r>
          <rPr>
            <sz val="9"/>
            <color indexed="81"/>
            <rFont val="Tahoma"/>
            <family val="2"/>
          </rPr>
          <t xml:space="preserve">
http://lestimes.com/72-000-register-for-birth-certificate/</t>
        </r>
      </text>
    </comment>
    <comment ref="O100" authorId="0" shapeId="0">
      <text>
        <r>
          <rPr>
            <b/>
            <sz val="9"/>
            <color indexed="81"/>
            <rFont val="Tahoma"/>
            <family val="2"/>
          </rPr>
          <t>Cem Dener:</t>
        </r>
        <r>
          <rPr>
            <sz val="9"/>
            <color indexed="81"/>
            <rFont val="Tahoma"/>
            <family val="2"/>
          </rPr>
          <t xml:space="preserve">
http://newsline365.wordpress.com/2014/11/17/lesotho-passports-and-national-identity-cards-services-fail-to-resume/
http://www.centralbank.org.ls/publications/MonthlyEconomicReviews/2008/Economic_Review_June_2008.pdf</t>
        </r>
      </text>
    </comment>
    <comment ref="S100" authorId="0" shapeId="0">
      <text>
        <r>
          <rPr>
            <b/>
            <sz val="9"/>
            <color indexed="81"/>
            <rFont val="Tahoma"/>
            <family val="2"/>
          </rPr>
          <t>Cem Dener:</t>
        </r>
        <r>
          <rPr>
            <sz val="9"/>
            <color indexed="81"/>
            <rFont val="Tahoma"/>
            <family val="2"/>
          </rPr>
          <t xml:space="preserve">
NID implementation is in progress since 2013</t>
        </r>
      </text>
    </comment>
    <comment ref="AD100" authorId="0" shapeId="0">
      <text>
        <r>
          <rPr>
            <b/>
            <sz val="9"/>
            <color indexed="81"/>
            <rFont val="Tahoma"/>
            <family val="2"/>
          </rPr>
          <t>Cem Dener:</t>
        </r>
        <r>
          <rPr>
            <sz val="9"/>
            <color indexed="81"/>
            <rFont val="Tahoma"/>
            <family val="2"/>
          </rPr>
          <t xml:space="preserve">
http://lestimes.com/director-grilled-over-m170-000-nikuv-loan/
http://newsline365.wordpress.com/2014/11/14/legislators-in-lesotho-are-implicated-in-illicit-passport-services/
</t>
        </r>
      </text>
    </comment>
    <comment ref="AE100" authorId="0" shapeId="0">
      <text>
        <r>
          <rPr>
            <b/>
            <sz val="9"/>
            <color indexed="81"/>
            <rFont val="Tahoma"/>
            <family val="2"/>
          </rPr>
          <t>Cem Dener:</t>
        </r>
        <r>
          <rPr>
            <sz val="9"/>
            <color indexed="81"/>
            <rFont val="Tahoma"/>
            <family val="2"/>
          </rPr>
          <t xml:space="preserve">
Delay in implementation</t>
        </r>
      </text>
    </comment>
    <comment ref="AL100" authorId="0" shapeId="0">
      <text>
        <r>
          <rPr>
            <b/>
            <sz val="9"/>
            <color indexed="81"/>
            <rFont val="Tahoma"/>
            <family val="2"/>
          </rPr>
          <t>Cem Dener:</t>
        </r>
        <r>
          <rPr>
            <sz val="9"/>
            <color indexed="81"/>
            <rFont val="Tahoma"/>
            <family val="2"/>
          </rPr>
          <t xml:space="preserve">
NIP</t>
        </r>
      </text>
    </comment>
    <comment ref="AU100" authorId="2" shapeId="0">
      <text>
        <r>
          <rPr>
            <b/>
            <sz val="9"/>
            <color indexed="81"/>
            <rFont val="Tahoma"/>
            <family val="2"/>
          </rPr>
          <t>Huan Zhang:</t>
        </r>
        <r>
          <rPr>
            <sz val="9"/>
            <color indexed="81"/>
            <rFont val="Tahoma"/>
            <family val="2"/>
          </rPr>
          <t xml:space="preserve">
http://lestimes.com/government-to-introduce-e-passports/</t>
        </r>
      </text>
    </comment>
    <comment ref="AZ100" authorId="6" shapeId="0">
      <text>
        <r>
          <rPr>
            <b/>
            <sz val="9"/>
            <color indexed="81"/>
            <rFont val="Tahoma"/>
            <family val="2"/>
          </rPr>
          <t>Doruk Yarin Kiroglu:</t>
        </r>
        <r>
          <rPr>
            <sz val="9"/>
            <color indexed="81"/>
            <rFont val="Tahoma"/>
            <family val="2"/>
          </rPr>
          <t xml:space="preserve">
2009</t>
        </r>
      </text>
    </comment>
    <comment ref="BB100" authorId="6" shapeId="0">
      <text>
        <r>
          <rPr>
            <b/>
            <sz val="9"/>
            <color indexed="81"/>
            <rFont val="Tahoma"/>
            <family val="2"/>
          </rPr>
          <t>Doruk Yarin Kiroglu:</t>
        </r>
        <r>
          <rPr>
            <sz val="9"/>
            <color indexed="81"/>
            <rFont val="Tahoma"/>
            <family val="2"/>
          </rPr>
          <t xml:space="preserve">
Registration number given by Registrar's office</t>
        </r>
      </text>
    </comment>
    <comment ref="K101" authorId="0" shapeId="0">
      <text>
        <r>
          <rPr>
            <b/>
            <sz val="9"/>
            <color indexed="81"/>
            <rFont val="Tahoma"/>
            <family val="2"/>
          </rPr>
          <t>Cem Dener:</t>
        </r>
        <r>
          <rPr>
            <sz val="9"/>
            <color indexed="81"/>
            <rFont val="Tahoma"/>
            <family val="2"/>
          </rPr>
          <t xml:space="preserve">
http://www.refworld.org/country,LEGAL,,,LBR,,4c591e872,0.html</t>
        </r>
      </text>
    </comment>
    <comment ref="N101" authorId="0" shapeId="0">
      <text>
        <r>
          <rPr>
            <b/>
            <sz val="9"/>
            <color indexed="81"/>
            <rFont val="Tahoma"/>
            <family val="2"/>
          </rPr>
          <t>Cem Dener:</t>
        </r>
        <r>
          <rPr>
            <sz val="9"/>
            <color indexed="81"/>
            <rFont val="Tahoma"/>
            <family val="2"/>
          </rPr>
          <t xml:space="preserve">
0-12 y free.
Above 13 LD$500
</t>
        </r>
      </text>
    </comment>
    <comment ref="T101" authorId="0" shapeId="0">
      <text>
        <r>
          <rPr>
            <b/>
            <sz val="9"/>
            <color indexed="81"/>
            <rFont val="Tahoma"/>
            <family val="2"/>
          </rPr>
          <t>Cem Dener:</t>
        </r>
        <r>
          <rPr>
            <sz val="9"/>
            <color indexed="81"/>
            <rFont val="Tahoma"/>
            <family val="2"/>
          </rPr>
          <t xml:space="preserve">
http://www.refworld.org/docid/3ae6ab5080.html</t>
        </r>
      </text>
    </comment>
    <comment ref="AD101" authorId="0" shapeId="0">
      <text>
        <r>
          <rPr>
            <b/>
            <sz val="9"/>
            <color indexed="81"/>
            <rFont val="Tahoma"/>
            <family val="2"/>
          </rPr>
          <t>Cem Dener:</t>
        </r>
        <r>
          <rPr>
            <sz val="9"/>
            <color indexed="81"/>
            <rFont val="Tahoma"/>
            <family val="2"/>
          </rPr>
          <t xml:space="preserve">
http://www.baobabafricaonline.com/Liberian_govt_to_introduce_biometric_ID_card.htm</t>
        </r>
      </text>
    </comment>
    <comment ref="AM101" authorId="0" shapeId="0">
      <text>
        <r>
          <rPr>
            <b/>
            <sz val="9"/>
            <color indexed="81"/>
            <rFont val="Tahoma"/>
            <family val="2"/>
          </rPr>
          <t>Cem Dener:</t>
        </r>
        <r>
          <rPr>
            <sz val="9"/>
            <color indexed="81"/>
            <rFont val="Tahoma"/>
            <family val="2"/>
          </rPr>
          <t xml:space="preserve">
http://news.ecowas.int/presseshow.php?nb=240&amp;lang=en&amp;annee=2014</t>
        </r>
      </text>
    </comment>
    <comment ref="AZ101" authorId="6" shapeId="0">
      <text>
        <r>
          <rPr>
            <b/>
            <sz val="9"/>
            <color indexed="81"/>
            <rFont val="Tahoma"/>
            <family val="2"/>
          </rPr>
          <t>Doruk Yarin Kiroglu:</t>
        </r>
        <r>
          <rPr>
            <sz val="9"/>
            <color indexed="81"/>
            <rFont val="Tahoma"/>
            <family val="2"/>
          </rPr>
          <t xml:space="preserve">
1948</t>
        </r>
      </text>
    </comment>
    <comment ref="BD101" authorId="6" shapeId="0">
      <text>
        <r>
          <rPr>
            <b/>
            <sz val="9"/>
            <color indexed="81"/>
            <rFont val="Tahoma"/>
            <family val="2"/>
          </rPr>
          <t>Doruk Yarin Kiroglu:</t>
        </r>
        <r>
          <rPr>
            <sz val="9"/>
            <color indexed="81"/>
            <rFont val="Tahoma"/>
            <family val="2"/>
          </rPr>
          <t xml:space="preserve">
2002</t>
        </r>
      </text>
    </comment>
    <comment ref="N102" authorId="0" shapeId="0">
      <text>
        <r>
          <rPr>
            <b/>
            <sz val="9"/>
            <color indexed="81"/>
            <rFont val="Tahoma"/>
            <family val="2"/>
          </rPr>
          <t>Cem Dener:</t>
        </r>
        <r>
          <rPr>
            <sz val="9"/>
            <color indexed="81"/>
            <rFont val="Tahoma"/>
            <family val="2"/>
          </rPr>
          <t xml:space="preserve">
C$ 20 as of 15 Nov. 2013</t>
        </r>
      </text>
    </comment>
    <comment ref="AM102" authorId="0" shapeId="0">
      <text>
        <r>
          <rPr>
            <b/>
            <sz val="9"/>
            <color indexed="81"/>
            <rFont val="Tahoma"/>
            <family val="2"/>
          </rPr>
          <t>Cem Dener:</t>
        </r>
        <r>
          <rPr>
            <sz val="9"/>
            <color indexed="81"/>
            <rFont val="Tahoma"/>
            <family val="2"/>
          </rPr>
          <t xml:space="preserve">
http://www.semlex.com/en/references/references-clients.html</t>
        </r>
      </text>
    </comment>
    <comment ref="AY102" authorId="6" shapeId="0">
      <text>
        <r>
          <rPr>
            <b/>
            <sz val="9"/>
            <color indexed="81"/>
            <rFont val="Tahoma"/>
            <family val="2"/>
          </rPr>
          <t>Doruk Yarin Kiroglu:</t>
        </r>
        <r>
          <rPr>
            <sz val="9"/>
            <color indexed="81"/>
            <rFont val="Tahoma"/>
            <family val="2"/>
          </rPr>
          <t xml:space="preserve">
No official government website or business registry
http://www.doingbusiness.org/data/exploreeconomies/libya/starting-a-business</t>
        </r>
      </text>
    </comment>
    <comment ref="CG102" authorId="0" shapeId="0">
      <text>
        <r>
          <rPr>
            <b/>
            <sz val="9"/>
            <color indexed="81"/>
            <rFont val="Tahoma"/>
            <family val="2"/>
          </rPr>
          <t>Cem Dener:</t>
        </r>
        <r>
          <rPr>
            <sz val="9"/>
            <color indexed="81"/>
            <rFont val="Tahoma"/>
            <family val="2"/>
          </rPr>
          <t xml:space="preserve">
No data.
Estimated BR rate</t>
        </r>
      </text>
    </comment>
    <comment ref="CH102" authorId="0" shapeId="0">
      <text>
        <r>
          <rPr>
            <b/>
            <sz val="9"/>
            <color indexed="81"/>
            <rFont val="Tahoma"/>
            <family val="2"/>
          </rPr>
          <t>Cem Dener:</t>
        </r>
        <r>
          <rPr>
            <sz val="9"/>
            <color indexed="81"/>
            <rFont val="Tahoma"/>
            <family val="2"/>
          </rPr>
          <t xml:space="preserve">
No data.
Estimated BR rate</t>
        </r>
      </text>
    </comment>
    <comment ref="CI102" authorId="0" shapeId="0">
      <text>
        <r>
          <rPr>
            <b/>
            <sz val="9"/>
            <color indexed="81"/>
            <rFont val="Tahoma"/>
            <family val="2"/>
          </rPr>
          <t>Cem Dener:</t>
        </r>
        <r>
          <rPr>
            <sz val="9"/>
            <color indexed="81"/>
            <rFont val="Tahoma"/>
            <family val="2"/>
          </rPr>
          <t xml:space="preserve">
No data.
Estimated BR rate</t>
        </r>
      </text>
    </comment>
    <comment ref="DY102" authorId="0" shapeId="0">
      <text>
        <r>
          <rPr>
            <b/>
            <sz val="9"/>
            <color indexed="81"/>
            <rFont val="Tahoma"/>
            <family val="2"/>
          </rPr>
          <t>Cem Dener:</t>
        </r>
        <r>
          <rPr>
            <sz val="9"/>
            <color indexed="81"/>
            <rFont val="Tahoma"/>
            <family val="2"/>
          </rPr>
          <t xml:space="preserve">
http://borgenproject.org/poverty-in-libya/</t>
        </r>
      </text>
    </comment>
    <comment ref="EB102" authorId="0" shapeId="0">
      <text>
        <r>
          <rPr>
            <b/>
            <sz val="9"/>
            <color indexed="81"/>
            <rFont val="Tahoma"/>
            <family val="2"/>
          </rPr>
          <t>Cem Dener:</t>
        </r>
        <r>
          <rPr>
            <sz val="9"/>
            <color indexed="81"/>
            <rFont val="Tahoma"/>
            <family val="2"/>
          </rPr>
          <t xml:space="preserve">
http://www.thenational.ae/news/world/africa/poverty-persists-in-libya-despite-oil-riches</t>
        </r>
      </text>
    </comment>
    <comment ref="W103" authorId="0" shapeId="0">
      <text>
        <r>
          <rPr>
            <b/>
            <sz val="9"/>
            <color indexed="81"/>
            <rFont val="Tahoma"/>
            <family val="2"/>
          </rPr>
          <t>Cem Dener:</t>
        </r>
        <r>
          <rPr>
            <sz val="9"/>
            <color indexed="81"/>
            <rFont val="Tahoma"/>
            <family val="2"/>
          </rPr>
          <t xml:space="preserve">
CHF80 (adults aged 15 or over) / CHF30 (children under 15)</t>
        </r>
      </text>
    </comment>
    <comment ref="AJ103" authorId="2" shapeId="0">
      <text>
        <r>
          <rPr>
            <b/>
            <sz val="9"/>
            <color indexed="81"/>
            <rFont val="Tahoma"/>
            <family val="2"/>
          </rPr>
          <t>Huan Zhang:</t>
        </r>
        <r>
          <rPr>
            <sz val="9"/>
            <color indexed="81"/>
            <rFont val="Tahoma"/>
            <family val="2"/>
          </rPr>
          <t xml:space="preserve">
http://en.wikipedia.org/wiki/Liechtenstein_identity_card</t>
        </r>
      </text>
    </comment>
    <comment ref="AZ103" authorId="6" shapeId="0">
      <text>
        <r>
          <rPr>
            <b/>
            <sz val="9"/>
            <color indexed="81"/>
            <rFont val="Tahoma"/>
            <family val="2"/>
          </rPr>
          <t>Doruk Yarin Kiroglu:</t>
        </r>
        <r>
          <rPr>
            <sz val="9"/>
            <color indexed="81"/>
            <rFont val="Tahoma"/>
            <family val="2"/>
          </rPr>
          <t xml:space="preserve">
1999</t>
        </r>
      </text>
    </comment>
    <comment ref="BD103" authorId="6" shapeId="0">
      <text>
        <r>
          <rPr>
            <b/>
            <sz val="9"/>
            <color indexed="81"/>
            <rFont val="Tahoma"/>
            <family val="2"/>
          </rPr>
          <t>Doruk Yarin Kiroglu:</t>
        </r>
        <r>
          <rPr>
            <sz val="9"/>
            <color indexed="81"/>
            <rFont val="Tahoma"/>
            <family val="2"/>
          </rPr>
          <t xml:space="preserve">
1980 Became Liechtenstein Chamber of Commerce and Industry</t>
        </r>
      </text>
    </comment>
    <comment ref="CF103" authorId="0" shapeId="0">
      <text>
        <r>
          <rPr>
            <b/>
            <sz val="9"/>
            <color indexed="81"/>
            <rFont val="Tahoma"/>
            <family val="2"/>
          </rPr>
          <t>Cem Dener:</t>
        </r>
        <r>
          <rPr>
            <sz val="9"/>
            <color indexed="81"/>
            <rFont val="Tahoma"/>
            <family val="2"/>
          </rPr>
          <t xml:space="preserve">
http://www.liechtenstein.li/en/country-and-people/society/population/  </t>
        </r>
      </text>
    </comment>
    <comment ref="H104" authorId="0" shapeId="0">
      <text>
        <r>
          <rPr>
            <b/>
            <sz val="9"/>
            <color indexed="81"/>
            <rFont val="Tahoma"/>
            <family val="2"/>
          </rPr>
          <t>Cem Dener:</t>
        </r>
        <r>
          <rPr>
            <sz val="9"/>
            <color indexed="81"/>
            <rFont val="Tahoma"/>
            <family val="2"/>
          </rPr>
          <t xml:space="preserve">
http://ec.europa.eu/civiljustice/news/docs/study_public_docs_lithuania.pdf</t>
        </r>
      </text>
    </comment>
    <comment ref="AX104" authorId="6" shapeId="0">
      <text>
        <r>
          <rPr>
            <b/>
            <sz val="9"/>
            <color indexed="81"/>
            <rFont val="Tahoma"/>
            <family val="2"/>
          </rPr>
          <t>Doruk Yarin Kiroglu:</t>
        </r>
        <r>
          <rPr>
            <sz val="9"/>
            <color indexed="81"/>
            <rFont val="Tahoma"/>
            <family val="2"/>
          </rPr>
          <t xml:space="preserve">
e-ID can be used to travel to EU countries</t>
        </r>
      </text>
    </comment>
    <comment ref="CF104" authorId="0" shapeId="0">
      <text>
        <r>
          <rPr>
            <b/>
            <sz val="9"/>
            <color indexed="81"/>
            <rFont val="Tahoma"/>
            <family val="2"/>
          </rPr>
          <t>Cem Dener:</t>
        </r>
        <r>
          <rPr>
            <sz val="9"/>
            <color indexed="81"/>
            <rFont val="Tahoma"/>
            <family val="2"/>
          </rPr>
          <t xml:space="preserve">
http://osp.stat.gov.lt/en/temines-lenteles19</t>
        </r>
      </text>
    </comment>
    <comment ref="CN104" authorId="0" shapeId="0">
      <text>
        <r>
          <rPr>
            <b/>
            <sz val="9"/>
            <color indexed="81"/>
            <rFont val="Tahoma"/>
            <family val="2"/>
          </rPr>
          <t>Cem Dener:</t>
        </r>
        <r>
          <rPr>
            <sz val="9"/>
            <color indexed="81"/>
            <rFont val="Tahoma"/>
            <family val="2"/>
          </rPr>
          <t xml:space="preserve">
Voting Age Population was used (Registered voter was greater than VAP)</t>
        </r>
      </text>
    </comment>
    <comment ref="N105" authorId="0" shapeId="0">
      <text>
        <r>
          <rPr>
            <b/>
            <sz val="9"/>
            <color indexed="81"/>
            <rFont val="Tahoma"/>
            <family val="2"/>
          </rPr>
          <t>Cem Dener:</t>
        </r>
        <r>
          <rPr>
            <sz val="9"/>
            <color indexed="81"/>
            <rFont val="Tahoma"/>
            <family val="2"/>
          </rPr>
          <t xml:space="preserve">
Some local councils may ask for a fee</t>
        </r>
      </text>
    </comment>
    <comment ref="AL105" authorId="0" shapeId="0">
      <text>
        <r>
          <rPr>
            <b/>
            <sz val="9"/>
            <color indexed="81"/>
            <rFont val="Tahoma"/>
            <family val="2"/>
          </rPr>
          <t>Cem Dener:</t>
        </r>
        <r>
          <rPr>
            <sz val="9"/>
            <color indexed="81"/>
            <rFont val="Tahoma"/>
            <family val="2"/>
          </rPr>
          <t xml:space="preserve">
Luxtrust</t>
        </r>
      </text>
    </comment>
    <comment ref="AX105" authorId="6" shapeId="0">
      <text>
        <r>
          <rPr>
            <b/>
            <sz val="9"/>
            <color indexed="81"/>
            <rFont val="Tahoma"/>
            <family val="2"/>
          </rPr>
          <t>Doruk Yarin Kiroglu:</t>
        </r>
        <r>
          <rPr>
            <sz val="9"/>
            <color indexed="81"/>
            <rFont val="Tahoma"/>
            <family val="2"/>
          </rPr>
          <t xml:space="preserve">
e-ID can be used to travel to EU countries</t>
        </r>
      </text>
    </comment>
    <comment ref="AZ105" authorId="6" shapeId="0">
      <text>
        <r>
          <rPr>
            <b/>
            <sz val="9"/>
            <color indexed="81"/>
            <rFont val="Tahoma"/>
            <family val="2"/>
          </rPr>
          <t>Doruk Yarin Kiroglu:</t>
        </r>
        <r>
          <rPr>
            <sz val="9"/>
            <color indexed="81"/>
            <rFont val="Tahoma"/>
            <family val="2"/>
          </rPr>
          <t xml:space="preserve">
1961</t>
        </r>
      </text>
    </comment>
    <comment ref="BC105" authorId="6" shapeId="0">
      <text>
        <r>
          <rPr>
            <b/>
            <sz val="9"/>
            <color indexed="81"/>
            <rFont val="Tahoma"/>
            <family val="2"/>
          </rPr>
          <t>Doruk Yarin Kiroglu:</t>
        </r>
        <r>
          <rPr>
            <sz val="9"/>
            <color indexed="81"/>
            <rFont val="Tahoma"/>
            <family val="2"/>
          </rPr>
          <t xml:space="preserve">
Commercial Code</t>
        </r>
      </text>
    </comment>
    <comment ref="CS105" authorId="0" shapeId="0">
      <text>
        <r>
          <rPr>
            <b/>
            <sz val="9"/>
            <color indexed="81"/>
            <rFont val="Tahoma"/>
            <family val="2"/>
          </rPr>
          <t>Cem Dener:</t>
        </r>
        <r>
          <rPr>
            <sz val="9"/>
            <color indexed="81"/>
            <rFont val="Tahoma"/>
            <family val="2"/>
          </rPr>
          <t xml:space="preserve">
http://www.statistiques.public.lu/catalogue-publications/luxembourg-en-chiffres/luxembourg-figures.pdf</t>
        </r>
      </text>
    </comment>
    <comment ref="HV105" authorId="6" shapeId="0">
      <text>
        <r>
          <rPr>
            <b/>
            <sz val="9"/>
            <color indexed="81"/>
            <rFont val="Tahoma"/>
            <family val="2"/>
          </rPr>
          <t>Doruk Yarin Kiroglu:</t>
        </r>
        <r>
          <rPr>
            <sz val="9"/>
            <color indexed="81"/>
            <rFont val="Tahoma"/>
            <family val="2"/>
          </rPr>
          <t xml:space="preserve">
No specified access to information law</t>
        </r>
      </text>
    </comment>
    <comment ref="C106" authorId="0" shapeId="0">
      <text>
        <r>
          <rPr>
            <b/>
            <sz val="9"/>
            <color indexed="81"/>
            <rFont val="Tahoma"/>
            <family val="2"/>
          </rPr>
          <t>Cem Dener:</t>
        </r>
        <r>
          <rPr>
            <sz val="9"/>
            <color indexed="81"/>
            <rFont val="Tahoma"/>
            <family val="2"/>
          </rPr>
          <t xml:space="preserve">
Macao Special Administrative Region of the People's Republic of China</t>
        </r>
      </text>
    </comment>
    <comment ref="AM106" authorId="0" shapeId="0">
      <text>
        <r>
          <rPr>
            <b/>
            <sz val="9"/>
            <color indexed="81"/>
            <rFont val="Tahoma"/>
            <family val="2"/>
          </rPr>
          <t>Cem Dener:</t>
        </r>
        <r>
          <rPr>
            <sz val="9"/>
            <color indexed="81"/>
            <rFont val="Tahoma"/>
            <family val="2"/>
          </rPr>
          <t xml:space="preserve">
http://www.biometricupdate.com/201303/macau-turns-to-giesecke-devrient-for-smart-id-cards</t>
        </r>
      </text>
    </comment>
    <comment ref="AZ106" authorId="6" shapeId="0">
      <text>
        <r>
          <rPr>
            <b/>
            <sz val="9"/>
            <color indexed="81"/>
            <rFont val="Tahoma"/>
            <family val="2"/>
          </rPr>
          <t>Doruk Yarin Kiroglu:</t>
        </r>
        <r>
          <rPr>
            <sz val="9"/>
            <color indexed="81"/>
            <rFont val="Tahoma"/>
            <family val="2"/>
          </rPr>
          <t xml:space="preserve">
1999</t>
        </r>
      </text>
    </comment>
    <comment ref="CG106" authorId="0" shapeId="0">
      <text>
        <r>
          <rPr>
            <b/>
            <sz val="9"/>
            <color indexed="81"/>
            <rFont val="Tahoma"/>
            <family val="2"/>
          </rPr>
          <t>Cem Dener:</t>
        </r>
        <r>
          <rPr>
            <sz val="9"/>
            <color indexed="81"/>
            <rFont val="Tahoma"/>
            <family val="2"/>
          </rPr>
          <t xml:space="preserve">
No data.
Estimated BR rate</t>
        </r>
      </text>
    </comment>
    <comment ref="CS106" authorId="0" shapeId="0">
      <text>
        <r>
          <rPr>
            <b/>
            <sz val="9"/>
            <color indexed="81"/>
            <rFont val="Tahoma"/>
            <family val="2"/>
          </rPr>
          <t>Cem Dener:</t>
        </r>
        <r>
          <rPr>
            <sz val="9"/>
            <color indexed="81"/>
            <rFont val="Tahoma"/>
            <family val="2"/>
          </rPr>
          <t xml:space="preserve">
http://big5.mofcom.gov.cn/gate/big5/mo.mofcom.gov.cn/article/ztdy/201201/20120107911183.shtml
http://www.electionguide.org/countries/id/127/</t>
        </r>
      </text>
    </comment>
    <comment ref="CN107" authorId="0" shapeId="0">
      <text>
        <r>
          <rPr>
            <b/>
            <sz val="9"/>
            <color indexed="81"/>
            <rFont val="Tahoma"/>
            <family val="2"/>
          </rPr>
          <t>Cem Dener:</t>
        </r>
        <r>
          <rPr>
            <sz val="9"/>
            <color indexed="81"/>
            <rFont val="Tahoma"/>
            <family val="2"/>
          </rPr>
          <t xml:space="preserve">
Voting Age Population was used (Registered voter was greater than VAP)</t>
        </r>
      </text>
    </comment>
    <comment ref="H108" authorId="0" shapeId="0">
      <text>
        <r>
          <rPr>
            <b/>
            <sz val="9"/>
            <color indexed="81"/>
            <rFont val="Tahoma"/>
            <family val="2"/>
          </rPr>
          <t>Cem Dener:</t>
        </r>
        <r>
          <rPr>
            <sz val="9"/>
            <color indexed="81"/>
            <rFont val="Tahoma"/>
            <family val="2"/>
          </rPr>
          <t xml:space="preserve">
http://eudo-citizenship.eu/NationalDB/docs/MAC%20Law_Registers_Birth_eng.pdf</t>
        </r>
      </text>
    </comment>
    <comment ref="K108" authorId="0" shapeId="0">
      <text>
        <r>
          <rPr>
            <b/>
            <sz val="9"/>
            <color indexed="81"/>
            <rFont val="Tahoma"/>
            <family val="2"/>
          </rPr>
          <t>Cem Dener:</t>
        </r>
        <r>
          <rPr>
            <sz val="9"/>
            <color indexed="81"/>
            <rFont val="Tahoma"/>
            <family val="2"/>
          </rPr>
          <t xml:space="preserve">
Initiated in 1878:
http://www.cdc.gov/nchs/data/isp/016_Methods_And_Problems_of_Civil_Registration_Practices_and_Vital_Stat_Collection_in_Africa.pdf</t>
        </r>
      </text>
    </comment>
    <comment ref="AY108" authorId="6" shapeId="0">
      <text>
        <r>
          <rPr>
            <b/>
            <sz val="9"/>
            <color indexed="81"/>
            <rFont val="Tahoma"/>
            <family val="2"/>
          </rPr>
          <t>Doruk Yarin Kiroglu:</t>
        </r>
        <r>
          <rPr>
            <sz val="9"/>
            <color indexed="81"/>
            <rFont val="Tahoma"/>
            <family val="2"/>
          </rPr>
          <t xml:space="preserve">
No accessible online registry</t>
        </r>
      </text>
    </comment>
    <comment ref="HV108" authorId="6" shapeId="0">
      <text>
        <r>
          <rPr>
            <b/>
            <sz val="9"/>
            <color indexed="81"/>
            <rFont val="Tahoma"/>
            <family val="2"/>
          </rPr>
          <t>Doruk Yarin Kiroglu:</t>
        </r>
        <r>
          <rPr>
            <sz val="9"/>
            <color indexed="81"/>
            <rFont val="Tahoma"/>
            <family val="2"/>
          </rPr>
          <t xml:space="preserve">
Article 11 of the constitution ensures right to information</t>
        </r>
      </text>
    </comment>
    <comment ref="N109" authorId="0" shapeId="0">
      <text>
        <r>
          <rPr>
            <b/>
            <sz val="9"/>
            <color indexed="81"/>
            <rFont val="Tahoma"/>
            <family val="2"/>
          </rPr>
          <t>Cem Dener:</t>
        </r>
        <r>
          <rPr>
            <sz val="9"/>
            <color indexed="81"/>
            <rFont val="Tahoma"/>
            <family val="2"/>
          </rPr>
          <t xml:space="preserve">
Free up to 6 months</t>
        </r>
      </text>
    </comment>
    <comment ref="O109" authorId="0" shapeId="0">
      <text>
        <r>
          <rPr>
            <b/>
            <sz val="9"/>
            <color indexed="81"/>
            <rFont val="Tahoma"/>
            <family val="2"/>
          </rPr>
          <t>Cem Dener:</t>
        </r>
        <r>
          <rPr>
            <sz val="9"/>
            <color indexed="81"/>
            <rFont val="Tahoma"/>
            <family val="2"/>
          </rPr>
          <t xml:space="preserve">
http://unstats.un.org/unsd/demographic/CRVS/Technical%20report%20SADC%20final%20v2.pdf</t>
        </r>
      </text>
    </comment>
    <comment ref="S109" authorId="0" shapeId="0">
      <text>
        <r>
          <rPr>
            <b/>
            <sz val="9"/>
            <color indexed="81"/>
            <rFont val="Tahoma"/>
            <family val="2"/>
          </rPr>
          <t>Cem Dener:</t>
        </r>
        <r>
          <rPr>
            <sz val="9"/>
            <color indexed="81"/>
            <rFont val="Tahoma"/>
            <family val="2"/>
          </rPr>
          <t xml:space="preserve">
Manual registration</t>
        </r>
      </text>
    </comment>
    <comment ref="AD109" authorId="0" shapeId="0">
      <text>
        <r>
          <rPr>
            <b/>
            <sz val="9"/>
            <color indexed="81"/>
            <rFont val="Tahoma"/>
            <family val="2"/>
          </rPr>
          <t>Cem Dener:</t>
        </r>
        <r>
          <rPr>
            <sz val="9"/>
            <color indexed="81"/>
            <rFont val="Tahoma"/>
            <family val="2"/>
          </rPr>
          <t xml:space="preserve">
http://www.nyasatimes.com/2011/11/18/malawi-to-start-second-phase-of-registration-for-national-ids/</t>
        </r>
      </text>
    </comment>
    <comment ref="AM109" authorId="0" shapeId="0">
      <text>
        <r>
          <rPr>
            <b/>
            <sz val="9"/>
            <color indexed="81"/>
            <rFont val="Tahoma"/>
            <family val="2"/>
          </rPr>
          <t>Cem Dener:</t>
        </r>
        <r>
          <rPr>
            <sz val="9"/>
            <color indexed="81"/>
            <rFont val="Tahoma"/>
            <family val="2"/>
          </rPr>
          <t xml:space="preserve">
http://allafrica.com/stories/201310311601.html
http://www.govtechnology.com.ng/top-story/1378/the-malawi-electoral-commission-abandons-biometric-voter-registration-system/</t>
        </r>
      </text>
    </comment>
    <comment ref="AZ109" authorId="6" shapeId="0">
      <text>
        <r>
          <rPr>
            <b/>
            <sz val="9"/>
            <color indexed="81"/>
            <rFont val="Tahoma"/>
            <family val="2"/>
          </rPr>
          <t>Doruk Yarin Kiroglu:</t>
        </r>
        <r>
          <rPr>
            <sz val="9"/>
            <color indexed="81"/>
            <rFont val="Tahoma"/>
            <family val="2"/>
          </rPr>
          <t xml:space="preserve">
1950</t>
        </r>
      </text>
    </comment>
    <comment ref="CH109" authorId="0" shapeId="0">
      <text>
        <r>
          <rPr>
            <b/>
            <sz val="9"/>
            <color indexed="81"/>
            <rFont val="Tahoma"/>
            <family val="2"/>
          </rPr>
          <t>Cem Dener:</t>
        </r>
        <r>
          <rPr>
            <sz val="9"/>
            <color indexed="81"/>
            <rFont val="Tahoma"/>
            <family val="2"/>
          </rPr>
          <t xml:space="preserve">
No data.
Estimated BR rate</t>
        </r>
      </text>
    </comment>
    <comment ref="CI109" authorId="0" shapeId="0">
      <text>
        <r>
          <rPr>
            <b/>
            <sz val="9"/>
            <color indexed="81"/>
            <rFont val="Tahoma"/>
            <family val="2"/>
          </rPr>
          <t>Cem Dener:</t>
        </r>
        <r>
          <rPr>
            <sz val="9"/>
            <color indexed="81"/>
            <rFont val="Tahoma"/>
            <family val="2"/>
          </rPr>
          <t xml:space="preserve">
No data.
Estimated BR rate</t>
        </r>
      </text>
    </comment>
    <comment ref="HK109" authorId="6" shapeId="0">
      <text>
        <r>
          <rPr>
            <b/>
            <sz val="9"/>
            <color indexed="81"/>
            <rFont val="Tahoma"/>
            <family val="2"/>
          </rPr>
          <t>Doruk Yarin Kiroglu:</t>
        </r>
        <r>
          <rPr>
            <sz val="9"/>
            <color indexed="81"/>
            <rFont val="Tahoma"/>
            <family val="2"/>
          </rPr>
          <t xml:space="preserve">
No data protection law</t>
        </r>
      </text>
    </comment>
    <comment ref="HV109" authorId="6" shapeId="0">
      <text>
        <r>
          <rPr>
            <b/>
            <sz val="9"/>
            <color indexed="81"/>
            <rFont val="Tahoma"/>
            <family val="2"/>
          </rPr>
          <t>Doruk Yarin Kiroglu:</t>
        </r>
        <r>
          <rPr>
            <sz val="9"/>
            <color indexed="81"/>
            <rFont val="Tahoma"/>
            <family val="2"/>
          </rPr>
          <t xml:space="preserve">
Article 37 of the constitution ensures right to information</t>
        </r>
      </text>
    </comment>
    <comment ref="AF110" authorId="2" shapeId="0">
      <text>
        <r>
          <rPr>
            <b/>
            <sz val="9"/>
            <color indexed="81"/>
            <rFont val="Tahoma"/>
            <family val="2"/>
          </rPr>
          <t>Huan Zhang:</t>
        </r>
        <r>
          <rPr>
            <sz val="9"/>
            <color indexed="81"/>
            <rFont val="Tahoma"/>
            <family val="2"/>
          </rPr>
          <t xml:space="preserve">
http://en.wikipedia.org/wiki/MyKad</t>
        </r>
      </text>
    </comment>
    <comment ref="AH110" authorId="0" shapeId="0">
      <text>
        <r>
          <rPr>
            <b/>
            <sz val="9"/>
            <color indexed="81"/>
            <rFont val="Tahoma"/>
            <family val="2"/>
          </rPr>
          <t>Cem Dener:</t>
        </r>
        <r>
          <rPr>
            <sz val="9"/>
            <color indexed="81"/>
            <rFont val="Tahoma"/>
            <family val="2"/>
          </rPr>
          <t xml:space="preserve">
Driver's license, ATM card, Electronic purse, Public key</t>
        </r>
      </text>
    </comment>
    <comment ref="AM110" authorId="0" shapeId="0">
      <text>
        <r>
          <rPr>
            <b/>
            <sz val="9"/>
            <color indexed="81"/>
            <rFont val="Tahoma"/>
            <family val="2"/>
          </rPr>
          <t>Cem Dener:</t>
        </r>
        <r>
          <rPr>
            <sz val="9"/>
            <color indexed="81"/>
            <rFont val="Tahoma"/>
            <family val="2"/>
          </rPr>
          <t xml:space="preserve">
https://www.datacard.com/knowledge-center/case-studies
http://www.smartpaymentassociation.com/en/news_events/latest_news/smart-payment-association-spa-welcomes-tr%C3%BCb-ag-as-_hxpx6922.html</t>
        </r>
      </text>
    </comment>
    <comment ref="AZ110" authorId="6" shapeId="0">
      <text>
        <r>
          <rPr>
            <b/>
            <sz val="9"/>
            <color indexed="81"/>
            <rFont val="Tahoma"/>
            <family val="2"/>
          </rPr>
          <t>Doruk Yarin Kiroglu:</t>
        </r>
        <r>
          <rPr>
            <sz val="9"/>
            <color indexed="81"/>
            <rFont val="Tahoma"/>
            <family val="2"/>
          </rPr>
          <t xml:space="preserve">
1965</t>
        </r>
      </text>
    </comment>
    <comment ref="CG110" authorId="0" shapeId="0">
      <text>
        <r>
          <rPr>
            <b/>
            <sz val="9"/>
            <color indexed="81"/>
            <rFont val="Tahoma"/>
            <family val="2"/>
          </rPr>
          <t>Cem Dener:</t>
        </r>
        <r>
          <rPr>
            <sz val="9"/>
            <color indexed="81"/>
            <rFont val="Tahoma"/>
            <family val="2"/>
          </rPr>
          <t xml:space="preserve">
No data.
Estimated BR rate</t>
        </r>
      </text>
    </comment>
    <comment ref="CH110" authorId="0" shapeId="0">
      <text>
        <r>
          <rPr>
            <b/>
            <sz val="9"/>
            <color indexed="81"/>
            <rFont val="Tahoma"/>
            <family val="2"/>
          </rPr>
          <t>Cem Dener:</t>
        </r>
        <r>
          <rPr>
            <sz val="9"/>
            <color indexed="81"/>
            <rFont val="Tahoma"/>
            <family val="2"/>
          </rPr>
          <t xml:space="preserve">
No data.
Estimated BR rate</t>
        </r>
      </text>
    </comment>
    <comment ref="CI110" authorId="0" shapeId="0">
      <text>
        <r>
          <rPr>
            <b/>
            <sz val="9"/>
            <color indexed="81"/>
            <rFont val="Tahoma"/>
            <family val="2"/>
          </rPr>
          <t>Cem Dener:</t>
        </r>
        <r>
          <rPr>
            <sz val="9"/>
            <color indexed="81"/>
            <rFont val="Tahoma"/>
            <family val="2"/>
          </rPr>
          <t xml:space="preserve">
No data.
Estimated BR rate</t>
        </r>
      </text>
    </comment>
    <comment ref="CU110" authorId="0" shapeId="0">
      <text>
        <r>
          <rPr>
            <b/>
            <sz val="9"/>
            <color indexed="81"/>
            <rFont val="Tahoma"/>
            <family val="2"/>
          </rPr>
          <t>Cem Dener:</t>
        </r>
        <r>
          <rPr>
            <sz val="9"/>
            <color indexed="81"/>
            <rFont val="Tahoma"/>
            <family val="2"/>
          </rPr>
          <t xml:space="preserve">
For Youth Parliament of Malaysia: 15 to 40</t>
        </r>
      </text>
    </comment>
    <comment ref="HP110" authorId="0" shapeId="0">
      <text>
        <r>
          <rPr>
            <b/>
            <sz val="9"/>
            <color indexed="81"/>
            <rFont val="Tahoma"/>
            <family val="2"/>
          </rPr>
          <t>Cem Dener:</t>
        </r>
        <r>
          <rPr>
            <sz val="9"/>
            <color indexed="81"/>
            <rFont val="Tahoma"/>
            <family val="2"/>
          </rPr>
          <t xml:space="preserve">
None (Personal Data Protection Commissioner in Act not appointed)</t>
        </r>
      </text>
    </comment>
    <comment ref="AY111" authorId="6" shapeId="0">
      <text>
        <r>
          <rPr>
            <b/>
            <sz val="9"/>
            <color indexed="81"/>
            <rFont val="Tahoma"/>
            <family val="2"/>
          </rPr>
          <t>Doruk Yarin Kiroglu:</t>
        </r>
        <r>
          <rPr>
            <sz val="9"/>
            <color indexed="81"/>
            <rFont val="Tahoma"/>
            <family val="2"/>
          </rPr>
          <t xml:space="preserve">
No accessible business registry</t>
        </r>
      </text>
    </comment>
    <comment ref="AZ111" authorId="6" shapeId="0">
      <text>
        <r>
          <rPr>
            <b/>
            <sz val="9"/>
            <color indexed="81"/>
            <rFont val="Tahoma"/>
            <family val="2"/>
          </rPr>
          <t>Doruk Yarin Kiroglu:</t>
        </r>
        <r>
          <rPr>
            <sz val="9"/>
            <color indexed="81"/>
            <rFont val="Tahoma"/>
            <family val="2"/>
          </rPr>
          <t xml:space="preserve">
1996</t>
        </r>
      </text>
    </comment>
    <comment ref="HK111" authorId="6" shapeId="0">
      <text>
        <r>
          <rPr>
            <b/>
            <sz val="9"/>
            <color indexed="81"/>
            <rFont val="Tahoma"/>
            <family val="2"/>
          </rPr>
          <t>Doruk Yarin Kiroglu:</t>
        </r>
        <r>
          <rPr>
            <sz val="9"/>
            <color indexed="81"/>
            <rFont val="Tahoma"/>
            <family val="2"/>
          </rPr>
          <t xml:space="preserve">
No data protection law</t>
        </r>
      </text>
    </comment>
    <comment ref="K112" authorId="0" shapeId="0">
      <text>
        <r>
          <rPr>
            <b/>
            <sz val="9"/>
            <color indexed="81"/>
            <rFont val="Tahoma"/>
            <family val="2"/>
          </rPr>
          <t>Cem Dener:</t>
        </r>
        <r>
          <rPr>
            <sz val="9"/>
            <color indexed="81"/>
            <rFont val="Tahoma"/>
            <family val="2"/>
          </rPr>
          <t xml:space="preserve">
Initiated in 1933:
http://www.cdc.gov/nchs/data/isp/016_Methods_And_Problems_of_Civil_Registration_Practices_and_Vital_Stat_Collection_in_Africa.pdf</t>
        </r>
      </text>
    </comment>
    <comment ref="AM112" authorId="0" shapeId="0">
      <text>
        <r>
          <rPr>
            <b/>
            <sz val="9"/>
            <color indexed="81"/>
            <rFont val="Tahoma"/>
            <family val="2"/>
          </rPr>
          <t>Cem Dener:</t>
        </r>
        <r>
          <rPr>
            <sz val="9"/>
            <color indexed="81"/>
            <rFont val="Tahoma"/>
            <family val="2"/>
          </rPr>
          <t xml:space="preserve">
http://www.csmonitor.com/World/Africa/2013/0726/Mali-has-war-in-January-elections-in-July.-Is-this-too-much-video
http://maliactu.net/mali-ravec-nouveau-coup-denvoi-le-1er-octobre-2014/
</t>
        </r>
      </text>
    </comment>
    <comment ref="AY112" authorId="6" shapeId="0">
      <text>
        <r>
          <rPr>
            <b/>
            <sz val="9"/>
            <color indexed="81"/>
            <rFont val="Tahoma"/>
            <family val="2"/>
          </rPr>
          <t>Doruk Yarin Kiroglu:</t>
        </r>
        <r>
          <rPr>
            <sz val="9"/>
            <color indexed="81"/>
            <rFont val="Tahoma"/>
            <family val="2"/>
          </rPr>
          <t xml:space="preserve">
No accessible online registry</t>
        </r>
      </text>
    </comment>
    <comment ref="CS112" authorId="0" shapeId="0">
      <text>
        <r>
          <rPr>
            <b/>
            <sz val="9"/>
            <color indexed="81"/>
            <rFont val="Tahoma"/>
            <family val="2"/>
          </rPr>
          <t>Cem Dener:</t>
        </r>
        <r>
          <rPr>
            <sz val="9"/>
            <color indexed="81"/>
            <rFont val="Tahoma"/>
            <family val="2"/>
          </rPr>
          <t xml:space="preserve">
http://www.biometricupdate.com/201306/morpho-delivers-voter-id-cards-to-mali-u-n-steps-in-to-help-distribute</t>
        </r>
      </text>
    </comment>
    <comment ref="W113" authorId="0" shapeId="0">
      <text>
        <r>
          <rPr>
            <b/>
            <sz val="9"/>
            <color indexed="81"/>
            <rFont val="Tahoma"/>
            <family val="2"/>
          </rPr>
          <t>Cem Dener:</t>
        </r>
        <r>
          <rPr>
            <sz val="9"/>
            <color indexed="81"/>
            <rFont val="Tahoma"/>
            <family val="2"/>
          </rPr>
          <t xml:space="preserve">
First time issuance: Free / Renewal: Free / Replacement (lost, stolen or destroyed): €20 / New ID Card (defaced): €15</t>
        </r>
      </text>
    </comment>
    <comment ref="AJ113" authorId="6" shapeId="0">
      <text>
        <r>
          <rPr>
            <b/>
            <sz val="9"/>
            <color indexed="81"/>
            <rFont val="Tahoma"/>
            <family val="2"/>
          </rPr>
          <t>Doruk Yarin Kiroglu:</t>
        </r>
        <r>
          <rPr>
            <sz val="9"/>
            <color indexed="81"/>
            <rFont val="Tahoma"/>
            <family val="2"/>
          </rPr>
          <t xml:space="preserve">
http://www.maltatoday.com.mt/news/national/35662/new-id-card-comes-with-a-chip-and-a-pin-number-20140210#.VLlvqdJdVKA</t>
        </r>
      </text>
    </comment>
    <comment ref="AL113" authorId="0" shapeId="0">
      <text>
        <r>
          <rPr>
            <b/>
            <sz val="9"/>
            <color indexed="81"/>
            <rFont val="Tahoma"/>
            <family val="2"/>
          </rPr>
          <t>Cem Dener:</t>
        </r>
        <r>
          <rPr>
            <sz val="9"/>
            <color indexed="81"/>
            <rFont val="Tahoma"/>
            <family val="2"/>
          </rPr>
          <t xml:space="preserve">
International Biometric Group</t>
        </r>
      </text>
    </comment>
    <comment ref="AM113" authorId="0" shapeId="0">
      <text>
        <r>
          <rPr>
            <b/>
            <sz val="9"/>
            <color indexed="81"/>
            <rFont val="Tahoma"/>
            <family val="2"/>
          </rPr>
          <t>Cem Dener:</t>
        </r>
        <r>
          <rPr>
            <sz val="9"/>
            <color indexed="81"/>
            <rFont val="Tahoma"/>
            <family val="2"/>
          </rPr>
          <t xml:space="preserve">
http://www.biometricupdate.com/201308/indra-boasts-biometric-capture-briefcase-for-maltese-visas
http://ec.europa.eu/idabc/servlets/Doc6473.pdf?id=31540
http://securitydocumentworldcouk.creo.co.uk/article-details/i/9737/</t>
        </r>
      </text>
    </comment>
    <comment ref="AX113" authorId="6" shapeId="0">
      <text>
        <r>
          <rPr>
            <b/>
            <sz val="9"/>
            <color indexed="81"/>
            <rFont val="Tahoma"/>
            <family val="2"/>
          </rPr>
          <t>Doruk Yarin Kiroglu:</t>
        </r>
        <r>
          <rPr>
            <sz val="9"/>
            <color indexed="81"/>
            <rFont val="Tahoma"/>
            <family val="2"/>
          </rPr>
          <t xml:space="preserve">
e-ID can be used to travel to EU countries</t>
        </r>
      </text>
    </comment>
    <comment ref="BD113" authorId="6" shapeId="0">
      <text>
        <r>
          <rPr>
            <b/>
            <sz val="9"/>
            <color indexed="81"/>
            <rFont val="Tahoma"/>
            <family val="2"/>
          </rPr>
          <t>Doruk Yarin Kiroglu:</t>
        </r>
        <r>
          <rPr>
            <sz val="9"/>
            <color indexed="81"/>
            <rFont val="Tahoma"/>
            <family val="2"/>
          </rPr>
          <t xml:space="preserve">
1798
http://ec.europa.eu/taxation_customs/resources/documents/taxation/vat/traders/vat_community/dec2007/vat_ec_mt_en.pdf</t>
        </r>
      </text>
    </comment>
    <comment ref="CS113" authorId="0" shapeId="0">
      <text>
        <r>
          <rPr>
            <b/>
            <sz val="9"/>
            <color indexed="81"/>
            <rFont val="Tahoma"/>
            <family val="2"/>
          </rPr>
          <t>Cem Dener:</t>
        </r>
        <r>
          <rPr>
            <sz val="9"/>
            <color indexed="81"/>
            <rFont val="Tahoma"/>
            <family val="2"/>
          </rPr>
          <t xml:space="preserve">
https://identitymalta.com/id-cards/</t>
        </r>
      </text>
    </comment>
    <comment ref="CU113" authorId="0" shapeId="0">
      <text>
        <r>
          <rPr>
            <b/>
            <sz val="9"/>
            <color indexed="81"/>
            <rFont val="Tahoma"/>
            <family val="2"/>
          </rPr>
          <t>Cem Dener:</t>
        </r>
        <r>
          <rPr>
            <sz val="9"/>
            <color indexed="81"/>
            <rFont val="Tahoma"/>
            <family val="2"/>
          </rPr>
          <t xml:space="preserve">
however a motion has been passed in parliament to lower the voting age for local council elections (starting from 2015) to 16</t>
        </r>
      </text>
    </comment>
    <comment ref="I114" authorId="0" shapeId="0">
      <text>
        <r>
          <rPr>
            <b/>
            <sz val="9"/>
            <color indexed="81"/>
            <rFont val="Tahoma"/>
            <family val="2"/>
          </rPr>
          <t>Cem Dener:</t>
        </r>
        <r>
          <rPr>
            <sz val="9"/>
            <color indexed="81"/>
            <rFont val="Tahoma"/>
            <family val="2"/>
          </rPr>
          <t xml:space="preserve">
Compact of Free Association (COFA) with USA</t>
        </r>
      </text>
    </comment>
    <comment ref="K114" authorId="0" shapeId="0">
      <text>
        <r>
          <rPr>
            <b/>
            <sz val="9"/>
            <color indexed="81"/>
            <rFont val="Tahoma"/>
            <family val="2"/>
          </rPr>
          <t>Cem Dener:</t>
        </r>
        <r>
          <rPr>
            <sz val="9"/>
            <color indexed="81"/>
            <rFont val="Tahoma"/>
            <family val="2"/>
          </rPr>
          <t xml:space="preserve">
https://familysearch.org/learn/wiki/en/Marshall_Islands</t>
        </r>
      </text>
    </comment>
    <comment ref="O114" authorId="0" shapeId="0">
      <text>
        <r>
          <rPr>
            <b/>
            <sz val="9"/>
            <color indexed="81"/>
            <rFont val="Tahoma"/>
            <family val="2"/>
          </rPr>
          <t>Cem Dener:</t>
        </r>
        <r>
          <rPr>
            <sz val="9"/>
            <color indexed="81"/>
            <rFont val="Tahoma"/>
            <family val="2"/>
          </rPr>
          <t xml:space="preserve">
http://www.rmi-op.net/#!__about/members-of-cabinet</t>
        </r>
      </text>
    </comment>
    <comment ref="AZ114" authorId="6" shapeId="0">
      <text>
        <r>
          <rPr>
            <b/>
            <sz val="9"/>
            <color indexed="81"/>
            <rFont val="Tahoma"/>
            <family val="2"/>
          </rPr>
          <t>Doruk Yarin Kiroglu:</t>
        </r>
        <r>
          <rPr>
            <sz val="9"/>
            <color indexed="81"/>
            <rFont val="Tahoma"/>
            <family val="2"/>
          </rPr>
          <t xml:space="preserve">
1990</t>
        </r>
      </text>
    </comment>
    <comment ref="HK114" authorId="6" shapeId="0">
      <text>
        <r>
          <rPr>
            <b/>
            <sz val="9"/>
            <color indexed="81"/>
            <rFont val="Tahoma"/>
            <family val="2"/>
          </rPr>
          <t>Doruk Yarin Kiroglu:</t>
        </r>
        <r>
          <rPr>
            <sz val="9"/>
            <color indexed="81"/>
            <rFont val="Tahoma"/>
            <family val="2"/>
          </rPr>
          <t xml:space="preserve">
No data protection law</t>
        </r>
      </text>
    </comment>
    <comment ref="H115" authorId="0" shapeId="0">
      <text>
        <r>
          <rPr>
            <b/>
            <sz val="9"/>
            <color indexed="81"/>
            <rFont val="Tahoma"/>
            <family val="2"/>
          </rPr>
          <t>Cem Dener:</t>
        </r>
        <r>
          <rPr>
            <sz val="9"/>
            <color indexed="81"/>
            <rFont val="Tahoma"/>
            <family val="2"/>
          </rPr>
          <t xml:space="preserve">
http://www.anrpts.mr
http://en.wikipedia.org/wiki/Human_rights_in_Mauritania#Birth_registration</t>
        </r>
      </text>
    </comment>
    <comment ref="K115" authorId="0" shapeId="0">
      <text>
        <r>
          <rPr>
            <b/>
            <sz val="9"/>
            <color indexed="81"/>
            <rFont val="Tahoma"/>
            <family val="2"/>
          </rPr>
          <t>Cem Dener:</t>
        </r>
        <r>
          <rPr>
            <sz val="9"/>
            <color indexed="81"/>
            <rFont val="Tahoma"/>
            <family val="2"/>
          </rPr>
          <t xml:space="preserve">
Initiated in 1933:
http://www.cdc.gov/nchs/data/isp/016_Methods_And_Problems_of_Civil_Registration_Practices_and_Vital_Stat_Collection_in_Africa.pdf</t>
        </r>
      </text>
    </comment>
    <comment ref="O115" authorId="0" shapeId="0">
      <text>
        <r>
          <rPr>
            <b/>
            <sz val="9"/>
            <color indexed="81"/>
            <rFont val="Tahoma"/>
            <family val="2"/>
          </rPr>
          <t>Cem Dener:</t>
        </r>
        <r>
          <rPr>
            <sz val="9"/>
            <color indexed="81"/>
            <rFont val="Tahoma"/>
            <family val="2"/>
          </rPr>
          <t xml:space="preserve">
http://www.anrpts.mr/index2.php?option=com_wrapper&amp;view=wrapper&amp;Itemid=120&amp;lang=fr</t>
        </r>
      </text>
    </comment>
    <comment ref="AF115" authorId="6" shapeId="0">
      <text>
        <r>
          <rPr>
            <b/>
            <sz val="9"/>
            <color indexed="81"/>
            <rFont val="Tahoma"/>
            <family val="2"/>
          </rPr>
          <t>Doruk Yarin Kiroglu:</t>
        </r>
        <r>
          <rPr>
            <sz val="9"/>
            <color indexed="81"/>
            <rFont val="Tahoma"/>
            <family val="2"/>
          </rPr>
          <t xml:space="preserve">
http://www.morpho.com/references/identite-125/mauritania-a-single-integrated-system</t>
        </r>
      </text>
    </comment>
    <comment ref="AU115" authorId="6" shapeId="0">
      <text>
        <r>
          <rPr>
            <b/>
            <sz val="9"/>
            <color indexed="81"/>
            <rFont val="Tahoma"/>
            <family val="2"/>
          </rPr>
          <t>Doruk Yarin Kiroglu:</t>
        </r>
        <r>
          <rPr>
            <sz val="9"/>
            <color indexed="81"/>
            <rFont val="Tahoma"/>
            <family val="2"/>
          </rPr>
          <t xml:space="preserve">
http://www.alakhbar.info/news/7048-2014-12-03-17-13-41.html</t>
        </r>
      </text>
    </comment>
    <comment ref="AZ115" authorId="2" shapeId="0">
      <text>
        <r>
          <rPr>
            <b/>
            <sz val="9"/>
            <color indexed="81"/>
            <rFont val="Tahoma"/>
            <family val="2"/>
          </rPr>
          <t>Huan Zhang:</t>
        </r>
        <r>
          <rPr>
            <sz val="9"/>
            <color indexed="81"/>
            <rFont val="Tahoma"/>
            <family val="2"/>
          </rPr>
          <t xml:space="preserve">
The system is not automated yet</t>
        </r>
      </text>
    </comment>
    <comment ref="HK115" authorId="6" shapeId="0">
      <text>
        <r>
          <rPr>
            <b/>
            <sz val="9"/>
            <color indexed="81"/>
            <rFont val="Tahoma"/>
            <family val="2"/>
          </rPr>
          <t>Doruk Yarin Kiroglu:</t>
        </r>
        <r>
          <rPr>
            <sz val="9"/>
            <color indexed="81"/>
            <rFont val="Tahoma"/>
            <family val="2"/>
          </rPr>
          <t xml:space="preserve">
No data protection law</t>
        </r>
      </text>
    </comment>
    <comment ref="K116" authorId="0" shapeId="0">
      <text>
        <r>
          <rPr>
            <b/>
            <sz val="9"/>
            <color indexed="81"/>
            <rFont val="Tahoma"/>
            <family val="2"/>
          </rPr>
          <t>Cem Dener:</t>
        </r>
        <r>
          <rPr>
            <sz val="9"/>
            <color indexed="81"/>
            <rFont val="Tahoma"/>
            <family val="2"/>
          </rPr>
          <t xml:space="preserve">
http://www.cdc.gov/nchs/data/isp/016_Methods_And_Problems_of_Civil_Registration_Practices_and_Vital_Stat_Collection_in_Africa.pdf</t>
        </r>
      </text>
    </comment>
    <comment ref="W116" authorId="4" shapeId="0">
      <text>
        <r>
          <rPr>
            <b/>
            <sz val="9"/>
            <color indexed="81"/>
            <rFont val="Tahoma"/>
            <family val="2"/>
          </rPr>
          <t>Yarın Kıroğlu:</t>
        </r>
        <r>
          <rPr>
            <sz val="9"/>
            <color indexed="81"/>
            <rFont val="Tahoma"/>
            <family val="2"/>
          </rPr>
          <t xml:space="preserve">
Free for first card, Rs. 100 for replacement
Rs. 50 for replacement for people over the age of 60</t>
        </r>
      </text>
    </comment>
    <comment ref="AD116" authorId="0" shapeId="0">
      <text>
        <r>
          <rPr>
            <b/>
            <sz val="9"/>
            <color indexed="81"/>
            <rFont val="Tahoma"/>
            <family val="2"/>
          </rPr>
          <t>Cem Dener:</t>
        </r>
        <r>
          <rPr>
            <sz val="9"/>
            <color indexed="81"/>
            <rFont val="Tahoma"/>
            <family val="2"/>
          </rPr>
          <t xml:space="preserve">
http://mfa.govmu.org/portal/sites/mfamission/washington/documents/nic.pdf
http://www.govmu.org/English/News/Pages/Media-Briefing-on-New-Identity-Card-.aspx
</t>
        </r>
      </text>
    </comment>
    <comment ref="AE116" authorId="0" shapeId="0">
      <text>
        <r>
          <rPr>
            <b/>
            <sz val="9"/>
            <color indexed="81"/>
            <rFont val="Tahoma"/>
            <family val="2"/>
          </rPr>
          <t>Cem Dener:</t>
        </r>
        <r>
          <rPr>
            <sz val="9"/>
            <color indexed="81"/>
            <rFont val="Tahoma"/>
            <family val="2"/>
          </rPr>
          <t xml:space="preserve">
Rollout completed in 2014</t>
        </r>
      </text>
    </comment>
    <comment ref="AK116" authorId="6" shapeId="0">
      <text>
        <r>
          <rPr>
            <b/>
            <sz val="9"/>
            <color indexed="81"/>
            <rFont val="Tahoma"/>
            <family val="2"/>
          </rPr>
          <t>Doruk Yarin Kiroglu:</t>
        </r>
        <r>
          <rPr>
            <sz val="9"/>
            <color indexed="81"/>
            <rFont val="Tahoma"/>
            <family val="2"/>
          </rPr>
          <t xml:space="preserve">
Government planning to replace all national ID's with new versions by the end of 2014</t>
        </r>
      </text>
    </comment>
    <comment ref="AL116" authorId="2" shapeId="0">
      <text>
        <r>
          <rPr>
            <b/>
            <sz val="9"/>
            <color indexed="81"/>
            <rFont val="Tahoma"/>
            <family val="2"/>
          </rPr>
          <t>Huan Zhang:</t>
        </r>
        <r>
          <rPr>
            <sz val="9"/>
            <color indexed="81"/>
            <rFont val="Tahoma"/>
            <family val="2"/>
          </rPr>
          <t xml:space="preserve">
CrimsonLogic (a Singapore company)</t>
        </r>
      </text>
    </comment>
    <comment ref="AM116" authorId="0" shapeId="0">
      <text>
        <r>
          <rPr>
            <b/>
            <sz val="9"/>
            <color indexed="81"/>
            <rFont val="Tahoma"/>
            <family val="2"/>
          </rPr>
          <t>Cem Dener:</t>
        </r>
        <r>
          <rPr>
            <sz val="9"/>
            <color indexed="81"/>
            <rFont val="Tahoma"/>
            <family val="2"/>
          </rPr>
          <t xml:space="preserve">
http://fr.africatime.com/articles/carte-didentite-biometrique-flou-autour-de-la-duree-de-retention-des-empreintes-digitales#
http://www.crimsonlogic.com/Documents/pdf/resourceLibrary/brochures/eGovernmentConsulting/MNIS_Case_Study.pdf
</t>
        </r>
      </text>
    </comment>
    <comment ref="AQ116" authorId="6" shapeId="0">
      <text>
        <r>
          <rPr>
            <b/>
            <sz val="9"/>
            <color indexed="81"/>
            <rFont val="Tahoma"/>
            <family val="2"/>
          </rPr>
          <t>Doruk Yarin Kiroglu:</t>
        </r>
        <r>
          <rPr>
            <sz val="9"/>
            <color indexed="81"/>
            <rFont val="Tahoma"/>
            <family val="2"/>
          </rPr>
          <t xml:space="preserve">
Government weblinks are not operational</t>
        </r>
      </text>
    </comment>
    <comment ref="AZ116" authorId="6" shapeId="0">
      <text>
        <r>
          <rPr>
            <b/>
            <sz val="9"/>
            <color indexed="81"/>
            <rFont val="Tahoma"/>
            <family val="2"/>
          </rPr>
          <t>Doruk Yarin Kiroglu:</t>
        </r>
        <r>
          <rPr>
            <sz val="9"/>
            <color indexed="81"/>
            <rFont val="Tahoma"/>
            <family val="2"/>
          </rPr>
          <t xml:space="preserve">
2006</t>
        </r>
      </text>
    </comment>
    <comment ref="CG116" authorId="0" shapeId="0">
      <text>
        <r>
          <rPr>
            <b/>
            <sz val="9"/>
            <color indexed="81"/>
            <rFont val="Tahoma"/>
            <family val="2"/>
          </rPr>
          <t>Cem Dener:</t>
        </r>
        <r>
          <rPr>
            <sz val="9"/>
            <color indexed="81"/>
            <rFont val="Tahoma"/>
            <family val="2"/>
          </rPr>
          <t xml:space="preserve">
No data.
Estimated BR rate</t>
        </r>
      </text>
    </comment>
    <comment ref="EJ116" authorId="0" shapeId="0">
      <text>
        <r>
          <rPr>
            <b/>
            <sz val="9"/>
            <color indexed="81"/>
            <rFont val="Tahoma"/>
            <family val="2"/>
          </rPr>
          <t>Cem Dener:</t>
        </r>
        <r>
          <rPr>
            <sz val="9"/>
            <color indexed="81"/>
            <rFont val="Tahoma"/>
            <family val="2"/>
          </rPr>
          <t xml:space="preserve">
Mauritius has a functioning CRVS system, the only one in AFR as of Sep 2014.</t>
        </r>
      </text>
    </comment>
    <comment ref="HQ116" authorId="6" shapeId="0">
      <text>
        <r>
          <rPr>
            <b/>
            <sz val="9"/>
            <color indexed="81"/>
            <rFont val="Tahoma"/>
            <family val="2"/>
          </rPr>
          <t>Doruk Yarin Kiroglu:</t>
        </r>
        <r>
          <rPr>
            <sz val="9"/>
            <color indexed="81"/>
            <rFont val="Tahoma"/>
            <family val="2"/>
          </rPr>
          <t xml:space="preserve">
No individual website</t>
        </r>
      </text>
    </comment>
    <comment ref="H117" authorId="0" shapeId="0">
      <text>
        <r>
          <rPr>
            <b/>
            <sz val="9"/>
            <color indexed="81"/>
            <rFont val="Tahoma"/>
            <family val="2"/>
          </rPr>
          <t>Cem Dener:</t>
        </r>
        <r>
          <rPr>
            <sz val="9"/>
            <color indexed="81"/>
            <rFont val="Tahoma"/>
            <family val="2"/>
          </rPr>
          <t xml:space="preserve">
http://www.coneval.gob.mx/mapas/index.jsp
http://www.inegi.org.mx/inegi/default.aspx</t>
        </r>
      </text>
    </comment>
    <comment ref="AK117" authorId="6" shapeId="0">
      <text>
        <r>
          <rPr>
            <b/>
            <sz val="9"/>
            <color indexed="81"/>
            <rFont val="Tahoma"/>
            <family val="2"/>
          </rPr>
          <t>Doruk Yarin Kiroglu:</t>
        </r>
        <r>
          <rPr>
            <sz val="9"/>
            <color indexed="81"/>
            <rFont val="Tahoma"/>
            <family val="2"/>
          </rPr>
          <t xml:space="preserve">
Planning to cover every citizen by 2014</t>
        </r>
      </text>
    </comment>
    <comment ref="AL117" authorId="2" shapeId="0">
      <text>
        <r>
          <rPr>
            <b/>
            <sz val="9"/>
            <color indexed="81"/>
            <rFont val="Tahoma"/>
            <family val="2"/>
          </rPr>
          <t>Huan Zhang:</t>
        </r>
        <r>
          <rPr>
            <sz val="9"/>
            <color indexed="81"/>
            <rFont val="Tahoma"/>
            <family val="2"/>
          </rPr>
          <t xml:space="preserve">
Unisys </t>
        </r>
      </text>
    </comment>
    <comment ref="CH117" authorId="0" shapeId="0">
      <text>
        <r>
          <rPr>
            <b/>
            <sz val="9"/>
            <color indexed="81"/>
            <rFont val="Tahoma"/>
            <family val="2"/>
          </rPr>
          <t>Cem Dener:</t>
        </r>
        <r>
          <rPr>
            <sz val="9"/>
            <color indexed="81"/>
            <rFont val="Tahoma"/>
            <family val="2"/>
          </rPr>
          <t xml:space="preserve">
No data.
Estimated BR rate</t>
        </r>
      </text>
    </comment>
    <comment ref="CI117" authorId="0" shapeId="0">
      <text>
        <r>
          <rPr>
            <b/>
            <sz val="9"/>
            <color indexed="81"/>
            <rFont val="Tahoma"/>
            <family val="2"/>
          </rPr>
          <t>Cem Dener:</t>
        </r>
        <r>
          <rPr>
            <sz val="9"/>
            <color indexed="81"/>
            <rFont val="Tahoma"/>
            <family val="2"/>
          </rPr>
          <t xml:space="preserve">
No data.
Estimated BR rate</t>
        </r>
      </text>
    </comment>
    <comment ref="CS117" authorId="0" shapeId="0">
      <text>
        <r>
          <rPr>
            <b/>
            <sz val="9"/>
            <color indexed="81"/>
            <rFont val="Tahoma"/>
            <family val="2"/>
          </rPr>
          <t>Cem Dener:</t>
        </r>
        <r>
          <rPr>
            <sz val="9"/>
            <color indexed="81"/>
            <rFont val="Tahoma"/>
            <family val="2"/>
          </rPr>
          <t xml:space="preserve">
http://www.ine.mx/archivos2/portal/credencial/
http://www.idea.int/vt/countryview.cfm?id=157 </t>
        </r>
      </text>
    </comment>
    <comment ref="FI117" authorId="0" shapeId="0">
      <text>
        <r>
          <rPr>
            <b/>
            <sz val="9"/>
            <color indexed="81"/>
            <rFont val="Tahoma"/>
            <family val="2"/>
          </rPr>
          <t>Cem Dener:</t>
        </r>
        <r>
          <rPr>
            <sz val="9"/>
            <color indexed="81"/>
            <rFont val="Tahoma"/>
            <family val="2"/>
          </rPr>
          <t xml:space="preserve">
Secretaria del Interior</t>
        </r>
      </text>
    </comment>
    <comment ref="C118" authorId="0" shapeId="0">
      <text>
        <r>
          <rPr>
            <b/>
            <sz val="9"/>
            <color indexed="81"/>
            <rFont val="Tahoma"/>
            <family val="2"/>
          </rPr>
          <t>Cem Dener:</t>
        </r>
        <r>
          <rPr>
            <sz val="9"/>
            <color indexed="81"/>
            <rFont val="Tahoma"/>
            <family val="2"/>
          </rPr>
          <t xml:space="preserve">
Federated States of Micronesia</t>
        </r>
      </text>
    </comment>
    <comment ref="H118" authorId="0" shapeId="0">
      <text>
        <r>
          <rPr>
            <b/>
            <sz val="9"/>
            <color indexed="81"/>
            <rFont val="Tahoma"/>
            <family val="2"/>
          </rPr>
          <t>Cem Dener:</t>
        </r>
        <r>
          <rPr>
            <sz val="9"/>
            <color indexed="81"/>
            <rFont val="Tahoma"/>
            <family val="2"/>
          </rPr>
          <t xml:space="preserve">
http://www.refworld.org/docid/517e6e3918.html</t>
        </r>
      </text>
    </comment>
    <comment ref="S118" authorId="0" shapeId="0">
      <text>
        <r>
          <rPr>
            <b/>
            <sz val="9"/>
            <color indexed="81"/>
            <rFont val="Tahoma"/>
            <family val="2"/>
          </rPr>
          <t>Cem Dener:</t>
        </r>
        <r>
          <rPr>
            <sz val="9"/>
            <color indexed="81"/>
            <rFont val="Tahoma"/>
            <family val="2"/>
          </rPr>
          <t xml:space="preserve">
Voter ID Card:
http://www.fsmgov.org/press/pr090409.htm</t>
        </r>
      </text>
    </comment>
    <comment ref="AZ118" authorId="6" shapeId="0">
      <text>
        <r>
          <rPr>
            <b/>
            <sz val="9"/>
            <color indexed="81"/>
            <rFont val="Tahoma"/>
            <family val="2"/>
          </rPr>
          <t>Doruk Yarin Kiroglu:</t>
        </r>
        <r>
          <rPr>
            <sz val="9"/>
            <color indexed="81"/>
            <rFont val="Tahoma"/>
            <family val="2"/>
          </rPr>
          <t xml:space="preserve">
1974</t>
        </r>
      </text>
    </comment>
    <comment ref="CG118" authorId="0" shapeId="0">
      <text>
        <r>
          <rPr>
            <b/>
            <sz val="9"/>
            <color indexed="81"/>
            <rFont val="Tahoma"/>
            <family val="2"/>
          </rPr>
          <t>Cem Dener:</t>
        </r>
        <r>
          <rPr>
            <sz val="9"/>
            <color indexed="81"/>
            <rFont val="Tahoma"/>
            <family val="2"/>
          </rPr>
          <t xml:space="preserve">
No data.
Estimated BR rate</t>
        </r>
      </text>
    </comment>
    <comment ref="CH118" authorId="0" shapeId="0">
      <text>
        <r>
          <rPr>
            <b/>
            <sz val="9"/>
            <color indexed="81"/>
            <rFont val="Tahoma"/>
            <family val="2"/>
          </rPr>
          <t>Cem Dener:</t>
        </r>
        <r>
          <rPr>
            <sz val="9"/>
            <color indexed="81"/>
            <rFont val="Tahoma"/>
            <family val="2"/>
          </rPr>
          <t xml:space="preserve">
No data.
Estimated BR rate</t>
        </r>
      </text>
    </comment>
    <comment ref="CI118" authorId="0" shapeId="0">
      <text>
        <r>
          <rPr>
            <b/>
            <sz val="9"/>
            <color indexed="81"/>
            <rFont val="Tahoma"/>
            <family val="2"/>
          </rPr>
          <t>Cem Dener:</t>
        </r>
        <r>
          <rPr>
            <sz val="9"/>
            <color indexed="81"/>
            <rFont val="Tahoma"/>
            <family val="2"/>
          </rPr>
          <t xml:space="preserve">
No data.
Estimated BR rate</t>
        </r>
      </text>
    </comment>
    <comment ref="CN118" authorId="0" shapeId="0">
      <text>
        <r>
          <rPr>
            <b/>
            <sz val="9"/>
            <color indexed="81"/>
            <rFont val="Tahoma"/>
            <family val="2"/>
          </rPr>
          <t>Cem Dener:</t>
        </r>
        <r>
          <rPr>
            <sz val="9"/>
            <color indexed="81"/>
            <rFont val="Tahoma"/>
            <family val="2"/>
          </rPr>
          <t xml:space="preserve">
Voting Age Population was used (Registered voter was greater than VAP)</t>
        </r>
      </text>
    </comment>
    <comment ref="HK118" authorId="6" shapeId="0">
      <text>
        <r>
          <rPr>
            <b/>
            <sz val="9"/>
            <color indexed="81"/>
            <rFont val="Tahoma"/>
            <family val="2"/>
          </rPr>
          <t>Doruk Yarin Kiroglu:</t>
        </r>
        <r>
          <rPr>
            <sz val="9"/>
            <color indexed="81"/>
            <rFont val="Tahoma"/>
            <family val="2"/>
          </rPr>
          <t xml:space="preserve">
No data protection law</t>
        </r>
      </text>
    </comment>
    <comment ref="C119" authorId="0" shapeId="0">
      <text>
        <r>
          <rPr>
            <b/>
            <sz val="9"/>
            <color indexed="81"/>
            <rFont val="Tahoma"/>
            <family val="2"/>
          </rPr>
          <t>Cem Dener:</t>
        </r>
        <r>
          <rPr>
            <sz val="9"/>
            <color indexed="81"/>
            <rFont val="Tahoma"/>
            <family val="2"/>
          </rPr>
          <t xml:space="preserve">
Republic of Moldova</t>
        </r>
      </text>
    </comment>
    <comment ref="I119" authorId="0" shapeId="0">
      <text>
        <r>
          <rPr>
            <b/>
            <sz val="9"/>
            <color indexed="81"/>
            <rFont val="Tahoma"/>
            <family val="2"/>
          </rPr>
          <t>Cem Dener:</t>
        </r>
        <r>
          <rPr>
            <sz val="9"/>
            <color indexed="81"/>
            <rFont val="Tahoma"/>
            <family val="2"/>
          </rPr>
          <t xml:space="preserve">
Personal Code (IDNP - Numarul de Identificare)</t>
        </r>
      </text>
    </comment>
    <comment ref="R119" authorId="0" shapeId="0">
      <text>
        <r>
          <rPr>
            <b/>
            <sz val="9"/>
            <color indexed="81"/>
            <rFont val="Tahoma"/>
            <family val="2"/>
          </rPr>
          <t>Cem Dener:</t>
        </r>
        <r>
          <rPr>
            <sz val="9"/>
            <color indexed="81"/>
            <rFont val="Tahoma"/>
            <family val="2"/>
          </rPr>
          <t xml:space="preserve">
New version: 2013</t>
        </r>
      </text>
    </comment>
    <comment ref="AL119" authorId="2" shapeId="0">
      <text>
        <r>
          <rPr>
            <b/>
            <sz val="9"/>
            <color indexed="81"/>
            <rFont val="Tahoma"/>
            <family val="2"/>
          </rPr>
          <t>Huan Zhang:</t>
        </r>
        <r>
          <rPr>
            <sz val="9"/>
            <color indexed="81"/>
            <rFont val="Tahoma"/>
            <family val="2"/>
          </rPr>
          <t xml:space="preserve">
Unknown</t>
        </r>
      </text>
    </comment>
    <comment ref="BC119" authorId="6" shapeId="0">
      <text>
        <r>
          <rPr>
            <b/>
            <sz val="9"/>
            <color indexed="81"/>
            <rFont val="Tahoma"/>
            <family val="2"/>
          </rPr>
          <t>Doruk Yarin Kiroglu:</t>
        </r>
        <r>
          <rPr>
            <sz val="9"/>
            <color indexed="81"/>
            <rFont val="Tahoma"/>
            <family val="2"/>
          </rPr>
          <t xml:space="preserve">
IDNO</t>
        </r>
      </text>
    </comment>
    <comment ref="CS119" authorId="0" shapeId="0">
      <text>
        <r>
          <rPr>
            <b/>
            <sz val="9"/>
            <color indexed="81"/>
            <rFont val="Tahoma"/>
            <family val="2"/>
          </rPr>
          <t>Cem Dener:</t>
        </r>
        <r>
          <rPr>
            <sz val="9"/>
            <color indexed="81"/>
            <rFont val="Tahoma"/>
            <family val="2"/>
          </rPr>
          <t xml:space="preserve">
http://www.electionguide.org/countries/id/142/</t>
        </r>
      </text>
    </comment>
    <comment ref="M120" authorId="0" shapeId="0">
      <text>
        <r>
          <rPr>
            <b/>
            <sz val="9"/>
            <color indexed="81"/>
            <rFont val="Tahoma"/>
            <family val="2"/>
          </rPr>
          <t>Cem Dener:</t>
        </r>
        <r>
          <rPr>
            <sz val="9"/>
            <color indexed="81"/>
            <rFont val="Tahoma"/>
            <family val="2"/>
          </rPr>
          <t xml:space="preserve">
Outside the municipality &gt; submit within 3 months</t>
        </r>
      </text>
    </comment>
    <comment ref="AM120" authorId="0" shapeId="0">
      <text>
        <r>
          <rPr>
            <b/>
            <sz val="9"/>
            <color indexed="81"/>
            <rFont val="Tahoma"/>
            <family val="2"/>
          </rPr>
          <t>Cem Dener:</t>
        </r>
        <r>
          <rPr>
            <sz val="9"/>
            <color indexed="81"/>
            <rFont val="Tahoma"/>
            <family val="2"/>
          </rPr>
          <t xml:space="preserve">
Oberthur Technologies</t>
        </r>
      </text>
    </comment>
    <comment ref="AZ120" authorId="6" shapeId="0">
      <text>
        <r>
          <rPr>
            <b/>
            <sz val="9"/>
            <color indexed="81"/>
            <rFont val="Tahoma"/>
            <family val="2"/>
          </rPr>
          <t>Doruk Yarin Kiroglu:</t>
        </r>
        <r>
          <rPr>
            <sz val="9"/>
            <color indexed="81"/>
            <rFont val="Tahoma"/>
            <family val="2"/>
          </rPr>
          <t xml:space="preserve">
1996</t>
        </r>
      </text>
    </comment>
    <comment ref="HQ120" authorId="6" shapeId="0">
      <text>
        <r>
          <rPr>
            <b/>
            <sz val="9"/>
            <color indexed="81"/>
            <rFont val="Tahoma"/>
            <family val="2"/>
          </rPr>
          <t>Doruk Yarin Kiroglu:</t>
        </r>
        <r>
          <rPr>
            <sz val="9"/>
            <color indexed="81"/>
            <rFont val="Tahoma"/>
            <family val="2"/>
          </rPr>
          <t xml:space="preserve">
No individual website</t>
        </r>
      </text>
    </comment>
    <comment ref="H121" authorId="0" shapeId="0">
      <text>
        <r>
          <rPr>
            <b/>
            <sz val="9"/>
            <color indexed="81"/>
            <rFont val="Tahoma"/>
            <family val="2"/>
          </rPr>
          <t>Cem Dener:</t>
        </r>
        <r>
          <rPr>
            <sz val="9"/>
            <color indexed="81"/>
            <rFont val="Tahoma"/>
            <family val="2"/>
          </rPr>
          <t xml:space="preserve">
https://burtgel.gov.mn/index.php?option=com_content&amp;view=article&amp;id=1271:2013-10-16-05-58-26&amp;catid=190:civilreg&amp;Itemid=411</t>
        </r>
      </text>
    </comment>
    <comment ref="K121" authorId="0" shapeId="0">
      <text>
        <r>
          <rPr>
            <b/>
            <sz val="9"/>
            <color indexed="81"/>
            <rFont val="Tahoma"/>
            <family val="2"/>
          </rPr>
          <t>Cem Dener:</t>
        </r>
        <r>
          <rPr>
            <sz val="9"/>
            <color indexed="81"/>
            <rFont val="Tahoma"/>
            <family val="2"/>
          </rPr>
          <t xml:space="preserve">
Integrated system since 2008</t>
        </r>
      </text>
    </comment>
    <comment ref="R121" authorId="0" shapeId="0">
      <text>
        <r>
          <rPr>
            <b/>
            <sz val="9"/>
            <color indexed="81"/>
            <rFont val="Tahoma"/>
            <family val="2"/>
          </rPr>
          <t>Cem Dener:</t>
        </r>
        <r>
          <rPr>
            <sz val="9"/>
            <color indexed="81"/>
            <rFont val="Tahoma"/>
            <family val="2"/>
          </rPr>
          <t xml:space="preserve">
Amended in 2009</t>
        </r>
      </text>
    </comment>
    <comment ref="AF121" authorId="6" shapeId="0">
      <text>
        <r>
          <rPr>
            <b/>
            <sz val="9"/>
            <color indexed="81"/>
            <rFont val="Tahoma"/>
            <family val="2"/>
          </rPr>
          <t>Doruk Yarin Kiroglu:</t>
        </r>
        <r>
          <rPr>
            <sz val="9"/>
            <color indexed="81"/>
            <rFont val="Tahoma"/>
            <family val="2"/>
          </rPr>
          <t xml:space="preserve">
https://silicontrust.wordpress.com/2013/01/03/gemalto-supplies-new-multi-application-monglian-eid-card/</t>
        </r>
      </text>
    </comment>
    <comment ref="AK121" authorId="6" shapeId="0">
      <text>
        <r>
          <rPr>
            <b/>
            <sz val="9"/>
            <color indexed="81"/>
            <rFont val="Tahoma"/>
            <family val="2"/>
          </rPr>
          <t>Doruk Yarin Kiroglu:</t>
        </r>
        <r>
          <rPr>
            <sz val="9"/>
            <color indexed="81"/>
            <rFont val="Tahoma"/>
            <family val="2"/>
          </rPr>
          <t xml:space="preserve">
Government estimates to print 48,000 cards per day which will be distributed for free</t>
        </r>
      </text>
    </comment>
    <comment ref="AM121" authorId="0" shapeId="0">
      <text>
        <r>
          <rPr>
            <b/>
            <sz val="9"/>
            <color indexed="81"/>
            <rFont val="Tahoma"/>
            <family val="2"/>
          </rPr>
          <t>Cem Dener:</t>
        </r>
        <r>
          <rPr>
            <sz val="9"/>
            <color indexed="81"/>
            <rFont val="Tahoma"/>
            <family val="2"/>
          </rPr>
          <t xml:space="preserve">
http://www.innovatrics.com/references/civil-identification
http://www.gemalto.com/brochures/download/gov_mongolia.pdf
</t>
        </r>
      </text>
    </comment>
    <comment ref="AY121" authorId="6" shapeId="0">
      <text>
        <r>
          <rPr>
            <b/>
            <sz val="9"/>
            <color indexed="81"/>
            <rFont val="Tahoma"/>
            <family val="2"/>
          </rPr>
          <t>Doruk Yarin Kiroglu:</t>
        </r>
        <r>
          <rPr>
            <sz val="9"/>
            <color indexed="81"/>
            <rFont val="Tahoma"/>
            <family val="2"/>
          </rPr>
          <t xml:space="preserve">
No online access to business registry</t>
        </r>
      </text>
    </comment>
    <comment ref="AZ121" authorId="6" shapeId="0">
      <text>
        <r>
          <rPr>
            <b/>
            <sz val="9"/>
            <color indexed="81"/>
            <rFont val="Tahoma"/>
            <family val="2"/>
          </rPr>
          <t>Doruk Yarin Kiroglu:</t>
        </r>
        <r>
          <rPr>
            <sz val="9"/>
            <color indexed="81"/>
            <rFont val="Tahoma"/>
            <family val="2"/>
          </rPr>
          <t xml:space="preserve">
1992</t>
        </r>
      </text>
    </comment>
    <comment ref="EB121" authorId="0" shapeId="0">
      <text>
        <r>
          <rPr>
            <b/>
            <sz val="9"/>
            <color indexed="81"/>
            <rFont val="Tahoma"/>
            <family val="2"/>
          </rPr>
          <t>Cem Dener:</t>
        </r>
        <r>
          <rPr>
            <sz val="9"/>
            <color indexed="81"/>
            <rFont val="Tahoma"/>
            <family val="2"/>
          </rPr>
          <t xml:space="preserve">
http://www.mn.undp.org/content/mongolia/en/home/countryinfo/</t>
        </r>
      </text>
    </comment>
    <comment ref="HK121" authorId="6" shapeId="0">
      <text>
        <r>
          <rPr>
            <b/>
            <sz val="9"/>
            <color indexed="81"/>
            <rFont val="Tahoma"/>
            <family val="2"/>
          </rPr>
          <t>Doruk Yarin Kiroglu:</t>
        </r>
        <r>
          <rPr>
            <sz val="9"/>
            <color indexed="81"/>
            <rFont val="Tahoma"/>
            <family val="2"/>
          </rPr>
          <t xml:space="preserve">
No data protection law</t>
        </r>
      </text>
    </comment>
    <comment ref="H122" authorId="0" shapeId="0">
      <text>
        <r>
          <rPr>
            <b/>
            <sz val="9"/>
            <color indexed="81"/>
            <rFont val="Tahoma"/>
            <family val="2"/>
          </rPr>
          <t>Cem Dener:</t>
        </r>
        <r>
          <rPr>
            <sz val="9"/>
            <color indexed="81"/>
            <rFont val="Tahoma"/>
            <family val="2"/>
          </rPr>
          <t xml:space="preserve">
http://eudo-citizenship.eu/NationalDB/docs/MON%20Montenegrin%20citizenship%20act%202008.pdf
http://www.bamf.de/SharedDocs/MILo-DB/EN/Rueckkehrfoerderung/Laenderinformationen/Informationsblaetter/cfs_montenegro-dl_en.pdf?__blob=publicationFile</t>
        </r>
      </text>
    </comment>
    <comment ref="AM122" authorId="0" shapeId="0">
      <text>
        <r>
          <rPr>
            <b/>
            <sz val="9"/>
            <color indexed="81"/>
            <rFont val="Tahoma"/>
            <family val="2"/>
          </rPr>
          <t>Cem Dener:</t>
        </r>
        <r>
          <rPr>
            <sz val="9"/>
            <color indexed="81"/>
            <rFont val="Tahoma"/>
            <family val="2"/>
          </rPr>
          <t xml:space="preserve">
http://silicontrust.wordpress.com/2011/04/06/montenegro-confirms-its-confidence-in-trub%E2%80%99s-polycarbonate-identity-documents/</t>
        </r>
      </text>
    </comment>
    <comment ref="AY122" authorId="6" shapeId="0">
      <text>
        <r>
          <rPr>
            <b/>
            <sz val="9"/>
            <color indexed="81"/>
            <rFont val="Tahoma"/>
            <family val="2"/>
          </rPr>
          <t>Doruk Yarin Kiroglu:</t>
        </r>
        <r>
          <rPr>
            <sz val="9"/>
            <color indexed="81"/>
            <rFont val="Tahoma"/>
            <family val="2"/>
          </rPr>
          <t xml:space="preserve">
http://pretraga.crps.me/</t>
        </r>
      </text>
    </comment>
    <comment ref="AZ122" authorId="6" shapeId="0">
      <text>
        <r>
          <rPr>
            <b/>
            <sz val="9"/>
            <color indexed="81"/>
            <rFont val="Tahoma"/>
            <family val="2"/>
          </rPr>
          <t>Doruk Yarin Kiroglu:</t>
        </r>
        <r>
          <rPr>
            <sz val="9"/>
            <color indexed="81"/>
            <rFont val="Tahoma"/>
            <family val="2"/>
          </rPr>
          <t xml:space="preserve">
1998
http://www.privrednakomora.me/istorijat</t>
        </r>
      </text>
    </comment>
    <comment ref="BC122" authorId="6" shapeId="0">
      <text>
        <r>
          <rPr>
            <b/>
            <sz val="9"/>
            <color indexed="81"/>
            <rFont val="Tahoma"/>
            <family val="2"/>
          </rPr>
          <t>Doruk Yarin Kiroglu:</t>
        </r>
        <r>
          <rPr>
            <sz val="9"/>
            <color indexed="81"/>
            <rFont val="Tahoma"/>
            <family val="2"/>
          </rPr>
          <t xml:space="preserve">
Article 18a</t>
        </r>
      </text>
    </comment>
    <comment ref="CN122" authorId="0" shapeId="0">
      <text>
        <r>
          <rPr>
            <b/>
            <sz val="9"/>
            <color indexed="81"/>
            <rFont val="Tahoma"/>
            <family val="2"/>
          </rPr>
          <t>Cem Dener:</t>
        </r>
        <r>
          <rPr>
            <sz val="9"/>
            <color indexed="81"/>
            <rFont val="Tahoma"/>
            <family val="2"/>
          </rPr>
          <t xml:space="preserve">
Voting Age Population was used (Registered voter was greater than VAP)</t>
        </r>
      </text>
    </comment>
    <comment ref="AG123" authorId="6" shapeId="0">
      <text>
        <r>
          <rPr>
            <b/>
            <sz val="9"/>
            <color indexed="81"/>
            <rFont val="Tahoma"/>
            <family val="2"/>
          </rPr>
          <t>Doruk Yarin Kiroglu:</t>
        </r>
        <r>
          <rPr>
            <sz val="9"/>
            <color indexed="81"/>
            <rFont val="Tahoma"/>
            <family val="2"/>
          </rPr>
          <t xml:space="preserve">
Also includes magstrip on the back of the card</t>
        </r>
      </text>
    </comment>
    <comment ref="AK123" authorId="6" shapeId="0">
      <text>
        <r>
          <rPr>
            <b/>
            <sz val="9"/>
            <color indexed="81"/>
            <rFont val="Tahoma"/>
            <family val="2"/>
          </rPr>
          <t>Doruk Yarin Kiroglu:</t>
        </r>
        <r>
          <rPr>
            <sz val="9"/>
            <color indexed="81"/>
            <rFont val="Tahoma"/>
            <family val="2"/>
          </rPr>
          <t xml:space="preserve">
Number of issued ID cards by 2009. Government planning to increase the number to 20,000 by 2014</t>
        </r>
      </text>
    </comment>
    <comment ref="BD123" authorId="6" shapeId="0">
      <text>
        <r>
          <rPr>
            <b/>
            <sz val="9"/>
            <color indexed="81"/>
            <rFont val="Tahoma"/>
            <family val="2"/>
          </rPr>
          <t>Doruk Yarin Kiroglu:</t>
        </r>
        <r>
          <rPr>
            <sz val="9"/>
            <color indexed="81"/>
            <rFont val="Tahoma"/>
            <family val="2"/>
          </rPr>
          <t xml:space="preserve">
Revised in 2004
http://www.droit-afrique.com/images/textes/Maroc/Maroc%20-%20Instruction%20droits%20enregistrement.pdf</t>
        </r>
      </text>
    </comment>
    <comment ref="HU123" authorId="6" shapeId="0">
      <text>
        <r>
          <rPr>
            <b/>
            <sz val="9"/>
            <color indexed="81"/>
            <rFont val="Tahoma"/>
            <family val="2"/>
          </rPr>
          <t>Doruk Yarin Kiroglu:</t>
        </r>
        <r>
          <rPr>
            <sz val="9"/>
            <color indexed="81"/>
            <rFont val="Tahoma"/>
            <family val="2"/>
          </rPr>
          <t xml:space="preserve">
Still under discussion
http://www.moroccoworldnews.com/2014/08/135792/moroccos-govt-approves-draft-law-on-right-of-access-to-information/</t>
        </r>
      </text>
    </comment>
    <comment ref="W124" authorId="4" shapeId="0">
      <text>
        <r>
          <rPr>
            <b/>
            <sz val="9"/>
            <color indexed="81"/>
            <rFont val="Tahoma"/>
            <family val="2"/>
          </rPr>
          <t>Yarın Kıroğlu:</t>
        </r>
        <r>
          <rPr>
            <sz val="9"/>
            <color indexed="81"/>
            <rFont val="Tahoma"/>
            <family val="2"/>
          </rPr>
          <t xml:space="preserve">
for minors 90 MT
for adults 180 MT</t>
        </r>
      </text>
    </comment>
    <comment ref="AM124" authorId="0" shapeId="0">
      <text>
        <r>
          <rPr>
            <b/>
            <sz val="9"/>
            <color indexed="81"/>
            <rFont val="Tahoma"/>
            <family val="2"/>
          </rPr>
          <t>Cem Dener:</t>
        </r>
        <r>
          <rPr>
            <sz val="9"/>
            <color indexed="81"/>
            <rFont val="Tahoma"/>
            <family val="2"/>
          </rPr>
          <t xml:space="preserve">
https://www.ist-africa.org/home/default.asp?page=doc-by-id&amp;docid=5563</t>
        </r>
      </text>
    </comment>
    <comment ref="AY124" authorId="6" shapeId="0">
      <text>
        <r>
          <rPr>
            <b/>
            <sz val="9"/>
            <color indexed="81"/>
            <rFont val="Tahoma"/>
            <family val="2"/>
          </rPr>
          <t>Doruk Yarin Kiroglu:</t>
        </r>
        <r>
          <rPr>
            <sz val="9"/>
            <color indexed="81"/>
            <rFont val="Tahoma"/>
            <family val="2"/>
          </rPr>
          <t xml:space="preserve">
No online services</t>
        </r>
      </text>
    </comment>
    <comment ref="HK124" authorId="6" shapeId="0">
      <text>
        <r>
          <rPr>
            <b/>
            <sz val="9"/>
            <color indexed="81"/>
            <rFont val="Tahoma"/>
            <family val="2"/>
          </rPr>
          <t>Doruk Yarin Kiroglu:</t>
        </r>
        <r>
          <rPr>
            <sz val="9"/>
            <color indexed="81"/>
            <rFont val="Tahoma"/>
            <family val="2"/>
          </rPr>
          <t xml:space="preserve">
No data protection law</t>
        </r>
      </text>
    </comment>
    <comment ref="HU124" authorId="6" shapeId="0">
      <text>
        <r>
          <rPr>
            <b/>
            <sz val="9"/>
            <color indexed="81"/>
            <rFont val="Tahoma"/>
            <family val="2"/>
          </rPr>
          <t>Doruk Yarin Kiroglu:</t>
        </r>
        <r>
          <rPr>
            <sz val="9"/>
            <color indexed="81"/>
            <rFont val="Tahoma"/>
            <family val="2"/>
          </rPr>
          <t xml:space="preserve">
Recently passed the legislation 
http://www.freedominfo.org/2015/01/mozambique-president-signs-foi-legislation-103rd-nation/</t>
        </r>
      </text>
    </comment>
    <comment ref="H125" authorId="0" shapeId="0">
      <text>
        <r>
          <rPr>
            <b/>
            <sz val="9"/>
            <color indexed="81"/>
            <rFont val="Tahoma"/>
            <family val="2"/>
          </rPr>
          <t>Cem Dener:</t>
        </r>
        <r>
          <rPr>
            <sz val="9"/>
            <color indexed="81"/>
            <rFont val="Tahoma"/>
            <family val="2"/>
          </rPr>
          <t xml:space="preserve">
http://news.xinhuanet.com/english/health/2014-07/29/c_133517619.htm
http://www.modins.net/myanmarinfo/ministry/population.htm
</t>
        </r>
      </text>
    </comment>
    <comment ref="O125" authorId="0" shapeId="0">
      <text>
        <r>
          <rPr>
            <b/>
            <sz val="9"/>
            <color indexed="81"/>
            <rFont val="Tahoma"/>
            <family val="2"/>
          </rPr>
          <t>Cem Dener:</t>
        </r>
        <r>
          <rPr>
            <sz val="9"/>
            <color indexed="81"/>
            <rFont val="Tahoma"/>
            <family val="2"/>
          </rPr>
          <t xml:space="preserve">
http://news.xinhuanet.com/english/health/2014-07/29/c_133517619.htm</t>
        </r>
      </text>
    </comment>
    <comment ref="S125" authorId="0" shapeId="0">
      <text>
        <r>
          <rPr>
            <b/>
            <sz val="9"/>
            <color indexed="81"/>
            <rFont val="Tahoma"/>
            <family val="2"/>
          </rPr>
          <t>Cem Dener:</t>
        </r>
        <r>
          <rPr>
            <sz val="9"/>
            <color indexed="81"/>
            <rFont val="Tahoma"/>
            <family val="2"/>
          </rPr>
          <t xml:space="preserve">
http://www.elevenmyanmar.com/index.php?option=com_content&amp;view=article&amp;id=5379:bill-committee-calls-for-legal-solution-to-temporary-identity-card-issue-in-rakhine&amp;catid=32:politics&amp;Itemid=354</t>
        </r>
      </text>
    </comment>
    <comment ref="AD125" authorId="0" shapeId="0">
      <text>
        <r>
          <rPr>
            <b/>
            <sz val="9"/>
            <color indexed="81"/>
            <rFont val="Tahoma"/>
            <family val="2"/>
          </rPr>
          <t>Cem Dener:</t>
        </r>
        <r>
          <rPr>
            <sz val="9"/>
            <color indexed="81"/>
            <rFont val="Tahoma"/>
            <family val="2"/>
          </rPr>
          <t xml:space="preserve">
http://www.irrawaddy.org/business/economy/smarter-national-id-cards-pipeline.html
http://karennews.org/2014/02/national-id-scheme-met-with-confusion-indifference-fear.html/</t>
        </r>
      </text>
    </comment>
    <comment ref="AZ125" authorId="6" shapeId="0">
      <text>
        <r>
          <rPr>
            <b/>
            <sz val="9"/>
            <color indexed="81"/>
            <rFont val="Tahoma"/>
            <family val="2"/>
          </rPr>
          <t>Doruk Yarin Kiroglu:</t>
        </r>
        <r>
          <rPr>
            <sz val="9"/>
            <color indexed="81"/>
            <rFont val="Tahoma"/>
            <family val="2"/>
          </rPr>
          <t xml:space="preserve">
1914</t>
        </r>
      </text>
    </comment>
    <comment ref="BC125" authorId="6" shapeId="0">
      <text>
        <r>
          <rPr>
            <b/>
            <sz val="9"/>
            <color indexed="81"/>
            <rFont val="Tahoma"/>
            <family val="2"/>
          </rPr>
          <t>Doruk Yarin Kiroglu:</t>
        </r>
        <r>
          <rPr>
            <sz val="9"/>
            <color indexed="81"/>
            <rFont val="Tahoma"/>
            <family val="2"/>
          </rPr>
          <t xml:space="preserve">
5.A Certificate of Incorporation</t>
        </r>
      </text>
    </comment>
    <comment ref="DY125" authorId="0" shapeId="0">
      <text>
        <r>
          <rPr>
            <b/>
            <sz val="9"/>
            <color indexed="81"/>
            <rFont val="Tahoma"/>
            <family val="2"/>
          </rPr>
          <t>Cem Dener:</t>
        </r>
        <r>
          <rPr>
            <sz val="9"/>
            <color indexed="81"/>
            <rFont val="Tahoma"/>
            <family val="2"/>
          </rPr>
          <t xml:space="preserve">
http://www.mm.undp.org/content/myanmar/en/home/presscenter/pressreleases/2014/07/2014-human-development-report-launched-in-myanmar.html</t>
        </r>
      </text>
    </comment>
    <comment ref="EB125" authorId="0" shapeId="0">
      <text>
        <r>
          <rPr>
            <b/>
            <sz val="9"/>
            <color indexed="81"/>
            <rFont val="Tahoma"/>
            <family val="2"/>
          </rPr>
          <t>Cem Dener:</t>
        </r>
        <r>
          <rPr>
            <sz val="9"/>
            <color indexed="81"/>
            <rFont val="Tahoma"/>
            <family val="2"/>
          </rPr>
          <t xml:space="preserve">
http://www.mm.undp.org/content/myanmar/en/home/presscenter/pressreleases/2014/07/2014-human-development-report-launched-in-myanmar.html</t>
        </r>
      </text>
    </comment>
    <comment ref="HK125" authorId="6" shapeId="0">
      <text>
        <r>
          <rPr>
            <b/>
            <sz val="9"/>
            <color indexed="81"/>
            <rFont val="Tahoma"/>
            <family val="2"/>
          </rPr>
          <t>Doruk Yarin Kiroglu:</t>
        </r>
        <r>
          <rPr>
            <sz val="9"/>
            <color indexed="81"/>
            <rFont val="Tahoma"/>
            <family val="2"/>
          </rPr>
          <t xml:space="preserve">
No data protection law</t>
        </r>
      </text>
    </comment>
    <comment ref="O126" authorId="0" shapeId="0">
      <text>
        <r>
          <rPr>
            <b/>
            <sz val="9"/>
            <color indexed="81"/>
            <rFont val="Tahoma"/>
            <family val="2"/>
          </rPr>
          <t>Cem Dener:</t>
        </r>
        <r>
          <rPr>
            <sz val="9"/>
            <color indexed="81"/>
            <rFont val="Tahoma"/>
            <family val="2"/>
          </rPr>
          <t xml:space="preserve">
http://unstats.un.org/unsd/demographic/CRVS/Technical%20report%20SADC%20final%20v2.pdf</t>
        </r>
      </text>
    </comment>
    <comment ref="W126" authorId="4" shapeId="0">
      <text>
        <r>
          <rPr>
            <b/>
            <sz val="9"/>
            <color indexed="81"/>
            <rFont val="Tahoma"/>
            <family val="2"/>
          </rPr>
          <t>Yarın Kıroğlu:</t>
        </r>
        <r>
          <rPr>
            <sz val="9"/>
            <color indexed="81"/>
            <rFont val="Tahoma"/>
            <family val="2"/>
          </rPr>
          <t xml:space="preserve">
Free for the first time,
N$50 for replacement</t>
        </r>
      </text>
    </comment>
    <comment ref="AM126" authorId="0" shapeId="0">
      <text>
        <r>
          <rPr>
            <b/>
            <sz val="9"/>
            <color indexed="81"/>
            <rFont val="Tahoma"/>
            <family val="2"/>
          </rPr>
          <t>Cem Dener:</t>
        </r>
        <r>
          <rPr>
            <sz val="9"/>
            <color indexed="81"/>
            <rFont val="Tahoma"/>
            <family val="2"/>
          </rPr>
          <t xml:space="preserve">
Voter eID Cards:
http://www.planetbiometrics.com/article-details/i/2450/</t>
        </r>
      </text>
    </comment>
    <comment ref="AU126" authorId="0" shapeId="0">
      <text>
        <r>
          <rPr>
            <b/>
            <sz val="9"/>
            <color indexed="81"/>
            <rFont val="Tahoma"/>
            <family val="2"/>
          </rPr>
          <t>Cem Dener:</t>
        </r>
        <r>
          <rPr>
            <sz val="9"/>
            <color indexed="81"/>
            <rFont val="Tahoma"/>
            <family val="2"/>
          </rPr>
          <t xml:space="preserve">
http://www.statewatch.org/news/2005/aug/mrtd-list-2004.pdf</t>
        </r>
      </text>
    </comment>
    <comment ref="AZ126" authorId="6" shapeId="0">
      <text>
        <r>
          <rPr>
            <b/>
            <sz val="9"/>
            <color indexed="81"/>
            <rFont val="Tahoma"/>
            <family val="2"/>
          </rPr>
          <t>Doruk Yarin Kiroglu:</t>
        </r>
        <r>
          <rPr>
            <sz val="9"/>
            <color indexed="81"/>
            <rFont val="Tahoma"/>
            <family val="2"/>
          </rPr>
          <t xml:space="preserve">
1990</t>
        </r>
      </text>
    </comment>
    <comment ref="CH126" authorId="0" shapeId="0">
      <text>
        <r>
          <rPr>
            <b/>
            <sz val="9"/>
            <color indexed="81"/>
            <rFont val="Tahoma"/>
            <family val="2"/>
          </rPr>
          <t>Cem Dener:</t>
        </r>
        <r>
          <rPr>
            <sz val="9"/>
            <color indexed="81"/>
            <rFont val="Tahoma"/>
            <family val="2"/>
          </rPr>
          <t xml:space="preserve">
No data.
Estimated BR rate</t>
        </r>
      </text>
    </comment>
    <comment ref="CI126" authorId="0" shapeId="0">
      <text>
        <r>
          <rPr>
            <b/>
            <sz val="9"/>
            <color indexed="81"/>
            <rFont val="Tahoma"/>
            <family val="2"/>
          </rPr>
          <t>Cem Dener:</t>
        </r>
        <r>
          <rPr>
            <sz val="9"/>
            <color indexed="81"/>
            <rFont val="Tahoma"/>
            <family val="2"/>
          </rPr>
          <t xml:space="preserve">
No data.
Estimated BR rate</t>
        </r>
      </text>
    </comment>
    <comment ref="CS126" authorId="0" shapeId="0">
      <text>
        <r>
          <rPr>
            <b/>
            <sz val="9"/>
            <color indexed="81"/>
            <rFont val="Tahoma"/>
            <family val="2"/>
          </rPr>
          <t>Cem Dener:</t>
        </r>
        <r>
          <rPr>
            <sz val="9"/>
            <color indexed="81"/>
            <rFont val="Tahoma"/>
            <family val="2"/>
          </rPr>
          <t xml:space="preserve">
http://www.idea.int/vt/countryview.cfm?id=160 </t>
        </r>
      </text>
    </comment>
    <comment ref="HK126" authorId="6" shapeId="0">
      <text>
        <r>
          <rPr>
            <b/>
            <sz val="9"/>
            <color indexed="81"/>
            <rFont val="Tahoma"/>
            <family val="2"/>
          </rPr>
          <t>Doruk Yarin Kiroglu:</t>
        </r>
        <r>
          <rPr>
            <sz val="9"/>
            <color indexed="81"/>
            <rFont val="Tahoma"/>
            <family val="2"/>
          </rPr>
          <t xml:space="preserve">
No data protection law</t>
        </r>
      </text>
    </comment>
    <comment ref="H127" authorId="0" shapeId="0">
      <text>
        <r>
          <rPr>
            <b/>
            <sz val="9"/>
            <color indexed="81"/>
            <rFont val="Tahoma"/>
            <family val="2"/>
          </rPr>
          <t>Cem Dener:</t>
        </r>
        <r>
          <rPr>
            <sz val="9"/>
            <color indexed="81"/>
            <rFont val="Tahoma"/>
            <family val="2"/>
          </rPr>
          <t xml:space="preserve">
http://www.promadis.com/go/news/nauru-selects-adelaide-software-house-to-supply-births-deaths-and-marriages-registry-software
http://www.everyculture.com/Ma-Ni/Nauru.html</t>
        </r>
      </text>
    </comment>
    <comment ref="AY127" authorId="2" shapeId="0">
      <text>
        <r>
          <rPr>
            <b/>
            <sz val="9"/>
            <color indexed="81"/>
            <rFont val="Tahoma"/>
            <family val="2"/>
          </rPr>
          <t>Huan Zhang:</t>
        </r>
        <r>
          <rPr>
            <sz val="9"/>
            <color indexed="81"/>
            <rFont val="Tahoma"/>
            <family val="2"/>
          </rPr>
          <t xml:space="preserve">
System is not automated yet, but there is a registrar of business under Justice Department. 
http://www.naurugov.nr/government/departments/department-of-justice-and-border-control/secretariat.aspx</t>
        </r>
      </text>
    </comment>
    <comment ref="HK127" authorId="6" shapeId="0">
      <text>
        <r>
          <rPr>
            <b/>
            <sz val="9"/>
            <color indexed="81"/>
            <rFont val="Tahoma"/>
            <family val="2"/>
          </rPr>
          <t>Doruk Yarin Kiroglu:</t>
        </r>
        <r>
          <rPr>
            <sz val="9"/>
            <color indexed="81"/>
            <rFont val="Tahoma"/>
            <family val="2"/>
          </rPr>
          <t xml:space="preserve">
No data protection law</t>
        </r>
      </text>
    </comment>
    <comment ref="N128" authorId="0" shapeId="0">
      <text>
        <r>
          <rPr>
            <b/>
            <sz val="9"/>
            <color indexed="81"/>
            <rFont val="Tahoma"/>
            <family val="2"/>
          </rPr>
          <t>Cem Dener:</t>
        </r>
        <r>
          <rPr>
            <sz val="9"/>
            <color indexed="81"/>
            <rFont val="Tahoma"/>
            <family val="2"/>
          </rPr>
          <t xml:space="preserve">
10 Cents</t>
        </r>
      </text>
    </comment>
    <comment ref="AE128" authorId="0" shapeId="0">
      <text>
        <r>
          <rPr>
            <b/>
            <sz val="9"/>
            <color indexed="81"/>
            <rFont val="Tahoma"/>
            <family val="2"/>
          </rPr>
          <t>Cem Dener:</t>
        </r>
        <r>
          <rPr>
            <sz val="9"/>
            <color indexed="81"/>
            <rFont val="Tahoma"/>
            <family val="2"/>
          </rPr>
          <t xml:space="preserve">
Initiated in 2011. Delays due to cancellation of the eID tender (financed by ADB) in 2014.</t>
        </r>
      </text>
    </comment>
    <comment ref="AK128" authorId="6" shapeId="0">
      <text>
        <r>
          <rPr>
            <b/>
            <sz val="9"/>
            <color indexed="81"/>
            <rFont val="Tahoma"/>
            <family val="2"/>
          </rPr>
          <t>Doruk Yarin Kiroglu:</t>
        </r>
        <r>
          <rPr>
            <sz val="9"/>
            <color indexed="81"/>
            <rFont val="Tahoma"/>
            <family val="2"/>
          </rPr>
          <t xml:space="preserve">
Planned distribution rate for 2014
http://www.ekantipur.com/the-kathmandu-post/2013/12/10/top-story/govt-cancels-tender-called-for-natl-id-card-project/256783.html</t>
        </r>
      </text>
    </comment>
    <comment ref="AM128" authorId="0" shapeId="0">
      <text>
        <r>
          <rPr>
            <b/>
            <sz val="9"/>
            <color indexed="81"/>
            <rFont val="Tahoma"/>
            <family val="2"/>
          </rPr>
          <t>Cem Dener:</t>
        </r>
        <r>
          <rPr>
            <sz val="9"/>
            <color indexed="81"/>
            <rFont val="Tahoma"/>
            <family val="2"/>
          </rPr>
          <t xml:space="preserve">
WB project (P144075) is being prepared to support NID
http://nidmc.gov.np/images/notice%20for%20rejection%20of%20bids.pdf</t>
        </r>
      </text>
    </comment>
    <comment ref="AY128" authorId="6" shapeId="0">
      <text>
        <r>
          <rPr>
            <b/>
            <sz val="9"/>
            <color indexed="81"/>
            <rFont val="Tahoma"/>
            <family val="2"/>
          </rPr>
          <t>Doruk Yarin Kiroglu:</t>
        </r>
        <r>
          <rPr>
            <sz val="9"/>
            <color indexed="81"/>
            <rFont val="Tahoma"/>
            <family val="2"/>
          </rPr>
          <t xml:space="preserve">
Registry search requires login</t>
        </r>
      </text>
    </comment>
    <comment ref="AZ128" authorId="6" shapeId="0">
      <text>
        <r>
          <rPr>
            <b/>
            <sz val="9"/>
            <color indexed="81"/>
            <rFont val="Tahoma"/>
            <family val="2"/>
          </rPr>
          <t>Doruk Yarin Kiroglu:</t>
        </r>
        <r>
          <rPr>
            <sz val="9"/>
            <color indexed="81"/>
            <rFont val="Tahoma"/>
            <family val="2"/>
          </rPr>
          <t xml:space="preserve">
1992</t>
        </r>
      </text>
    </comment>
    <comment ref="BC128" authorId="6" shapeId="0">
      <text>
        <r>
          <rPr>
            <b/>
            <sz val="9"/>
            <color indexed="81"/>
            <rFont val="Tahoma"/>
            <family val="2"/>
          </rPr>
          <t>Doruk Yarin Kiroglu:</t>
        </r>
        <r>
          <rPr>
            <sz val="9"/>
            <color indexed="81"/>
            <rFont val="Tahoma"/>
            <family val="2"/>
          </rPr>
          <t xml:space="preserve">
Registry uses a registration number for companies. No information on OCR website</t>
        </r>
      </text>
    </comment>
    <comment ref="CS128" authorId="0" shapeId="0">
      <text>
        <r>
          <rPr>
            <b/>
            <sz val="9"/>
            <color indexed="81"/>
            <rFont val="Tahoma"/>
            <family val="2"/>
          </rPr>
          <t>Cem Dener:</t>
        </r>
        <r>
          <rPr>
            <sz val="9"/>
            <color indexed="81"/>
            <rFont val="Tahoma"/>
            <family val="2"/>
          </rPr>
          <t xml:space="preserve">
http://www.electionguide.org/countries/id/151/</t>
        </r>
      </text>
    </comment>
    <comment ref="I129" authorId="0" shapeId="0">
      <text>
        <r>
          <rPr>
            <b/>
            <sz val="9"/>
            <color indexed="81"/>
            <rFont val="Tahoma"/>
            <family val="2"/>
          </rPr>
          <t>Cem Dener:</t>
        </r>
        <r>
          <rPr>
            <sz val="9"/>
            <color indexed="81"/>
            <rFont val="Tahoma"/>
            <family val="2"/>
          </rPr>
          <t xml:space="preserve">
Citizen Service Number (BSN) &gt; Municipal Personal Records Database</t>
        </r>
      </text>
    </comment>
    <comment ref="W129" authorId="0" shapeId="0">
      <text>
        <r>
          <rPr>
            <b/>
            <sz val="9"/>
            <color indexed="81"/>
            <rFont val="Tahoma"/>
            <family val="2"/>
          </rPr>
          <t>Cem Dener:</t>
        </r>
        <r>
          <rPr>
            <sz val="9"/>
            <color indexed="81"/>
            <rFont val="Tahoma"/>
            <family val="2"/>
          </rPr>
          <t xml:space="preserve">
€31.85 (applicants aged 13 or younger[35]) / €41.90 (applicants aged 14 or older[35]) / €69.30 (applicants aged 13 or younger abroad[36]) / €79.25 (applicants aged 14 or older abroad[36])</t>
        </r>
      </text>
    </comment>
    <comment ref="AJ129" authorId="6" shapeId="0">
      <text>
        <r>
          <rPr>
            <b/>
            <sz val="9"/>
            <color indexed="81"/>
            <rFont val="Tahoma"/>
            <family val="2"/>
          </rPr>
          <t>Doruk Yarin Kiroglu:</t>
        </r>
        <r>
          <rPr>
            <sz val="9"/>
            <color indexed="81"/>
            <rFont val="Tahoma"/>
            <family val="2"/>
          </rPr>
          <t xml:space="preserve">
https://www.digid.nl/en/about-digid/</t>
        </r>
      </text>
    </comment>
    <comment ref="AM129" authorId="0" shapeId="0">
      <text>
        <r>
          <rPr>
            <b/>
            <sz val="9"/>
            <color indexed="81"/>
            <rFont val="Tahoma"/>
            <family val="2"/>
          </rPr>
          <t>Cem Dener:</t>
        </r>
        <r>
          <rPr>
            <sz val="9"/>
            <color indexed="81"/>
            <rFont val="Tahoma"/>
            <family val="2"/>
          </rPr>
          <t xml:space="preserve">
http://www.icao.int/Security/mrtd/2011qatar/Documents/15_Morpho.pdf</t>
        </r>
      </text>
    </comment>
    <comment ref="AX129" authorId="6" shapeId="0">
      <text>
        <r>
          <rPr>
            <b/>
            <sz val="9"/>
            <color indexed="81"/>
            <rFont val="Tahoma"/>
            <family val="2"/>
          </rPr>
          <t>Doruk Yarin Kiroglu:</t>
        </r>
        <r>
          <rPr>
            <sz val="9"/>
            <color indexed="81"/>
            <rFont val="Tahoma"/>
            <family val="2"/>
          </rPr>
          <t xml:space="preserve">
e-ID can be used to travel to EU countries</t>
        </r>
      </text>
    </comment>
    <comment ref="AZ129" authorId="6" shapeId="0">
      <text>
        <r>
          <rPr>
            <b/>
            <sz val="9"/>
            <color indexed="81"/>
            <rFont val="Tahoma"/>
            <family val="2"/>
          </rPr>
          <t>Doruk Yarin Kiroglu:</t>
        </r>
        <r>
          <rPr>
            <sz val="9"/>
            <color indexed="81"/>
            <rFont val="Tahoma"/>
            <family val="2"/>
          </rPr>
          <t xml:space="preserve">
Latest update on the system. Registry start date information is unavailable online.</t>
        </r>
      </text>
    </comment>
    <comment ref="BC129" authorId="6" shapeId="0">
      <text>
        <r>
          <rPr>
            <b/>
            <sz val="9"/>
            <color indexed="81"/>
            <rFont val="Tahoma"/>
            <family val="2"/>
          </rPr>
          <t>Doruk Yarin Kiroglu:</t>
        </r>
        <r>
          <rPr>
            <sz val="9"/>
            <color indexed="81"/>
            <rFont val="Tahoma"/>
            <family val="2"/>
          </rPr>
          <t xml:space="preserve">
Proof of authority, pg 164</t>
        </r>
      </text>
    </comment>
    <comment ref="BD129" authorId="6" shapeId="0">
      <text>
        <r>
          <rPr>
            <b/>
            <sz val="9"/>
            <color indexed="81"/>
            <rFont val="Tahoma"/>
            <family val="2"/>
          </rPr>
          <t>Doruk Yarin Kiroglu:</t>
        </r>
        <r>
          <rPr>
            <sz val="9"/>
            <color indexed="81"/>
            <rFont val="Tahoma"/>
            <family val="2"/>
          </rPr>
          <t xml:space="preserve">
Registration revised in 2007
http://www.wetboek-online.nl/wet/Hrw.html</t>
        </r>
      </text>
    </comment>
    <comment ref="CS129" authorId="0" shapeId="0">
      <text>
        <r>
          <rPr>
            <b/>
            <sz val="9"/>
            <color indexed="81"/>
            <rFont val="Tahoma"/>
            <family val="2"/>
          </rPr>
          <t>Cem Dener:</t>
        </r>
        <r>
          <rPr>
            <sz val="9"/>
            <color indexed="81"/>
            <rFont val="Tahoma"/>
            <family val="2"/>
          </rPr>
          <t xml:space="preserve">
http://www.idea.int/vt/countryview.cfm?id=164</t>
        </r>
      </text>
    </comment>
    <comment ref="AZ130" authorId="6" shapeId="0">
      <text>
        <r>
          <rPr>
            <b/>
            <sz val="9"/>
            <color indexed="81"/>
            <rFont val="Tahoma"/>
            <family val="2"/>
          </rPr>
          <t>Doruk Yarin Kiroglu:</t>
        </r>
        <r>
          <rPr>
            <sz val="9"/>
            <color indexed="81"/>
            <rFont val="Tahoma"/>
            <family val="2"/>
          </rPr>
          <t xml:space="preserve">
1993</t>
        </r>
      </text>
    </comment>
    <comment ref="H131" authorId="0" shapeId="0">
      <text>
        <r>
          <rPr>
            <b/>
            <sz val="9"/>
            <color indexed="81"/>
            <rFont val="Tahoma"/>
            <family val="2"/>
          </rPr>
          <t>Cem Dener:</t>
        </r>
        <r>
          <rPr>
            <sz val="9"/>
            <color indexed="81"/>
            <rFont val="Tahoma"/>
            <family val="2"/>
          </rPr>
          <t xml:space="preserve">
http://www.managua.gob.ni/index.php?s=3005&amp;cri=9
http://www.inide.gob.ni/index.htm</t>
        </r>
      </text>
    </comment>
    <comment ref="AQ131" authorId="6" shapeId="0">
      <text>
        <r>
          <rPr>
            <b/>
            <sz val="9"/>
            <color indexed="81"/>
            <rFont val="Tahoma"/>
            <family val="2"/>
          </rPr>
          <t>Doruk Yarin Kiroglu:</t>
        </r>
        <r>
          <rPr>
            <sz val="9"/>
            <color indexed="81"/>
            <rFont val="Tahoma"/>
            <family val="2"/>
          </rPr>
          <t xml:space="preserve">
Passport act, 2011
http://legislacion.asamblea.gob.ni/Normaweb.nsf/fb812bd5a06244ba062568a30051ce81/5c50ce4ad5bcb20406257905006c3242?OpenDocument</t>
        </r>
      </text>
    </comment>
    <comment ref="BC131" authorId="6" shapeId="0">
      <text>
        <r>
          <rPr>
            <b/>
            <sz val="9"/>
            <color indexed="81"/>
            <rFont val="Tahoma"/>
            <family val="2"/>
          </rPr>
          <t>Doruk Yarin Kiroglu:</t>
        </r>
        <r>
          <rPr>
            <sz val="9"/>
            <color indexed="81"/>
            <rFont val="Tahoma"/>
            <family val="2"/>
          </rPr>
          <t xml:space="preserve">
RUC</t>
        </r>
      </text>
    </comment>
    <comment ref="BD131" authorId="6" shapeId="0">
      <text>
        <r>
          <rPr>
            <b/>
            <sz val="9"/>
            <color indexed="81"/>
            <rFont val="Tahoma"/>
            <family val="2"/>
          </rPr>
          <t>Doruk Yarin Kiroglu:</t>
        </r>
        <r>
          <rPr>
            <sz val="9"/>
            <color indexed="81"/>
            <rFont val="Tahoma"/>
            <family val="2"/>
          </rPr>
          <t xml:space="preserve">
http://www.tramitesnicaragua.gob.ni/media/reglamento%20del%20ruc.pdf</t>
        </r>
      </text>
    </comment>
    <comment ref="CH131" authorId="0" shapeId="0">
      <text>
        <r>
          <rPr>
            <b/>
            <sz val="9"/>
            <color indexed="81"/>
            <rFont val="Tahoma"/>
            <family val="2"/>
          </rPr>
          <t>Cem Dener:</t>
        </r>
        <r>
          <rPr>
            <sz val="9"/>
            <color indexed="81"/>
            <rFont val="Tahoma"/>
            <family val="2"/>
          </rPr>
          <t xml:space="preserve">
No data.
Estimated BR rate</t>
        </r>
      </text>
    </comment>
    <comment ref="CI131" authorId="0" shapeId="0">
      <text>
        <r>
          <rPr>
            <b/>
            <sz val="9"/>
            <color indexed="81"/>
            <rFont val="Tahoma"/>
            <family val="2"/>
          </rPr>
          <t>Cem Dener:</t>
        </r>
        <r>
          <rPr>
            <sz val="9"/>
            <color indexed="81"/>
            <rFont val="Tahoma"/>
            <family val="2"/>
          </rPr>
          <t xml:space="preserve">
No data.
Estimated BR rate</t>
        </r>
      </text>
    </comment>
    <comment ref="FC131" authorId="0" shapeId="0">
      <text>
        <r>
          <rPr>
            <b/>
            <sz val="9"/>
            <color indexed="81"/>
            <rFont val="Tahoma"/>
            <family val="2"/>
          </rPr>
          <t>Cem Dener:</t>
        </r>
        <r>
          <rPr>
            <sz val="9"/>
            <color indexed="81"/>
            <rFont val="Tahoma"/>
            <family val="2"/>
          </rPr>
          <t xml:space="preserve">
27.4% extreme poverty</t>
        </r>
      </text>
    </comment>
    <comment ref="HQ131" authorId="6" shapeId="0">
      <text>
        <r>
          <rPr>
            <b/>
            <sz val="9"/>
            <color indexed="81"/>
            <rFont val="Tahoma"/>
            <family val="2"/>
          </rPr>
          <t>Doruk Yarin Kiroglu:</t>
        </r>
        <r>
          <rPr>
            <sz val="9"/>
            <color indexed="81"/>
            <rFont val="Tahoma"/>
            <family val="2"/>
          </rPr>
          <t xml:space="preserve">
No individual website</t>
        </r>
      </text>
    </comment>
    <comment ref="H132" authorId="0" shapeId="0">
      <text>
        <r>
          <rPr>
            <b/>
            <sz val="9"/>
            <color indexed="81"/>
            <rFont val="Tahoma"/>
            <family val="2"/>
          </rPr>
          <t>Cem Dener:</t>
        </r>
        <r>
          <rPr>
            <sz val="9"/>
            <color indexed="81"/>
            <rFont val="Tahoma"/>
            <family val="2"/>
          </rPr>
          <t xml:space="preserve">
http://www.unicef.org/infobycountry/niger_71507.html</t>
        </r>
      </text>
    </comment>
    <comment ref="K132" authorId="0" shapeId="0">
      <text>
        <r>
          <rPr>
            <b/>
            <sz val="9"/>
            <color indexed="81"/>
            <rFont val="Tahoma"/>
            <family val="2"/>
          </rPr>
          <t>Cem Dener:</t>
        </r>
        <r>
          <rPr>
            <sz val="9"/>
            <color indexed="81"/>
            <rFont val="Tahoma"/>
            <family val="2"/>
          </rPr>
          <t xml:space="preserve">
Initiated in 1933:
http://www.cdc.gov/nchs/data/isp/016_Methods_And_Problems_of_Civil_Registration_Practices_and_Vital_Stat_Collection_in_Africa.pdf</t>
        </r>
      </text>
    </comment>
    <comment ref="N132" authorId="0" shapeId="0">
      <text>
        <r>
          <rPr>
            <b/>
            <sz val="9"/>
            <color indexed="81"/>
            <rFont val="Tahoma"/>
            <family val="2"/>
          </rPr>
          <t>Cem Dener:</t>
        </r>
        <r>
          <rPr>
            <sz val="9"/>
            <color indexed="81"/>
            <rFont val="Tahoma"/>
            <family val="2"/>
          </rPr>
          <t xml:space="preserve">
Late registration fee:
 1000 – 10,000 CFA
(US$ 2.50 – 25.00)</t>
        </r>
      </text>
    </comment>
    <comment ref="O132" authorId="0" shapeId="0">
      <text>
        <r>
          <rPr>
            <b/>
            <sz val="9"/>
            <color indexed="81"/>
            <rFont val="Tahoma"/>
            <family val="2"/>
          </rPr>
          <t>Cem Dener:</t>
        </r>
        <r>
          <rPr>
            <sz val="9"/>
            <color indexed="81"/>
            <rFont val="Tahoma"/>
            <family val="2"/>
          </rPr>
          <t xml:space="preserve">
http://www.refworld.org/docid/3ae6ad5624.html
http://reliefweb.int/sites/reliefweb.int/files/resources/Appel%20%C3%A0%20proposition%20Etude%20Etat%20civil%20Niger.pdf</t>
        </r>
      </text>
    </comment>
    <comment ref="S132" authorId="0" shapeId="0">
      <text>
        <r>
          <rPr>
            <b/>
            <sz val="9"/>
            <color indexed="81"/>
            <rFont val="Tahoma"/>
            <family val="2"/>
          </rPr>
          <t>Cem Dener:</t>
        </r>
        <r>
          <rPr>
            <sz val="9"/>
            <color indexed="81"/>
            <rFont val="Tahoma"/>
            <family val="2"/>
          </rPr>
          <t xml:space="preserve">
Issued as a ID Paper </t>
        </r>
      </text>
    </comment>
    <comment ref="AM132" authorId="0" shapeId="0">
      <text>
        <r>
          <rPr>
            <b/>
            <sz val="9"/>
            <color indexed="81"/>
            <rFont val="Tahoma"/>
            <family val="2"/>
          </rPr>
          <t>Cem Dener:</t>
        </r>
        <r>
          <rPr>
            <sz val="9"/>
            <color indexed="81"/>
            <rFont val="Tahoma"/>
            <family val="2"/>
          </rPr>
          <t xml:space="preserve">
ECOWAS Card planned:
http://news.ecowas.int/presseshow.php?nb=240&amp;lang=en&amp;annee=2014
Biometric Voter ID planned:
http://www.tamtaminfo.com/a-la-presidence-de-la-republique-le-chef-de-letat-signe-un-decret-portant-nomination-des-membres-du-comite-national-charge-du-fichier-electoral-biometrique-cfeb/</t>
        </r>
      </text>
    </comment>
    <comment ref="AY132" authorId="6" shapeId="0">
      <text>
        <r>
          <rPr>
            <b/>
            <sz val="9"/>
            <color indexed="81"/>
            <rFont val="Tahoma"/>
            <family val="2"/>
          </rPr>
          <t>Doruk Yarin Kiroglu:</t>
        </r>
        <r>
          <rPr>
            <sz val="9"/>
            <color indexed="81"/>
            <rFont val="Tahoma"/>
            <family val="2"/>
          </rPr>
          <t xml:space="preserve">
Registry search available</t>
        </r>
      </text>
    </comment>
    <comment ref="BC132" authorId="6" shapeId="0">
      <text>
        <r>
          <rPr>
            <b/>
            <sz val="9"/>
            <color indexed="81"/>
            <rFont val="Tahoma"/>
            <family val="2"/>
          </rPr>
          <t>Doruk Yarin Kiroglu:</t>
        </r>
        <r>
          <rPr>
            <sz val="9"/>
            <color indexed="81"/>
            <rFont val="Tahoma"/>
            <family val="2"/>
          </rPr>
          <t xml:space="preserve">
NIF</t>
        </r>
      </text>
    </comment>
    <comment ref="K133" authorId="0" shapeId="0">
      <text>
        <r>
          <rPr>
            <b/>
            <sz val="9"/>
            <color indexed="81"/>
            <rFont val="Tahoma"/>
            <family val="2"/>
          </rPr>
          <t>Cem Dener:</t>
        </r>
        <r>
          <rPr>
            <sz val="9"/>
            <color indexed="81"/>
            <rFont val="Tahoma"/>
            <family val="2"/>
          </rPr>
          <t xml:space="preserve">
Initiated in 1867:
http://www.cdc.gov/nchs/data/isp/016_Methods_And_Problems_of_Civil_Registration_Practices_and_Vital_Stat_Collection_in_Africa.pdf
http://www.population.gov.ng/images/Report%20on%20Birth-Death-Stillbirth-Registration.pdf</t>
        </r>
      </text>
    </comment>
    <comment ref="AD133" authorId="0" shapeId="0">
      <text>
        <r>
          <rPr>
            <b/>
            <sz val="9"/>
            <color indexed="81"/>
            <rFont val="Tahoma"/>
            <family val="2"/>
          </rPr>
          <t>Cem Dener:</t>
        </r>
        <r>
          <rPr>
            <sz val="9"/>
            <color indexed="81"/>
            <rFont val="Tahoma"/>
            <family val="2"/>
          </rPr>
          <t xml:space="preserve">
https://www.nimc.gov.ng/sites/default/files/value_proposition_cashless_economy.pdf</t>
        </r>
      </text>
    </comment>
    <comment ref="AE133" authorId="0" shapeId="0">
      <text>
        <r>
          <rPr>
            <b/>
            <sz val="9"/>
            <color indexed="81"/>
            <rFont val="Tahoma"/>
            <family val="2"/>
          </rPr>
          <t>Cem Dener:</t>
        </r>
        <r>
          <rPr>
            <sz val="9"/>
            <color indexed="81"/>
            <rFont val="Tahoma"/>
            <family val="2"/>
          </rPr>
          <t xml:space="preserve">
Rollout initiated in 
August 2014</t>
        </r>
      </text>
    </comment>
    <comment ref="AG133" authorId="6" shapeId="0">
      <text>
        <r>
          <rPr>
            <b/>
            <sz val="9"/>
            <color indexed="81"/>
            <rFont val="Tahoma"/>
            <family val="2"/>
          </rPr>
          <t>Doruk Yarin Kiroglu:</t>
        </r>
        <r>
          <rPr>
            <sz val="9"/>
            <color indexed="81"/>
            <rFont val="Tahoma"/>
            <family val="2"/>
          </rPr>
          <t xml:space="preserve">
Also includes magstrip on the back</t>
        </r>
      </text>
    </comment>
    <comment ref="AK133" authorId="6" shapeId="0">
      <text>
        <r>
          <rPr>
            <b/>
            <sz val="9"/>
            <color indexed="81"/>
            <rFont val="Tahoma"/>
            <family val="2"/>
          </rPr>
          <t>Doruk Yarin Kiroglu:</t>
        </r>
        <r>
          <rPr>
            <sz val="9"/>
            <color indexed="81"/>
            <rFont val="Tahoma"/>
            <family val="2"/>
          </rPr>
          <t xml:space="preserve">
Project planned to cover every citizen by 2019
http://www.bbc.com/news/world-africa-28970411</t>
        </r>
      </text>
    </comment>
    <comment ref="AL133" authorId="2" shapeId="0">
      <text>
        <r>
          <rPr>
            <b/>
            <sz val="9"/>
            <color indexed="81"/>
            <rFont val="Tahoma"/>
            <family val="2"/>
          </rPr>
          <t>Huan Zhang:</t>
        </r>
        <r>
          <rPr>
            <sz val="9"/>
            <color indexed="81"/>
            <rFont val="Tahoma"/>
            <family val="2"/>
          </rPr>
          <t xml:space="preserve">
Mastercard</t>
        </r>
      </text>
    </comment>
    <comment ref="AM133" authorId="0" shapeId="0">
      <text>
        <r>
          <rPr>
            <b/>
            <sz val="9"/>
            <color indexed="81"/>
            <rFont val="Tahoma"/>
            <family val="2"/>
          </rPr>
          <t>Cem Dener:</t>
        </r>
        <r>
          <rPr>
            <sz val="9"/>
            <color indexed="81"/>
            <rFont val="Tahoma"/>
            <family val="2"/>
          </rPr>
          <t xml:space="preserve">
http://www.worldbank.org/content/dam/Worldbank/Event/social-protection/Building_Robust_Identification_Systems_Session_Packet.pdf http://arstechnica.com/business/2014/09/mastercard-backed-biometric-id-system-launched-in-nigeria/ 
</t>
        </r>
      </text>
    </comment>
    <comment ref="BC133" authorId="6" shapeId="0">
      <text>
        <r>
          <rPr>
            <b/>
            <sz val="9"/>
            <color indexed="81"/>
            <rFont val="Tahoma"/>
            <family val="2"/>
          </rPr>
          <t>Doruk Yarin Kiroglu:</t>
        </r>
        <r>
          <rPr>
            <sz val="9"/>
            <color indexed="81"/>
            <rFont val="Tahoma"/>
            <family val="2"/>
          </rPr>
          <t xml:space="preserve">
Taxpayer Identification Number</t>
        </r>
      </text>
    </comment>
    <comment ref="HQ133" authorId="6" shapeId="0">
      <text>
        <r>
          <rPr>
            <b/>
            <sz val="9"/>
            <color indexed="81"/>
            <rFont val="Tahoma"/>
            <family val="2"/>
          </rPr>
          <t>Doruk Yarin Kiroglu:</t>
        </r>
        <r>
          <rPr>
            <sz val="9"/>
            <color indexed="81"/>
            <rFont val="Tahoma"/>
            <family val="2"/>
          </rPr>
          <t xml:space="preserve">
Operates under Ministry of Information. No individual website</t>
        </r>
      </text>
    </comment>
    <comment ref="K134" authorId="0" shapeId="0">
      <text>
        <r>
          <rPr>
            <b/>
            <sz val="9"/>
            <color indexed="81"/>
            <rFont val="Tahoma"/>
            <family val="2"/>
          </rPr>
          <t>Cem Dener:</t>
        </r>
        <r>
          <rPr>
            <sz val="9"/>
            <color indexed="81"/>
            <rFont val="Tahoma"/>
            <family val="2"/>
          </rPr>
          <t xml:space="preserve">
1964: Computerized Population Register introduced</t>
        </r>
      </text>
    </comment>
    <comment ref="O134" authorId="0" shapeId="0">
      <text>
        <r>
          <rPr>
            <b/>
            <sz val="9"/>
            <color indexed="81"/>
            <rFont val="Tahoma"/>
            <family val="2"/>
          </rPr>
          <t>Cem Dener:</t>
        </r>
        <r>
          <rPr>
            <sz val="9"/>
            <color indexed="81"/>
            <rFont val="Tahoma"/>
            <family val="2"/>
          </rPr>
          <t xml:space="preserve">
http://www.ssb.no/a/english/publikasjoner/pdf/doc_201232_en/doc_201232_en.pdf</t>
        </r>
      </text>
    </comment>
    <comment ref="AE134" authorId="0" shapeId="0">
      <text>
        <r>
          <rPr>
            <b/>
            <sz val="9"/>
            <color indexed="81"/>
            <rFont val="Tahoma"/>
            <family val="2"/>
          </rPr>
          <t>Cem Dener:</t>
        </r>
        <r>
          <rPr>
            <sz val="9"/>
            <color indexed="81"/>
            <rFont val="Tahoma"/>
            <family val="2"/>
          </rPr>
          <t xml:space="preserve">
National identity cards are planned to be introduced in 2016.</t>
        </r>
      </text>
    </comment>
    <comment ref="AL134" authorId="2" shapeId="0">
      <text>
        <r>
          <rPr>
            <b/>
            <sz val="9"/>
            <color indexed="81"/>
            <rFont val="Tahoma"/>
            <family val="2"/>
          </rPr>
          <t>Huan Zhang:</t>
        </r>
        <r>
          <rPr>
            <sz val="9"/>
            <color indexed="81"/>
            <rFont val="Tahoma"/>
            <family val="2"/>
          </rPr>
          <t xml:space="preserve">
Unknown</t>
        </r>
      </text>
    </comment>
    <comment ref="AZ134" authorId="6" shapeId="0">
      <text>
        <r>
          <rPr>
            <b/>
            <sz val="9"/>
            <color indexed="81"/>
            <rFont val="Tahoma"/>
            <family val="2"/>
          </rPr>
          <t>Doruk Yarin Kiroglu:</t>
        </r>
        <r>
          <rPr>
            <sz val="9"/>
            <color indexed="81"/>
            <rFont val="Tahoma"/>
            <family val="2"/>
          </rPr>
          <t xml:space="preserve">
1988</t>
        </r>
      </text>
    </comment>
    <comment ref="BF134" authorId="6" shapeId="0">
      <text>
        <r>
          <rPr>
            <b/>
            <sz val="9"/>
            <color indexed="81"/>
            <rFont val="Tahoma"/>
            <family val="2"/>
          </rPr>
          <t>Doruk Yarin Kiroglu:</t>
        </r>
        <r>
          <rPr>
            <sz val="9"/>
            <color indexed="81"/>
            <rFont val="Tahoma"/>
            <family val="2"/>
          </rPr>
          <t xml:space="preserve">
O: Grant applications, Municipal permits</t>
        </r>
      </text>
    </comment>
    <comment ref="CS134" authorId="1" shapeId="0">
      <text>
        <r>
          <rPr>
            <b/>
            <sz val="9"/>
            <color indexed="81"/>
            <rFont val="Tahoma"/>
            <family val="2"/>
          </rPr>
          <t>Author:</t>
        </r>
        <r>
          <rPr>
            <sz val="9"/>
            <color indexed="81"/>
            <rFont val="Tahoma"/>
            <family val="2"/>
          </rPr>
          <t xml:space="preserve">
Gender disaggregated voter turnout data available
1997 data
http://www.ssb.no/196608/storting-elections.persons-entitled-to-vote-and-votes-cast-by-county-sy-3</t>
        </r>
      </text>
    </comment>
    <comment ref="CU134" authorId="0" shapeId="0">
      <text>
        <r>
          <rPr>
            <b/>
            <sz val="9"/>
            <color indexed="81"/>
            <rFont val="Tahoma"/>
            <family val="2"/>
          </rPr>
          <t>Cem Dener:</t>
        </r>
        <r>
          <rPr>
            <sz val="9"/>
            <color indexed="81"/>
            <rFont val="Tahoma"/>
            <family val="2"/>
          </rPr>
          <t xml:space="preserve">
however, persons 17 years of age are permitted to vote in parliamentary elections if they will be 18 years of age in the year the election is held</t>
        </r>
      </text>
    </comment>
    <comment ref="K135" authorId="0" shapeId="0">
      <text>
        <r>
          <rPr>
            <b/>
            <sz val="9"/>
            <color indexed="81"/>
            <rFont val="Tahoma"/>
            <family val="2"/>
          </rPr>
          <t>Cem Dener:</t>
        </r>
        <r>
          <rPr>
            <sz val="9"/>
            <color indexed="81"/>
            <rFont val="Tahoma"/>
            <family val="2"/>
          </rPr>
          <t xml:space="preserve">
http://unstats.un.org/unsd/demographic/meetings/wshops/Civil_Registration_Dec07_Cairo/docs/Oman_Ministry_of_Health.pdf</t>
        </r>
      </text>
    </comment>
    <comment ref="M135" authorId="0" shapeId="0">
      <text>
        <r>
          <rPr>
            <b/>
            <sz val="9"/>
            <color indexed="81"/>
            <rFont val="Tahoma"/>
            <family val="2"/>
          </rPr>
          <t>Cem Dener:</t>
        </r>
        <r>
          <rPr>
            <sz val="9"/>
            <color indexed="81"/>
            <rFont val="Tahoma"/>
            <family val="2"/>
          </rPr>
          <t xml:space="preserve">
3 months if outside the country</t>
        </r>
      </text>
    </comment>
    <comment ref="AE135" authorId="0" shapeId="0">
      <text>
        <r>
          <rPr>
            <b/>
            <sz val="9"/>
            <color indexed="81"/>
            <rFont val="Tahoma"/>
            <family val="2"/>
          </rPr>
          <t>Cem Dener:</t>
        </r>
        <r>
          <rPr>
            <sz val="9"/>
            <color indexed="81"/>
            <rFont val="Tahoma"/>
            <family val="2"/>
          </rPr>
          <t xml:space="preserve">
New PKI infrastructure launched in 2013.</t>
        </r>
      </text>
    </comment>
    <comment ref="AH135" authorId="0" shapeId="0">
      <text>
        <r>
          <rPr>
            <b/>
            <sz val="9"/>
            <color indexed="81"/>
            <rFont val="Tahoma"/>
            <family val="2"/>
          </rPr>
          <t>Cem Dener:</t>
        </r>
        <r>
          <rPr>
            <sz val="9"/>
            <color indexed="81"/>
            <rFont val="Tahoma"/>
            <family val="2"/>
          </rPr>
          <t xml:space="preserve">
New PKI launched in 2013 to expand e-Services</t>
        </r>
      </text>
    </comment>
    <comment ref="AK135" authorId="6" shapeId="0">
      <text>
        <r>
          <rPr>
            <b/>
            <sz val="9"/>
            <color indexed="81"/>
            <rFont val="Tahoma"/>
            <family val="2"/>
          </rPr>
          <t>Doruk Yarin Kiroglu:</t>
        </r>
        <r>
          <rPr>
            <sz val="9"/>
            <color indexed="81"/>
            <rFont val="Tahoma"/>
            <family val="2"/>
          </rPr>
          <t xml:space="preserve">
Program capacity, reported by technology website
http://www.gemalto.com/brochures/download/oman.pdf</t>
        </r>
      </text>
    </comment>
    <comment ref="AM135" authorId="0" shapeId="0">
      <text>
        <r>
          <rPr>
            <b/>
            <sz val="9"/>
            <color indexed="81"/>
            <rFont val="Tahoma"/>
            <family val="2"/>
          </rPr>
          <t>Cem Dener:</t>
        </r>
        <r>
          <rPr>
            <sz val="9"/>
            <color indexed="81"/>
            <rFont val="Tahoma"/>
            <family val="2"/>
          </rPr>
          <t xml:space="preserve">
http://www.gemalto.com/brochures-site/download-site/Documents/oman.pdf</t>
        </r>
      </text>
    </comment>
    <comment ref="AY135" authorId="6" shapeId="0">
      <text>
        <r>
          <rPr>
            <b/>
            <sz val="9"/>
            <color indexed="81"/>
            <rFont val="Tahoma"/>
            <family val="2"/>
          </rPr>
          <t>Doruk Yarin Kiroglu:</t>
        </r>
        <r>
          <rPr>
            <sz val="9"/>
            <color indexed="81"/>
            <rFont val="Tahoma"/>
            <family val="2"/>
          </rPr>
          <t xml:space="preserve">
Access to registry requires login</t>
        </r>
      </text>
    </comment>
    <comment ref="AZ135" authorId="6" shapeId="0">
      <text>
        <r>
          <rPr>
            <b/>
            <sz val="9"/>
            <color indexed="81"/>
            <rFont val="Tahoma"/>
            <family val="2"/>
          </rPr>
          <t>Doruk Yarin Kiroglu:</t>
        </r>
        <r>
          <rPr>
            <sz val="9"/>
            <color indexed="81"/>
            <rFont val="Tahoma"/>
            <family val="2"/>
          </rPr>
          <t xml:space="preserve">
1974</t>
        </r>
      </text>
    </comment>
    <comment ref="CG135" authorId="0" shapeId="0">
      <text>
        <r>
          <rPr>
            <b/>
            <sz val="9"/>
            <color indexed="81"/>
            <rFont val="Tahoma"/>
            <family val="2"/>
          </rPr>
          <t>Cem Dener:</t>
        </r>
        <r>
          <rPr>
            <sz val="9"/>
            <color indexed="81"/>
            <rFont val="Tahoma"/>
            <family val="2"/>
          </rPr>
          <t xml:space="preserve">
No data.
Estimated BR rate</t>
        </r>
      </text>
    </comment>
    <comment ref="CH135" authorId="0" shapeId="0">
      <text>
        <r>
          <rPr>
            <b/>
            <sz val="9"/>
            <color indexed="81"/>
            <rFont val="Tahoma"/>
            <family val="2"/>
          </rPr>
          <t>Cem Dener:</t>
        </r>
        <r>
          <rPr>
            <sz val="9"/>
            <color indexed="81"/>
            <rFont val="Tahoma"/>
            <family val="2"/>
          </rPr>
          <t xml:space="preserve">
No data.
Estimated BR rate</t>
        </r>
      </text>
    </comment>
    <comment ref="CI135" authorId="0" shapeId="0">
      <text>
        <r>
          <rPr>
            <b/>
            <sz val="9"/>
            <color indexed="81"/>
            <rFont val="Tahoma"/>
            <family val="2"/>
          </rPr>
          <t>Cem Dener:</t>
        </r>
        <r>
          <rPr>
            <sz val="9"/>
            <color indexed="81"/>
            <rFont val="Tahoma"/>
            <family val="2"/>
          </rPr>
          <t xml:space="preserve">
No data.
Estimated BR rate</t>
        </r>
      </text>
    </comment>
    <comment ref="CM135" authorId="0" shapeId="0">
      <text>
        <r>
          <rPr>
            <b/>
            <sz val="9"/>
            <color indexed="81"/>
            <rFont val="Tahoma"/>
            <family val="2"/>
          </rPr>
          <t>Cem Dener:</t>
        </r>
        <r>
          <rPr>
            <sz val="9"/>
            <color indexed="81"/>
            <rFont val="Tahoma"/>
            <family val="2"/>
          </rPr>
          <t xml:space="preserve">
https://www.secureidentityalliance.org/index.php/resources/preview?path=15-12-17-Civil-Registry-Consolidation-Digital-Identity-SIA-Final.pdf</t>
        </r>
      </text>
    </comment>
    <comment ref="CS135" authorId="0" shapeId="0">
      <text>
        <r>
          <rPr>
            <b/>
            <sz val="9"/>
            <color indexed="81"/>
            <rFont val="Tahoma"/>
            <family val="2"/>
          </rPr>
          <t>Cem Dener:</t>
        </r>
        <r>
          <rPr>
            <sz val="9"/>
            <color indexed="81"/>
            <rFont val="Tahoma"/>
            <family val="2"/>
          </rPr>
          <t xml:space="preserve">
http://www.civilstatus.gov.om/english/system.asp
http://www.idea.int/vt/countryview.cfm?id=172 </t>
        </r>
      </text>
    </comment>
    <comment ref="CU135" authorId="0" shapeId="0">
      <text>
        <r>
          <rPr>
            <b/>
            <sz val="9"/>
            <color indexed="81"/>
            <rFont val="Tahoma"/>
            <family val="2"/>
          </rPr>
          <t>Cem Dener:</t>
        </r>
        <r>
          <rPr>
            <sz val="9"/>
            <color indexed="81"/>
            <rFont val="Tahoma"/>
            <family val="2"/>
          </rPr>
          <t xml:space="preserve">
universal except for members of the military and police</t>
        </r>
      </text>
    </comment>
    <comment ref="HK135" authorId="6" shapeId="0">
      <text>
        <r>
          <rPr>
            <b/>
            <sz val="9"/>
            <color indexed="81"/>
            <rFont val="Tahoma"/>
            <family val="2"/>
          </rPr>
          <t>Doruk Yarin Kiroglu:</t>
        </r>
        <r>
          <rPr>
            <sz val="9"/>
            <color indexed="81"/>
            <rFont val="Tahoma"/>
            <family val="2"/>
          </rPr>
          <t xml:space="preserve">
No data protection law</t>
        </r>
      </text>
    </comment>
    <comment ref="K136" authorId="0" shapeId="0">
      <text>
        <r>
          <rPr>
            <b/>
            <sz val="9"/>
            <color indexed="81"/>
            <rFont val="Tahoma"/>
            <family val="2"/>
          </rPr>
          <t>Cem Dener:</t>
        </r>
        <r>
          <rPr>
            <sz val="9"/>
            <color indexed="81"/>
            <rFont val="Tahoma"/>
            <family val="2"/>
          </rPr>
          <t xml:space="preserve">
http://unstats.un.org/unsd/demographic/meetings/wshops/1993_China_CRVS/docs/1993_Doc.11_Pakistan.pdf</t>
        </r>
      </text>
    </comment>
    <comment ref="N136" authorId="0" shapeId="0">
      <text>
        <r>
          <rPr>
            <b/>
            <sz val="9"/>
            <color indexed="81"/>
            <rFont val="Tahoma"/>
            <family val="2"/>
          </rPr>
          <t>Cem Dener:</t>
        </r>
        <r>
          <rPr>
            <sz val="9"/>
            <color indexed="81"/>
            <rFont val="Tahoma"/>
            <family val="2"/>
          </rPr>
          <t xml:space="preserve">
RS 80 for urgent requests</t>
        </r>
      </text>
    </comment>
    <comment ref="AE136" authorId="0" shapeId="0">
      <text>
        <r>
          <rPr>
            <b/>
            <sz val="9"/>
            <color indexed="81"/>
            <rFont val="Tahoma"/>
            <family val="2"/>
          </rPr>
          <t>Cem Dener:</t>
        </r>
        <r>
          <rPr>
            <sz val="9"/>
            <color indexed="81"/>
            <rFont val="Tahoma"/>
            <family val="2"/>
          </rPr>
          <t xml:space="preserve">
NID DB created in 2002
e-Services introduced in 2012</t>
        </r>
      </text>
    </comment>
    <comment ref="AH136" authorId="0" shapeId="0">
      <text>
        <r>
          <rPr>
            <b/>
            <sz val="9"/>
            <color indexed="81"/>
            <rFont val="Tahoma"/>
            <family val="2"/>
          </rPr>
          <t>Cem Dener:</t>
        </r>
        <r>
          <rPr>
            <sz val="9"/>
            <color indexed="81"/>
            <rFont val="Tahoma"/>
            <family val="2"/>
          </rPr>
          <t xml:space="preserve">
Not used for R yet</t>
        </r>
      </text>
    </comment>
    <comment ref="AK136" authorId="6" shapeId="0">
      <text>
        <r>
          <rPr>
            <b/>
            <sz val="9"/>
            <color indexed="81"/>
            <rFont val="Tahoma"/>
            <family val="2"/>
          </rPr>
          <t>Doruk Yarin Kiroglu:</t>
        </r>
        <r>
          <rPr>
            <sz val="9"/>
            <color indexed="81"/>
            <rFont val="Tahoma"/>
            <family val="2"/>
          </rPr>
          <t xml:space="preserve">
http://www.nadra.gov.pk/index.php/solutions/auto-id/multi-biometric-id-card</t>
        </r>
      </text>
    </comment>
    <comment ref="AL136" authorId="2" shapeId="0">
      <text>
        <r>
          <rPr>
            <b/>
            <sz val="9"/>
            <color indexed="81"/>
            <rFont val="Tahoma"/>
            <family val="2"/>
          </rPr>
          <t>Huan Zhang:</t>
        </r>
        <r>
          <rPr>
            <sz val="9"/>
            <color indexed="81"/>
            <rFont val="Tahoma"/>
            <family val="2"/>
          </rPr>
          <t xml:space="preserve">
National Database and Registration Authority (NADRA) </t>
        </r>
      </text>
    </comment>
    <comment ref="BC136" authorId="6" shapeId="0">
      <text>
        <r>
          <rPr>
            <b/>
            <sz val="9"/>
            <color indexed="81"/>
            <rFont val="Tahoma"/>
            <family val="2"/>
          </rPr>
          <t>Doruk Yarin Kiroglu:</t>
        </r>
        <r>
          <rPr>
            <sz val="9"/>
            <color indexed="81"/>
            <rFont val="Tahoma"/>
            <family val="2"/>
          </rPr>
          <t xml:space="preserve">
Corporate Universal Identification Number (CUIN)</t>
        </r>
      </text>
    </comment>
    <comment ref="BF136" authorId="6" shapeId="0">
      <text>
        <r>
          <rPr>
            <b/>
            <sz val="9"/>
            <color indexed="81"/>
            <rFont val="Tahoma"/>
            <family val="2"/>
          </rPr>
          <t>Doruk Yarin Kiroglu:</t>
        </r>
        <r>
          <rPr>
            <sz val="9"/>
            <color indexed="81"/>
            <rFont val="Tahoma"/>
            <family val="2"/>
          </rPr>
          <t xml:space="preserve">
O: Company registration, Statutory returns filing.
Most services are advisory.</t>
        </r>
      </text>
    </comment>
    <comment ref="CS136" authorId="0" shapeId="0">
      <text>
        <r>
          <rPr>
            <b/>
            <sz val="9"/>
            <color indexed="81"/>
            <rFont val="Tahoma"/>
            <family val="2"/>
          </rPr>
          <t>Cem Dener:</t>
        </r>
        <r>
          <rPr>
            <sz val="9"/>
            <color indexed="81"/>
            <rFont val="Tahoma"/>
            <family val="2"/>
          </rPr>
          <t xml:space="preserve">
http://ecp.gov.pk/Misc/GE-2013-Graphs/05_national_assembly_turnout.jpg  </t>
        </r>
      </text>
    </comment>
    <comment ref="CU136" authorId="0" shapeId="0">
      <text>
        <r>
          <rPr>
            <b/>
            <sz val="9"/>
            <color indexed="81"/>
            <rFont val="Tahoma"/>
            <family val="2"/>
          </rPr>
          <t>Cem Dener:</t>
        </r>
        <r>
          <rPr>
            <sz val="9"/>
            <color indexed="81"/>
            <rFont val="Tahoma"/>
            <family val="2"/>
          </rPr>
          <t xml:space="preserve">
universal; joint electorates and reserved parliamentary seats for women and non-Muslims</t>
        </r>
      </text>
    </comment>
    <comment ref="HK136" authorId="6" shapeId="0">
      <text>
        <r>
          <rPr>
            <b/>
            <sz val="9"/>
            <color indexed="81"/>
            <rFont val="Tahoma"/>
            <family val="2"/>
          </rPr>
          <t>Doruk Yarin Kiroglu:</t>
        </r>
        <r>
          <rPr>
            <sz val="9"/>
            <color indexed="81"/>
            <rFont val="Tahoma"/>
            <family val="2"/>
          </rPr>
          <t xml:space="preserve">
No data protection law</t>
        </r>
      </text>
    </comment>
    <comment ref="AY137" authorId="2" shapeId="0">
      <text>
        <r>
          <rPr>
            <b/>
            <sz val="9"/>
            <color indexed="81"/>
            <rFont val="Tahoma"/>
            <family val="2"/>
          </rPr>
          <t>Huan Zhang:</t>
        </r>
        <r>
          <rPr>
            <sz val="9"/>
            <color indexed="81"/>
            <rFont val="Tahoma"/>
            <family val="2"/>
          </rPr>
          <t xml:space="preserve">
System is not automated yet. The Corporate Registrar is at the Office of the Attorney General
http://www.doingbusiness.org/~/media/FPDKM/Doing%20Business/Documents/Law-Library/Palau-Corporation-Regulations.pdf</t>
        </r>
      </text>
    </comment>
    <comment ref="AZ137" authorId="2" shapeId="0">
      <text>
        <r>
          <rPr>
            <b/>
            <sz val="9"/>
            <color indexed="81"/>
            <rFont val="Tahoma"/>
            <family val="2"/>
          </rPr>
          <t>Huan Zhang:</t>
        </r>
        <r>
          <rPr>
            <sz val="9"/>
            <color indexed="81"/>
            <rFont val="Tahoma"/>
            <family val="2"/>
          </rPr>
          <t xml:space="preserve">
System is not automated yet</t>
        </r>
      </text>
    </comment>
    <comment ref="BC137" authorId="6" shapeId="0">
      <text>
        <r>
          <rPr>
            <b/>
            <sz val="9"/>
            <color indexed="81"/>
            <rFont val="Tahoma"/>
            <family val="2"/>
          </rPr>
          <t>Doruk Yarin Kiroglu:</t>
        </r>
        <r>
          <rPr>
            <sz val="9"/>
            <color indexed="81"/>
            <rFont val="Tahoma"/>
            <family val="2"/>
          </rPr>
          <t xml:space="preserve">
Employer Identification Number</t>
        </r>
      </text>
    </comment>
    <comment ref="CF137" authorId="0" shapeId="0">
      <text>
        <r>
          <rPr>
            <b/>
            <sz val="9"/>
            <color indexed="81"/>
            <rFont val="Tahoma"/>
            <family val="2"/>
          </rPr>
          <t>Cem Dener:</t>
        </r>
        <r>
          <rPr>
            <sz val="9"/>
            <color indexed="81"/>
            <rFont val="Tahoma"/>
            <family val="2"/>
          </rPr>
          <t xml:space="preserve">
http://palaugov.org/population-census/</t>
        </r>
      </text>
    </comment>
    <comment ref="CG137" authorId="0" shapeId="0">
      <text>
        <r>
          <rPr>
            <b/>
            <sz val="9"/>
            <color indexed="81"/>
            <rFont val="Tahoma"/>
            <family val="2"/>
          </rPr>
          <t>Cem Dener:</t>
        </r>
        <r>
          <rPr>
            <sz val="9"/>
            <color indexed="81"/>
            <rFont val="Tahoma"/>
            <family val="2"/>
          </rPr>
          <t xml:space="preserve">
No data.
Estimated BR rate</t>
        </r>
      </text>
    </comment>
    <comment ref="CH137" authorId="0" shapeId="0">
      <text>
        <r>
          <rPr>
            <b/>
            <sz val="9"/>
            <color indexed="81"/>
            <rFont val="Tahoma"/>
            <family val="2"/>
          </rPr>
          <t>Cem Dener:</t>
        </r>
        <r>
          <rPr>
            <sz val="9"/>
            <color indexed="81"/>
            <rFont val="Tahoma"/>
            <family val="2"/>
          </rPr>
          <t xml:space="preserve">
No data.
Estimated BR rate</t>
        </r>
      </text>
    </comment>
    <comment ref="CI137" authorId="0" shapeId="0">
      <text>
        <r>
          <rPr>
            <b/>
            <sz val="9"/>
            <color indexed="81"/>
            <rFont val="Tahoma"/>
            <family val="2"/>
          </rPr>
          <t>Cem Dener:</t>
        </r>
        <r>
          <rPr>
            <sz val="9"/>
            <color indexed="81"/>
            <rFont val="Tahoma"/>
            <family val="2"/>
          </rPr>
          <t xml:space="preserve">
No data.
Estimated BR rate</t>
        </r>
      </text>
    </comment>
    <comment ref="HK137" authorId="6" shapeId="0">
      <text>
        <r>
          <rPr>
            <b/>
            <sz val="9"/>
            <color indexed="81"/>
            <rFont val="Tahoma"/>
            <family val="2"/>
          </rPr>
          <t>Doruk Yarin Kiroglu:</t>
        </r>
        <r>
          <rPr>
            <sz val="9"/>
            <color indexed="81"/>
            <rFont val="Tahoma"/>
            <family val="2"/>
          </rPr>
          <t xml:space="preserve">
No data protection law</t>
        </r>
      </text>
    </comment>
    <comment ref="H138" authorId="0" shapeId="0">
      <text>
        <r>
          <rPr>
            <b/>
            <sz val="9"/>
            <color indexed="81"/>
            <rFont val="Tahoma"/>
            <family val="2"/>
          </rPr>
          <t>Cem Dener:</t>
        </r>
        <r>
          <rPr>
            <sz val="9"/>
            <color indexed="81"/>
            <rFont val="Tahoma"/>
            <family val="2"/>
          </rPr>
          <t xml:space="preserve">
http://www.contraloria.gob.pa/inec/</t>
        </r>
      </text>
    </comment>
    <comment ref="I138" authorId="0" shapeId="0">
      <text>
        <r>
          <rPr>
            <b/>
            <sz val="9"/>
            <color indexed="81"/>
            <rFont val="Tahoma"/>
            <family val="2"/>
          </rPr>
          <t>Cem Dener:</t>
        </r>
        <r>
          <rPr>
            <sz val="9"/>
            <color indexed="81"/>
            <rFont val="Tahoma"/>
            <family val="2"/>
          </rPr>
          <t xml:space="preserve">
Dirección Nacional de Registro Civil y la Dirección Nacional de Cedulación</t>
        </r>
      </text>
    </comment>
    <comment ref="M138" authorId="0" shapeId="0">
      <text>
        <r>
          <rPr>
            <b/>
            <sz val="9"/>
            <color indexed="81"/>
            <rFont val="Tahoma"/>
            <family val="2"/>
          </rPr>
          <t>Cem Dener:</t>
        </r>
        <r>
          <rPr>
            <sz val="9"/>
            <color indexed="81"/>
            <rFont val="Tahoma"/>
            <family val="2"/>
          </rPr>
          <t xml:space="preserve">
Up to 2 years if outside hospital</t>
        </r>
      </text>
    </comment>
    <comment ref="O138" authorId="0" shapeId="0">
      <text>
        <r>
          <rPr>
            <b/>
            <sz val="9"/>
            <color indexed="81"/>
            <rFont val="Tahoma"/>
            <family val="2"/>
          </rPr>
          <t>Cem Dener:</t>
        </r>
        <r>
          <rPr>
            <sz val="9"/>
            <color indexed="81"/>
            <rFont val="Tahoma"/>
            <family val="2"/>
          </rPr>
          <t xml:space="preserve">
http://www.mundoelectoral.com/html/index.php?id=841</t>
        </r>
      </text>
    </comment>
    <comment ref="R138" authorId="0" shapeId="0">
      <text>
        <r>
          <rPr>
            <b/>
            <sz val="9"/>
            <color indexed="81"/>
            <rFont val="Tahoma"/>
            <family val="2"/>
          </rPr>
          <t>Cem Dener:</t>
        </r>
        <r>
          <rPr>
            <sz val="9"/>
            <color indexed="81"/>
            <rFont val="Tahoma"/>
            <family val="2"/>
          </rPr>
          <t xml:space="preserve">
The first ID card dates back to 1919.</t>
        </r>
      </text>
    </comment>
    <comment ref="AG138" authorId="6" shapeId="0">
      <text>
        <r>
          <rPr>
            <b/>
            <sz val="9"/>
            <color indexed="81"/>
            <rFont val="Tahoma"/>
            <family val="2"/>
          </rPr>
          <t>Doruk Yarin Kiroglu:</t>
        </r>
        <r>
          <rPr>
            <sz val="9"/>
            <color indexed="81"/>
            <rFont val="Tahoma"/>
            <family val="2"/>
          </rPr>
          <t xml:space="preserve">
Also includes magstrip on the back</t>
        </r>
      </text>
    </comment>
    <comment ref="AL138" authorId="2" shapeId="0">
      <text>
        <r>
          <rPr>
            <b/>
            <sz val="9"/>
            <color indexed="81"/>
            <rFont val="Tahoma"/>
            <family val="2"/>
          </rPr>
          <t>Huan Zhang:</t>
        </r>
        <r>
          <rPr>
            <sz val="9"/>
            <color indexed="81"/>
            <rFont val="Tahoma"/>
            <family val="2"/>
          </rPr>
          <t xml:space="preserve">
L-1 Identity Solutions</t>
        </r>
      </text>
    </comment>
    <comment ref="AM138" authorId="0" shapeId="0">
      <text>
        <r>
          <rPr>
            <b/>
            <sz val="9"/>
            <color indexed="81"/>
            <rFont val="Tahoma"/>
            <family val="2"/>
          </rPr>
          <t>Cem Dener:</t>
        </r>
        <r>
          <rPr>
            <sz val="9"/>
            <color indexed="81"/>
            <rFont val="Tahoma"/>
            <family val="2"/>
          </rPr>
          <t xml:space="preserve">
http://www.mundoelectoral.com/html/index.php?id=841</t>
        </r>
      </text>
    </comment>
    <comment ref="AY138" authorId="6" shapeId="0">
      <text>
        <r>
          <rPr>
            <b/>
            <sz val="9"/>
            <color indexed="81"/>
            <rFont val="Tahoma"/>
            <family val="2"/>
          </rPr>
          <t>Doruk Yarin Kiroglu:</t>
        </r>
        <r>
          <rPr>
            <sz val="9"/>
            <color indexed="81"/>
            <rFont val="Tahoma"/>
            <family val="2"/>
          </rPr>
          <t xml:space="preserve">
Website not accesible at the moment
http://www.registro-publico.gob.pa/</t>
        </r>
      </text>
    </comment>
    <comment ref="AZ138" authorId="6" shapeId="0">
      <text>
        <r>
          <rPr>
            <b/>
            <sz val="9"/>
            <color indexed="81"/>
            <rFont val="Tahoma"/>
            <family val="2"/>
          </rPr>
          <t>Doruk Yarin Kiroglu:</t>
        </r>
        <r>
          <rPr>
            <sz val="9"/>
            <color indexed="81"/>
            <rFont val="Tahoma"/>
            <family val="2"/>
          </rPr>
          <t xml:space="preserve">
1913</t>
        </r>
      </text>
    </comment>
    <comment ref="CG138" authorId="0" shapeId="0">
      <text>
        <r>
          <rPr>
            <b/>
            <sz val="9"/>
            <color indexed="81"/>
            <rFont val="Tahoma"/>
            <family val="2"/>
          </rPr>
          <t>Cem Dener:</t>
        </r>
        <r>
          <rPr>
            <sz val="9"/>
            <color indexed="81"/>
            <rFont val="Tahoma"/>
            <family val="2"/>
          </rPr>
          <t xml:space="preserve">
No data.
Estimated BR rate</t>
        </r>
      </text>
    </comment>
    <comment ref="CH138" authorId="0" shapeId="0">
      <text>
        <r>
          <rPr>
            <b/>
            <sz val="9"/>
            <color indexed="81"/>
            <rFont val="Tahoma"/>
            <family val="2"/>
          </rPr>
          <t>Cem Dener:</t>
        </r>
        <r>
          <rPr>
            <sz val="9"/>
            <color indexed="81"/>
            <rFont val="Tahoma"/>
            <family val="2"/>
          </rPr>
          <t xml:space="preserve">
No data.
Estimated BR rate</t>
        </r>
      </text>
    </comment>
    <comment ref="CI138" authorId="0" shapeId="0">
      <text>
        <r>
          <rPr>
            <b/>
            <sz val="9"/>
            <color indexed="81"/>
            <rFont val="Tahoma"/>
            <family val="2"/>
          </rPr>
          <t>Cem Dener:</t>
        </r>
        <r>
          <rPr>
            <sz val="9"/>
            <color indexed="81"/>
            <rFont val="Tahoma"/>
            <family val="2"/>
          </rPr>
          <t xml:space="preserve">
No data.
Estimated BR rate</t>
        </r>
      </text>
    </comment>
    <comment ref="HK138" authorId="6" shapeId="0">
      <text>
        <r>
          <rPr>
            <b/>
            <sz val="9"/>
            <color indexed="81"/>
            <rFont val="Tahoma"/>
            <family val="2"/>
          </rPr>
          <t>Doruk Yarin Kiroglu:</t>
        </r>
        <r>
          <rPr>
            <sz val="9"/>
            <color indexed="81"/>
            <rFont val="Tahoma"/>
            <family val="2"/>
          </rPr>
          <t xml:space="preserve">
No data protection law</t>
        </r>
      </text>
    </comment>
    <comment ref="O139" authorId="0" shapeId="0">
      <text>
        <r>
          <rPr>
            <b/>
            <sz val="9"/>
            <color indexed="81"/>
            <rFont val="Tahoma"/>
            <family val="2"/>
          </rPr>
          <t>Cem Dener:</t>
        </r>
        <r>
          <rPr>
            <sz val="9"/>
            <color indexed="81"/>
            <rFont val="Tahoma"/>
            <family val="2"/>
          </rPr>
          <t xml:space="preserve">
http://www.nri.org.pg/news/drspeachcompletetext_020914.htm</t>
        </r>
      </text>
    </comment>
    <comment ref="S139" authorId="0" shapeId="0">
      <text>
        <r>
          <rPr>
            <b/>
            <sz val="9"/>
            <color indexed="81"/>
            <rFont val="Tahoma"/>
            <family val="2"/>
          </rPr>
          <t>Cem Dener:</t>
        </r>
        <r>
          <rPr>
            <sz val="9"/>
            <color indexed="81"/>
            <rFont val="Tahoma"/>
            <family val="2"/>
          </rPr>
          <t xml:space="preserve">
New National ID project was initiated in 2013. Slow progress. In the meantime</t>
        </r>
      </text>
    </comment>
    <comment ref="AD139" authorId="0" shapeId="0">
      <text>
        <r>
          <rPr>
            <b/>
            <sz val="9"/>
            <color indexed="81"/>
            <rFont val="Tahoma"/>
            <family val="2"/>
          </rPr>
          <t>Cem Dener:</t>
        </r>
        <r>
          <rPr>
            <sz val="9"/>
            <color indexed="81"/>
            <rFont val="Tahoma"/>
            <family val="2"/>
          </rPr>
          <t xml:space="preserve">
http://www.emtv.com.pg/news-app/item/national-civil-registry-push-for-lae-biometric</t>
        </r>
      </text>
    </comment>
    <comment ref="AK139" authorId="6" shapeId="0">
      <text>
        <r>
          <rPr>
            <b/>
            <sz val="9"/>
            <color indexed="81"/>
            <rFont val="Tahoma"/>
            <family val="2"/>
          </rPr>
          <t>Doruk Yarin Kiroglu:</t>
        </r>
        <r>
          <rPr>
            <sz val="9"/>
            <color indexed="81"/>
            <rFont val="Tahoma"/>
            <family val="2"/>
          </rPr>
          <t xml:space="preserve">
Initial progress plan of the government
http://www.pngfacts.com/-news/png-rolls-out-id-card-system</t>
        </r>
      </text>
    </comment>
    <comment ref="AL139" authorId="2" shapeId="0">
      <text>
        <r>
          <rPr>
            <b/>
            <sz val="9"/>
            <color indexed="81"/>
            <rFont val="Tahoma"/>
            <family val="2"/>
          </rPr>
          <t>Huan Zhang:</t>
        </r>
        <r>
          <rPr>
            <sz val="9"/>
            <color indexed="81"/>
            <rFont val="Tahoma"/>
            <family val="2"/>
          </rPr>
          <t xml:space="preserve">
Huawei Technologies of China</t>
        </r>
      </text>
    </comment>
    <comment ref="AZ139" authorId="6" shapeId="0">
      <text>
        <r>
          <rPr>
            <b/>
            <sz val="9"/>
            <color indexed="81"/>
            <rFont val="Tahoma"/>
            <family val="2"/>
          </rPr>
          <t>Doruk Yarin Kiroglu:</t>
        </r>
        <r>
          <rPr>
            <sz val="9"/>
            <color indexed="81"/>
            <rFont val="Tahoma"/>
            <family val="2"/>
          </rPr>
          <t xml:space="preserve">
1992</t>
        </r>
      </text>
    </comment>
    <comment ref="CG139" authorId="0" shapeId="0">
      <text>
        <r>
          <rPr>
            <b/>
            <sz val="9"/>
            <color indexed="81"/>
            <rFont val="Tahoma"/>
            <family val="2"/>
          </rPr>
          <t>Cem Dener:</t>
        </r>
        <r>
          <rPr>
            <sz val="9"/>
            <color indexed="81"/>
            <rFont val="Tahoma"/>
            <family val="2"/>
          </rPr>
          <t xml:space="preserve">
No data.
Reported range: 50-74%
Estimated BR rate</t>
        </r>
      </text>
    </comment>
    <comment ref="CH139" authorId="0" shapeId="0">
      <text>
        <r>
          <rPr>
            <b/>
            <sz val="9"/>
            <color indexed="81"/>
            <rFont val="Tahoma"/>
            <family val="2"/>
          </rPr>
          <t>Cem Dener:</t>
        </r>
        <r>
          <rPr>
            <sz val="9"/>
            <color indexed="81"/>
            <rFont val="Tahoma"/>
            <family val="2"/>
          </rPr>
          <t xml:space="preserve">
No data.
Estimated BR rate</t>
        </r>
      </text>
    </comment>
    <comment ref="CI139" authorId="0" shapeId="0">
      <text>
        <r>
          <rPr>
            <b/>
            <sz val="9"/>
            <color indexed="81"/>
            <rFont val="Tahoma"/>
            <family val="2"/>
          </rPr>
          <t>Cem Dener:</t>
        </r>
        <r>
          <rPr>
            <sz val="9"/>
            <color indexed="81"/>
            <rFont val="Tahoma"/>
            <family val="2"/>
          </rPr>
          <t xml:space="preserve">
No data.
Estimated BR rate</t>
        </r>
      </text>
    </comment>
    <comment ref="CN139" authorId="0" shapeId="0">
      <text>
        <r>
          <rPr>
            <b/>
            <sz val="9"/>
            <color indexed="81"/>
            <rFont val="Tahoma"/>
            <family val="2"/>
          </rPr>
          <t>Cem Dener:</t>
        </r>
        <r>
          <rPr>
            <sz val="9"/>
            <color indexed="81"/>
            <rFont val="Tahoma"/>
            <family val="2"/>
          </rPr>
          <t xml:space="preserve">
Voting Age Population was used (Registered voter was greater than VAP)</t>
        </r>
      </text>
    </comment>
    <comment ref="HK139" authorId="6" shapeId="0">
      <text>
        <r>
          <rPr>
            <b/>
            <sz val="9"/>
            <color indexed="81"/>
            <rFont val="Tahoma"/>
            <family val="2"/>
          </rPr>
          <t>Doruk Yarin Kiroglu:</t>
        </r>
        <r>
          <rPr>
            <sz val="9"/>
            <color indexed="81"/>
            <rFont val="Tahoma"/>
            <family val="2"/>
          </rPr>
          <t xml:space="preserve">
No data protection law</t>
        </r>
      </text>
    </comment>
    <comment ref="H140" authorId="0" shapeId="0">
      <text>
        <r>
          <rPr>
            <b/>
            <sz val="9"/>
            <color indexed="81"/>
            <rFont val="Tahoma"/>
            <family val="2"/>
          </rPr>
          <t>Cem Dener:</t>
        </r>
        <r>
          <rPr>
            <sz val="9"/>
            <color indexed="81"/>
            <rFont val="Tahoma"/>
            <family val="2"/>
          </rPr>
          <t xml:space="preserve">
http://www.policia.gov.py/document.htm
http://www.dgeec.gov.py
http://www.registrocivil.gov.py/index.php</t>
        </r>
      </text>
    </comment>
    <comment ref="M140" authorId="0" shapeId="0">
      <text>
        <r>
          <rPr>
            <b/>
            <sz val="9"/>
            <color indexed="81"/>
            <rFont val="Tahoma"/>
            <family val="2"/>
          </rPr>
          <t>Cem Dener:</t>
        </r>
        <r>
          <rPr>
            <sz val="9"/>
            <color indexed="81"/>
            <rFont val="Tahoma"/>
            <family val="2"/>
          </rPr>
          <t xml:space="preserve">
30 di</t>
        </r>
        <r>
          <rPr>
            <sz val="9"/>
            <color indexed="81"/>
            <rFont val="Calibri"/>
            <family val="2"/>
          </rPr>
          <t>á</t>
        </r>
        <r>
          <rPr>
            <sz val="9"/>
            <color indexed="81"/>
            <rFont val="Tahoma"/>
            <family val="2"/>
          </rPr>
          <t>s en la capital y
60 diás en el interior</t>
        </r>
      </text>
    </comment>
    <comment ref="O140" authorId="0" shapeId="0">
      <text>
        <r>
          <rPr>
            <b/>
            <sz val="9"/>
            <color indexed="81"/>
            <rFont val="Tahoma"/>
            <family val="2"/>
          </rPr>
          <t>Cem Dener:</t>
        </r>
        <r>
          <rPr>
            <sz val="9"/>
            <color indexed="81"/>
            <rFont val="Tahoma"/>
            <family val="2"/>
          </rPr>
          <t xml:space="preserve">
http://tsje.gov.py/registro-electoral.html</t>
        </r>
      </text>
    </comment>
    <comment ref="AL140" authorId="2" shapeId="0">
      <text>
        <r>
          <rPr>
            <b/>
            <sz val="9"/>
            <color indexed="81"/>
            <rFont val="Tahoma"/>
            <family val="2"/>
          </rPr>
          <t>Huan Zhang:</t>
        </r>
        <r>
          <rPr>
            <sz val="9"/>
            <color indexed="81"/>
            <rFont val="Tahoma"/>
            <family val="2"/>
          </rPr>
          <t xml:space="preserve">
L-1 Identity Solutions</t>
        </r>
      </text>
    </comment>
    <comment ref="AM140" authorId="0" shapeId="0">
      <text>
        <r>
          <rPr>
            <b/>
            <sz val="9"/>
            <color indexed="81"/>
            <rFont val="Tahoma"/>
            <family val="2"/>
          </rPr>
          <t>Cem Dener:</t>
        </r>
        <r>
          <rPr>
            <sz val="9"/>
            <color indexed="81"/>
            <rFont val="Tahoma"/>
            <family val="2"/>
          </rPr>
          <t xml:space="preserve">
Supplier: L1</t>
        </r>
      </text>
    </comment>
    <comment ref="AY140" authorId="6" shapeId="0">
      <text>
        <r>
          <rPr>
            <b/>
            <sz val="9"/>
            <color indexed="81"/>
            <rFont val="Tahoma"/>
            <family val="2"/>
          </rPr>
          <t>Doruk Yarin Kiroglu:</t>
        </r>
        <r>
          <rPr>
            <sz val="9"/>
            <color indexed="81"/>
            <rFont val="Tahoma"/>
            <family val="2"/>
          </rPr>
          <t xml:space="preserve">
Registro de prestadores de servicios (REPSE). No online access</t>
        </r>
      </text>
    </comment>
    <comment ref="CU140" authorId="0" shapeId="0">
      <text>
        <r>
          <rPr>
            <b/>
            <sz val="9"/>
            <color indexed="81"/>
            <rFont val="Tahoma"/>
            <family val="2"/>
          </rPr>
          <t>Cem Dener:</t>
        </r>
        <r>
          <rPr>
            <sz val="9"/>
            <color indexed="81"/>
            <rFont val="Tahoma"/>
            <family val="2"/>
          </rPr>
          <t xml:space="preserve">
universal and compulsory until the age of 75</t>
        </r>
      </text>
    </comment>
    <comment ref="FC140" authorId="0" shapeId="0">
      <text>
        <r>
          <rPr>
            <b/>
            <sz val="9"/>
            <color indexed="81"/>
            <rFont val="Tahoma"/>
            <family val="2"/>
          </rPr>
          <t>Cem Dener:</t>
        </r>
        <r>
          <rPr>
            <sz val="9"/>
            <color indexed="81"/>
            <rFont val="Tahoma"/>
            <family val="2"/>
          </rPr>
          <t xml:space="preserve">
11.6% extree poverty</t>
        </r>
      </text>
    </comment>
    <comment ref="FJ140" authorId="0" shapeId="0">
      <text>
        <r>
          <rPr>
            <b/>
            <sz val="9"/>
            <color indexed="81"/>
            <rFont val="Tahoma"/>
            <family val="2"/>
          </rPr>
          <t>Cem Dener:</t>
        </r>
        <r>
          <rPr>
            <sz val="9"/>
            <color indexed="81"/>
            <rFont val="Tahoma"/>
            <family val="2"/>
          </rPr>
          <t xml:space="preserve">
30 di</t>
        </r>
        <r>
          <rPr>
            <sz val="9"/>
            <color indexed="81"/>
            <rFont val="Calibri"/>
            <family val="2"/>
          </rPr>
          <t>á</t>
        </r>
        <r>
          <rPr>
            <sz val="9"/>
            <color indexed="81"/>
            <rFont val="Tahoma"/>
            <family val="2"/>
          </rPr>
          <t>s en la capital y
60 diás en el interior</t>
        </r>
      </text>
    </comment>
    <comment ref="HK140" authorId="6" shapeId="0">
      <text>
        <r>
          <rPr>
            <b/>
            <sz val="9"/>
            <color indexed="81"/>
            <rFont val="Tahoma"/>
            <family val="2"/>
          </rPr>
          <t>Doruk Yarin Kiroglu:</t>
        </r>
        <r>
          <rPr>
            <sz val="9"/>
            <color indexed="81"/>
            <rFont val="Tahoma"/>
            <family val="2"/>
          </rPr>
          <t xml:space="preserve">
Article 135 in the constitution ensures access to information and data protection
http://pdba.georgetown.edu/Constitutions/Paraguay/para1992.html</t>
        </r>
      </text>
    </comment>
    <comment ref="HP140" authorId="0" shapeId="0">
      <text>
        <r>
          <rPr>
            <b/>
            <sz val="9"/>
            <color indexed="81"/>
            <rFont val="Tahoma"/>
            <family val="2"/>
          </rPr>
          <t>Cem Dener:</t>
        </r>
        <r>
          <rPr>
            <sz val="9"/>
            <color indexed="81"/>
            <rFont val="Tahoma"/>
            <family val="2"/>
          </rPr>
          <t xml:space="preserve">
None</t>
        </r>
      </text>
    </comment>
    <comment ref="HR140" authorId="0" shapeId="0">
      <text>
        <r>
          <rPr>
            <b/>
            <sz val="9"/>
            <color indexed="81"/>
            <rFont val="Tahoma"/>
            <family val="2"/>
          </rPr>
          <t>Cem Dener:</t>
        </r>
        <r>
          <rPr>
            <sz val="9"/>
            <color indexed="81"/>
            <rFont val="Tahoma"/>
            <family val="2"/>
          </rPr>
          <t xml:space="preserve">
RedIPD (o)</t>
        </r>
      </text>
    </comment>
    <comment ref="H141" authorId="0" shapeId="0">
      <text>
        <r>
          <rPr>
            <b/>
            <sz val="9"/>
            <color indexed="81"/>
            <rFont val="Tahoma"/>
            <family val="2"/>
          </rPr>
          <t>Cem Dener:</t>
        </r>
        <r>
          <rPr>
            <sz val="9"/>
            <color indexed="81"/>
            <rFont val="Tahoma"/>
            <family val="2"/>
          </rPr>
          <t xml:space="preserve">
http://www.inei.gob.pe</t>
        </r>
      </text>
    </comment>
    <comment ref="M141" authorId="0" shapeId="0">
      <text>
        <r>
          <rPr>
            <b/>
            <sz val="9"/>
            <color indexed="81"/>
            <rFont val="Tahoma"/>
            <family val="2"/>
          </rPr>
          <t>Cem Dener:</t>
        </r>
        <r>
          <rPr>
            <sz val="9"/>
            <color indexed="81"/>
            <rFont val="Tahoma"/>
            <family val="2"/>
          </rPr>
          <t xml:space="preserve">
3 days for births at hospitals
30 days for the rest</t>
        </r>
      </text>
    </comment>
    <comment ref="Z141" authorId="0" shapeId="0">
      <text>
        <r>
          <rPr>
            <b/>
            <sz val="9"/>
            <color indexed="81"/>
            <rFont val="Tahoma"/>
            <family val="2"/>
          </rPr>
          <t>Cem Dener:</t>
        </r>
        <r>
          <rPr>
            <sz val="9"/>
            <color indexed="81"/>
            <rFont val="Tahoma"/>
            <family val="2"/>
          </rPr>
          <t xml:space="preserve">
http://es.wikipedia.org/wiki/DNI_electr%C3%B3nico_en_el_Per%C3%BA</t>
        </r>
      </text>
    </comment>
    <comment ref="AE141" authorId="0" shapeId="0">
      <text>
        <r>
          <rPr>
            <b/>
            <sz val="9"/>
            <color indexed="81"/>
            <rFont val="Tahoma"/>
            <family val="2"/>
          </rPr>
          <t>Cem Dener:</t>
        </r>
        <r>
          <rPr>
            <sz val="9"/>
            <color indexed="81"/>
            <rFont val="Tahoma"/>
            <family val="2"/>
          </rPr>
          <t xml:space="preserve">
New cards are being issued since 2013</t>
        </r>
      </text>
    </comment>
    <comment ref="AL141" authorId="2" shapeId="0">
      <text>
        <r>
          <rPr>
            <b/>
            <sz val="9"/>
            <color indexed="81"/>
            <rFont val="Tahoma"/>
            <family val="2"/>
          </rPr>
          <t>Huan Zhang:</t>
        </r>
        <r>
          <rPr>
            <sz val="9"/>
            <color indexed="81"/>
            <rFont val="Tahoma"/>
            <family val="2"/>
          </rPr>
          <t xml:space="preserve">
 RENIEC</t>
        </r>
      </text>
    </comment>
    <comment ref="AM141" authorId="0" shapeId="0">
      <text>
        <r>
          <rPr>
            <b/>
            <sz val="9"/>
            <color indexed="81"/>
            <rFont val="Tahoma"/>
            <family val="2"/>
          </rPr>
          <t>Cem Dener:</t>
        </r>
        <r>
          <rPr>
            <sz val="9"/>
            <color indexed="81"/>
            <rFont val="Tahoma"/>
            <family val="2"/>
          </rPr>
          <t xml:space="preserve">
http://www.worldbank.org/content/dam/Worldbank/Event/social-protection/Building_Robust_Identification_Systems_Session_Packet.pdf</t>
        </r>
      </text>
    </comment>
    <comment ref="AZ141" authorId="6" shapeId="0">
      <text>
        <r>
          <rPr>
            <b/>
            <sz val="9"/>
            <color indexed="81"/>
            <rFont val="Tahoma"/>
            <family val="2"/>
          </rPr>
          <t>Doruk Yarin Kiroglu:</t>
        </r>
        <r>
          <rPr>
            <sz val="9"/>
            <color indexed="81"/>
            <rFont val="Tahoma"/>
            <family val="2"/>
          </rPr>
          <t xml:space="preserve">
Enacted in 2002,
Planned to be operational until 2017</t>
        </r>
      </text>
    </comment>
    <comment ref="CH141" authorId="0" shapeId="0">
      <text>
        <r>
          <rPr>
            <b/>
            <sz val="9"/>
            <color indexed="81"/>
            <rFont val="Tahoma"/>
            <family val="2"/>
          </rPr>
          <t>Cem Dener:</t>
        </r>
        <r>
          <rPr>
            <sz val="9"/>
            <color indexed="81"/>
            <rFont val="Tahoma"/>
            <family val="2"/>
          </rPr>
          <t xml:space="preserve">
No data.
Estimated BR rate</t>
        </r>
      </text>
    </comment>
    <comment ref="CI141" authorId="0" shapeId="0">
      <text>
        <r>
          <rPr>
            <b/>
            <sz val="9"/>
            <color indexed="81"/>
            <rFont val="Tahoma"/>
            <family val="2"/>
          </rPr>
          <t>Cem Dener:</t>
        </r>
        <r>
          <rPr>
            <sz val="9"/>
            <color indexed="81"/>
            <rFont val="Tahoma"/>
            <family val="2"/>
          </rPr>
          <t xml:space="preserve">
No data.
Estimated BR rate</t>
        </r>
      </text>
    </comment>
    <comment ref="CU141" authorId="0" shapeId="0">
      <text>
        <r>
          <rPr>
            <b/>
            <sz val="9"/>
            <color indexed="81"/>
            <rFont val="Tahoma"/>
            <family val="2"/>
          </rPr>
          <t>Cem Dener:</t>
        </r>
        <r>
          <rPr>
            <sz val="9"/>
            <color indexed="81"/>
            <rFont val="Tahoma"/>
            <family val="2"/>
          </rPr>
          <t xml:space="preserve">
universal and compulsory until the age of 70</t>
        </r>
      </text>
    </comment>
    <comment ref="FJ141" authorId="0" shapeId="0">
      <text>
        <r>
          <rPr>
            <b/>
            <sz val="9"/>
            <color indexed="81"/>
            <rFont val="Tahoma"/>
            <family val="2"/>
          </rPr>
          <t>Cem Dener:</t>
        </r>
        <r>
          <rPr>
            <sz val="9"/>
            <color indexed="81"/>
            <rFont val="Tahoma"/>
            <family val="2"/>
          </rPr>
          <t xml:space="preserve">
3 days for births at hospitals
30 days for the rest</t>
        </r>
      </text>
    </comment>
    <comment ref="FO141" authorId="0" shapeId="0">
      <text>
        <r>
          <rPr>
            <b/>
            <sz val="9"/>
            <color indexed="81"/>
            <rFont val="Tahoma"/>
            <family val="2"/>
          </rPr>
          <t>Cem Dener:</t>
        </r>
        <r>
          <rPr>
            <sz val="9"/>
            <color indexed="81"/>
            <rFont val="Tahoma"/>
            <family val="2"/>
          </rPr>
          <t xml:space="preserve">
http://idbdocs.iadb.org/wsdocs/getdocument.aspx?docnum=1959580</t>
        </r>
      </text>
    </comment>
    <comment ref="H142" authorId="0" shapeId="0">
      <text>
        <r>
          <rPr>
            <b/>
            <sz val="9"/>
            <color indexed="81"/>
            <rFont val="Tahoma"/>
            <family val="2"/>
          </rPr>
          <t>Cem Dener:</t>
        </r>
        <r>
          <rPr>
            <sz val="9"/>
            <color indexed="81"/>
            <rFont val="Tahoma"/>
            <family val="2"/>
          </rPr>
          <t xml:space="preserve">
http://www.census.gov.ph/tags/civil-registration </t>
        </r>
      </text>
    </comment>
    <comment ref="O142" authorId="0" shapeId="0">
      <text>
        <r>
          <rPr>
            <b/>
            <sz val="9"/>
            <color indexed="81"/>
            <rFont val="Tahoma"/>
            <family val="2"/>
          </rPr>
          <t>Cem Dener:</t>
        </r>
        <r>
          <rPr>
            <sz val="9"/>
            <color indexed="81"/>
            <rFont val="Tahoma"/>
            <family val="2"/>
          </rPr>
          <t xml:space="preserve">
http://www.philstar.com/headlines/2014/10/02/1375652/house-pushes-issuance-filipino-id-card</t>
        </r>
      </text>
    </comment>
    <comment ref="AD142" authorId="0" shapeId="0">
      <text>
        <r>
          <rPr>
            <b/>
            <sz val="9"/>
            <color indexed="81"/>
            <rFont val="Tahoma"/>
            <family val="2"/>
          </rPr>
          <t>Cem Dener:</t>
        </r>
        <r>
          <rPr>
            <sz val="9"/>
            <color indexed="81"/>
            <rFont val="Tahoma"/>
            <family val="2"/>
          </rPr>
          <t xml:space="preserve">
http://www.congress.gov.ph/press/details.php?pressid=8208</t>
        </r>
      </text>
    </comment>
    <comment ref="AF142" authorId="0" shapeId="0">
      <text>
        <r>
          <rPr>
            <b/>
            <sz val="9"/>
            <color indexed="81"/>
            <rFont val="Tahoma"/>
            <family val="2"/>
          </rPr>
          <t>Cem Dener:</t>
        </r>
        <r>
          <rPr>
            <sz val="9"/>
            <color indexed="81"/>
            <rFont val="Tahoma"/>
            <family val="2"/>
          </rPr>
          <t xml:space="preserve">
Multi-purpose e-ID is planned.</t>
        </r>
      </text>
    </comment>
    <comment ref="AZ142" authorId="6" shapeId="0">
      <text>
        <r>
          <rPr>
            <b/>
            <sz val="9"/>
            <color indexed="81"/>
            <rFont val="Tahoma"/>
            <family val="2"/>
          </rPr>
          <t>Doruk Yarin Kiroglu:</t>
        </r>
        <r>
          <rPr>
            <sz val="9"/>
            <color indexed="81"/>
            <rFont val="Tahoma"/>
            <family val="2"/>
          </rPr>
          <t xml:space="preserve">
1936</t>
        </r>
      </text>
    </comment>
    <comment ref="BC142" authorId="6" shapeId="0">
      <text>
        <r>
          <rPr>
            <b/>
            <sz val="9"/>
            <color indexed="81"/>
            <rFont val="Tahoma"/>
            <family val="2"/>
          </rPr>
          <t>Doruk Yarin Kiroglu:</t>
        </r>
        <r>
          <rPr>
            <sz val="9"/>
            <color indexed="81"/>
            <rFont val="Tahoma"/>
            <family val="2"/>
          </rPr>
          <t xml:space="preserve">
Section 236 on TIN</t>
        </r>
      </text>
    </comment>
    <comment ref="CH142" authorId="0" shapeId="0">
      <text>
        <r>
          <rPr>
            <b/>
            <sz val="9"/>
            <color indexed="81"/>
            <rFont val="Tahoma"/>
            <family val="2"/>
          </rPr>
          <t>Cem Dener:</t>
        </r>
        <r>
          <rPr>
            <sz val="9"/>
            <color indexed="81"/>
            <rFont val="Tahoma"/>
            <family val="2"/>
          </rPr>
          <t xml:space="preserve">
No data.
Estimated BR rate</t>
        </r>
      </text>
    </comment>
    <comment ref="CI142" authorId="0" shapeId="0">
      <text>
        <r>
          <rPr>
            <b/>
            <sz val="9"/>
            <color indexed="81"/>
            <rFont val="Tahoma"/>
            <family val="2"/>
          </rPr>
          <t>Cem Dener:</t>
        </r>
        <r>
          <rPr>
            <sz val="9"/>
            <color indexed="81"/>
            <rFont val="Tahoma"/>
            <family val="2"/>
          </rPr>
          <t xml:space="preserve">
No data.
Estimated BR rate</t>
        </r>
      </text>
    </comment>
    <comment ref="CU142" authorId="0" shapeId="0">
      <text>
        <r>
          <rPr>
            <b/>
            <sz val="9"/>
            <color indexed="81"/>
            <rFont val="Tahoma"/>
            <family val="2"/>
          </rPr>
          <t>Cem Dener:</t>
        </r>
        <r>
          <rPr>
            <sz val="9"/>
            <color indexed="81"/>
            <rFont val="Tahoma"/>
            <family val="2"/>
          </rPr>
          <t xml:space="preserve">
For youth councils: 15 to 18; previously from 15 to 21.</t>
        </r>
      </text>
    </comment>
    <comment ref="HQ142" authorId="6" shapeId="0">
      <text>
        <r>
          <rPr>
            <b/>
            <sz val="9"/>
            <color indexed="81"/>
            <rFont val="Tahoma"/>
            <family val="2"/>
          </rPr>
          <t>Doruk Yarin Kiroglu:</t>
        </r>
        <r>
          <rPr>
            <sz val="9"/>
            <color indexed="81"/>
            <rFont val="Tahoma"/>
            <family val="2"/>
          </rPr>
          <t xml:space="preserve">
No individual website for the commission</t>
        </r>
      </text>
    </comment>
    <comment ref="HU142" authorId="6" shapeId="0">
      <text>
        <r>
          <rPr>
            <b/>
            <sz val="9"/>
            <color indexed="81"/>
            <rFont val="Tahoma"/>
            <family val="2"/>
          </rPr>
          <t>Doruk Yarin Kiroglu:</t>
        </r>
        <r>
          <rPr>
            <sz val="9"/>
            <color indexed="81"/>
            <rFont val="Tahoma"/>
            <family val="2"/>
          </rPr>
          <t xml:space="preserve">
Posted in 2013. Pending approval</t>
        </r>
      </text>
    </comment>
    <comment ref="AD143" authorId="0" shapeId="0">
      <text>
        <r>
          <rPr>
            <b/>
            <sz val="9"/>
            <color indexed="81"/>
            <rFont val="Tahoma"/>
            <family val="2"/>
          </rPr>
          <t>Cem Dener:</t>
        </r>
        <r>
          <rPr>
            <sz val="9"/>
            <color indexed="81"/>
            <rFont val="Tahoma"/>
            <family val="2"/>
          </rPr>
          <t xml:space="preserve">
http://findbiometrics.com/polish-e-id-card-project-re-launched-frost-038-sullivan-comments/</t>
        </r>
      </text>
    </comment>
    <comment ref="AE143" authorId="0" shapeId="0">
      <text>
        <r>
          <rPr>
            <b/>
            <sz val="9"/>
            <color indexed="81"/>
            <rFont val="Tahoma"/>
            <family val="2"/>
          </rPr>
          <t>Cem Dener:</t>
        </r>
        <r>
          <rPr>
            <sz val="9"/>
            <color indexed="81"/>
            <rFont val="Tahoma"/>
            <family val="2"/>
          </rPr>
          <t xml:space="preserve">
Initial eIDs launched in 2002. New eID cards were distributed in 2008.</t>
        </r>
      </text>
    </comment>
    <comment ref="AM143" authorId="0" shapeId="0">
      <text>
        <r>
          <rPr>
            <b/>
            <sz val="9"/>
            <color indexed="81"/>
            <rFont val="Tahoma"/>
            <family val="2"/>
          </rPr>
          <t>Cem Dener:</t>
        </r>
        <r>
          <rPr>
            <sz val="9"/>
            <color indexed="81"/>
            <rFont val="Tahoma"/>
            <family val="2"/>
          </rPr>
          <t xml:space="preserve">
http://www.sdw2014.com/exhibitors/
http://www.pwpw.pl/dokumenty_identyfikacyjne.html
</t>
        </r>
      </text>
    </comment>
    <comment ref="AX143" authorId="6" shapeId="0">
      <text>
        <r>
          <rPr>
            <b/>
            <sz val="9"/>
            <color indexed="81"/>
            <rFont val="Tahoma"/>
            <family val="2"/>
          </rPr>
          <t>Doruk Yarin Kiroglu:</t>
        </r>
        <r>
          <rPr>
            <sz val="9"/>
            <color indexed="81"/>
            <rFont val="Tahoma"/>
            <family val="2"/>
          </rPr>
          <t xml:space="preserve">
e-ID can be used to travel to EU countries</t>
        </r>
      </text>
    </comment>
    <comment ref="BB143" authorId="6" shapeId="0">
      <text>
        <r>
          <rPr>
            <b/>
            <sz val="9"/>
            <color indexed="81"/>
            <rFont val="Tahoma"/>
            <family val="2"/>
          </rPr>
          <t>Doruk Yarin Kiroglu:</t>
        </r>
        <r>
          <rPr>
            <sz val="9"/>
            <color indexed="81"/>
            <rFont val="Tahoma"/>
            <family val="2"/>
          </rPr>
          <t xml:space="preserve">
Along side with Tax ID No, Statistical number (REGON) is also used to identify companies</t>
        </r>
      </text>
    </comment>
    <comment ref="BD143" authorId="6" shapeId="0">
      <text>
        <r>
          <rPr>
            <b/>
            <sz val="9"/>
            <color indexed="81"/>
            <rFont val="Tahoma"/>
            <family val="2"/>
          </rPr>
          <t>Doruk Yarin Kiroglu:</t>
        </r>
        <r>
          <rPr>
            <sz val="9"/>
            <color indexed="81"/>
            <rFont val="Tahoma"/>
            <family val="2"/>
          </rPr>
          <t xml:space="preserve">
Revised for individuals in 2011</t>
        </r>
      </text>
    </comment>
    <comment ref="Z144" authorId="0" shapeId="0">
      <text>
        <r>
          <rPr>
            <b/>
            <sz val="9"/>
            <color indexed="81"/>
            <rFont val="Tahoma"/>
            <family val="2"/>
          </rPr>
          <t>Cem Dener:</t>
        </r>
        <r>
          <rPr>
            <sz val="9"/>
            <color indexed="81"/>
            <rFont val="Tahoma"/>
            <family val="2"/>
          </rPr>
          <t xml:space="preserve">
http://en.wikipedia.org/wiki/Bilhete_de_Identidade_(Portugal)</t>
        </r>
      </text>
    </comment>
    <comment ref="AH144" authorId="0" shapeId="0">
      <text>
        <r>
          <rPr>
            <b/>
            <sz val="9"/>
            <color indexed="81"/>
            <rFont val="Tahoma"/>
            <family val="2"/>
          </rPr>
          <t>Cem Dener:</t>
        </r>
        <r>
          <rPr>
            <sz val="9"/>
            <color indexed="81"/>
            <rFont val="Tahoma"/>
            <family val="2"/>
          </rPr>
          <t xml:space="preserve">
Social Security, National Health Service, Taxpayer, Voter Reg</t>
        </r>
      </text>
    </comment>
    <comment ref="AK144" authorId="6" shapeId="0">
      <text>
        <r>
          <rPr>
            <b/>
            <sz val="9"/>
            <color indexed="81"/>
            <rFont val="Tahoma"/>
            <family val="2"/>
          </rPr>
          <t>Doruk Yarin Kiroglu:</t>
        </r>
        <r>
          <rPr>
            <sz val="9"/>
            <color indexed="81"/>
            <rFont val="Tahoma"/>
            <family val="2"/>
          </rPr>
          <t xml:space="preserve">
As of 2012, reported by the technology website
http://www.gemalto.com/brochures-site/download-site/Documents/portugal_eID.pdf</t>
        </r>
      </text>
    </comment>
    <comment ref="AX144" authorId="6" shapeId="0">
      <text>
        <r>
          <rPr>
            <b/>
            <sz val="9"/>
            <color indexed="81"/>
            <rFont val="Tahoma"/>
            <family val="2"/>
          </rPr>
          <t>Doruk Yarin Kiroglu:</t>
        </r>
        <r>
          <rPr>
            <sz val="9"/>
            <color indexed="81"/>
            <rFont val="Tahoma"/>
            <family val="2"/>
          </rPr>
          <t xml:space="preserve">
e-ID can be used to travel to EU countries</t>
        </r>
      </text>
    </comment>
    <comment ref="BC144" authorId="6" shapeId="0">
      <text>
        <r>
          <rPr>
            <b/>
            <sz val="9"/>
            <color indexed="81"/>
            <rFont val="Tahoma"/>
            <family val="2"/>
          </rPr>
          <t>Doruk Yarin Kiroglu:</t>
        </r>
        <r>
          <rPr>
            <sz val="9"/>
            <color indexed="81"/>
            <rFont val="Tahoma"/>
            <family val="2"/>
          </rPr>
          <t xml:space="preserve">
NIF for individuals,
NIPC for businesses</t>
        </r>
      </text>
    </comment>
    <comment ref="AZ145" authorId="6" shapeId="0">
      <text>
        <r>
          <rPr>
            <b/>
            <sz val="9"/>
            <color indexed="81"/>
            <rFont val="Tahoma"/>
            <family val="2"/>
          </rPr>
          <t>Doruk Yarin Kiroglu:</t>
        </r>
        <r>
          <rPr>
            <sz val="9"/>
            <color indexed="81"/>
            <rFont val="Tahoma"/>
            <family val="2"/>
          </rPr>
          <t xml:space="preserve">
1963</t>
        </r>
      </text>
    </comment>
    <comment ref="BC145" authorId="6" shapeId="0">
      <text>
        <r>
          <rPr>
            <b/>
            <sz val="9"/>
            <color indexed="81"/>
            <rFont val="Tahoma"/>
            <family val="2"/>
          </rPr>
          <t>Doruk Yarin Kiroglu:</t>
        </r>
        <r>
          <rPr>
            <sz val="9"/>
            <color indexed="81"/>
            <rFont val="Tahoma"/>
            <family val="2"/>
          </rPr>
          <t xml:space="preserve">
Tax ID No</t>
        </r>
      </text>
    </comment>
    <comment ref="BF145" authorId="6" shapeId="0">
      <text>
        <r>
          <rPr>
            <b/>
            <sz val="9"/>
            <color indexed="81"/>
            <rFont val="Tahoma"/>
            <family val="2"/>
          </rPr>
          <t>Doruk Yarin Kiroglu:</t>
        </r>
        <r>
          <rPr>
            <sz val="9"/>
            <color indexed="81"/>
            <rFont val="Tahoma"/>
            <family val="2"/>
          </rPr>
          <t xml:space="preserve">
O: Filing complaints, Registering a website and more</t>
        </r>
      </text>
    </comment>
    <comment ref="CG145" authorId="0" shapeId="0">
      <text>
        <r>
          <rPr>
            <b/>
            <sz val="9"/>
            <color indexed="81"/>
            <rFont val="Tahoma"/>
            <family val="2"/>
          </rPr>
          <t>Cem Dener:</t>
        </r>
        <r>
          <rPr>
            <sz val="9"/>
            <color indexed="81"/>
            <rFont val="Tahoma"/>
            <family val="2"/>
          </rPr>
          <t xml:space="preserve">
No data.
Estimated BR rate</t>
        </r>
      </text>
    </comment>
    <comment ref="CH145" authorId="0" shapeId="0">
      <text>
        <r>
          <rPr>
            <b/>
            <sz val="9"/>
            <color indexed="81"/>
            <rFont val="Tahoma"/>
            <family val="2"/>
          </rPr>
          <t>Cem Dener:</t>
        </r>
        <r>
          <rPr>
            <sz val="9"/>
            <color indexed="81"/>
            <rFont val="Tahoma"/>
            <family val="2"/>
          </rPr>
          <t xml:space="preserve">
No data.
Estimated BR rate</t>
        </r>
      </text>
    </comment>
    <comment ref="CI145" authorId="0" shapeId="0">
      <text>
        <r>
          <rPr>
            <b/>
            <sz val="9"/>
            <color indexed="81"/>
            <rFont val="Tahoma"/>
            <family val="2"/>
          </rPr>
          <t>Cem Dener:</t>
        </r>
        <r>
          <rPr>
            <sz val="9"/>
            <color indexed="81"/>
            <rFont val="Tahoma"/>
            <family val="2"/>
          </rPr>
          <t xml:space="preserve">
No data.
Estimated BR rate</t>
        </r>
      </text>
    </comment>
    <comment ref="CS145" authorId="0" shapeId="0">
      <text>
        <r>
          <rPr>
            <b/>
            <sz val="9"/>
            <color indexed="81"/>
            <rFont val="Tahoma"/>
            <family val="2"/>
          </rPr>
          <t>Cem Dener:</t>
        </r>
        <r>
          <rPr>
            <sz val="9"/>
            <color indexed="81"/>
            <rFont val="Tahoma"/>
            <family val="2"/>
          </rPr>
          <t xml:space="preserve">
http://portal.www.gov.qa/wps/portal/about-hukoomi/integrated-e-  government/!ut/p/a1/rZJBT4NAEIX_ynrosdkpLLAcobWIbVGrjYWL2YW1rMgujdta_fVC0ngwqdqEuc3k5c03mYczvMaZYnu5YUZqxV67PnOf_Bs6HlEKURTOphCPp5OlRxZAXQc_4gxnuTKNKXFa7iqta4neBUe5VkYoM4DjcACM651B361hlVQbZDQypUBKHAxqSvYmOsMmlwVOucjBLwAIFDxnXsEsVnBbcEY8Qig4LV3a0sGJCuBf8K3EBd8KFpSslvOQQjy7cpwksmwg9lHwy4q0ZfBOLrkc4fszDvphRlehBbFFJw9hfAdwS3o0870-ydyzzK7_ekz7WPmy3WZBm60uRweD1_2Eq6lran8Mq-ckGTJOwXaa_ec8uPgC2abFGA!!/dl5/d5/L2dBISEvZ0FBIS9nQSEh/</t>
        </r>
      </text>
    </comment>
    <comment ref="F146" authorId="0" shapeId="0">
      <text>
        <r>
          <rPr>
            <b/>
            <sz val="9"/>
            <color indexed="81"/>
            <rFont val="Tahoma"/>
            <family val="2"/>
          </rPr>
          <t>Cem Dener:</t>
        </r>
        <r>
          <rPr>
            <sz val="9"/>
            <color indexed="81"/>
            <rFont val="Tahoma"/>
            <family val="2"/>
          </rPr>
          <t xml:space="preserve">
ROM</t>
        </r>
      </text>
    </comment>
    <comment ref="R146" authorId="0" shapeId="0">
      <text>
        <r>
          <rPr>
            <b/>
            <sz val="9"/>
            <color indexed="81"/>
            <rFont val="Tahoma"/>
            <family val="2"/>
          </rPr>
          <t>Cem Dener:</t>
        </r>
        <r>
          <rPr>
            <sz val="9"/>
            <color indexed="81"/>
            <rFont val="Tahoma"/>
            <family val="2"/>
          </rPr>
          <t xml:space="preserve">
New cards since 2009</t>
        </r>
      </text>
    </comment>
    <comment ref="W146" authorId="4" shapeId="0">
      <text>
        <r>
          <rPr>
            <b/>
            <sz val="9"/>
            <color indexed="81"/>
            <rFont val="Tahoma"/>
            <family val="2"/>
          </rPr>
          <t>Yarın Kıroğlu:</t>
        </r>
        <r>
          <rPr>
            <sz val="9"/>
            <color indexed="81"/>
            <rFont val="Tahoma"/>
            <family val="2"/>
          </rPr>
          <t xml:space="preserve">
5-7 lei</t>
        </r>
      </text>
    </comment>
    <comment ref="AG146" authorId="6" shapeId="0">
      <text>
        <r>
          <rPr>
            <b/>
            <sz val="9"/>
            <color indexed="81"/>
            <rFont val="Tahoma"/>
            <family val="2"/>
          </rPr>
          <t>Doruk Yarin Kiroglu:</t>
        </r>
        <r>
          <rPr>
            <sz val="9"/>
            <color indexed="81"/>
            <rFont val="Tahoma"/>
            <family val="2"/>
          </rPr>
          <t xml:space="preserve">
http://www.riserid.eu/fileadmin/user_upload/Datei/5_konferenz/S5_13_Electronic_ID_Card_Romania_Balasa.pdf</t>
        </r>
      </text>
    </comment>
    <comment ref="AL146" authorId="2" shapeId="0">
      <text>
        <r>
          <rPr>
            <b/>
            <sz val="9"/>
            <color indexed="81"/>
            <rFont val="Tahoma"/>
            <family val="2"/>
          </rPr>
          <t>Huan Zhang:</t>
        </r>
        <r>
          <rPr>
            <sz val="9"/>
            <color indexed="81"/>
            <rFont val="Tahoma"/>
            <family val="2"/>
          </rPr>
          <t xml:space="preserve">
bundesdruckerei
https://www.bundesdruckerei.de/en/646-securing-strengthening-and-protecting-identities</t>
        </r>
      </text>
    </comment>
    <comment ref="AX146" authorId="6" shapeId="0">
      <text>
        <r>
          <rPr>
            <b/>
            <sz val="9"/>
            <color indexed="81"/>
            <rFont val="Tahoma"/>
            <family val="2"/>
          </rPr>
          <t>Doruk Yarin Kiroglu:</t>
        </r>
        <r>
          <rPr>
            <sz val="9"/>
            <color indexed="81"/>
            <rFont val="Tahoma"/>
            <family val="2"/>
          </rPr>
          <t xml:space="preserve">
e-ID can be used to travel to EU countries</t>
        </r>
      </text>
    </comment>
    <comment ref="AZ146" authorId="6" shapeId="0">
      <text>
        <r>
          <rPr>
            <b/>
            <sz val="9"/>
            <color indexed="81"/>
            <rFont val="Tahoma"/>
            <family val="2"/>
          </rPr>
          <t>Doruk Yarin Kiroglu:</t>
        </r>
        <r>
          <rPr>
            <sz val="9"/>
            <color indexed="81"/>
            <rFont val="Tahoma"/>
            <family val="2"/>
          </rPr>
          <t xml:space="preserve">
Replaced Chamber of Commerce and Industry of Romania</t>
        </r>
      </text>
    </comment>
    <comment ref="BD146" authorId="6" shapeId="0">
      <text>
        <r>
          <rPr>
            <b/>
            <sz val="9"/>
            <color indexed="81"/>
            <rFont val="Tahoma"/>
            <family val="2"/>
          </rPr>
          <t>Doruk Yarin Kiroglu:</t>
        </r>
        <r>
          <rPr>
            <sz val="9"/>
            <color indexed="81"/>
            <rFont val="Tahoma"/>
            <family val="2"/>
          </rPr>
          <t xml:space="preserve">
CIF name changed to CUI in 2007</t>
        </r>
      </text>
    </comment>
    <comment ref="CG146" authorId="0" shapeId="0">
      <text>
        <r>
          <rPr>
            <b/>
            <sz val="9"/>
            <color indexed="81"/>
            <rFont val="Tahoma"/>
            <family val="2"/>
          </rPr>
          <t>Cem Dener:</t>
        </r>
        <r>
          <rPr>
            <sz val="9"/>
            <color indexed="81"/>
            <rFont val="Tahoma"/>
            <family val="2"/>
          </rPr>
          <t xml:space="preserve">
No data.
Estimated BR rate</t>
        </r>
      </text>
    </comment>
    <comment ref="CH146" authorId="0" shapeId="0">
      <text>
        <r>
          <rPr>
            <b/>
            <sz val="9"/>
            <color indexed="81"/>
            <rFont val="Tahoma"/>
            <family val="2"/>
          </rPr>
          <t>Cem Dener:</t>
        </r>
        <r>
          <rPr>
            <sz val="9"/>
            <color indexed="81"/>
            <rFont val="Tahoma"/>
            <family val="2"/>
          </rPr>
          <t xml:space="preserve">
No data.
Estimated BR rate</t>
        </r>
      </text>
    </comment>
    <comment ref="CI146" authorId="0" shapeId="0">
      <text>
        <r>
          <rPr>
            <b/>
            <sz val="9"/>
            <color indexed="81"/>
            <rFont val="Tahoma"/>
            <family val="2"/>
          </rPr>
          <t>Cem Dener:</t>
        </r>
        <r>
          <rPr>
            <sz val="9"/>
            <color indexed="81"/>
            <rFont val="Tahoma"/>
            <family val="2"/>
          </rPr>
          <t xml:space="preserve">
No data.
Estimated BR rate</t>
        </r>
      </text>
    </comment>
    <comment ref="CN146" authorId="0" shapeId="0">
      <text>
        <r>
          <rPr>
            <b/>
            <sz val="9"/>
            <color indexed="81"/>
            <rFont val="Tahoma"/>
            <family val="2"/>
          </rPr>
          <t>Cem Dener:</t>
        </r>
        <r>
          <rPr>
            <sz val="9"/>
            <color indexed="81"/>
            <rFont val="Tahoma"/>
            <family val="2"/>
          </rPr>
          <t xml:space="preserve">
Voting Age Population was used (Registered voter was greater than VAP)</t>
        </r>
      </text>
    </comment>
    <comment ref="HQ146" authorId="6" shapeId="0">
      <text>
        <r>
          <rPr>
            <b/>
            <sz val="9"/>
            <color indexed="81"/>
            <rFont val="Tahoma"/>
            <family val="2"/>
          </rPr>
          <t>Doruk Yarin Kiroglu:</t>
        </r>
        <r>
          <rPr>
            <sz val="9"/>
            <color indexed="81"/>
            <rFont val="Tahoma"/>
            <family val="2"/>
          </rPr>
          <t xml:space="preserve">
Website is inaccesible</t>
        </r>
      </text>
    </comment>
    <comment ref="R147" authorId="0" shapeId="0">
      <text>
        <r>
          <rPr>
            <b/>
            <sz val="9"/>
            <color indexed="81"/>
            <rFont val="Tahoma"/>
            <family val="2"/>
          </rPr>
          <t>Cem Dener:</t>
        </r>
        <r>
          <rPr>
            <sz val="9"/>
            <color indexed="81"/>
            <rFont val="Tahoma"/>
            <family val="2"/>
          </rPr>
          <t xml:space="preserve">
UEC introduced in 2013</t>
        </r>
      </text>
    </comment>
    <comment ref="AD147" authorId="0" shapeId="0">
      <text>
        <r>
          <rPr>
            <b/>
            <sz val="9"/>
            <color indexed="81"/>
            <rFont val="Tahoma"/>
            <family val="2"/>
          </rPr>
          <t>Cem Dener:</t>
        </r>
        <r>
          <rPr>
            <sz val="9"/>
            <color indexed="81"/>
            <rFont val="Tahoma"/>
            <family val="2"/>
          </rPr>
          <t xml:space="preserve">
http://en.wikipedia.org/wiki/Universal_Electronic_Card
http://www.ewdn.com/2014/06/16/russia-could-overhaul-its-existing-e-government-plans/
http://www.gosuslugi.ru/pgu/  </t>
        </r>
      </text>
    </comment>
    <comment ref="AG147" authorId="6" shapeId="0">
      <text>
        <r>
          <rPr>
            <b/>
            <sz val="9"/>
            <color indexed="81"/>
            <rFont val="Tahoma"/>
            <family val="2"/>
          </rPr>
          <t>Doruk Yarin Kiroglu:</t>
        </r>
        <r>
          <rPr>
            <sz val="9"/>
            <color indexed="81"/>
            <rFont val="Tahoma"/>
            <family val="2"/>
          </rPr>
          <t xml:space="preserve">
Also includes magstrip at the back alongside with the chip
http://www.uecard.ru/for-citizens/what-is-uec/map_appearance/</t>
        </r>
      </text>
    </comment>
    <comment ref="AK147" authorId="6" shapeId="0">
      <text>
        <r>
          <rPr>
            <b/>
            <sz val="9"/>
            <color indexed="81"/>
            <rFont val="Tahoma"/>
            <family val="2"/>
          </rPr>
          <t>Doruk Yarin Kiroglu:</t>
        </r>
        <r>
          <rPr>
            <sz val="9"/>
            <color indexed="81"/>
            <rFont val="Tahoma"/>
            <family val="2"/>
          </rPr>
          <t xml:space="preserve">
Total applications received since the initiation of the program.
http://www.uecard.ru/ratings-analytics/</t>
        </r>
      </text>
    </comment>
    <comment ref="AL147" authorId="2" shapeId="0">
      <text>
        <r>
          <rPr>
            <b/>
            <sz val="9"/>
            <color indexed="81"/>
            <rFont val="Tahoma"/>
            <family val="2"/>
          </rPr>
          <t>Huan Zhang:</t>
        </r>
        <r>
          <rPr>
            <sz val="9"/>
            <color indexed="81"/>
            <rFont val="Tahoma"/>
            <family val="2"/>
          </rPr>
          <t xml:space="preserve">
JSC Mikron</t>
        </r>
      </text>
    </comment>
    <comment ref="AM147" authorId="0" shapeId="0">
      <text>
        <r>
          <rPr>
            <b/>
            <sz val="9"/>
            <color indexed="81"/>
            <rFont val="Tahoma"/>
            <family val="2"/>
          </rPr>
          <t>Cem Dener:</t>
        </r>
        <r>
          <rPr>
            <sz val="9"/>
            <color indexed="81"/>
            <rFont val="Tahoma"/>
            <family val="2"/>
          </rPr>
          <t xml:space="preserve">
http://singularityhub.com/2011/01/18/russia-to-adopt-universal-id-card-in-2012/
http://www.svkk.fi/files/13770/yritys_mikron.pdf</t>
        </r>
      </text>
    </comment>
    <comment ref="AZ147" authorId="6" shapeId="0">
      <text>
        <r>
          <rPr>
            <b/>
            <sz val="9"/>
            <color indexed="81"/>
            <rFont val="Tahoma"/>
            <family val="2"/>
          </rPr>
          <t>Doruk Yarin Kiroglu:</t>
        </r>
        <r>
          <rPr>
            <sz val="9"/>
            <color indexed="81"/>
            <rFont val="Tahoma"/>
            <family val="2"/>
          </rPr>
          <t xml:space="preserve">
Registration authority establishment date</t>
        </r>
      </text>
    </comment>
    <comment ref="BB147" authorId="6" shapeId="0">
      <text>
        <r>
          <rPr>
            <b/>
            <sz val="9"/>
            <color indexed="81"/>
            <rFont val="Tahoma"/>
            <family val="2"/>
          </rPr>
          <t>Doruk Yarin Kiroglu:</t>
        </r>
        <r>
          <rPr>
            <sz val="9"/>
            <color indexed="81"/>
            <rFont val="Tahoma"/>
            <family val="2"/>
          </rPr>
          <t xml:space="preserve">
Also used:
https://ru.wikipedia.org/wiki/%D0%9E%D1%81%D0%BD%D0%BE%D0%B2%D0%BD%D0%BE%D0%B9_%D0%B3%D0%BE%D1%81%D1%83%D0%B4%D0%B0%D1%80%D1%81%D1%82%D0%B2%D0%B5%D0%BD%D0%BD%D1%8B%D0%B9_%D1%80%D0%B5%D0%B3%D0%B8%D1%81%D1%82%D1%80%D0%B0%D1%86%D0%B8%D0%BE%D0%BD%D0%BD%D1%8B%D0%B9_%D0%BD%D0%BE%D0%BC%D0%B5%D1%80</t>
        </r>
      </text>
    </comment>
    <comment ref="CS147" authorId="0" shapeId="0">
      <text>
        <r>
          <rPr>
            <b/>
            <sz val="9"/>
            <color indexed="81"/>
            <rFont val="Tahoma"/>
            <family val="2"/>
          </rPr>
          <t>Cem Dener:</t>
        </r>
        <r>
          <rPr>
            <sz val="9"/>
            <color indexed="81"/>
            <rFont val="Tahoma"/>
            <family val="2"/>
          </rPr>
          <t xml:space="preserve">
http://cikrf.ru/opendata/vib_result_pres_08.html</t>
        </r>
      </text>
    </comment>
    <comment ref="K148" authorId="0" shapeId="0">
      <text>
        <r>
          <rPr>
            <b/>
            <sz val="9"/>
            <color indexed="81"/>
            <rFont val="Tahoma"/>
            <family val="2"/>
          </rPr>
          <t>Cem Dener:</t>
        </r>
        <r>
          <rPr>
            <sz val="9"/>
            <color indexed="81"/>
            <rFont val="Tahoma"/>
            <family val="2"/>
          </rPr>
          <t xml:space="preserve">
http://www.cdc.gov/nchs/data/isp/016_Methods_And_Problems_of_Civil_Registration_Practices_and_Vital_Stat_Collection_in_Africa.pdf</t>
        </r>
      </text>
    </comment>
    <comment ref="AF148" authorId="6" shapeId="0">
      <text>
        <r>
          <rPr>
            <b/>
            <sz val="9"/>
            <color indexed="81"/>
            <rFont val="Tahoma"/>
            <family val="2"/>
          </rPr>
          <t>Doruk Yarin Kiroglu:</t>
        </r>
        <r>
          <rPr>
            <sz val="9"/>
            <color indexed="81"/>
            <rFont val="Tahoma"/>
            <family val="2"/>
          </rPr>
          <t xml:space="preserve">
http://tigersoft.rw/nida.php</t>
        </r>
      </text>
    </comment>
    <comment ref="AL148" authorId="2" shapeId="0">
      <text>
        <r>
          <rPr>
            <b/>
            <sz val="9"/>
            <color indexed="81"/>
            <rFont val="Tahoma"/>
            <family val="2"/>
          </rPr>
          <t>Huan Zhang:</t>
        </r>
        <r>
          <rPr>
            <sz val="9"/>
            <color indexed="81"/>
            <rFont val="Tahoma"/>
            <family val="2"/>
          </rPr>
          <t xml:space="preserve">
De La Rue</t>
        </r>
      </text>
    </comment>
    <comment ref="AM148" authorId="0" shapeId="0">
      <text>
        <r>
          <rPr>
            <b/>
            <sz val="9"/>
            <color indexed="81"/>
            <rFont val="Tahoma"/>
            <family val="2"/>
          </rPr>
          <t>Cem Dener:</t>
        </r>
        <r>
          <rPr>
            <sz val="9"/>
            <color indexed="81"/>
            <rFont val="Tahoma"/>
            <family val="2"/>
          </rPr>
          <t xml:space="preserve">
http://www.cio.co.ke/news/top-stories/rwanda-adopts-web-based-application-for-civil-registration</t>
        </r>
      </text>
    </comment>
    <comment ref="AZ148" authorId="6" shapeId="0">
      <text>
        <r>
          <rPr>
            <b/>
            <sz val="9"/>
            <color indexed="81"/>
            <rFont val="Tahoma"/>
            <family val="2"/>
          </rPr>
          <t>Doruk Yarin Kiroglu:</t>
        </r>
        <r>
          <rPr>
            <sz val="9"/>
            <color indexed="81"/>
            <rFont val="Tahoma"/>
            <family val="2"/>
          </rPr>
          <t xml:space="preserve">
Replaced Rwanda Commercial Registration Agency</t>
        </r>
      </text>
    </comment>
    <comment ref="BF148" authorId="6" shapeId="0">
      <text>
        <r>
          <rPr>
            <b/>
            <sz val="9"/>
            <color indexed="81"/>
            <rFont val="Tahoma"/>
            <family val="2"/>
          </rPr>
          <t>Doruk Yarin Kiroglu:</t>
        </r>
        <r>
          <rPr>
            <sz val="9"/>
            <color indexed="81"/>
            <rFont val="Tahoma"/>
            <family val="2"/>
          </rPr>
          <t xml:space="preserve">
Online system allows business registration</t>
        </r>
      </text>
    </comment>
    <comment ref="HK148" authorId="6" shapeId="0">
      <text>
        <r>
          <rPr>
            <b/>
            <sz val="9"/>
            <color indexed="81"/>
            <rFont val="Tahoma"/>
            <family val="2"/>
          </rPr>
          <t>Doruk Yarin Kiroglu:</t>
        </r>
        <r>
          <rPr>
            <sz val="9"/>
            <color indexed="81"/>
            <rFont val="Tahoma"/>
            <family val="2"/>
          </rPr>
          <t xml:space="preserve">
No data protection law</t>
        </r>
      </text>
    </comment>
    <comment ref="H149" authorId="0" shapeId="0">
      <text>
        <r>
          <rPr>
            <b/>
            <sz val="9"/>
            <color indexed="81"/>
            <rFont val="Tahoma"/>
            <family val="2"/>
          </rPr>
          <t>Cem Dener:</t>
        </r>
        <r>
          <rPr>
            <sz val="9"/>
            <color indexed="81"/>
            <rFont val="Tahoma"/>
            <family val="2"/>
          </rPr>
          <t xml:space="preserve">
http://www.nia.gov.kn/index.php/download-s/legislation/constitution/76-the-constitution-of-st-christopher-and-nevis/file</t>
        </r>
      </text>
    </comment>
    <comment ref="K149" authorId="6" shapeId="0">
      <text>
        <r>
          <rPr>
            <b/>
            <sz val="9"/>
            <color indexed="81"/>
            <rFont val="Tahoma"/>
            <family val="2"/>
          </rPr>
          <t>Doruk Yarin Kiroglu:</t>
        </r>
        <r>
          <rPr>
            <sz val="9"/>
            <color indexed="81"/>
            <rFont val="Tahoma"/>
            <family val="2"/>
          </rPr>
          <t xml:space="preserve">
http://www.tc.umn.edu/~terre011/archives.html</t>
        </r>
      </text>
    </comment>
    <comment ref="AD149" authorId="0" shapeId="0">
      <text>
        <r>
          <rPr>
            <b/>
            <sz val="9"/>
            <color indexed="81"/>
            <rFont val="Tahoma"/>
            <family val="2"/>
          </rPr>
          <t>Cem Dener:</t>
        </r>
        <r>
          <rPr>
            <sz val="9"/>
            <color indexed="81"/>
            <rFont val="Tahoma"/>
            <family val="2"/>
          </rPr>
          <t xml:space="preserve">
http://ireport.cnn.com/docs/DOC-1049366</t>
        </r>
      </text>
    </comment>
    <comment ref="AM149" authorId="0" shapeId="0">
      <text>
        <r>
          <rPr>
            <b/>
            <sz val="9"/>
            <color indexed="81"/>
            <rFont val="Tahoma"/>
            <family val="2"/>
          </rPr>
          <t>Cem Dener:</t>
        </r>
        <r>
          <rPr>
            <sz val="9"/>
            <color indexed="81"/>
            <rFont val="Tahoma"/>
            <family val="2"/>
          </rPr>
          <t xml:space="preserve">
http://www.newelectoralframework.gov.kn/releases.asp?PID=18</t>
        </r>
      </text>
    </comment>
    <comment ref="AY149" authorId="6" shapeId="0">
      <text>
        <r>
          <rPr>
            <b/>
            <sz val="9"/>
            <color indexed="81"/>
            <rFont val="Tahoma"/>
            <family val="2"/>
          </rPr>
          <t>Doruk Yarin Kiroglu:</t>
        </r>
        <r>
          <rPr>
            <sz val="9"/>
            <color indexed="81"/>
            <rFont val="Tahoma"/>
            <family val="2"/>
          </rPr>
          <t xml:space="preserve">
No access to registry</t>
        </r>
      </text>
    </comment>
    <comment ref="CG149" authorId="0" shapeId="0">
      <text>
        <r>
          <rPr>
            <b/>
            <sz val="9"/>
            <color indexed="81"/>
            <rFont val="Tahoma"/>
            <family val="2"/>
          </rPr>
          <t>Cem Dener:</t>
        </r>
        <r>
          <rPr>
            <sz val="9"/>
            <color indexed="81"/>
            <rFont val="Tahoma"/>
            <family val="2"/>
          </rPr>
          <t xml:space="preserve">
No data.
Estimated BR rate</t>
        </r>
      </text>
    </comment>
    <comment ref="CN149" authorId="0" shapeId="0">
      <text>
        <r>
          <rPr>
            <b/>
            <sz val="9"/>
            <color indexed="81"/>
            <rFont val="Tahoma"/>
            <family val="2"/>
          </rPr>
          <t>Cem Dener:</t>
        </r>
        <r>
          <rPr>
            <sz val="9"/>
            <color indexed="81"/>
            <rFont val="Tahoma"/>
            <family val="2"/>
          </rPr>
          <t xml:space="preserve">
Voting Age Population was used (Registered voter was greater than VAP)</t>
        </r>
      </text>
    </comment>
    <comment ref="DY149" authorId="0" shapeId="0">
      <text>
        <r>
          <rPr>
            <b/>
            <sz val="9"/>
            <color indexed="81"/>
            <rFont val="Tahoma"/>
            <family val="2"/>
          </rPr>
          <t>Cem Dener:</t>
        </r>
        <r>
          <rPr>
            <sz val="9"/>
            <color indexed="81"/>
            <rFont val="Tahoma"/>
            <family val="2"/>
          </rPr>
          <t xml:space="preserve">
http://www.bb.undp.org/content/barbados/en/home/ourwork/povertyreduction/in_depth/</t>
        </r>
      </text>
    </comment>
    <comment ref="HK149" authorId="6" shapeId="0">
      <text>
        <r>
          <rPr>
            <b/>
            <sz val="9"/>
            <color indexed="81"/>
            <rFont val="Tahoma"/>
            <family val="2"/>
          </rPr>
          <t>Doruk Yarin Kiroglu:</t>
        </r>
        <r>
          <rPr>
            <sz val="9"/>
            <color indexed="81"/>
            <rFont val="Tahoma"/>
            <family val="2"/>
          </rPr>
          <t xml:space="preserve">
Privacy and Personal Data Protection Bill is under review since 2013
</t>
        </r>
      </text>
    </comment>
    <comment ref="HL149" authorId="6" shapeId="0">
      <text>
        <r>
          <rPr>
            <b/>
            <sz val="9"/>
            <color indexed="81"/>
            <rFont val="Tahoma"/>
            <family val="2"/>
          </rPr>
          <t>Doruk Yarin Kiroglu:</t>
        </r>
        <r>
          <rPr>
            <sz val="9"/>
            <color indexed="81"/>
            <rFont val="Tahoma"/>
            <family val="2"/>
          </rPr>
          <t xml:space="preserve">
Online copy of the act is not available
http://www.thestkittsnevisobserver.com/2013/04/26/privacy-bill.html</t>
        </r>
      </text>
    </comment>
    <comment ref="HM149" authorId="6" shapeId="0">
      <text>
        <r>
          <rPr>
            <b/>
            <sz val="9"/>
            <color indexed="81"/>
            <rFont val="Tahoma"/>
            <family val="2"/>
          </rPr>
          <t>Doruk Yarin Kiroglu:</t>
        </r>
        <r>
          <rPr>
            <sz val="9"/>
            <color indexed="81"/>
            <rFont val="Tahoma"/>
            <family val="2"/>
          </rPr>
          <t xml:space="preserve">
Under review since 2013</t>
        </r>
      </text>
    </comment>
    <comment ref="HV149" authorId="6" shapeId="0">
      <text>
        <r>
          <rPr>
            <b/>
            <sz val="9"/>
            <color indexed="81"/>
            <rFont val="Tahoma"/>
            <family val="2"/>
          </rPr>
          <t>Doruk Yarin Kiroglu:</t>
        </r>
        <r>
          <rPr>
            <sz val="9"/>
            <color indexed="81"/>
            <rFont val="Tahoma"/>
            <family val="2"/>
          </rPr>
          <t xml:space="preserve">
Article 12</t>
        </r>
      </text>
    </comment>
    <comment ref="H150" authorId="0" shapeId="0">
      <text>
        <r>
          <rPr>
            <b/>
            <sz val="9"/>
            <color indexed="81"/>
            <rFont val="Tahoma"/>
            <family val="2"/>
          </rPr>
          <t>Cem Dener:</t>
        </r>
        <r>
          <rPr>
            <sz val="9"/>
            <color indexed="81"/>
            <rFont val="Tahoma"/>
            <family val="2"/>
          </rPr>
          <t xml:space="preserve">
http://legalaffairs.govt.lc/services/apply-for-a-birth-certificate</t>
        </r>
      </text>
    </comment>
    <comment ref="I150" authorId="0" shapeId="0">
      <text>
        <r>
          <rPr>
            <b/>
            <sz val="9"/>
            <color indexed="81"/>
            <rFont val="Tahoma"/>
            <family val="2"/>
          </rPr>
          <t>Cem Dener:</t>
        </r>
        <r>
          <rPr>
            <sz val="9"/>
            <color indexed="81"/>
            <rFont val="Tahoma"/>
            <family val="2"/>
          </rPr>
          <t xml:space="preserve">
Cerfiticate:
Min of Legal Affairs, Civil Status Registry</t>
        </r>
      </text>
    </comment>
    <comment ref="K150" authorId="6" shapeId="0">
      <text>
        <r>
          <rPr>
            <b/>
            <sz val="9"/>
            <color indexed="81"/>
            <rFont val="Tahoma"/>
            <family val="2"/>
          </rPr>
          <t>Doruk Yarin Kiroglu:</t>
        </r>
        <r>
          <rPr>
            <sz val="9"/>
            <color indexed="81"/>
            <rFont val="Tahoma"/>
            <family val="2"/>
          </rPr>
          <t xml:space="preserve">
https://books.google.com/books?id=yYi2CdyLXNcC&amp;pg=PR75&amp;lpg=PR75&amp;dq=st+lucia+birth+Registry&amp;source=bl&amp;ots=Pa3EauMJP3&amp;sig=2CwaTqRTBMelc9mm4IvyW5wFyrc&amp;hl=en&amp;sa=X&amp;ei=H3KhVJW3GIjngwTJqICADg&amp;ved=0CEkQ6AEwBzgK#v=onepage&amp;q=st%20lucia%20birth%20Registry&amp;f=false</t>
        </r>
      </text>
    </comment>
    <comment ref="N150" authorId="0" shapeId="0">
      <text>
        <r>
          <rPr>
            <b/>
            <sz val="9"/>
            <color indexed="81"/>
            <rFont val="Tahoma"/>
            <family val="2"/>
          </rPr>
          <t>Cem Dener:</t>
        </r>
        <r>
          <rPr>
            <sz val="9"/>
            <color indexed="81"/>
            <rFont val="Tahoma"/>
            <family val="2"/>
          </rPr>
          <t xml:space="preserve">
$9 late registration fee</t>
        </r>
      </text>
    </comment>
    <comment ref="AE150" authorId="0" shapeId="0">
      <text>
        <r>
          <rPr>
            <b/>
            <sz val="9"/>
            <color indexed="81"/>
            <rFont val="Tahoma"/>
            <family val="2"/>
          </rPr>
          <t>Cem Dener:</t>
        </r>
        <r>
          <rPr>
            <sz val="9"/>
            <color indexed="81"/>
            <rFont val="Tahoma"/>
            <family val="2"/>
          </rPr>
          <t xml:space="preserve">
New eID launched in 2014</t>
        </r>
      </text>
    </comment>
    <comment ref="AG150" authorId="6" shapeId="0">
      <text>
        <r>
          <rPr>
            <b/>
            <sz val="9"/>
            <color indexed="81"/>
            <rFont val="Tahoma"/>
            <family val="2"/>
          </rPr>
          <t>Doruk Yarin Kiroglu:</t>
        </r>
        <r>
          <rPr>
            <sz val="9"/>
            <color indexed="81"/>
            <rFont val="Tahoma"/>
            <family val="2"/>
          </rPr>
          <t xml:space="preserve">
https://www.youtube.com/watch?v=qQpBcjJ9Eo8</t>
        </r>
      </text>
    </comment>
    <comment ref="AL150" authorId="2" shapeId="0">
      <text>
        <r>
          <rPr>
            <b/>
            <sz val="9"/>
            <color indexed="81"/>
            <rFont val="Tahoma"/>
            <family val="2"/>
          </rPr>
          <t>Huan Zhang:</t>
        </r>
        <r>
          <rPr>
            <sz val="9"/>
            <color indexed="81"/>
            <rFont val="Tahoma"/>
            <family val="2"/>
          </rPr>
          <t xml:space="preserve">
3M
http://www.biometricupdate.com/201211/biometric-research-note-worlds-first-multilateral-eid-border-crossing-program-proposed-in-caribbean</t>
        </r>
      </text>
    </comment>
    <comment ref="AM150" authorId="0" shapeId="0">
      <text>
        <r>
          <rPr>
            <b/>
            <sz val="9"/>
            <color indexed="81"/>
            <rFont val="Tahoma"/>
            <family val="2"/>
          </rPr>
          <t>Cem Dener:</t>
        </r>
        <r>
          <rPr>
            <sz val="9"/>
            <color indexed="81"/>
            <rFont val="Tahoma"/>
            <family val="2"/>
          </rPr>
          <t xml:space="preserve">
http://www.stlucianewsonline.com/elections-commission-resumes-issuing-national-id-cards/
http://thenewtoday.gd/local-news/2014/11/27/mpid-to-serve-as-national-id/</t>
        </r>
      </text>
    </comment>
    <comment ref="AZ150" authorId="6" shapeId="0">
      <text>
        <r>
          <rPr>
            <b/>
            <sz val="9"/>
            <color indexed="81"/>
            <rFont val="Tahoma"/>
            <family val="2"/>
          </rPr>
          <t>Doruk Yarin Kiroglu:</t>
        </r>
        <r>
          <rPr>
            <sz val="9"/>
            <color indexed="81"/>
            <rFont val="Tahoma"/>
            <family val="2"/>
          </rPr>
          <t xml:space="preserve">
Replaced High Court Registry</t>
        </r>
      </text>
    </comment>
    <comment ref="BC150" authorId="6" shapeId="0">
      <text>
        <r>
          <rPr>
            <b/>
            <sz val="9"/>
            <color indexed="81"/>
            <rFont val="Tahoma"/>
            <family val="2"/>
          </rPr>
          <t>Doruk Yarin Kiroglu:</t>
        </r>
        <r>
          <rPr>
            <sz val="9"/>
            <color indexed="81"/>
            <rFont val="Tahoma"/>
            <family val="2"/>
          </rPr>
          <t xml:space="preserve">
http://www.rocip.gov.lc/stlucia/default.aspx</t>
        </r>
      </text>
    </comment>
    <comment ref="CN150" authorId="0" shapeId="0">
      <text>
        <r>
          <rPr>
            <b/>
            <sz val="9"/>
            <color indexed="81"/>
            <rFont val="Tahoma"/>
            <family val="2"/>
          </rPr>
          <t>Cem Dener:</t>
        </r>
        <r>
          <rPr>
            <sz val="9"/>
            <color indexed="81"/>
            <rFont val="Tahoma"/>
            <family val="2"/>
          </rPr>
          <t xml:space="preserve">
Voting Age Population was used (Registered voter was greater than VAP)</t>
        </r>
      </text>
    </comment>
    <comment ref="DY150" authorId="0" shapeId="0">
      <text>
        <r>
          <rPr>
            <b/>
            <sz val="9"/>
            <color indexed="81"/>
            <rFont val="Tahoma"/>
            <family val="2"/>
          </rPr>
          <t>Cem Dener:</t>
        </r>
        <r>
          <rPr>
            <sz val="9"/>
            <color indexed="81"/>
            <rFont val="Tahoma"/>
            <family val="2"/>
          </rPr>
          <t xml:space="preserve">
http://www.bb.undp.org/content/barbados/en/home/ourwork/povertyreduction/in_depth/</t>
        </r>
      </text>
    </comment>
    <comment ref="HQ150" authorId="6" shapeId="0">
      <text>
        <r>
          <rPr>
            <b/>
            <sz val="9"/>
            <color indexed="81"/>
            <rFont val="Tahoma"/>
            <family val="2"/>
          </rPr>
          <t>Doruk Yarin Kiroglu:</t>
        </r>
        <r>
          <rPr>
            <sz val="9"/>
            <color indexed="81"/>
            <rFont val="Tahoma"/>
            <family val="2"/>
          </rPr>
          <t xml:space="preserve">
Information Commissioner operating under Ministry of Legal Affairs
</t>
        </r>
      </text>
    </comment>
    <comment ref="P151" authorId="6" shapeId="0">
      <text>
        <r>
          <rPr>
            <b/>
            <sz val="9"/>
            <color indexed="81"/>
            <rFont val="Tahoma"/>
            <family val="2"/>
          </rPr>
          <t>Doruk Yarin Kiroglu:</t>
        </r>
        <r>
          <rPr>
            <sz val="9"/>
            <color indexed="81"/>
            <rFont val="Tahoma"/>
            <family val="2"/>
          </rPr>
          <t xml:space="preserve">
To implement CCRIS by OAS
http://www.judiciary.gov.vc/index.php?option=com_content&amp;view=article&amp;id=64:civil-registry-department-prepares-to-launch-the-multi-purpose-identification-project&amp;catid=12:registry</t>
        </r>
      </text>
    </comment>
    <comment ref="AF151" authorId="6" shapeId="0">
      <text>
        <r>
          <rPr>
            <b/>
            <sz val="9"/>
            <color indexed="81"/>
            <rFont val="Tahoma"/>
            <family val="2"/>
          </rPr>
          <t>Doruk Yarin Kiroglu:</t>
        </r>
        <r>
          <rPr>
            <sz val="9"/>
            <color indexed="81"/>
            <rFont val="Tahoma"/>
            <family val="2"/>
          </rPr>
          <t xml:space="preserve">
http://www.judiciary.gov.vc/index.php?option=com_content&amp;view=article&amp;id=64:civil-registry-department-prepares-to-launch-the-multi-purpose-identification-project&amp;catid=12:registry</t>
        </r>
      </text>
    </comment>
    <comment ref="AL151" authorId="2" shapeId="0">
      <text>
        <r>
          <rPr>
            <b/>
            <sz val="9"/>
            <color indexed="81"/>
            <rFont val="Tahoma"/>
            <family val="2"/>
          </rPr>
          <t>Huan Zhang:</t>
        </r>
        <r>
          <rPr>
            <sz val="9"/>
            <color indexed="81"/>
            <rFont val="Tahoma"/>
            <family val="2"/>
          </rPr>
          <t xml:space="preserve">
3M</t>
        </r>
      </text>
    </comment>
    <comment ref="AY151" authorId="6" shapeId="0">
      <text>
        <r>
          <rPr>
            <b/>
            <sz val="9"/>
            <color indexed="81"/>
            <rFont val="Tahoma"/>
            <family val="2"/>
          </rPr>
          <t>Doruk Yarin Kiroglu:</t>
        </r>
        <r>
          <rPr>
            <sz val="9"/>
            <color indexed="81"/>
            <rFont val="Tahoma"/>
            <family val="2"/>
          </rPr>
          <t xml:space="preserve">
No online access
</t>
        </r>
      </text>
    </comment>
    <comment ref="CG151" authorId="0" shapeId="0">
      <text>
        <r>
          <rPr>
            <b/>
            <sz val="9"/>
            <color indexed="81"/>
            <rFont val="Tahoma"/>
            <family val="2"/>
          </rPr>
          <t>Cem Dener:</t>
        </r>
        <r>
          <rPr>
            <sz val="9"/>
            <color indexed="81"/>
            <rFont val="Tahoma"/>
            <family val="2"/>
          </rPr>
          <t xml:space="preserve">
No data.
Estimated BR rate</t>
        </r>
      </text>
    </comment>
    <comment ref="CH151" authorId="0" shapeId="0">
      <text>
        <r>
          <rPr>
            <b/>
            <sz val="9"/>
            <color indexed="81"/>
            <rFont val="Tahoma"/>
            <family val="2"/>
          </rPr>
          <t>Cem Dener:</t>
        </r>
        <r>
          <rPr>
            <sz val="9"/>
            <color indexed="81"/>
            <rFont val="Tahoma"/>
            <family val="2"/>
          </rPr>
          <t xml:space="preserve">
No data.
Estimated BR rate</t>
        </r>
      </text>
    </comment>
    <comment ref="CI151" authorId="0" shapeId="0">
      <text>
        <r>
          <rPr>
            <b/>
            <sz val="9"/>
            <color indexed="81"/>
            <rFont val="Tahoma"/>
            <family val="2"/>
          </rPr>
          <t>Cem Dener:</t>
        </r>
        <r>
          <rPr>
            <sz val="9"/>
            <color indexed="81"/>
            <rFont val="Tahoma"/>
            <family val="2"/>
          </rPr>
          <t xml:space="preserve">
No data.
Estimated BR rate</t>
        </r>
      </text>
    </comment>
    <comment ref="CN151" authorId="0" shapeId="0">
      <text>
        <r>
          <rPr>
            <b/>
            <sz val="9"/>
            <color indexed="81"/>
            <rFont val="Tahoma"/>
            <family val="2"/>
          </rPr>
          <t>Cem Dener:</t>
        </r>
        <r>
          <rPr>
            <sz val="9"/>
            <color indexed="81"/>
            <rFont val="Tahoma"/>
            <family val="2"/>
          </rPr>
          <t xml:space="preserve">
Voting Age Population was used (Registered voter was greater than VAP)</t>
        </r>
      </text>
    </comment>
    <comment ref="DY151" authorId="0" shapeId="0">
      <text>
        <r>
          <rPr>
            <b/>
            <sz val="9"/>
            <color indexed="81"/>
            <rFont val="Tahoma"/>
            <family val="2"/>
          </rPr>
          <t>Cem Dener:</t>
        </r>
        <r>
          <rPr>
            <sz val="9"/>
            <color indexed="81"/>
            <rFont val="Tahoma"/>
            <family val="2"/>
          </rPr>
          <t xml:space="preserve">
http://www.bb.undp.org/content/barbados/en/home/ourwork/povertyreduction/in_depth/</t>
        </r>
      </text>
    </comment>
    <comment ref="HP151" authorId="0" shapeId="0">
      <text>
        <r>
          <rPr>
            <b/>
            <sz val="9"/>
            <color indexed="81"/>
            <rFont val="Tahoma"/>
            <family val="2"/>
          </rPr>
          <t>Cem Dener:</t>
        </r>
        <r>
          <rPr>
            <sz val="9"/>
            <color indexed="81"/>
            <rFont val="Tahoma"/>
            <family val="2"/>
          </rPr>
          <t xml:space="preserve">
None</t>
        </r>
      </text>
    </comment>
    <comment ref="H152" authorId="0" shapeId="0">
      <text>
        <r>
          <rPr>
            <b/>
            <sz val="9"/>
            <color indexed="81"/>
            <rFont val="Tahoma"/>
            <family val="2"/>
          </rPr>
          <t>Cem Dener:</t>
        </r>
        <r>
          <rPr>
            <sz val="9"/>
            <color indexed="81"/>
            <rFont val="Tahoma"/>
            <family val="2"/>
          </rPr>
          <t xml:space="preserve">
http://samoa.parliament.gov.ws/documents/acts/BIRTHS_DEATHS_AND_MARRIAGES_REG_ACT_2002_ENG.pdf</t>
        </r>
      </text>
    </comment>
    <comment ref="K152" authorId="0" shapeId="0">
      <text>
        <r>
          <rPr>
            <b/>
            <sz val="9"/>
            <color indexed="81"/>
            <rFont val="Tahoma"/>
            <family val="2"/>
          </rPr>
          <t>Cem Dener:</t>
        </r>
        <r>
          <rPr>
            <sz val="9"/>
            <color indexed="81"/>
            <rFont val="Tahoma"/>
            <family val="2"/>
          </rPr>
          <t xml:space="preserve">
http://vitalware.kesoftware.com/about-vitalware/our-clients/case-studies/378-samoa-case-study</t>
        </r>
      </text>
    </comment>
    <comment ref="AT152" authorId="6" shapeId="0">
      <text>
        <r>
          <rPr>
            <b/>
            <sz val="9"/>
            <color indexed="81"/>
            <rFont val="Tahoma"/>
            <family val="2"/>
          </rPr>
          <t>Doruk Yarin Kiroglu:</t>
        </r>
        <r>
          <rPr>
            <sz val="9"/>
            <color indexed="81"/>
            <rFont val="Tahoma"/>
            <family val="2"/>
          </rPr>
          <t xml:space="preserve">
Ministry of the Prime Minister and Cabinet</t>
        </r>
      </text>
    </comment>
    <comment ref="BC152" authorId="6" shapeId="0">
      <text>
        <r>
          <rPr>
            <b/>
            <sz val="9"/>
            <color indexed="81"/>
            <rFont val="Tahoma"/>
            <family val="2"/>
          </rPr>
          <t>Doruk Yarin Kiroglu:</t>
        </r>
        <r>
          <rPr>
            <sz val="9"/>
            <color indexed="81"/>
            <rFont val="Tahoma"/>
            <family val="2"/>
          </rPr>
          <t xml:space="preserve">
http://www.companies.gov.ws/samoabr/viewInstance/view.html?id=916e7d2f30ec4c8b3dd7840f394c4727&amp;_timestamp=61848485022334353
</t>
        </r>
      </text>
    </comment>
    <comment ref="EB152" authorId="0" shapeId="0">
      <text>
        <r>
          <rPr>
            <b/>
            <sz val="9"/>
            <color indexed="81"/>
            <rFont val="Tahoma"/>
            <family val="2"/>
          </rPr>
          <t>Cem Dener:</t>
        </r>
        <r>
          <rPr>
            <sz val="9"/>
            <color indexed="81"/>
            <rFont val="Tahoma"/>
            <family val="2"/>
          </rPr>
          <t xml:space="preserve">
http://www.samoaobserver.ws/other/food/4863-report-finds-samoans-living-below-poverty</t>
        </r>
      </text>
    </comment>
    <comment ref="HK152" authorId="6" shapeId="0">
      <text>
        <r>
          <rPr>
            <b/>
            <sz val="9"/>
            <color indexed="81"/>
            <rFont val="Tahoma"/>
            <family val="2"/>
          </rPr>
          <t>Doruk Yarin Kiroglu:</t>
        </r>
        <r>
          <rPr>
            <sz val="9"/>
            <color indexed="81"/>
            <rFont val="Tahoma"/>
            <family val="2"/>
          </rPr>
          <t xml:space="preserve">
No data protection law</t>
        </r>
      </text>
    </comment>
    <comment ref="H153" authorId="0" shapeId="0">
      <text>
        <r>
          <rPr>
            <b/>
            <sz val="9"/>
            <color indexed="81"/>
            <rFont val="Tahoma"/>
            <family val="2"/>
          </rPr>
          <t>Cem Dener:</t>
        </r>
        <r>
          <rPr>
            <sz val="9"/>
            <color indexed="81"/>
            <rFont val="Tahoma"/>
            <family val="2"/>
          </rPr>
          <t xml:space="preserve">
http://www.refworld.org/pdfid/478336aa2.pdf</t>
        </r>
      </text>
    </comment>
    <comment ref="R153" authorId="0" shapeId="0">
      <text>
        <r>
          <rPr>
            <b/>
            <sz val="9"/>
            <color indexed="81"/>
            <rFont val="Tahoma"/>
            <family val="2"/>
          </rPr>
          <t>Cem Dener:</t>
        </r>
        <r>
          <rPr>
            <sz val="9"/>
            <color indexed="81"/>
            <rFont val="Tahoma"/>
            <family val="2"/>
          </rPr>
          <t xml:space="preserve">
http://www.esteri.it/mae/en/italiani_nel_mondo/serviziconsolari/documenti_di_viaggio/</t>
        </r>
      </text>
    </comment>
    <comment ref="AG153" authorId="0" shapeId="0">
      <text>
        <r>
          <rPr>
            <b/>
            <sz val="9"/>
            <color indexed="81"/>
            <rFont val="Tahoma"/>
            <family val="2"/>
          </rPr>
          <t>Cem Dener:</t>
        </r>
        <r>
          <rPr>
            <sz val="9"/>
            <color indexed="81"/>
            <rFont val="Tahoma"/>
            <family val="2"/>
          </rPr>
          <t xml:space="preserve">
http://www.smtvsanmarino.sm/attualita/2008/07/17/san-marino-carta-identita-senza-impronte-digitali</t>
        </r>
      </text>
    </comment>
    <comment ref="AL153" authorId="2" shapeId="0">
      <text>
        <r>
          <rPr>
            <b/>
            <sz val="9"/>
            <color indexed="81"/>
            <rFont val="Tahoma"/>
            <family val="2"/>
          </rPr>
          <t>Huan Zhang:</t>
        </r>
        <r>
          <rPr>
            <sz val="9"/>
            <color indexed="81"/>
            <rFont val="Tahoma"/>
            <family val="2"/>
          </rPr>
          <t xml:space="preserve">
Unknown</t>
        </r>
      </text>
    </comment>
    <comment ref="BC153" authorId="6" shapeId="0">
      <text>
        <r>
          <rPr>
            <b/>
            <sz val="9"/>
            <color indexed="81"/>
            <rFont val="Tahoma"/>
            <family val="2"/>
          </rPr>
          <t>Doruk Yarin Kiroglu:</t>
        </r>
        <r>
          <rPr>
            <sz val="9"/>
            <color indexed="81"/>
            <rFont val="Tahoma"/>
            <family val="2"/>
          </rPr>
          <t xml:space="preserve">
http://en.wikipedia.org/wiki/VAT_identification_number</t>
        </r>
      </text>
    </comment>
    <comment ref="BH153" authorId="6" shapeId="0">
      <text>
        <r>
          <rPr>
            <b/>
            <sz val="9"/>
            <color indexed="81"/>
            <rFont val="Tahoma"/>
            <family val="2"/>
          </rPr>
          <t>Doruk Yarin Kiroglu:</t>
        </r>
        <r>
          <rPr>
            <sz val="9"/>
            <color indexed="81"/>
            <rFont val="Tahoma"/>
            <family val="2"/>
          </rPr>
          <t xml:space="preserve">
http://www.cc.sm/default.asp?id=344</t>
        </r>
      </text>
    </comment>
    <comment ref="HL153" authorId="6" shapeId="0">
      <text>
        <r>
          <rPr>
            <b/>
            <sz val="9"/>
            <color indexed="81"/>
            <rFont val="Tahoma"/>
            <family val="2"/>
          </rPr>
          <t>Doruk Yarin Kiroglu:</t>
        </r>
        <r>
          <rPr>
            <sz val="9"/>
            <color indexed="81"/>
            <rFont val="Tahoma"/>
            <family val="2"/>
          </rPr>
          <t xml:space="preserve">
Data protection law links are inaccesible</t>
        </r>
      </text>
    </comment>
    <comment ref="HQ153" authorId="6" shapeId="0">
      <text>
        <r>
          <rPr>
            <b/>
            <sz val="9"/>
            <color indexed="81"/>
            <rFont val="Tahoma"/>
            <family val="2"/>
          </rPr>
          <t>Doruk Yarin Kiroglu:</t>
        </r>
        <r>
          <rPr>
            <sz val="9"/>
            <color indexed="81"/>
            <rFont val="Tahoma"/>
            <family val="2"/>
          </rPr>
          <t xml:space="preserve">
No individual website for the authority
http://www.coe.int/t/dghl/standardsetting/dataprotection/National%20laws/san_marino_en.asp</t>
        </r>
      </text>
    </comment>
    <comment ref="H154" authorId="0" shapeId="0">
      <text>
        <r>
          <rPr>
            <b/>
            <sz val="9"/>
            <color indexed="81"/>
            <rFont val="Tahoma"/>
            <family val="2"/>
          </rPr>
          <t>Cem Dener:</t>
        </r>
        <r>
          <rPr>
            <sz val="9"/>
            <color indexed="81"/>
            <rFont val="Tahoma"/>
            <family val="2"/>
          </rPr>
          <t xml:space="preserve">
http://www.refworld.org/docid/53284a7914.html
http://www.cipsocial.org/images/eps/ficheiros/STP_bolsaescola.pdf</t>
        </r>
      </text>
    </comment>
    <comment ref="HK154" authorId="6" shapeId="0">
      <text>
        <r>
          <rPr>
            <b/>
            <sz val="9"/>
            <color indexed="81"/>
            <rFont val="Tahoma"/>
            <family val="2"/>
          </rPr>
          <t>Doruk Yarin Kiroglu:</t>
        </r>
        <r>
          <rPr>
            <sz val="9"/>
            <color indexed="81"/>
            <rFont val="Tahoma"/>
            <family val="2"/>
          </rPr>
          <t xml:space="preserve">
No data protection law</t>
        </r>
      </text>
    </comment>
    <comment ref="M155" authorId="0" shapeId="0">
      <text>
        <r>
          <rPr>
            <b/>
            <sz val="9"/>
            <color indexed="81"/>
            <rFont val="Tahoma"/>
            <family val="2"/>
          </rPr>
          <t>Cem Dener:</t>
        </r>
        <r>
          <rPr>
            <sz val="9"/>
            <color indexed="81"/>
            <rFont val="Tahoma"/>
            <family val="2"/>
          </rPr>
          <t xml:space="preserve">
A provisional Birth Certificate valid for one year will be issued for the newborn.</t>
        </r>
      </text>
    </comment>
    <comment ref="V155" authorId="0" shapeId="0">
      <text>
        <r>
          <rPr>
            <b/>
            <sz val="9"/>
            <color indexed="81"/>
            <rFont val="Tahoma"/>
            <family val="2"/>
          </rPr>
          <t>Cem Dener:</t>
        </r>
        <r>
          <rPr>
            <sz val="9"/>
            <color indexed="81"/>
            <rFont val="Tahoma"/>
            <family val="2"/>
          </rPr>
          <t xml:space="preserve">
Compulsory for males at 17.
Non-compulsory for females, but issued at 18</t>
        </r>
      </text>
    </comment>
    <comment ref="AD155" authorId="0" shapeId="0">
      <text>
        <r>
          <rPr>
            <b/>
            <sz val="9"/>
            <color indexed="81"/>
            <rFont val="Tahoma"/>
            <family val="2"/>
          </rPr>
          <t>Cem Dener:</t>
        </r>
        <r>
          <rPr>
            <sz val="9"/>
            <color indexed="81"/>
            <rFont val="Tahoma"/>
            <family val="2"/>
          </rPr>
          <t xml:space="preserve">
http://www.hidglobal.com/government/citizen-id/saudi-arabia</t>
        </r>
      </text>
    </comment>
    <comment ref="AM155" authorId="0" shapeId="0">
      <text>
        <r>
          <rPr>
            <b/>
            <sz val="9"/>
            <color indexed="81"/>
            <rFont val="Tahoma"/>
            <family val="2"/>
          </rPr>
          <t>Cem Dener:</t>
        </r>
        <r>
          <rPr>
            <sz val="9"/>
            <color indexed="81"/>
            <rFont val="Tahoma"/>
            <family val="2"/>
          </rPr>
          <t xml:space="preserve">
http://www.hidglobal.com/sites/hidglobal.com/files/resource_files/hid-gov-id-usa-cs-en.pdf</t>
        </r>
      </text>
    </comment>
    <comment ref="AQ155" authorId="6" shapeId="0">
      <text>
        <r>
          <rPr>
            <b/>
            <sz val="9"/>
            <color indexed="81"/>
            <rFont val="Tahoma"/>
            <family val="2"/>
          </rPr>
          <t>Doruk Yarin Kiroglu:</t>
        </r>
        <r>
          <rPr>
            <sz val="9"/>
            <color indexed="81"/>
            <rFont val="Tahoma"/>
            <family val="2"/>
          </rPr>
          <t xml:space="preserve">
http://www.moi.gov.sa/wps/portal/passports/!ut/p/b1/7ZK7DsIwDEW_hS-I3Tyajm0KTSRKG0UEyII6IFQJyoL4ft4DA6USCwPeLJ3j6-GSQFaCxTRmTAqyJKFrTu22ObaHrtld9yDWxcw7WmiKlecUjEWbW5dFVcEuwOoCZADjJMMUpC4BjLY-mpfe1FMc5sObSeHmc1UrI0uKhWIKDEMPTnGqnRjmf5v_93_Wd5uOLEh4xSDB-IoZptOMSuQPAKqozNGqdAJWs5wn-hn0APp6fL_Q8-inqs70Yb8h-7CbPEc609bb0egM1O-oYQ!!/dl4/d5/L0lDU0lKSWdrbUEhIS9JRFJBQUlpQ2dBek15cXchLzRKQ2lEb01OdEJqdEJIZmxDRUEhL1o3X0dOVlMzR0gzMU9WNTMwSVExUURRU0IyTzgwLzA!/?WCM_PORTLET=PC_Z7_GNVS3GH31OV530IQ1QDQSB2O80015717_WCM&amp;WCM_GLOBAL_CONTEXT=/wps/wcm/connect/Passports/Passports/Main/Services+-+Procedures1/Saudi+Passport+Procedures1/&amp;treenum1.5.1%3E&amp;listnum6</t>
        </r>
      </text>
    </comment>
    <comment ref="AT155" authorId="6" shapeId="0">
      <text>
        <r>
          <rPr>
            <b/>
            <sz val="9"/>
            <color indexed="81"/>
            <rFont val="Tahoma"/>
            <family val="2"/>
          </rPr>
          <t>Doruk Yarin Kiroglu:</t>
        </r>
        <r>
          <rPr>
            <sz val="9"/>
            <color indexed="81"/>
            <rFont val="Tahoma"/>
            <family val="2"/>
          </rPr>
          <t xml:space="preserve">
2</t>
        </r>
      </text>
    </comment>
    <comment ref="AZ155" authorId="6" shapeId="0">
      <text>
        <r>
          <rPr>
            <b/>
            <sz val="9"/>
            <color indexed="81"/>
            <rFont val="Tahoma"/>
            <family val="2"/>
          </rPr>
          <t>Doruk Yarin Kiroglu:</t>
        </r>
        <r>
          <rPr>
            <sz val="9"/>
            <color indexed="81"/>
            <rFont val="Tahoma"/>
            <family val="2"/>
          </rPr>
          <t xml:space="preserve">
1946</t>
        </r>
      </text>
    </comment>
    <comment ref="BC155" authorId="6" shapeId="0">
      <text>
        <r>
          <rPr>
            <b/>
            <sz val="9"/>
            <color indexed="81"/>
            <rFont val="Tahoma"/>
            <family val="2"/>
          </rPr>
          <t>Doruk Yarin Kiroglu:</t>
        </r>
        <r>
          <rPr>
            <sz val="9"/>
            <color indexed="81"/>
            <rFont val="Tahoma"/>
            <family val="2"/>
          </rPr>
          <t xml:space="preserve">
https://ecr.mci.gov.sa/Account/Login?url=http://ecr.mci.gov.sa/Home/Index</t>
        </r>
      </text>
    </comment>
    <comment ref="CG155" authorId="0" shapeId="0">
      <text>
        <r>
          <rPr>
            <b/>
            <sz val="9"/>
            <color indexed="81"/>
            <rFont val="Tahoma"/>
            <family val="2"/>
          </rPr>
          <t>Cem Dener:</t>
        </r>
        <r>
          <rPr>
            <sz val="9"/>
            <color indexed="81"/>
            <rFont val="Tahoma"/>
            <family val="2"/>
          </rPr>
          <t xml:space="preserve">
No data.
Estimated BR rate</t>
        </r>
      </text>
    </comment>
    <comment ref="CH155" authorId="0" shapeId="0">
      <text>
        <r>
          <rPr>
            <b/>
            <sz val="9"/>
            <color indexed="81"/>
            <rFont val="Tahoma"/>
            <family val="2"/>
          </rPr>
          <t>Cem Dener:</t>
        </r>
        <r>
          <rPr>
            <sz val="9"/>
            <color indexed="81"/>
            <rFont val="Tahoma"/>
            <family val="2"/>
          </rPr>
          <t xml:space="preserve">
No data.
Estimated BR rate</t>
        </r>
      </text>
    </comment>
    <comment ref="CI155" authorId="0" shapeId="0">
      <text>
        <r>
          <rPr>
            <b/>
            <sz val="9"/>
            <color indexed="81"/>
            <rFont val="Tahoma"/>
            <family val="2"/>
          </rPr>
          <t>Cem Dener:</t>
        </r>
        <r>
          <rPr>
            <sz val="9"/>
            <color indexed="81"/>
            <rFont val="Tahoma"/>
            <family val="2"/>
          </rPr>
          <t xml:space="preserve">
No data.
Estimated BR rate</t>
        </r>
      </text>
    </comment>
    <comment ref="CU155" authorId="0" shapeId="0">
      <text>
        <r>
          <rPr>
            <b/>
            <sz val="9"/>
            <color indexed="81"/>
            <rFont val="Tahoma"/>
            <family val="2"/>
          </rPr>
          <t>Cem Dener:</t>
        </r>
        <r>
          <rPr>
            <sz val="9"/>
            <color indexed="81"/>
            <rFont val="Tahoma"/>
            <family val="2"/>
          </rPr>
          <t xml:space="preserve">
adult male citizens age 18 or older (for partial municipal council elections and women to be allowed by 2015)</t>
        </r>
      </text>
    </comment>
    <comment ref="HK155" authorId="6" shapeId="0">
      <text>
        <r>
          <rPr>
            <b/>
            <sz val="9"/>
            <color indexed="81"/>
            <rFont val="Tahoma"/>
            <family val="2"/>
          </rPr>
          <t>Doruk Yarin Kiroglu:</t>
        </r>
        <r>
          <rPr>
            <sz val="9"/>
            <color indexed="81"/>
            <rFont val="Tahoma"/>
            <family val="2"/>
          </rPr>
          <t xml:space="preserve">
No data protection law</t>
        </r>
      </text>
    </comment>
    <comment ref="I156" authorId="0" shapeId="0">
      <text>
        <r>
          <rPr>
            <b/>
            <sz val="9"/>
            <color indexed="81"/>
            <rFont val="Tahoma"/>
            <family val="2"/>
          </rPr>
          <t>Cem Dener:</t>
        </r>
        <r>
          <rPr>
            <sz val="9"/>
            <color indexed="81"/>
            <rFont val="Tahoma"/>
            <family val="2"/>
          </rPr>
          <t xml:space="preserve">
Centre national d'état civil (CNEC), Department of Planning and Local Government (MATCL)</t>
        </r>
      </text>
    </comment>
    <comment ref="K156" authorId="6" shapeId="0">
      <text>
        <r>
          <rPr>
            <b/>
            <sz val="9"/>
            <color indexed="81"/>
            <rFont val="Tahoma"/>
            <family val="2"/>
          </rPr>
          <t>Doruk Yarin Kiroglu:</t>
        </r>
        <r>
          <rPr>
            <sz val="9"/>
            <color indexed="81"/>
            <rFont val="Tahoma"/>
            <family val="2"/>
          </rPr>
          <t xml:space="preserve">
http://anom.archivesnationales.culture.gouv.fr/caomec2/recherche.php?territoire=SENEGAL</t>
        </r>
      </text>
    </comment>
    <comment ref="W156" authorId="6" shapeId="0">
      <text>
        <r>
          <rPr>
            <b/>
            <sz val="9"/>
            <color indexed="81"/>
            <rFont val="Tahoma"/>
            <family val="2"/>
          </rPr>
          <t>Doruk Yarin Kiroglu:</t>
        </r>
        <r>
          <rPr>
            <sz val="9"/>
            <color indexed="81"/>
            <rFont val="Tahoma"/>
            <family val="2"/>
          </rPr>
          <t xml:space="preserve">
6000 FCFA for new issue
1000 FCFA for renewal</t>
        </r>
      </text>
    </comment>
    <comment ref="AL156" authorId="2" shapeId="0">
      <text>
        <r>
          <rPr>
            <b/>
            <sz val="9"/>
            <color indexed="81"/>
            <rFont val="Tahoma"/>
            <family val="2"/>
          </rPr>
          <t>Huan Zhang:</t>
        </r>
        <r>
          <rPr>
            <sz val="9"/>
            <color indexed="81"/>
            <rFont val="Tahoma"/>
            <family val="2"/>
          </rPr>
          <t xml:space="preserve">
De La Rue 
http://www.prnewswire.com/news-releases/de-la-rue-to-provide-east-africas-first-eid-project-84105147.html</t>
        </r>
      </text>
    </comment>
    <comment ref="AM156" authorId="0" shapeId="0">
      <text>
        <r>
          <rPr>
            <b/>
            <sz val="9"/>
            <color indexed="81"/>
            <rFont val="Tahoma"/>
            <family val="2"/>
          </rPr>
          <t>Cem Dener:</t>
        </r>
        <r>
          <rPr>
            <sz val="9"/>
            <color indexed="81"/>
            <rFont val="Tahoma"/>
            <family val="2"/>
          </rPr>
          <t xml:space="preserve">
http://news.ecowas.int/presseshow.php?nb=240&amp;lang=en&amp;annee=2014</t>
        </r>
      </text>
    </comment>
    <comment ref="AU156" authorId="0" shapeId="0">
      <text>
        <r>
          <rPr>
            <b/>
            <sz val="9"/>
            <color indexed="81"/>
            <rFont val="Tahoma"/>
            <family val="2"/>
          </rPr>
          <t>Cem Dener:</t>
        </r>
        <r>
          <rPr>
            <sz val="9"/>
            <color indexed="81"/>
            <rFont val="Tahoma"/>
            <family val="2"/>
          </rPr>
          <t xml:space="preserve">
http://yveslebelge.skynetblogs.be/archive/2007/09/04/passeport-biometriques-au-senegal.html</t>
        </r>
      </text>
    </comment>
    <comment ref="AZ156" authorId="2" shapeId="0">
      <text>
        <r>
          <rPr>
            <b/>
            <sz val="9"/>
            <color indexed="81"/>
            <rFont val="Tahoma"/>
            <family val="2"/>
          </rPr>
          <t>Huan Zhang:</t>
        </r>
        <r>
          <rPr>
            <sz val="9"/>
            <color indexed="81"/>
            <rFont val="Tahoma"/>
            <family val="2"/>
          </rPr>
          <t xml:space="preserve">
The one-stop shop initiated in 2007</t>
        </r>
      </text>
    </comment>
    <comment ref="H157" authorId="0" shapeId="0">
      <text>
        <r>
          <rPr>
            <b/>
            <sz val="9"/>
            <color indexed="81"/>
            <rFont val="Tahoma"/>
            <family val="2"/>
          </rPr>
          <t>Cem Dener:</t>
        </r>
        <r>
          <rPr>
            <sz val="9"/>
            <color indexed="81"/>
            <rFont val="Tahoma"/>
            <family val="2"/>
          </rPr>
          <t xml:space="preserve">
http://www.praxis.org.rs/images/praxis_downloads/Analysis_of_Practical_Application_of_the_Law_on_Non-Contentious_Procedure_-_Determining_the_Date_and_Place_of_Birth.pdf</t>
        </r>
      </text>
    </comment>
    <comment ref="V157" authorId="0" shapeId="0">
      <text>
        <r>
          <rPr>
            <b/>
            <sz val="9"/>
            <color indexed="81"/>
            <rFont val="Tahoma"/>
            <family val="2"/>
          </rPr>
          <t>Cem Dener:</t>
        </r>
        <r>
          <rPr>
            <sz val="9"/>
            <color indexed="81"/>
            <rFont val="Tahoma"/>
            <family val="2"/>
          </rPr>
          <t xml:space="preserve">
Compulsory at 16</t>
        </r>
      </text>
    </comment>
    <comment ref="AH157" authorId="6" shapeId="0">
      <text>
        <r>
          <rPr>
            <b/>
            <sz val="9"/>
            <color indexed="81"/>
            <rFont val="Tahoma"/>
            <family val="2"/>
          </rPr>
          <t>Doruk Yarin Kiroglu:</t>
        </r>
        <r>
          <rPr>
            <sz val="9"/>
            <color indexed="81"/>
            <rFont val="Tahoma"/>
            <family val="2"/>
          </rPr>
          <t xml:space="preserve">
Vehicle registration, Certificate of residence</t>
        </r>
      </text>
    </comment>
    <comment ref="AL157" authorId="2" shapeId="0">
      <text>
        <r>
          <rPr>
            <b/>
            <sz val="9"/>
            <color indexed="81"/>
            <rFont val="Tahoma"/>
            <family val="2"/>
          </rPr>
          <t>Huan Zhang:</t>
        </r>
        <r>
          <rPr>
            <sz val="9"/>
            <color indexed="81"/>
            <rFont val="Tahoma"/>
            <family val="2"/>
          </rPr>
          <t xml:space="preserve">
National Bank od Serbia The Institute for Manufacturing</t>
        </r>
      </text>
    </comment>
    <comment ref="BC157" authorId="6" shapeId="0">
      <text>
        <r>
          <rPr>
            <b/>
            <sz val="9"/>
            <color indexed="81"/>
            <rFont val="Tahoma"/>
            <family val="2"/>
          </rPr>
          <t>Doruk Yarin Kiroglu:</t>
        </r>
        <r>
          <rPr>
            <sz val="9"/>
            <color indexed="81"/>
            <rFont val="Tahoma"/>
            <family val="2"/>
          </rPr>
          <t xml:space="preserve">
Companies act, Article 22
http://www.ebrd.com/downloads/legal/securities/serbbus.pdf</t>
        </r>
      </text>
    </comment>
    <comment ref="AG158" authorId="6" shapeId="0">
      <text>
        <r>
          <rPr>
            <b/>
            <sz val="9"/>
            <color indexed="81"/>
            <rFont val="Tahoma"/>
            <family val="2"/>
          </rPr>
          <t>Cem Dener:</t>
        </r>
        <r>
          <rPr>
            <sz val="9"/>
            <color indexed="81"/>
            <rFont val="Tahoma"/>
            <family val="2"/>
          </rPr>
          <t xml:space="preserve">
http://workspace.unpan.org/sites/Internet/Documents/UNPAN090188.pdf</t>
        </r>
      </text>
    </comment>
    <comment ref="AJ158" authorId="6" shapeId="0">
      <text>
        <r>
          <rPr>
            <b/>
            <sz val="9"/>
            <color indexed="81"/>
            <rFont val="Tahoma"/>
            <family val="2"/>
          </rPr>
          <t>Doruk Yarin Kiroglu:</t>
        </r>
        <r>
          <rPr>
            <sz val="9"/>
            <color indexed="81"/>
            <rFont val="Tahoma"/>
            <family val="2"/>
          </rPr>
          <t xml:space="preserve">
https://eservice.egov.sc/eGateway/public/GatewayConcept.aspx#security</t>
        </r>
      </text>
    </comment>
    <comment ref="AL158" authorId="6" shapeId="0">
      <text>
        <r>
          <rPr>
            <b/>
            <sz val="9"/>
            <color indexed="81"/>
            <rFont val="Tahoma"/>
            <family val="2"/>
          </rPr>
          <t>Doruk Yarin Kiroglu:</t>
        </r>
        <r>
          <rPr>
            <sz val="9"/>
            <color indexed="81"/>
            <rFont val="Tahoma"/>
            <family val="2"/>
          </rPr>
          <t xml:space="preserve">
Unknown</t>
        </r>
      </text>
    </comment>
    <comment ref="AZ158" authorId="6" shapeId="0">
      <text>
        <r>
          <rPr>
            <b/>
            <sz val="9"/>
            <color indexed="81"/>
            <rFont val="Tahoma"/>
            <family val="2"/>
          </rPr>
          <t>Doruk Yarin Kiroglu:</t>
        </r>
        <r>
          <rPr>
            <sz val="9"/>
            <color indexed="81"/>
            <rFont val="Tahoma"/>
            <family val="2"/>
          </rPr>
          <t xml:space="preserve">
1972</t>
        </r>
      </text>
    </comment>
    <comment ref="CG158" authorId="0" shapeId="0">
      <text>
        <r>
          <rPr>
            <b/>
            <sz val="9"/>
            <color indexed="81"/>
            <rFont val="Tahoma"/>
            <family val="2"/>
          </rPr>
          <t>Cem Dener:</t>
        </r>
        <r>
          <rPr>
            <sz val="9"/>
            <color indexed="81"/>
            <rFont val="Tahoma"/>
            <family val="2"/>
          </rPr>
          <t xml:space="preserve">
No data.
Estimated BR rate</t>
        </r>
      </text>
    </comment>
    <comment ref="CH158" authorId="0" shapeId="0">
      <text>
        <r>
          <rPr>
            <b/>
            <sz val="9"/>
            <color indexed="81"/>
            <rFont val="Tahoma"/>
            <family val="2"/>
          </rPr>
          <t>Cem Dener:</t>
        </r>
        <r>
          <rPr>
            <sz val="9"/>
            <color indexed="81"/>
            <rFont val="Tahoma"/>
            <family val="2"/>
          </rPr>
          <t xml:space="preserve">
No data.
Estimated BR rate</t>
        </r>
      </text>
    </comment>
    <comment ref="CI158" authorId="0" shapeId="0">
      <text>
        <r>
          <rPr>
            <b/>
            <sz val="9"/>
            <color indexed="81"/>
            <rFont val="Tahoma"/>
            <family val="2"/>
          </rPr>
          <t>Cem Dener:</t>
        </r>
        <r>
          <rPr>
            <sz val="9"/>
            <color indexed="81"/>
            <rFont val="Tahoma"/>
            <family val="2"/>
          </rPr>
          <t xml:space="preserve">
No data.
Estimated BR rate</t>
        </r>
      </text>
    </comment>
    <comment ref="CS158" authorId="0" shapeId="0">
      <text>
        <r>
          <rPr>
            <b/>
            <sz val="9"/>
            <color indexed="81"/>
            <rFont val="Tahoma"/>
            <family val="2"/>
          </rPr>
          <t>Cem Dener:</t>
        </r>
        <r>
          <rPr>
            <sz val="9"/>
            <color indexed="81"/>
            <rFont val="Tahoma"/>
            <family val="2"/>
          </rPr>
          <t xml:space="preserve">
  http://www.nsb.gov.sc/wp-content/uploads/2015/08/Mid-2015-Population-Bulletin.pdf</t>
        </r>
      </text>
    </comment>
    <comment ref="HM158" authorId="0" shapeId="0">
      <text>
        <r>
          <rPr>
            <b/>
            <sz val="9"/>
            <color indexed="81"/>
            <rFont val="Tahoma"/>
            <family val="2"/>
          </rPr>
          <t>Cem Dener:</t>
        </r>
        <r>
          <rPr>
            <sz val="9"/>
            <color indexed="81"/>
            <rFont val="Tahoma"/>
            <family val="2"/>
          </rPr>
          <t xml:space="preserve">
Act drafted. Not enacted yet (not in force)</t>
        </r>
      </text>
    </comment>
    <comment ref="HP158" authorId="0" shapeId="0">
      <text>
        <r>
          <rPr>
            <b/>
            <sz val="9"/>
            <color indexed="81"/>
            <rFont val="Tahoma"/>
            <family val="2"/>
          </rPr>
          <t>Cem Dener:</t>
        </r>
        <r>
          <rPr>
            <sz val="9"/>
            <color indexed="81"/>
            <rFont val="Tahoma"/>
            <family val="2"/>
          </rPr>
          <t xml:space="preserve">
None (DPA in Act not established)</t>
        </r>
      </text>
    </comment>
    <comment ref="H159" authorId="0" shapeId="0">
      <text>
        <r>
          <rPr>
            <b/>
            <sz val="9"/>
            <color indexed="81"/>
            <rFont val="Tahoma"/>
            <family val="2"/>
          </rPr>
          <t>Cem Dener:</t>
        </r>
        <r>
          <rPr>
            <sz val="9"/>
            <color indexed="81"/>
            <rFont val="Tahoma"/>
            <family val="2"/>
          </rPr>
          <t xml:space="preserve">
http://www.aho.afro.who.int/profiles_information/index.php/TopicView:Civil_registration_and_vital_statistics_systems
http://news.sl/drwebsite/exec/view.cgi?archive=8&amp;num=20636</t>
        </r>
      </text>
    </comment>
    <comment ref="S159" authorId="0" shapeId="0">
      <text>
        <r>
          <rPr>
            <b/>
            <sz val="9"/>
            <color indexed="81"/>
            <rFont val="Tahoma"/>
            <family val="2"/>
          </rPr>
          <t>Cem Dener:</t>
        </r>
        <r>
          <rPr>
            <sz val="9"/>
            <color indexed="81"/>
            <rFont val="Tahoma"/>
            <family val="2"/>
          </rPr>
          <t xml:space="preserve">
http://www.refworld.org/docid/3f7d4e1726.html
http://community.eldis.org/?233@@.59c8bde0!enclosure=.59c8bde1&amp;ad=1</t>
        </r>
      </text>
    </comment>
    <comment ref="AD159" authorId="0" shapeId="0">
      <text>
        <r>
          <rPr>
            <b/>
            <sz val="9"/>
            <color indexed="81"/>
            <rFont val="Tahoma"/>
            <family val="2"/>
          </rPr>
          <t>Cem Dener:</t>
        </r>
        <r>
          <rPr>
            <sz val="9"/>
            <color indexed="81"/>
            <rFont val="Tahoma"/>
            <family val="2"/>
          </rPr>
          <t xml:space="preserve">
http://www.nec-sierraleone.org/IT.html
http://www.sierra-leone.org/Laws/2008-04.pdf</t>
        </r>
      </text>
    </comment>
    <comment ref="AE159" authorId="0" shapeId="0">
      <text>
        <r>
          <rPr>
            <b/>
            <sz val="9"/>
            <color indexed="81"/>
            <rFont val="Tahoma"/>
            <family val="2"/>
          </rPr>
          <t>Cem Dener:</t>
        </r>
        <r>
          <rPr>
            <sz val="9"/>
            <color indexed="81"/>
            <rFont val="Tahoma"/>
            <family val="2"/>
          </rPr>
          <t xml:space="preserve">
Biometric Voter ID Card is expected to be used as National ID.</t>
        </r>
      </text>
    </comment>
    <comment ref="AK159" authorId="6" shapeId="0">
      <text>
        <r>
          <rPr>
            <b/>
            <sz val="9"/>
            <color indexed="81"/>
            <rFont val="Tahoma"/>
            <family val="2"/>
          </rPr>
          <t>Doruk Yarin Kiroglu:</t>
        </r>
        <r>
          <rPr>
            <sz val="9"/>
            <color indexed="81"/>
            <rFont val="Tahoma"/>
            <family val="2"/>
          </rPr>
          <t xml:space="preserve">
http://www.sl.undp.org/content/sierraleone/en/home/presscenter/articles/2014/02/21/civil-registration-to-benefit-citizens-and-improve-service-delivery/</t>
        </r>
      </text>
    </comment>
    <comment ref="AL159" authorId="6" shapeId="0">
      <text>
        <r>
          <rPr>
            <b/>
            <sz val="9"/>
            <color indexed="81"/>
            <rFont val="Tahoma"/>
            <family val="2"/>
          </rPr>
          <t>Doruk Yarin Kiroglu:</t>
        </r>
        <r>
          <rPr>
            <sz val="9"/>
            <color indexed="81"/>
            <rFont val="Tahoma"/>
            <family val="2"/>
          </rPr>
          <t xml:space="preserve">
The Civil Registration Centre of Development - CRC4D</t>
        </r>
      </text>
    </comment>
    <comment ref="AM159" authorId="0" shapeId="0">
      <text>
        <r>
          <rPr>
            <b/>
            <sz val="9"/>
            <color indexed="81"/>
            <rFont val="Tahoma"/>
            <family val="2"/>
          </rPr>
          <t>Cem Dener:</t>
        </r>
        <r>
          <rPr>
            <sz val="9"/>
            <color indexed="81"/>
            <rFont val="Tahoma"/>
            <family val="2"/>
          </rPr>
          <t xml:space="preserve">
http://news.ecowas.int/presseshow.php?nb=240&amp;lang=en&amp;annee=2014
http://community.eldis.org/?233@@.59c8bde0!enclosure=.59c8bde1&amp;ad=1</t>
        </r>
      </text>
    </comment>
    <comment ref="AY159" authorId="6" shapeId="0">
      <text>
        <r>
          <rPr>
            <b/>
            <sz val="9"/>
            <color indexed="81"/>
            <rFont val="Tahoma"/>
            <family val="2"/>
          </rPr>
          <t>Doruk Yarin Kiroglu:</t>
        </r>
        <r>
          <rPr>
            <sz val="9"/>
            <color indexed="81"/>
            <rFont val="Tahoma"/>
            <family val="2"/>
          </rPr>
          <t xml:space="preserve">
No online access
</t>
        </r>
      </text>
    </comment>
    <comment ref="AZ159" authorId="6" shapeId="0">
      <text>
        <r>
          <rPr>
            <b/>
            <sz val="9"/>
            <color indexed="81"/>
            <rFont val="Tahoma"/>
            <family val="2"/>
          </rPr>
          <t>Doruk Yarin Kiroglu:</t>
        </r>
        <r>
          <rPr>
            <sz val="9"/>
            <color indexed="81"/>
            <rFont val="Tahoma"/>
            <family val="2"/>
          </rPr>
          <t xml:space="preserve">
1983</t>
        </r>
      </text>
    </comment>
    <comment ref="HP159" authorId="0" shapeId="0">
      <text>
        <r>
          <rPr>
            <b/>
            <sz val="9"/>
            <color indexed="81"/>
            <rFont val="Tahoma"/>
            <family val="2"/>
          </rPr>
          <t>Cem Dener:</t>
        </r>
        <r>
          <rPr>
            <sz val="9"/>
            <color indexed="81"/>
            <rFont val="Tahoma"/>
            <family val="2"/>
          </rPr>
          <t xml:space="preserve">
None</t>
        </r>
      </text>
    </comment>
    <comment ref="M160" authorId="0" shapeId="0">
      <text>
        <r>
          <rPr>
            <b/>
            <sz val="9"/>
            <color indexed="81"/>
            <rFont val="Tahoma"/>
            <family val="2"/>
          </rPr>
          <t>Cem Dener:</t>
        </r>
        <r>
          <rPr>
            <sz val="9"/>
            <color indexed="81"/>
            <rFont val="Tahoma"/>
            <family val="2"/>
          </rPr>
          <t xml:space="preserve">
Delayed reg: 14 - 42 days
Late reg: after 42 days
</t>
        </r>
      </text>
    </comment>
    <comment ref="W160" authorId="6" shapeId="0">
      <text>
        <r>
          <rPr>
            <b/>
            <sz val="9"/>
            <color indexed="81"/>
            <rFont val="Tahoma"/>
            <family val="2"/>
          </rPr>
          <t>Doruk Yarin Kiroglu:</t>
        </r>
        <r>
          <rPr>
            <sz val="9"/>
            <color indexed="81"/>
            <rFont val="Tahoma"/>
            <family val="2"/>
          </rPr>
          <t xml:space="preserve">
Citizens S$10
Residents S$50</t>
        </r>
      </text>
    </comment>
    <comment ref="AK160" authorId="6" shapeId="0">
      <text>
        <r>
          <rPr>
            <b/>
            <sz val="9"/>
            <color indexed="81"/>
            <rFont val="Tahoma"/>
            <family val="2"/>
          </rPr>
          <t>Doruk Yarin Kiroglu:</t>
        </r>
        <r>
          <rPr>
            <sz val="9"/>
            <color indexed="81"/>
            <rFont val="Tahoma"/>
            <family val="2"/>
          </rPr>
          <t xml:space="preserve">
As reported by the government website.
http://www.egov.gov.sg/documents/10157/6255e751-7119-4d63-b06c-8368c487d378</t>
        </r>
      </text>
    </comment>
    <comment ref="AZ160" authorId="6" shapeId="0">
      <text>
        <r>
          <rPr>
            <b/>
            <sz val="9"/>
            <color indexed="81"/>
            <rFont val="Tahoma"/>
            <family val="2"/>
          </rPr>
          <t>Doruk Yarin Kiroglu:</t>
        </r>
        <r>
          <rPr>
            <sz val="9"/>
            <color indexed="81"/>
            <rFont val="Tahoma"/>
            <family val="2"/>
          </rPr>
          <t xml:space="preserve">
Foundation date for Acra</t>
        </r>
      </text>
    </comment>
    <comment ref="CG160" authorId="0" shapeId="0">
      <text>
        <r>
          <rPr>
            <b/>
            <sz val="9"/>
            <color indexed="81"/>
            <rFont val="Tahoma"/>
            <family val="2"/>
          </rPr>
          <t>Cem Dener:</t>
        </r>
        <r>
          <rPr>
            <sz val="9"/>
            <color indexed="81"/>
            <rFont val="Tahoma"/>
            <family val="2"/>
          </rPr>
          <t xml:space="preserve">
No data.
Estimated BR rate</t>
        </r>
      </text>
    </comment>
    <comment ref="CH160" authorId="0" shapeId="0">
      <text>
        <r>
          <rPr>
            <b/>
            <sz val="9"/>
            <color indexed="81"/>
            <rFont val="Tahoma"/>
            <family val="2"/>
          </rPr>
          <t>Cem Dener:</t>
        </r>
        <r>
          <rPr>
            <sz val="9"/>
            <color indexed="81"/>
            <rFont val="Tahoma"/>
            <family val="2"/>
          </rPr>
          <t xml:space="preserve">
No data.
Estimated BR rate</t>
        </r>
      </text>
    </comment>
    <comment ref="CI160" authorId="0" shapeId="0">
      <text>
        <r>
          <rPr>
            <b/>
            <sz val="9"/>
            <color indexed="81"/>
            <rFont val="Tahoma"/>
            <family val="2"/>
          </rPr>
          <t>Cem Dener:</t>
        </r>
        <r>
          <rPr>
            <sz val="9"/>
            <color indexed="81"/>
            <rFont val="Tahoma"/>
            <family val="2"/>
          </rPr>
          <t xml:space="preserve">
No data.
Estimated BR rate</t>
        </r>
      </text>
    </comment>
    <comment ref="CN160" authorId="0" shapeId="0">
      <text>
        <r>
          <rPr>
            <b/>
            <sz val="9"/>
            <color indexed="81"/>
            <rFont val="Tahoma"/>
            <family val="2"/>
          </rPr>
          <t>Cem Dener:</t>
        </r>
        <r>
          <rPr>
            <sz val="9"/>
            <color indexed="81"/>
            <rFont val="Tahoma"/>
            <family val="2"/>
          </rPr>
          <t xml:space="preserve">
Residents</t>
        </r>
      </text>
    </comment>
    <comment ref="CS160" authorId="0" shapeId="0">
      <text>
        <r>
          <rPr>
            <b/>
            <sz val="9"/>
            <color indexed="81"/>
            <rFont val="Tahoma"/>
            <family val="2"/>
          </rPr>
          <t>Cem Dener:</t>
        </r>
        <r>
          <rPr>
            <sz val="9"/>
            <color indexed="81"/>
            <rFont val="Tahoma"/>
            <family val="2"/>
          </rPr>
          <t xml:space="preserve">
http://www.eld.gov.sg/press_archive_RE2015.html  </t>
        </r>
      </text>
    </comment>
    <comment ref="C161" authorId="0" shapeId="0">
      <text>
        <r>
          <rPr>
            <b/>
            <sz val="9"/>
            <color indexed="81"/>
            <rFont val="Tahoma"/>
            <family val="2"/>
          </rPr>
          <t>Cem Dener:</t>
        </r>
        <r>
          <rPr>
            <sz val="9"/>
            <color indexed="81"/>
            <rFont val="Tahoma"/>
            <family val="2"/>
          </rPr>
          <t xml:space="preserve">
Slovakia</t>
        </r>
      </text>
    </comment>
    <comment ref="AE161" authorId="0" shapeId="0">
      <text>
        <r>
          <rPr>
            <b/>
            <sz val="9"/>
            <color indexed="81"/>
            <rFont val="Tahoma"/>
            <family val="2"/>
          </rPr>
          <t>Cem Dener:</t>
        </r>
        <r>
          <rPr>
            <sz val="9"/>
            <color indexed="81"/>
            <rFont val="Tahoma"/>
            <family val="2"/>
          </rPr>
          <t xml:space="preserve">
First introduced in 2008.
Rollout will be completed in 3 years</t>
        </r>
      </text>
    </comment>
    <comment ref="AX161" authorId="6" shapeId="0">
      <text>
        <r>
          <rPr>
            <b/>
            <sz val="9"/>
            <color indexed="81"/>
            <rFont val="Tahoma"/>
            <family val="2"/>
          </rPr>
          <t>Doruk Yarin Kiroglu:</t>
        </r>
        <r>
          <rPr>
            <sz val="9"/>
            <color indexed="81"/>
            <rFont val="Tahoma"/>
            <family val="2"/>
          </rPr>
          <t xml:space="preserve">
e-ID can be used to travel to EU countries</t>
        </r>
      </text>
    </comment>
    <comment ref="BC161" authorId="6" shapeId="0">
      <text>
        <r>
          <rPr>
            <b/>
            <sz val="9"/>
            <color indexed="81"/>
            <rFont val="Tahoma"/>
            <family val="2"/>
          </rPr>
          <t>Doruk Yarin Kiroglu:</t>
        </r>
        <r>
          <rPr>
            <sz val="9"/>
            <color indexed="81"/>
            <rFont val="Tahoma"/>
            <family val="2"/>
          </rPr>
          <t xml:space="preserve">
http://sk.wikipedia.org/wiki/Identifika%C4%8Dn%C3%A9_%C4%8D%C3%ADslo_organiz%C3%A1cie</t>
        </r>
      </text>
    </comment>
    <comment ref="W162" authorId="0" shapeId="0">
      <text>
        <r>
          <rPr>
            <b/>
            <sz val="9"/>
            <color indexed="81"/>
            <rFont val="Tahoma"/>
            <family val="2"/>
          </rPr>
          <t>Cem Dener:</t>
        </r>
        <r>
          <rPr>
            <sz val="9"/>
            <color indexed="81"/>
            <rFont val="Tahoma"/>
            <family val="2"/>
          </rPr>
          <t xml:space="preserve">
€12.43 (children under the age of 3) / €14.25 (children aged 3–18) / €18.77 (applicants aged 18 and over)</t>
        </r>
      </text>
    </comment>
    <comment ref="AL162" authorId="6" shapeId="0">
      <text>
        <r>
          <rPr>
            <b/>
            <sz val="9"/>
            <color indexed="81"/>
            <rFont val="Tahoma"/>
            <family val="2"/>
          </rPr>
          <t>Doruk Yarin Kiroglu:</t>
        </r>
        <r>
          <rPr>
            <sz val="9"/>
            <color indexed="81"/>
            <rFont val="Tahoma"/>
            <family val="2"/>
          </rPr>
          <t xml:space="preserve">
CETIS</t>
        </r>
      </text>
    </comment>
    <comment ref="AX162" authorId="6" shapeId="0">
      <text>
        <r>
          <rPr>
            <b/>
            <sz val="9"/>
            <color indexed="81"/>
            <rFont val="Tahoma"/>
            <family val="2"/>
          </rPr>
          <t>Doruk Yarin Kiroglu:</t>
        </r>
        <r>
          <rPr>
            <sz val="9"/>
            <color indexed="81"/>
            <rFont val="Tahoma"/>
            <family val="2"/>
          </rPr>
          <t xml:space="preserve">
e-ID can be used to travel to EU countries</t>
        </r>
      </text>
    </comment>
    <comment ref="AZ162" authorId="6" shapeId="0">
      <text>
        <r>
          <rPr>
            <b/>
            <sz val="9"/>
            <color indexed="81"/>
            <rFont val="Tahoma"/>
            <family val="2"/>
          </rPr>
          <t>Doruk Yarin Kiroglu:</t>
        </r>
        <r>
          <rPr>
            <sz val="9"/>
            <color indexed="81"/>
            <rFont val="Tahoma"/>
            <family val="2"/>
          </rPr>
          <t xml:space="preserve">
2002</t>
        </r>
      </text>
    </comment>
    <comment ref="H163" authorId="0" shapeId="0">
      <text>
        <r>
          <rPr>
            <b/>
            <sz val="9"/>
            <color indexed="81"/>
            <rFont val="Tahoma"/>
            <family val="2"/>
          </rPr>
          <t>Cem Dener:</t>
        </r>
        <r>
          <rPr>
            <sz val="9"/>
            <color indexed="81"/>
            <rFont val="Tahoma"/>
            <family val="2"/>
          </rPr>
          <t xml:space="preserve">
http://www.pmc.gov.sb/</t>
        </r>
      </text>
    </comment>
    <comment ref="I163" authorId="0" shapeId="0">
      <text>
        <r>
          <rPr>
            <b/>
            <sz val="9"/>
            <color indexed="81"/>
            <rFont val="Tahoma"/>
            <family val="2"/>
          </rPr>
          <t>Cem Dener:</t>
        </r>
        <r>
          <rPr>
            <sz val="9"/>
            <color indexed="81"/>
            <rFont val="Tahoma"/>
            <family val="2"/>
          </rPr>
          <t xml:space="preserve">
New system was launched in Feb 2014</t>
        </r>
      </text>
    </comment>
    <comment ref="K163" authorId="6" shapeId="0">
      <text>
        <r>
          <rPr>
            <b/>
            <sz val="9"/>
            <color indexed="81"/>
            <rFont val="Tahoma"/>
            <family val="2"/>
          </rPr>
          <t>Doruk Yarin Kiroglu:</t>
        </r>
        <r>
          <rPr>
            <sz val="9"/>
            <color indexed="81"/>
            <rFont val="Tahoma"/>
            <family val="2"/>
          </rPr>
          <t xml:space="preserve">
http://www.parliament.gov.sb/files/legislation/Acts/1988/BIRTHS%20AND%20DEATHS%20(REGISTRATION)%20ACT%201988.pdf</t>
        </r>
      </text>
    </comment>
    <comment ref="AM163" authorId="0" shapeId="0">
      <text>
        <r>
          <rPr>
            <b/>
            <sz val="9"/>
            <color indexed="81"/>
            <rFont val="Tahoma"/>
            <family val="2"/>
          </rPr>
          <t>Cem Dener:</t>
        </r>
        <r>
          <rPr>
            <sz val="9"/>
            <color indexed="81"/>
            <rFont val="Tahoma"/>
            <family val="2"/>
          </rPr>
          <t xml:space="preserve">
http://www.biometricupdate.com/201307/solomon-islands-gets-biometric-voter-registration-kits-from-esi</t>
        </r>
      </text>
    </comment>
    <comment ref="AN163" authorId="6" shapeId="0">
      <text>
        <r>
          <rPr>
            <b/>
            <sz val="9"/>
            <color indexed="81"/>
            <rFont val="Tahoma"/>
            <family val="2"/>
          </rPr>
          <t>Doruk Yarin Kiroglu:</t>
        </r>
        <r>
          <rPr>
            <sz val="9"/>
            <color indexed="81"/>
            <rFont val="Tahoma"/>
            <family val="2"/>
          </rPr>
          <t xml:space="preserve">
http://www.abc.net.au/news/2014-03-20/an-allegations-of-widespread-fraud-ahead-of-solomon-islands-ele/5333882</t>
        </r>
      </text>
    </comment>
    <comment ref="AQ163" authorId="6" shapeId="0">
      <text>
        <r>
          <rPr>
            <b/>
            <sz val="9"/>
            <color indexed="81"/>
            <rFont val="Tahoma"/>
            <family val="2"/>
          </rPr>
          <t>Doruk Yarin Kiroglu:</t>
        </r>
        <r>
          <rPr>
            <sz val="9"/>
            <color indexed="81"/>
            <rFont val="Tahoma"/>
            <family val="2"/>
          </rPr>
          <t xml:space="preserve">
Passport Bill, 2011
http://www.parliament.gov.sb/files/legislation/9th%20Parliament/Bills/2012/Passports%20Bill%202011.pdf</t>
        </r>
      </text>
    </comment>
    <comment ref="CG163" authorId="0" shapeId="0">
      <text>
        <r>
          <rPr>
            <b/>
            <sz val="9"/>
            <color indexed="81"/>
            <rFont val="Tahoma"/>
            <family val="2"/>
          </rPr>
          <t>Cem Dener:</t>
        </r>
        <r>
          <rPr>
            <sz val="9"/>
            <color indexed="81"/>
            <rFont val="Tahoma"/>
            <family val="2"/>
          </rPr>
          <t xml:space="preserve">
No data.
Estimated BR rate</t>
        </r>
      </text>
    </comment>
    <comment ref="CH163" authorId="0" shapeId="0">
      <text>
        <r>
          <rPr>
            <b/>
            <sz val="9"/>
            <color indexed="81"/>
            <rFont val="Tahoma"/>
            <family val="2"/>
          </rPr>
          <t>Cem Dener:</t>
        </r>
        <r>
          <rPr>
            <sz val="9"/>
            <color indexed="81"/>
            <rFont val="Tahoma"/>
            <family val="2"/>
          </rPr>
          <t xml:space="preserve">
No data.
Estimated BR rate</t>
        </r>
      </text>
    </comment>
    <comment ref="CI163" authorId="0" shapeId="0">
      <text>
        <r>
          <rPr>
            <b/>
            <sz val="9"/>
            <color indexed="81"/>
            <rFont val="Tahoma"/>
            <family val="2"/>
          </rPr>
          <t>Cem Dener:</t>
        </r>
        <r>
          <rPr>
            <sz val="9"/>
            <color indexed="81"/>
            <rFont val="Tahoma"/>
            <family val="2"/>
          </rPr>
          <t xml:space="preserve">
No data.
Estimated BR rate</t>
        </r>
      </text>
    </comment>
    <comment ref="CM163" authorId="0" shapeId="0">
      <text>
        <r>
          <rPr>
            <b/>
            <sz val="9"/>
            <color indexed="81"/>
            <rFont val="Tahoma"/>
            <family val="2"/>
          </rPr>
          <t>Cem Dener:</t>
        </r>
        <r>
          <rPr>
            <sz val="9"/>
            <color indexed="81"/>
            <rFont val="Tahoma"/>
            <family val="2"/>
          </rPr>
          <t xml:space="preserve">
http://www.unicef.org/pacificislands/Look_Back_Moving_Forward.pdf</t>
        </r>
      </text>
    </comment>
    <comment ref="HK163" authorId="6" shapeId="0">
      <text>
        <r>
          <rPr>
            <b/>
            <sz val="9"/>
            <color indexed="81"/>
            <rFont val="Tahoma"/>
            <family val="2"/>
          </rPr>
          <t>Doruk Yarin Kiroglu:</t>
        </r>
        <r>
          <rPr>
            <sz val="9"/>
            <color indexed="81"/>
            <rFont val="Tahoma"/>
            <family val="2"/>
          </rPr>
          <t xml:space="preserve">
No data protection law</t>
        </r>
      </text>
    </comment>
    <comment ref="O164" authorId="0" shapeId="0">
      <text>
        <r>
          <rPr>
            <b/>
            <sz val="9"/>
            <color indexed="81"/>
            <rFont val="Tahoma"/>
            <family val="2"/>
          </rPr>
          <t>Cem Dener:</t>
        </r>
        <r>
          <rPr>
            <sz val="9"/>
            <color indexed="81"/>
            <rFont val="Tahoma"/>
            <family val="2"/>
          </rPr>
          <t xml:space="preserve">
http://www.refworld.org/docid/49b92b245.html</t>
        </r>
      </text>
    </comment>
    <comment ref="AD164" authorId="0" shapeId="0">
      <text>
        <r>
          <rPr>
            <b/>
            <sz val="9"/>
            <color indexed="81"/>
            <rFont val="Tahoma"/>
            <family val="2"/>
          </rPr>
          <t>Cem Dener:</t>
        </r>
        <r>
          <rPr>
            <sz val="9"/>
            <color indexed="81"/>
            <rFont val="Tahoma"/>
            <family val="2"/>
          </rPr>
          <t xml:space="preserve">
http://www.hidglobal.com/press-releases/somalia-introduces-new-secure-national-id-and-e-passport-hid-global-and-their</t>
        </r>
      </text>
    </comment>
    <comment ref="AE164" authorId="0" shapeId="0">
      <text>
        <r>
          <rPr>
            <b/>
            <sz val="9"/>
            <color indexed="81"/>
            <rFont val="Tahoma"/>
            <family val="2"/>
          </rPr>
          <t>Cem Dener:</t>
        </r>
        <r>
          <rPr>
            <sz val="9"/>
            <color indexed="81"/>
            <rFont val="Tahoma"/>
            <family val="2"/>
          </rPr>
          <t xml:space="preserve">
Launched in 2008</t>
        </r>
      </text>
    </comment>
    <comment ref="AM164" authorId="0" shapeId="0">
      <text>
        <r>
          <rPr>
            <b/>
            <sz val="9"/>
            <color indexed="81"/>
            <rFont val="Tahoma"/>
            <family val="2"/>
          </rPr>
          <t>Cem Dener:</t>
        </r>
        <r>
          <rPr>
            <sz val="9"/>
            <color indexed="81"/>
            <rFont val="Tahoma"/>
            <family val="2"/>
          </rPr>
          <t xml:space="preserve">
http://finance.yahoo.com/news/somalia-introduces-secure-national-id-070300162.html</t>
        </r>
      </text>
    </comment>
    <comment ref="AQ164" authorId="6" shapeId="0">
      <text>
        <r>
          <rPr>
            <b/>
            <sz val="9"/>
            <color indexed="81"/>
            <rFont val="Tahoma"/>
            <family val="2"/>
          </rPr>
          <t>Doruk Yarin Kiroglu:</t>
        </r>
        <r>
          <rPr>
            <sz val="9"/>
            <color indexed="81"/>
            <rFont val="Tahoma"/>
            <family val="2"/>
          </rPr>
          <t xml:space="preserve">
http://www.wikiprocedure.com/index.php/Somalia_-_Apply_for_a_passport</t>
        </r>
      </text>
    </comment>
    <comment ref="AU164" authorId="0" shapeId="0">
      <text>
        <r>
          <rPr>
            <b/>
            <sz val="9"/>
            <color indexed="81"/>
            <rFont val="Tahoma"/>
            <family val="2"/>
          </rPr>
          <t>Cem Dener:</t>
        </r>
        <r>
          <rPr>
            <sz val="9"/>
            <color indexed="81"/>
            <rFont val="Tahoma"/>
            <family val="2"/>
          </rPr>
          <t xml:space="preserve">
New e-Passport launched in 2013</t>
        </r>
      </text>
    </comment>
    <comment ref="AY164" authorId="6" shapeId="0">
      <text>
        <r>
          <rPr>
            <b/>
            <sz val="9"/>
            <color indexed="81"/>
            <rFont val="Tahoma"/>
            <family val="2"/>
          </rPr>
          <t>Doruk Yarin Kiroglu:</t>
        </r>
        <r>
          <rPr>
            <sz val="9"/>
            <color indexed="81"/>
            <rFont val="Tahoma"/>
            <family val="2"/>
          </rPr>
          <t xml:space="preserve">
No automated online registry. Business registry handled by Ministry of Commerce
</t>
        </r>
      </text>
    </comment>
    <comment ref="AZ164" authorId="6" shapeId="0">
      <text>
        <r>
          <rPr>
            <b/>
            <sz val="9"/>
            <color indexed="81"/>
            <rFont val="Tahoma"/>
            <family val="2"/>
          </rPr>
          <t>Doruk Yarin Kiroglu:</t>
        </r>
        <r>
          <rPr>
            <sz val="9"/>
            <color indexed="81"/>
            <rFont val="Tahoma"/>
            <family val="2"/>
          </rPr>
          <t xml:space="preserve">
1991
http://www.somalilandlaw.com/commercial_law.htm</t>
        </r>
      </text>
    </comment>
    <comment ref="DY164" authorId="0" shapeId="0">
      <text>
        <r>
          <rPr>
            <b/>
            <sz val="9"/>
            <color indexed="81"/>
            <rFont val="Tahoma"/>
            <family val="2"/>
          </rPr>
          <t>Cem Dener:</t>
        </r>
        <r>
          <rPr>
            <sz val="9"/>
            <color indexed="81"/>
            <rFont val="Tahoma"/>
            <family val="2"/>
          </rPr>
          <t xml:space="preserve">
UNDP
http://www.so.undp.org/content/somalia/en/home/countryinfo/</t>
        </r>
      </text>
    </comment>
    <comment ref="EE164" authorId="0" shapeId="0">
      <text>
        <r>
          <rPr>
            <b/>
            <sz val="9"/>
            <color indexed="81"/>
            <rFont val="Tahoma"/>
            <family val="2"/>
          </rPr>
          <t>Cem Dener:</t>
        </r>
        <r>
          <rPr>
            <sz val="9"/>
            <color indexed="81"/>
            <rFont val="Tahoma"/>
            <family val="2"/>
          </rPr>
          <t xml:space="preserve">
UNDP
http://www.so.undp.org/content/somalia/en/home/countryinfo/</t>
        </r>
      </text>
    </comment>
    <comment ref="HK164" authorId="6" shapeId="0">
      <text>
        <r>
          <rPr>
            <b/>
            <sz val="9"/>
            <color indexed="81"/>
            <rFont val="Tahoma"/>
            <family val="2"/>
          </rPr>
          <t>Doruk Yarin Kiroglu:</t>
        </r>
        <r>
          <rPr>
            <sz val="9"/>
            <color indexed="81"/>
            <rFont val="Tahoma"/>
            <family val="2"/>
          </rPr>
          <t xml:space="preserve">
No data protection law</t>
        </r>
      </text>
    </comment>
    <comment ref="H165" authorId="0" shapeId="0">
      <text>
        <r>
          <rPr>
            <b/>
            <sz val="9"/>
            <color indexed="81"/>
            <rFont val="Tahoma"/>
            <family val="2"/>
          </rPr>
          <t>Cem Dener:</t>
        </r>
        <r>
          <rPr>
            <sz val="9"/>
            <color indexed="81"/>
            <rFont val="Tahoma"/>
            <family val="2"/>
          </rPr>
          <t xml:space="preserve">
http://www.home-affairs.gov.za/</t>
        </r>
      </text>
    </comment>
    <comment ref="I165" authorId="0" shapeId="0">
      <text>
        <r>
          <rPr>
            <b/>
            <sz val="9"/>
            <color indexed="81"/>
            <rFont val="Tahoma"/>
            <family val="2"/>
          </rPr>
          <t>Cem Dener:</t>
        </r>
        <r>
          <rPr>
            <sz val="9"/>
            <color indexed="81"/>
            <rFont val="Tahoma"/>
            <family val="2"/>
          </rPr>
          <t xml:space="preserve">
Agincourt Health and Demographic Surveillance System (HDSS)</t>
        </r>
      </text>
    </comment>
    <comment ref="M165" authorId="0" shapeId="0">
      <text>
        <r>
          <rPr>
            <b/>
            <sz val="9"/>
            <color indexed="81"/>
            <rFont val="Tahoma"/>
            <family val="2"/>
          </rPr>
          <t>Cem Dener:</t>
        </r>
        <r>
          <rPr>
            <sz val="9"/>
            <color indexed="81"/>
            <rFont val="Tahoma"/>
            <family val="2"/>
          </rPr>
          <t xml:space="preserve">
Late reg categories:
&gt; 30 d - 1 year
&gt; 1 y - 15 years
&gt; 15 years and older (Follows new LRB process)</t>
        </r>
      </text>
    </comment>
    <comment ref="AH165" authorId="0" shapeId="0">
      <text>
        <r>
          <rPr>
            <b/>
            <sz val="9"/>
            <color indexed="81"/>
            <rFont val="Tahoma"/>
            <family val="2"/>
          </rPr>
          <t>Cem Dener:</t>
        </r>
        <r>
          <rPr>
            <sz val="9"/>
            <color indexed="81"/>
            <rFont val="Tahoma"/>
            <family val="2"/>
          </rPr>
          <t xml:space="preserve">
Licences, National Health Insurance, Social grants</t>
        </r>
      </text>
    </comment>
    <comment ref="AK165" authorId="6" shapeId="0">
      <text>
        <r>
          <rPr>
            <b/>
            <sz val="9"/>
            <color indexed="81"/>
            <rFont val="Tahoma"/>
            <family val="2"/>
          </rPr>
          <t>Doruk Yarin Kiroglu:</t>
        </r>
        <r>
          <rPr>
            <sz val="9"/>
            <color indexed="81"/>
            <rFont val="Tahoma"/>
            <family val="2"/>
          </rPr>
          <t xml:space="preserve">
Government planning to replace all old ID cards within 7 years of initiation
http://mg.co.za/article/2014-02-01-smart-id-roll-out-begins</t>
        </r>
      </text>
    </comment>
    <comment ref="AM165" authorId="0" shapeId="0">
      <text>
        <r>
          <rPr>
            <b/>
            <sz val="9"/>
            <color indexed="81"/>
            <rFont val="Tahoma"/>
            <family val="2"/>
          </rPr>
          <t>Cem Dener:</t>
        </r>
        <r>
          <rPr>
            <sz val="9"/>
            <color indexed="81"/>
            <rFont val="Tahoma"/>
            <family val="2"/>
          </rPr>
          <t xml:space="preserve">
http://www.smartpaymentassociation.com/en/news_events/latest_news/smart-payment-association-spa-welcomes-tr%C3%BCb-ag-as-_hxpx6922.html</t>
        </r>
      </text>
    </comment>
    <comment ref="AU165" authorId="6" shapeId="0">
      <text>
        <r>
          <rPr>
            <b/>
            <sz val="9"/>
            <color indexed="81"/>
            <rFont val="Tahoma"/>
            <family val="2"/>
          </rPr>
          <t>Cem Dener:</t>
        </r>
        <r>
          <rPr>
            <sz val="9"/>
            <color indexed="81"/>
            <rFont val="Tahoma"/>
            <family val="2"/>
          </rPr>
          <t xml:space="preserve">
New passports (2009) ICAO compliant
http://en.wikipedia.org/wiki/South_African_passport
http://www.dha.gov.za/index.php/civic-services/travel-documents</t>
        </r>
      </text>
    </comment>
    <comment ref="BC165" authorId="6" shapeId="0">
      <text>
        <r>
          <rPr>
            <b/>
            <sz val="9"/>
            <color indexed="81"/>
            <rFont val="Tahoma"/>
            <family val="2"/>
          </rPr>
          <t>Doruk Yarin Kiroglu:</t>
        </r>
        <r>
          <rPr>
            <sz val="9"/>
            <color indexed="81"/>
            <rFont val="Tahoma"/>
            <family val="2"/>
          </rPr>
          <t xml:space="preserve">
Companies act
http://www.justice.gov.za/legislation/acts/2008-071amended.pdf</t>
        </r>
      </text>
    </comment>
    <comment ref="CG165" authorId="0" shapeId="0">
      <text>
        <r>
          <rPr>
            <b/>
            <sz val="9"/>
            <color indexed="81"/>
            <rFont val="Tahoma"/>
            <family val="2"/>
          </rPr>
          <t>Cem Dener:</t>
        </r>
        <r>
          <rPr>
            <sz val="9"/>
            <color indexed="81"/>
            <rFont val="Tahoma"/>
            <family val="2"/>
          </rPr>
          <t xml:space="preserve">
No data.
Estimated BR rate</t>
        </r>
      </text>
    </comment>
    <comment ref="CH165" authorId="0" shapeId="0">
      <text>
        <r>
          <rPr>
            <b/>
            <sz val="9"/>
            <color indexed="81"/>
            <rFont val="Tahoma"/>
            <family val="2"/>
          </rPr>
          <t>Cem Dener:</t>
        </r>
        <r>
          <rPr>
            <sz val="9"/>
            <color indexed="81"/>
            <rFont val="Tahoma"/>
            <family val="2"/>
          </rPr>
          <t xml:space="preserve">
No data.
Estimated BR rate</t>
        </r>
      </text>
    </comment>
    <comment ref="CI165" authorId="0" shapeId="0">
      <text>
        <r>
          <rPr>
            <b/>
            <sz val="9"/>
            <color indexed="81"/>
            <rFont val="Tahoma"/>
            <family val="2"/>
          </rPr>
          <t>Cem Dener:</t>
        </r>
        <r>
          <rPr>
            <sz val="9"/>
            <color indexed="81"/>
            <rFont val="Tahoma"/>
            <family val="2"/>
          </rPr>
          <t xml:space="preserve">
No data.
Estimated BR rate</t>
        </r>
      </text>
    </comment>
    <comment ref="HP165" authorId="0" shapeId="0">
      <text>
        <r>
          <rPr>
            <b/>
            <sz val="9"/>
            <color indexed="81"/>
            <rFont val="Tahoma"/>
            <family val="2"/>
          </rPr>
          <t>Cem Dener:</t>
        </r>
        <r>
          <rPr>
            <sz val="9"/>
            <color indexed="81"/>
            <rFont val="Tahoma"/>
            <family val="2"/>
          </rPr>
          <t xml:space="preserve">
None</t>
        </r>
      </text>
    </comment>
    <comment ref="H166" authorId="0" shapeId="0">
      <text>
        <r>
          <rPr>
            <b/>
            <sz val="9"/>
            <color indexed="81"/>
            <rFont val="Tahoma"/>
            <family val="2"/>
          </rPr>
          <t>Cem Dener:</t>
        </r>
        <r>
          <rPr>
            <sz val="9"/>
            <color indexed="81"/>
            <rFont val="Tahoma"/>
            <family val="2"/>
          </rPr>
          <t xml:space="preserve">
http://www.sudantribune.com/spip.php?article45509</t>
        </r>
      </text>
    </comment>
    <comment ref="K166" authorId="0" shapeId="0">
      <text>
        <r>
          <rPr>
            <b/>
            <sz val="9"/>
            <color indexed="81"/>
            <rFont val="Tahoma"/>
            <family val="2"/>
          </rPr>
          <t>Cem Dener:</t>
        </r>
        <r>
          <rPr>
            <sz val="9"/>
            <color indexed="81"/>
            <rFont val="Tahoma"/>
            <family val="2"/>
          </rPr>
          <t xml:space="preserve">
http://www.sudantribune.com/spip.php?article45509</t>
        </r>
      </text>
    </comment>
    <comment ref="AD166" authorId="0" shapeId="0">
      <text>
        <r>
          <rPr>
            <b/>
            <sz val="9"/>
            <color indexed="81"/>
            <rFont val="Tahoma"/>
            <family val="2"/>
          </rPr>
          <t>Cem Dener:</t>
        </r>
        <r>
          <rPr>
            <sz val="9"/>
            <color indexed="81"/>
            <rFont val="Tahoma"/>
            <family val="2"/>
          </rPr>
          <t xml:space="preserve">
http://www.sudantribune.com/spip.php?article41183
http://www.gurtong.net/ECM/Editorial/tabid/124/ctl/ArticleView/mid/519/articleId/6260/National-Identity-Cards-Launched.aspx</t>
        </r>
      </text>
    </comment>
    <comment ref="AE166" authorId="0" shapeId="0">
      <text>
        <r>
          <rPr>
            <b/>
            <sz val="9"/>
            <color indexed="81"/>
            <rFont val="Tahoma"/>
            <family val="2"/>
          </rPr>
          <t>Cem Dener:</t>
        </r>
        <r>
          <rPr>
            <sz val="9"/>
            <color indexed="81"/>
            <rFont val="Tahoma"/>
            <family val="2"/>
          </rPr>
          <t xml:space="preserve">
Launched in 2012</t>
        </r>
      </text>
    </comment>
    <comment ref="AL166" authorId="0" shapeId="0">
      <text>
        <r>
          <rPr>
            <b/>
            <sz val="9"/>
            <color indexed="81"/>
            <rFont val="Tahoma"/>
            <family val="2"/>
          </rPr>
          <t>Cem Dener:</t>
        </r>
        <r>
          <rPr>
            <sz val="9"/>
            <color indexed="81"/>
            <rFont val="Tahoma"/>
            <family val="2"/>
          </rPr>
          <t xml:space="preserve">
Mühlbauer Group</t>
        </r>
      </text>
    </comment>
    <comment ref="AM166" authorId="0" shapeId="0">
      <text>
        <r>
          <rPr>
            <b/>
            <sz val="9"/>
            <color indexed="81"/>
            <rFont val="Tahoma"/>
            <family val="2"/>
          </rPr>
          <t>Cem Dener:</t>
        </r>
        <r>
          <rPr>
            <sz val="9"/>
            <color indexed="81"/>
            <rFont val="Tahoma"/>
            <family val="2"/>
          </rPr>
          <t xml:space="preserve">
http://southsudanngoforum.org/wp-content/uploads/2012/05/South%20Sudanese%20nationality%20ID%20Presentation%20.pdf
http://www.cto.int/media/events/pst-ev/2013/e-Gove/Matthias%20K.%20Kohler.pdf
</t>
        </r>
      </text>
    </comment>
    <comment ref="AQ166" authorId="6" shapeId="0">
      <text>
        <r>
          <rPr>
            <b/>
            <sz val="9"/>
            <color indexed="81"/>
            <rFont val="Tahoma"/>
            <family val="2"/>
          </rPr>
          <t>Doruk Yarin Kiroglu:</t>
        </r>
        <r>
          <rPr>
            <sz val="9"/>
            <color indexed="81"/>
            <rFont val="Tahoma"/>
            <family val="2"/>
          </rPr>
          <t xml:space="preserve">
No official webpage
http://en.wikipedia.org/wiki/South_Sudanese_passport</t>
        </r>
      </text>
    </comment>
    <comment ref="CS166" authorId="0" shapeId="0">
      <text>
        <r>
          <rPr>
            <b/>
            <sz val="9"/>
            <color indexed="81"/>
            <rFont val="Tahoma"/>
            <family val="2"/>
          </rPr>
          <t>Cem Dener:</t>
        </r>
        <r>
          <rPr>
            <sz val="9"/>
            <color indexed="81"/>
            <rFont val="Tahoma"/>
            <family val="2"/>
          </rPr>
          <t xml:space="preserve">
http://www.bbc.com/news/world-africa-12317927</t>
        </r>
      </text>
    </comment>
    <comment ref="DY166" authorId="0" shapeId="0">
      <text>
        <r>
          <rPr>
            <b/>
            <sz val="9"/>
            <color indexed="81"/>
            <rFont val="Tahoma"/>
            <family val="2"/>
          </rPr>
          <t>Cem Dener:</t>
        </r>
        <r>
          <rPr>
            <sz val="9"/>
            <color indexed="81"/>
            <rFont val="Tahoma"/>
            <family val="2"/>
          </rPr>
          <t xml:space="preserve">
https://docs.unocha.org/sites/dms/SouthSudan/South_Sudan_Media_Briefing_Pack/South%20Sudan%20humanitarian%20and%20development%20statistics%20-%20December%202013.pdf</t>
        </r>
      </text>
    </comment>
    <comment ref="EB166" authorId="0" shapeId="0">
      <text>
        <r>
          <rPr>
            <b/>
            <sz val="9"/>
            <color indexed="81"/>
            <rFont val="Tahoma"/>
            <family val="2"/>
          </rPr>
          <t>Cem Dener:</t>
        </r>
        <r>
          <rPr>
            <sz val="9"/>
            <color indexed="81"/>
            <rFont val="Tahoma"/>
            <family val="2"/>
          </rPr>
          <t xml:space="preserve">
http://ssnbs.org/</t>
        </r>
      </text>
    </comment>
    <comment ref="HK166" authorId="6" shapeId="0">
      <text>
        <r>
          <rPr>
            <b/>
            <sz val="9"/>
            <color indexed="81"/>
            <rFont val="Tahoma"/>
            <family val="2"/>
          </rPr>
          <t>Doruk Yarin Kiroglu:</t>
        </r>
        <r>
          <rPr>
            <sz val="9"/>
            <color indexed="81"/>
            <rFont val="Tahoma"/>
            <family val="2"/>
          </rPr>
          <t xml:space="preserve">
No data protection law</t>
        </r>
      </text>
    </comment>
    <comment ref="M167" authorId="0" shapeId="0">
      <text>
        <r>
          <rPr>
            <b/>
            <sz val="9"/>
            <color indexed="81"/>
            <rFont val="Tahoma"/>
            <family val="2"/>
          </rPr>
          <t>Cem Dener:</t>
        </r>
        <r>
          <rPr>
            <sz val="9"/>
            <color indexed="81"/>
            <rFont val="Tahoma"/>
            <family val="2"/>
          </rPr>
          <t xml:space="preserve">
Delayed reg: up to 30 days
Late reg: after 30 days
</t>
        </r>
      </text>
    </comment>
    <comment ref="AD167" authorId="0" shapeId="0">
      <text>
        <r>
          <rPr>
            <b/>
            <sz val="9"/>
            <color indexed="81"/>
            <rFont val="Tahoma"/>
            <family val="2"/>
          </rPr>
          <t>Cem Dener:</t>
        </r>
        <r>
          <rPr>
            <sz val="9"/>
            <color indexed="81"/>
            <rFont val="Tahoma"/>
            <family val="2"/>
          </rPr>
          <t xml:space="preserve">
http://www.dnie.es/</t>
        </r>
      </text>
    </comment>
    <comment ref="AJ167" authorId="6" shapeId="0">
      <text>
        <r>
          <rPr>
            <b/>
            <sz val="9"/>
            <color indexed="81"/>
            <rFont val="Tahoma"/>
            <family val="2"/>
          </rPr>
          <t>Doruk Yarin Kiroglu:</t>
        </r>
        <r>
          <rPr>
            <sz val="9"/>
            <color indexed="81"/>
            <rFont val="Tahoma"/>
            <family val="2"/>
          </rPr>
          <t xml:space="preserve">
http://www.dnielectronico.es/Asi_es_el_dni_electronico/index.html</t>
        </r>
      </text>
    </comment>
    <comment ref="AK167" authorId="6" shapeId="0">
      <text>
        <r>
          <rPr>
            <b/>
            <sz val="9"/>
            <color indexed="81"/>
            <rFont val="Tahoma"/>
            <family val="2"/>
          </rPr>
          <t>Doruk Yarin Kiroglu:</t>
        </r>
        <r>
          <rPr>
            <sz val="9"/>
            <color indexed="81"/>
            <rFont val="Tahoma"/>
            <family val="2"/>
          </rPr>
          <t xml:space="preserve">
As reported by the government in 2008
http://www.dnielectronico.es/Asi_es_el_dni_electronico/index.html</t>
        </r>
      </text>
    </comment>
    <comment ref="AM167" authorId="0" shapeId="0">
      <text>
        <r>
          <rPr>
            <b/>
            <sz val="9"/>
            <color indexed="81"/>
            <rFont val="Tahoma"/>
            <family val="2"/>
          </rPr>
          <t>Cem Dener:</t>
        </r>
        <r>
          <rPr>
            <sz val="9"/>
            <color indexed="81"/>
            <rFont val="Tahoma"/>
            <family val="2"/>
          </rPr>
          <t xml:space="preserve">
http://www.icao.int/Security/mrtd/2011qatar/Documents/15_Morpho.pdf
EGMALTO Readers:
http://www.gemalto.com/brochures-site/download-site/Documents/gov-ID-programs.pdf</t>
        </r>
      </text>
    </comment>
    <comment ref="AX167" authorId="6" shapeId="0">
      <text>
        <r>
          <rPr>
            <b/>
            <sz val="9"/>
            <color indexed="81"/>
            <rFont val="Tahoma"/>
            <family val="2"/>
          </rPr>
          <t>Doruk Yarin Kiroglu:</t>
        </r>
        <r>
          <rPr>
            <sz val="9"/>
            <color indexed="81"/>
            <rFont val="Tahoma"/>
            <family val="2"/>
          </rPr>
          <t xml:space="preserve">
e-ID can be used to travel to EU countries</t>
        </r>
      </text>
    </comment>
    <comment ref="AY167" authorId="0" shapeId="0">
      <text>
        <r>
          <rPr>
            <b/>
            <sz val="9"/>
            <color indexed="81"/>
            <rFont val="Tahoma"/>
            <family val="2"/>
          </rPr>
          <t>Cem Dener:</t>
        </r>
        <r>
          <rPr>
            <sz val="9"/>
            <color indexed="81"/>
            <rFont val="Tahoma"/>
            <family val="2"/>
          </rPr>
          <t xml:space="preserve">
http://www.registradores.org</t>
        </r>
      </text>
    </comment>
    <comment ref="AZ167" authorId="6" shapeId="0">
      <text>
        <r>
          <rPr>
            <b/>
            <sz val="9"/>
            <color indexed="81"/>
            <rFont val="Tahoma"/>
            <family val="2"/>
          </rPr>
          <t>Doruk Yarin Kiroglu:</t>
        </r>
        <r>
          <rPr>
            <sz val="9"/>
            <color indexed="81"/>
            <rFont val="Tahoma"/>
            <family val="2"/>
          </rPr>
          <t xml:space="preserve">
1885</t>
        </r>
      </text>
    </comment>
    <comment ref="BD167" authorId="6" shapeId="0">
      <text>
        <r>
          <rPr>
            <b/>
            <sz val="9"/>
            <color indexed="81"/>
            <rFont val="Tahoma"/>
            <family val="2"/>
          </rPr>
          <t>Doruk Yarin Kiroglu:</t>
        </r>
        <r>
          <rPr>
            <sz val="9"/>
            <color indexed="81"/>
            <rFont val="Tahoma"/>
            <family val="2"/>
          </rPr>
          <t xml:space="preserve">
Tax Identification Number is used for unique identification</t>
        </r>
      </text>
    </comment>
    <comment ref="CU167" authorId="0" shapeId="0">
      <text>
        <r>
          <rPr>
            <b/>
            <sz val="9"/>
            <color indexed="81"/>
            <rFont val="Tahoma"/>
            <family val="2"/>
          </rPr>
          <t>Cem Dener:</t>
        </r>
        <r>
          <rPr>
            <sz val="9"/>
            <color indexed="81"/>
            <rFont val="Tahoma"/>
            <family val="2"/>
          </rPr>
          <t xml:space="preserve">
The age was lowered down to 16 for Catalonia's 9N Referendum, but that was an exception</t>
        </r>
      </text>
    </comment>
    <comment ref="AE168" authorId="0" shapeId="0">
      <text>
        <r>
          <rPr>
            <b/>
            <sz val="9"/>
            <color indexed="81"/>
            <rFont val="Tahoma"/>
            <family val="2"/>
          </rPr>
          <t>Cem Dener:</t>
        </r>
        <r>
          <rPr>
            <sz val="9"/>
            <color indexed="81"/>
            <rFont val="Tahoma"/>
            <family val="2"/>
          </rPr>
          <t xml:space="preserve">
NID introduced in 2009
New e-ID was launched in 2014; to be rollled out until 2016.
http://www.gic.gov.lk/gic/index.php?option=com_info&amp;id=1699&amp;task=info&amp;lang=en</t>
        </r>
      </text>
    </comment>
    <comment ref="AG168" authorId="0" shapeId="0">
      <text>
        <r>
          <rPr>
            <b/>
            <sz val="9"/>
            <color indexed="81"/>
            <rFont val="Tahoma"/>
            <family val="2"/>
          </rPr>
          <t>Cem Dener:</t>
        </r>
        <r>
          <rPr>
            <sz val="9"/>
            <color indexed="81"/>
            <rFont val="Tahoma"/>
            <family val="2"/>
          </rPr>
          <t xml:space="preserve">
https://www.facebook.com/pages/Department-for-Registration-of-Persons/329415997075906?fref=ts</t>
        </r>
      </text>
    </comment>
    <comment ref="AK168" authorId="6" shapeId="0">
      <text>
        <r>
          <rPr>
            <b/>
            <sz val="9"/>
            <color indexed="81"/>
            <rFont val="Tahoma"/>
            <family val="2"/>
          </rPr>
          <t>Doruk Yarin Kiroglu:</t>
        </r>
        <r>
          <rPr>
            <sz val="9"/>
            <color indexed="81"/>
            <rFont val="Tahoma"/>
            <family val="2"/>
          </rPr>
          <t xml:space="preserve">
Projected for 2016</t>
        </r>
      </text>
    </comment>
    <comment ref="AL168" authorId="6" shapeId="0">
      <text>
        <r>
          <rPr>
            <b/>
            <sz val="9"/>
            <color indexed="81"/>
            <rFont val="Tahoma"/>
            <family val="2"/>
          </rPr>
          <t>Doruk Yarin Kiroglu:</t>
        </r>
        <r>
          <rPr>
            <sz val="9"/>
            <color indexed="81"/>
            <rFont val="Tahoma"/>
            <family val="2"/>
          </rPr>
          <t xml:space="preserve">
The National Database and Registration Authority - NADRA</t>
        </r>
      </text>
    </comment>
    <comment ref="AM168" authorId="0" shapeId="0">
      <text>
        <r>
          <rPr>
            <b/>
            <sz val="9"/>
            <color indexed="81"/>
            <rFont val="Tahoma"/>
            <family val="2"/>
          </rPr>
          <t>Cem Dener:</t>
        </r>
        <r>
          <rPr>
            <sz val="9"/>
            <color indexed="81"/>
            <rFont val="Tahoma"/>
            <family val="2"/>
          </rPr>
          <t xml:space="preserve">
http://www.sundaytimes.lk/140316/news/fingerprint-collection-to-begin-for-enics-89424.html
http://nation.com.pk/islamabad/09-Nov-2013/nadra-wins-sri-lanka-id-card-project</t>
        </r>
      </text>
    </comment>
    <comment ref="AT168" authorId="6" shapeId="0">
      <text>
        <r>
          <rPr>
            <b/>
            <sz val="9"/>
            <color indexed="81"/>
            <rFont val="Tahoma"/>
            <family val="2"/>
          </rPr>
          <t>Doruk Yarin Kiroglu:</t>
        </r>
        <r>
          <rPr>
            <sz val="9"/>
            <color indexed="81"/>
            <rFont val="Tahoma"/>
            <family val="2"/>
          </rPr>
          <t xml:space="preserve">
Ministry of Defense</t>
        </r>
      </text>
    </comment>
    <comment ref="AZ168" authorId="6" shapeId="0">
      <text>
        <r>
          <rPr>
            <b/>
            <sz val="9"/>
            <color indexed="81"/>
            <rFont val="Tahoma"/>
            <family val="2"/>
          </rPr>
          <t>Doruk Yarin Kiroglu:</t>
        </r>
        <r>
          <rPr>
            <sz val="9"/>
            <color indexed="81"/>
            <rFont val="Tahoma"/>
            <family val="2"/>
          </rPr>
          <t xml:space="preserve">
Registry started in 1861
DRC founded in 1938</t>
        </r>
      </text>
    </comment>
    <comment ref="HK168" authorId="6" shapeId="0">
      <text>
        <r>
          <rPr>
            <b/>
            <sz val="9"/>
            <color indexed="81"/>
            <rFont val="Tahoma"/>
            <family val="2"/>
          </rPr>
          <t>Doruk Yarin Kiroglu:</t>
        </r>
        <r>
          <rPr>
            <sz val="9"/>
            <color indexed="81"/>
            <rFont val="Tahoma"/>
            <family val="2"/>
          </rPr>
          <t xml:space="preserve">
No data protection law</t>
        </r>
      </text>
    </comment>
    <comment ref="H169" authorId="0" shapeId="0">
      <text>
        <r>
          <rPr>
            <b/>
            <sz val="9"/>
            <color indexed="81"/>
            <rFont val="Tahoma"/>
            <family val="2"/>
          </rPr>
          <t>Cem Dener:</t>
        </r>
        <r>
          <rPr>
            <sz val="9"/>
            <color indexed="81"/>
            <rFont val="Tahoma"/>
            <family val="2"/>
          </rPr>
          <t xml:space="preserve">
http://sudanpolice.gov.sd/  Issues Birth Certificates
http://childprotectioninternational.org/Blogs/documents/115-UBR_Final_draft_report_24_Sep_2005.pdf</t>
        </r>
      </text>
    </comment>
    <comment ref="AK169" authorId="6" shapeId="0">
      <text>
        <r>
          <rPr>
            <b/>
            <sz val="9"/>
            <color indexed="81"/>
            <rFont val="Tahoma"/>
            <family val="2"/>
          </rPr>
          <t>Doruk Yarin Kiroglu:</t>
        </r>
        <r>
          <rPr>
            <sz val="9"/>
            <color indexed="81"/>
            <rFont val="Tahoma"/>
            <family val="2"/>
          </rPr>
          <t xml:space="preserve">
Projected by the government in 2011, before the launch of the program</t>
        </r>
      </text>
    </comment>
    <comment ref="AL169" authorId="6" shapeId="0">
      <text>
        <r>
          <rPr>
            <b/>
            <sz val="9"/>
            <color indexed="81"/>
            <rFont val="Tahoma"/>
            <family val="2"/>
          </rPr>
          <t>Doruk Yarin Kiroglu:</t>
        </r>
        <r>
          <rPr>
            <sz val="9"/>
            <color indexed="81"/>
            <rFont val="Tahoma"/>
            <family val="2"/>
          </rPr>
          <t xml:space="preserve">
The National Database and Registration Authority - NADRA</t>
        </r>
      </text>
    </comment>
    <comment ref="AM169" authorId="6" shapeId="0">
      <text>
        <r>
          <rPr>
            <b/>
            <sz val="9"/>
            <color indexed="81"/>
            <rFont val="Tahoma"/>
            <family val="2"/>
          </rPr>
          <t>Doruk Yarin Kiroglu:</t>
        </r>
        <r>
          <rPr>
            <sz val="9"/>
            <color indexed="81"/>
            <rFont val="Tahoma"/>
            <family val="2"/>
          </rPr>
          <t xml:space="preserve">
http://www.app.com.pk/en_/index.php?option=com_content&amp;task=view&amp;id=58294&amp;Itemid=2</t>
        </r>
      </text>
    </comment>
    <comment ref="AY169" authorId="6" shapeId="0">
      <text>
        <r>
          <rPr>
            <b/>
            <sz val="9"/>
            <color indexed="81"/>
            <rFont val="Tahoma"/>
            <family val="2"/>
          </rPr>
          <t>Doruk Yarin Kiroglu:</t>
        </r>
        <r>
          <rPr>
            <sz val="9"/>
            <color indexed="81"/>
            <rFont val="Tahoma"/>
            <family val="2"/>
          </rPr>
          <t xml:space="preserve">
No automated business registry or online search.
</t>
        </r>
      </text>
    </comment>
    <comment ref="AZ169" authorId="6" shapeId="0">
      <text>
        <r>
          <rPr>
            <b/>
            <sz val="9"/>
            <color indexed="81"/>
            <rFont val="Tahoma"/>
            <family val="2"/>
          </rPr>
          <t>Doruk Yarin Kiroglu:</t>
        </r>
        <r>
          <rPr>
            <sz val="9"/>
            <color indexed="81"/>
            <rFont val="Tahoma"/>
            <family val="2"/>
          </rPr>
          <t xml:space="preserve">
1998</t>
        </r>
      </text>
    </comment>
    <comment ref="HK169" authorId="6" shapeId="0">
      <text>
        <r>
          <rPr>
            <b/>
            <sz val="9"/>
            <color indexed="81"/>
            <rFont val="Tahoma"/>
            <family val="2"/>
          </rPr>
          <t>Doruk Yarin Kiroglu:</t>
        </r>
        <r>
          <rPr>
            <sz val="9"/>
            <color indexed="81"/>
            <rFont val="Tahoma"/>
            <family val="2"/>
          </rPr>
          <t xml:space="preserve">
No specific data protection act. Data privacy is included in the said act</t>
        </r>
      </text>
    </comment>
    <comment ref="H170" authorId="0" shapeId="0">
      <text>
        <r>
          <rPr>
            <b/>
            <sz val="9"/>
            <color indexed="81"/>
            <rFont val="Tahoma"/>
            <family val="2"/>
          </rPr>
          <t>Cem Dener:</t>
        </r>
        <r>
          <rPr>
            <sz val="9"/>
            <color indexed="81"/>
            <rFont val="Tahoma"/>
            <family val="2"/>
          </rPr>
          <t xml:space="preserve">
http://www.gov.sr/media/779665/cbb_serie.pdf</t>
        </r>
      </text>
    </comment>
    <comment ref="W170" authorId="2" shapeId="0">
      <text>
        <r>
          <rPr>
            <b/>
            <sz val="9"/>
            <color indexed="81"/>
            <rFont val="Tahoma"/>
            <family val="2"/>
          </rPr>
          <t>Huan Zhang:</t>
        </r>
        <r>
          <rPr>
            <sz val="9"/>
            <color indexed="81"/>
            <rFont val="Tahoma"/>
            <family val="2"/>
          </rPr>
          <t xml:space="preserve">
First time free, second time SRD 10</t>
        </r>
      </text>
    </comment>
    <comment ref="AU170" authorId="6" shapeId="0">
      <text>
        <r>
          <rPr>
            <b/>
            <sz val="9"/>
            <color indexed="81"/>
            <rFont val="Tahoma"/>
            <family val="2"/>
          </rPr>
          <t>Doruk Yarin Kiroglu:</t>
        </r>
        <r>
          <rPr>
            <sz val="9"/>
            <color indexed="81"/>
            <rFont val="Tahoma"/>
            <family val="2"/>
          </rPr>
          <t xml:space="preserve">
Machine readable CARICOM passport
http://www.gov.sr/media/779677/het_caricompaspoort.pdf</t>
        </r>
      </text>
    </comment>
    <comment ref="DY170" authorId="0" shapeId="0">
      <text>
        <r>
          <rPr>
            <b/>
            <sz val="9"/>
            <color indexed="81"/>
            <rFont val="Tahoma"/>
            <family val="2"/>
          </rPr>
          <t>Cem Dener:</t>
        </r>
        <r>
          <rPr>
            <sz val="9"/>
            <color indexed="81"/>
            <rFont val="Tahoma"/>
            <family val="2"/>
          </rPr>
          <t xml:space="preserve">
http://www.humanium.org/en/suriname/</t>
        </r>
      </text>
    </comment>
    <comment ref="FI170" authorId="0" shapeId="0">
      <text>
        <r>
          <rPr>
            <b/>
            <sz val="9"/>
            <color indexed="81"/>
            <rFont val="Tahoma"/>
            <family val="2"/>
          </rPr>
          <t>Cem Dener:</t>
        </r>
        <r>
          <rPr>
            <sz val="9"/>
            <color indexed="81"/>
            <rFont val="Tahoma"/>
            <family val="2"/>
          </rPr>
          <t xml:space="preserve">
Ministerio del Interior</t>
        </r>
      </text>
    </comment>
    <comment ref="HL170" authorId="6" shapeId="0">
      <text>
        <r>
          <rPr>
            <b/>
            <sz val="9"/>
            <color indexed="81"/>
            <rFont val="Tahoma"/>
            <family val="2"/>
          </rPr>
          <t>Doruk Yarin Kiroglu:</t>
        </r>
        <r>
          <rPr>
            <sz val="9"/>
            <color indexed="81"/>
            <rFont val="Tahoma"/>
            <family val="2"/>
          </rPr>
          <t xml:space="preserve">
Data protection law enacted in 2006, however there is no online copy of the act
http://referenceworks.brillonline.com/entries/foreign-law-guide/suriname-cybercrime-data-protection-information-and-internet-COM_179095</t>
        </r>
      </text>
    </comment>
    <comment ref="H171" authorId="0" shapeId="0">
      <text>
        <r>
          <rPr>
            <b/>
            <sz val="9"/>
            <color indexed="81"/>
            <rFont val="Tahoma"/>
            <family val="2"/>
          </rPr>
          <t>Cem Dener:</t>
        </r>
        <r>
          <rPr>
            <sz val="9"/>
            <color indexed="81"/>
            <rFont val="Tahoma"/>
            <family val="2"/>
          </rPr>
          <t xml:space="preserve">
http://unstats.un.org/unsd/vitalstatkb/Attachment169.aspx</t>
        </r>
      </text>
    </comment>
    <comment ref="K171" authorId="0" shapeId="0">
      <text>
        <r>
          <rPr>
            <b/>
            <sz val="9"/>
            <color indexed="81"/>
            <rFont val="Tahoma"/>
            <family val="2"/>
          </rPr>
          <t>Cem Dener:</t>
        </r>
        <r>
          <rPr>
            <sz val="9"/>
            <color indexed="81"/>
            <rFont val="Tahoma"/>
            <family val="2"/>
          </rPr>
          <t xml:space="preserve">
Initiated in 1900:
http://www.cdc.gov/nchs/data/isp/016_Methods_And_Problems_of_Civil_Registration_Practices_and_Vital_Stat_Collection_in_Africa.pdf</t>
        </r>
      </text>
    </comment>
    <comment ref="S171" authorId="0" shapeId="0">
      <text>
        <r>
          <rPr>
            <b/>
            <sz val="9"/>
            <color indexed="81"/>
            <rFont val="Tahoma"/>
            <family val="2"/>
          </rPr>
          <t>Cem Dener:</t>
        </r>
        <r>
          <rPr>
            <sz val="9"/>
            <color indexed="81"/>
            <rFont val="Tahoma"/>
            <family val="2"/>
          </rPr>
          <t xml:space="preserve">
Not fully automated yet</t>
        </r>
      </text>
    </comment>
    <comment ref="AQ171" authorId="6" shapeId="0">
      <text>
        <r>
          <rPr>
            <b/>
            <sz val="9"/>
            <color indexed="81"/>
            <rFont val="Tahoma"/>
            <family val="2"/>
          </rPr>
          <t>Doruk Yarin Kiroglu:</t>
        </r>
        <r>
          <rPr>
            <sz val="9"/>
            <color indexed="81"/>
            <rFont val="Tahoma"/>
            <family val="2"/>
          </rPr>
          <t xml:space="preserve">
Website is not operational at this moment</t>
        </r>
      </text>
    </comment>
    <comment ref="AU171" authorId="0" shapeId="0">
      <text>
        <r>
          <rPr>
            <b/>
            <sz val="9"/>
            <color indexed="81"/>
            <rFont val="Tahoma"/>
            <family val="2"/>
          </rPr>
          <t>Cem Dener:</t>
        </r>
        <r>
          <rPr>
            <sz val="9"/>
            <color indexed="81"/>
            <rFont val="Tahoma"/>
            <family val="2"/>
          </rPr>
          <t xml:space="preserve">
http://www.icao.int/Meetings/mrtd-Zimbabwe2012/Documents/2-5_DeLaRue.pdf</t>
        </r>
      </text>
    </comment>
    <comment ref="AY171" authorId="6" shapeId="0">
      <text>
        <r>
          <rPr>
            <b/>
            <sz val="9"/>
            <color indexed="81"/>
            <rFont val="Tahoma"/>
            <family val="2"/>
          </rPr>
          <t>Doruk Yarin Kiroglu:</t>
        </r>
        <r>
          <rPr>
            <sz val="9"/>
            <color indexed="81"/>
            <rFont val="Tahoma"/>
            <family val="2"/>
          </rPr>
          <t xml:space="preserve">
Not accesible online, information only.
</t>
        </r>
      </text>
    </comment>
    <comment ref="AZ171" authorId="0" shapeId="0">
      <text>
        <r>
          <rPr>
            <b/>
            <sz val="9"/>
            <color indexed="81"/>
            <rFont val="Tahoma"/>
            <family val="2"/>
          </rPr>
          <t>Cem Dener:</t>
        </r>
        <r>
          <rPr>
            <sz val="9"/>
            <color indexed="81"/>
            <rFont val="Tahoma"/>
            <family val="2"/>
          </rPr>
          <t xml:space="preserve">
There is no e-Registry system yet</t>
        </r>
      </text>
    </comment>
    <comment ref="AD172" authorId="0" shapeId="0">
      <text>
        <r>
          <rPr>
            <b/>
            <sz val="9"/>
            <color indexed="81"/>
            <rFont val="Tahoma"/>
            <family val="2"/>
          </rPr>
          <t>Cem Dener:</t>
        </r>
        <r>
          <rPr>
            <sz val="9"/>
            <color indexed="81"/>
            <rFont val="Tahoma"/>
            <family val="2"/>
          </rPr>
          <t xml:space="preserve">
http://www.signguard.se/faq.aspx?faqno=9</t>
        </r>
      </text>
    </comment>
    <comment ref="AX172" authorId="6" shapeId="0">
      <text>
        <r>
          <rPr>
            <b/>
            <sz val="9"/>
            <color indexed="81"/>
            <rFont val="Tahoma"/>
            <family val="2"/>
          </rPr>
          <t>Doruk Yarin Kiroglu:</t>
        </r>
        <r>
          <rPr>
            <sz val="9"/>
            <color indexed="81"/>
            <rFont val="Tahoma"/>
            <family val="2"/>
          </rPr>
          <t xml:space="preserve">
e-ID can be used to travel to EU countries</t>
        </r>
      </text>
    </comment>
    <comment ref="AZ172" authorId="6" shapeId="0">
      <text>
        <r>
          <rPr>
            <b/>
            <sz val="9"/>
            <color indexed="81"/>
            <rFont val="Tahoma"/>
            <family val="2"/>
          </rPr>
          <t>Doruk Yarin Kiroglu:</t>
        </r>
        <r>
          <rPr>
            <sz val="9"/>
            <color indexed="81"/>
            <rFont val="Tahoma"/>
            <family val="2"/>
          </rPr>
          <t xml:space="preserve">
1840
http://www.fi.se/Folder-EN/Startpage/About-FI/Who-we-are/History/</t>
        </r>
      </text>
    </comment>
    <comment ref="BC172" authorId="6" shapeId="0">
      <text>
        <r>
          <rPr>
            <b/>
            <sz val="9"/>
            <color indexed="81"/>
            <rFont val="Tahoma"/>
            <family val="2"/>
          </rPr>
          <t>Doruk Yarin Kiroglu:</t>
        </r>
        <r>
          <rPr>
            <sz val="9"/>
            <color indexed="81"/>
            <rFont val="Tahoma"/>
            <family val="2"/>
          </rPr>
          <t xml:space="preserve">
Registration number is used to identify companies. To what extent is not clear.</t>
        </r>
      </text>
    </comment>
    <comment ref="BF172" authorId="6" shapeId="0">
      <text>
        <r>
          <rPr>
            <b/>
            <sz val="9"/>
            <color indexed="81"/>
            <rFont val="Tahoma"/>
            <family val="2"/>
          </rPr>
          <t>Doruk Yarin Kiroglu:</t>
        </r>
        <r>
          <rPr>
            <sz val="9"/>
            <color indexed="81"/>
            <rFont val="Tahoma"/>
            <family val="2"/>
          </rPr>
          <t xml:space="preserve">
O: Address change, finding advisors, access to industry registers</t>
        </r>
      </text>
    </comment>
    <comment ref="W173" authorId="0" shapeId="0">
      <text>
        <r>
          <rPr>
            <b/>
            <sz val="9"/>
            <color indexed="81"/>
            <rFont val="Tahoma"/>
            <family val="2"/>
          </rPr>
          <t>Cem Dener:</t>
        </r>
        <r>
          <rPr>
            <sz val="9"/>
            <color indexed="81"/>
            <rFont val="Tahoma"/>
            <family val="2"/>
          </rPr>
          <t xml:space="preserve">
CHF 70 (adults) / CHF 35 (children)</t>
        </r>
      </text>
    </comment>
    <comment ref="AH173" authorId="6" shapeId="0">
      <text>
        <r>
          <rPr>
            <b/>
            <sz val="9"/>
            <color indexed="81"/>
            <rFont val="Tahoma"/>
            <family val="2"/>
          </rPr>
          <t>Doruk Yarin Kiroglu:</t>
        </r>
        <r>
          <rPr>
            <sz val="9"/>
            <color indexed="81"/>
            <rFont val="Tahoma"/>
            <family val="2"/>
          </rPr>
          <t xml:space="preserve">
SuisseID is in collaboration with many EU companies and government agencies. Users are able to access to information and services,as well as individual company data bases and applications.
http://www.suisseid.ch/endkunden/einsatzmoeglichkeiten/index.html?lang=de</t>
        </r>
      </text>
    </comment>
    <comment ref="AJ173" authorId="6" shapeId="0">
      <text>
        <r>
          <rPr>
            <b/>
            <sz val="9"/>
            <color indexed="81"/>
            <rFont val="Tahoma"/>
            <family val="2"/>
          </rPr>
          <t>Doruk Yarin Kiroglu:</t>
        </r>
        <r>
          <rPr>
            <sz val="9"/>
            <color indexed="81"/>
            <rFont val="Tahoma"/>
            <family val="2"/>
          </rPr>
          <t xml:space="preserve">
ID Card Specifications
http://www.suisseid.ch/unternehmen/technik/index.html?lang=de</t>
        </r>
      </text>
    </comment>
    <comment ref="AX173" authorId="6" shapeId="0">
      <text>
        <r>
          <rPr>
            <b/>
            <sz val="9"/>
            <color indexed="81"/>
            <rFont val="Tahoma"/>
            <family val="2"/>
          </rPr>
          <t>Doruk Yarin Kiroglu:</t>
        </r>
        <r>
          <rPr>
            <sz val="9"/>
            <color indexed="81"/>
            <rFont val="Tahoma"/>
            <family val="2"/>
          </rPr>
          <t xml:space="preserve">
e-ID can be used to travel to EU countries</t>
        </r>
      </text>
    </comment>
    <comment ref="BC173" authorId="6" shapeId="0">
      <text>
        <r>
          <rPr>
            <b/>
            <sz val="9"/>
            <color indexed="81"/>
            <rFont val="Tahoma"/>
            <family val="2"/>
          </rPr>
          <t>Doruk Yarin Kiroglu:</t>
        </r>
        <r>
          <rPr>
            <sz val="9"/>
            <color indexed="81"/>
            <rFont val="Tahoma"/>
            <family val="2"/>
          </rPr>
          <t xml:space="preserve">
UID</t>
        </r>
      </text>
    </comment>
    <comment ref="CU173" authorId="0" shapeId="0">
      <text>
        <r>
          <rPr>
            <b/>
            <sz val="9"/>
            <color indexed="81"/>
            <rFont val="Tahoma"/>
            <family val="2"/>
          </rPr>
          <t>Cem Dener:</t>
        </r>
        <r>
          <rPr>
            <sz val="9"/>
            <color indexed="81"/>
            <rFont val="Tahoma"/>
            <family val="2"/>
          </rPr>
          <t xml:space="preserve">
16 for cantonal and municipal elections in the canton of Glarus</t>
        </r>
      </text>
    </comment>
    <comment ref="H174" authorId="0" shapeId="0">
      <text>
        <r>
          <rPr>
            <b/>
            <sz val="9"/>
            <color indexed="81"/>
            <rFont val="Tahoma"/>
            <family val="2"/>
          </rPr>
          <t>Cem Dener:</t>
        </r>
        <r>
          <rPr>
            <sz val="9"/>
            <color indexed="81"/>
            <rFont val="Tahoma"/>
            <family val="2"/>
          </rPr>
          <t xml:space="preserve">
http://unstats.un.org/unsd/vitalstatkb/Attachment197.aspx</t>
        </r>
      </text>
    </comment>
    <comment ref="AY174" authorId="6" shapeId="0">
      <text>
        <r>
          <rPr>
            <b/>
            <sz val="9"/>
            <color indexed="81"/>
            <rFont val="Tahoma"/>
            <family val="2"/>
          </rPr>
          <t>Doruk Yarin Kiroglu:</t>
        </r>
        <r>
          <rPr>
            <sz val="9"/>
            <color indexed="81"/>
            <rFont val="Tahoma"/>
            <family val="2"/>
          </rPr>
          <t xml:space="preserve">
Commercial Registration Department. No access to registry. Website links are not accesible at this moment.
http://www.syrecon.org/index.php?module=subjects&amp;func=printsubject&amp;subid=82&amp;scope=page</t>
        </r>
      </text>
    </comment>
    <comment ref="BD174" authorId="6" shapeId="0">
      <text>
        <r>
          <rPr>
            <b/>
            <sz val="9"/>
            <color indexed="81"/>
            <rFont val="Tahoma"/>
            <family val="2"/>
          </rPr>
          <t>Doruk Yarin Kiroglu:</t>
        </r>
        <r>
          <rPr>
            <sz val="9"/>
            <color indexed="81"/>
            <rFont val="Tahoma"/>
            <family val="2"/>
          </rPr>
          <t xml:space="preserve">
http://www.egov.sy/service/ar/4218/0/%D8%AA%D8%B1%D8%AE%D9%8A%D8%B5+%D9%88%D8%AA%D8%B3%D8%AC%D9%8A%D9%84+%D8%B4%D8%B1%D9%83%D8%A7%D8%AA+%D9%88%D9%85%D9%83%D8%A7%D8%AA%D8%A8+%D8%A7%D9%84%D8%B5%D8%B1%D8%A7%D9%81%D8%A9+%D9%81%D9%8A+%D8%B3%D8%AC%D9%84+%D8%B4%D8%B1%D9%83%D8%A7%D8%AA+%D9%88%D9%85%D9%83%D8%A7%D8%AA%D8%A8+%D8%A7%D9%84%D8%B5%D8%B1%D8%A7%D9%81%D8%A9+%D9%84%D8%AF%D9%89+%D9%85%D8%AF%D9%8A%D8%B1%D9%8A%D8%A9+%D9%85%D9%81%D9%88%D8%B6%D9%8A%D8%A9+%D8%A7%D9%84%D8%AD%D9%83%D9%88%D9%85%D8%A9+%D9%84%D8%AF%D9%89+%D8%A7%D9%84%D9%85%D8%B5%D8%A7%D8%B1%D9%81.html</t>
        </r>
      </text>
    </comment>
    <comment ref="CN174" authorId="0" shapeId="0">
      <text>
        <r>
          <rPr>
            <b/>
            <sz val="9"/>
            <color indexed="81"/>
            <rFont val="Tahoma"/>
            <family val="2"/>
          </rPr>
          <t>Cem Dener:</t>
        </r>
        <r>
          <rPr>
            <sz val="9"/>
            <color indexed="81"/>
            <rFont val="Tahoma"/>
            <family val="2"/>
          </rPr>
          <t xml:space="preserve">
Voting Age Population was used (Registered voter was greater than VAP)</t>
        </r>
      </text>
    </comment>
    <comment ref="HK174" authorId="6" shapeId="0">
      <text>
        <r>
          <rPr>
            <b/>
            <sz val="9"/>
            <color indexed="81"/>
            <rFont val="Tahoma"/>
            <family val="2"/>
          </rPr>
          <t>Doruk Yarin Kiroglu:</t>
        </r>
        <r>
          <rPr>
            <sz val="9"/>
            <color indexed="81"/>
            <rFont val="Tahoma"/>
            <family val="2"/>
          </rPr>
          <t xml:space="preserve">
No specific law on data protection. Consumer and intellectual property protection acts are used</t>
        </r>
      </text>
    </comment>
    <comment ref="HL174" authorId="6" shapeId="0">
      <text>
        <r>
          <rPr>
            <b/>
            <sz val="9"/>
            <color indexed="81"/>
            <rFont val="Tahoma"/>
            <family val="2"/>
          </rPr>
          <t>Doruk Yarin Kiroglu:</t>
        </r>
        <r>
          <rPr>
            <sz val="9"/>
            <color indexed="81"/>
            <rFont val="Tahoma"/>
            <family val="2"/>
          </rPr>
          <t xml:space="preserve">
Consumer protection
http://www.wipo.int/wipolex/ar/text.jsp?file_id=242359
Trademark protection
http://www.wipo.int/wipolex/ar/text.jsp?file_id=179163</t>
        </r>
      </text>
    </comment>
    <comment ref="HM174" authorId="6" shapeId="0">
      <text>
        <r>
          <rPr>
            <b/>
            <sz val="9"/>
            <color indexed="81"/>
            <rFont val="Tahoma"/>
            <family val="2"/>
          </rPr>
          <t>Doruk Yarin Kiroglu:</t>
        </r>
        <r>
          <rPr>
            <sz val="9"/>
            <color indexed="81"/>
            <rFont val="Tahoma"/>
            <family val="2"/>
          </rPr>
          <t xml:space="preserve">
2007</t>
        </r>
      </text>
    </comment>
    <comment ref="HN174" authorId="6" shapeId="0">
      <text>
        <r>
          <rPr>
            <b/>
            <sz val="9"/>
            <color indexed="81"/>
            <rFont val="Tahoma"/>
            <family val="2"/>
          </rPr>
          <t>Doruk Yarin Kiroglu:</t>
        </r>
        <r>
          <rPr>
            <sz val="9"/>
            <color indexed="81"/>
            <rFont val="Tahoma"/>
            <family val="2"/>
          </rPr>
          <t xml:space="preserve">
2008</t>
        </r>
      </text>
    </comment>
    <comment ref="HO174" authorId="6" shapeId="0">
      <text>
        <r>
          <rPr>
            <b/>
            <sz val="9"/>
            <color indexed="81"/>
            <rFont val="Tahoma"/>
            <family val="2"/>
          </rPr>
          <t>Doruk Yarin Kiroglu:</t>
        </r>
        <r>
          <rPr>
            <sz val="9"/>
            <color indexed="81"/>
            <rFont val="Tahoma"/>
            <family val="2"/>
          </rPr>
          <t xml:space="preserve">
Both</t>
        </r>
      </text>
    </comment>
    <comment ref="HP174" authorId="6" shapeId="0">
      <text>
        <r>
          <rPr>
            <b/>
            <sz val="9"/>
            <color indexed="81"/>
            <rFont val="Tahoma"/>
            <family val="2"/>
          </rPr>
          <t>Doruk Yarin Kiroglu:</t>
        </r>
        <r>
          <rPr>
            <sz val="9"/>
            <color indexed="81"/>
            <rFont val="Tahoma"/>
            <family val="2"/>
          </rPr>
          <t xml:space="preserve">
Ministry of Economy and Trade</t>
        </r>
      </text>
    </comment>
    <comment ref="HQ174" authorId="6" shapeId="0">
      <text>
        <r>
          <rPr>
            <b/>
            <sz val="9"/>
            <color indexed="81"/>
            <rFont val="Tahoma"/>
            <family val="2"/>
          </rPr>
          <t>Doruk Yarin Kiroglu:</t>
        </r>
        <r>
          <rPr>
            <sz val="9"/>
            <color indexed="81"/>
            <rFont val="Tahoma"/>
            <family val="2"/>
          </rPr>
          <t xml:space="preserve">
Website not functional
https://www.google.com/url?sa=t&amp;rct=j&amp;q=&amp;esrc=s&amp;source=web&amp;cd=3&amp;cad=rja&amp;uact=8&amp;ved=0CDIQFjAC&amp;url=http%3A%2F%2Fsyrecon.gov.sy%2F&amp;ei=7qnGVISKAdHesAT36oLwDg&amp;usg=AFQjCNHvWK3HSX5ML_xVev8h638fuRIlSg&amp;sig2=NWXBOXYuDJFVL2yarW5BMQ&amp;bvm=bv.84349003,d.cWc</t>
        </r>
      </text>
    </comment>
    <comment ref="C175" authorId="0" shapeId="0">
      <text>
        <r>
          <rPr>
            <b/>
            <sz val="9"/>
            <color indexed="81"/>
            <rFont val="Tahoma"/>
            <family val="2"/>
          </rPr>
          <t>Cem Dener:</t>
        </r>
        <r>
          <rPr>
            <sz val="9"/>
            <color indexed="81"/>
            <rFont val="Tahoma"/>
            <family val="2"/>
          </rPr>
          <t xml:space="preserve">
Taiwan, China
also
Republic of China (RoC)</t>
        </r>
      </text>
    </comment>
    <comment ref="H175" authorId="0" shapeId="0">
      <text>
        <r>
          <rPr>
            <b/>
            <sz val="9"/>
            <color indexed="81"/>
            <rFont val="Tahoma"/>
            <family val="2"/>
          </rPr>
          <t>Cem Dener:</t>
        </r>
        <r>
          <rPr>
            <sz val="9"/>
            <color indexed="81"/>
            <rFont val="Tahoma"/>
            <family val="2"/>
          </rPr>
          <t xml:space="preserve">
http://www.ris.gov.tw/c/document_library/get_file?uuid=a43c759a-f26b-43e3-952f-4e49c375fe14&amp;groupId=11159</t>
        </r>
      </text>
    </comment>
    <comment ref="I175" authorId="0" shapeId="0">
      <text>
        <r>
          <rPr>
            <b/>
            <sz val="9"/>
            <color indexed="81"/>
            <rFont val="Tahoma"/>
            <family val="2"/>
          </rPr>
          <t>Cem Dener:</t>
        </r>
        <r>
          <rPr>
            <sz val="9"/>
            <color indexed="81"/>
            <rFont val="Tahoma"/>
            <family val="2"/>
          </rPr>
          <t xml:space="preserve">
http://taiwan.angloinfo.com/healthcare/pregnancy-birth/birth-registration/</t>
        </r>
      </text>
    </comment>
    <comment ref="CG175" authorId="0" shapeId="0">
      <text>
        <r>
          <rPr>
            <b/>
            <sz val="9"/>
            <color indexed="81"/>
            <rFont val="Tahoma"/>
            <family val="2"/>
          </rPr>
          <t>Cem Dener:</t>
        </r>
        <r>
          <rPr>
            <sz val="9"/>
            <color indexed="81"/>
            <rFont val="Tahoma"/>
            <family val="2"/>
          </rPr>
          <t xml:space="preserve">
No data.
Estimated BR rate</t>
        </r>
      </text>
    </comment>
    <comment ref="CH175" authorId="0" shapeId="0">
      <text>
        <r>
          <rPr>
            <b/>
            <sz val="9"/>
            <color indexed="81"/>
            <rFont val="Tahoma"/>
            <family val="2"/>
          </rPr>
          <t>Cem Dener:</t>
        </r>
        <r>
          <rPr>
            <sz val="9"/>
            <color indexed="81"/>
            <rFont val="Tahoma"/>
            <family val="2"/>
          </rPr>
          <t xml:space="preserve">
No data.
Estimated BR rate</t>
        </r>
      </text>
    </comment>
    <comment ref="CI175" authorId="0" shapeId="0">
      <text>
        <r>
          <rPr>
            <b/>
            <sz val="9"/>
            <color indexed="81"/>
            <rFont val="Tahoma"/>
            <family val="2"/>
          </rPr>
          <t>Cem Dener:</t>
        </r>
        <r>
          <rPr>
            <sz val="9"/>
            <color indexed="81"/>
            <rFont val="Tahoma"/>
            <family val="2"/>
          </rPr>
          <t xml:space="preserve">
No data.
Estimated BR rate</t>
        </r>
      </text>
    </comment>
    <comment ref="CU175" authorId="0" shapeId="0">
      <text>
        <r>
          <rPr>
            <b/>
            <sz val="9"/>
            <color indexed="81"/>
            <rFont val="Tahoma"/>
            <family val="2"/>
          </rPr>
          <t>Cem Dener:</t>
        </r>
        <r>
          <rPr>
            <sz val="9"/>
            <color indexed="81"/>
            <rFont val="Tahoma"/>
            <family val="2"/>
          </rPr>
          <t xml:space="preserve">
there is a current proposal to lower it to 18</t>
        </r>
      </text>
    </comment>
    <comment ref="HP175" authorId="0" shapeId="0">
      <text>
        <r>
          <rPr>
            <b/>
            <sz val="9"/>
            <color indexed="81"/>
            <rFont val="Tahoma"/>
            <family val="2"/>
          </rPr>
          <t>Cem Dener:</t>
        </r>
        <r>
          <rPr>
            <sz val="9"/>
            <color indexed="81"/>
            <rFont val="Tahoma"/>
            <family val="2"/>
          </rPr>
          <t xml:space="preserve">
None</t>
        </r>
      </text>
    </comment>
    <comment ref="H176" authorId="0" shapeId="0">
      <text>
        <r>
          <rPr>
            <b/>
            <sz val="9"/>
            <color indexed="81"/>
            <rFont val="Tahoma"/>
            <family val="2"/>
          </rPr>
          <t>Cem Dener:</t>
        </r>
        <r>
          <rPr>
            <sz val="9"/>
            <color indexed="81"/>
            <rFont val="Tahoma"/>
            <family val="2"/>
          </rPr>
          <t xml:space="preserve">
http://www.who.int/healthmetrics/library/countries/HMN_TJK_Assess_Final_2010_01_en.pdf
http://www.unicef.org/ceecis/RIGHT_AT_BIRTH.CEECIS(1).pdf</t>
        </r>
      </text>
    </comment>
    <comment ref="O176" authorId="2" shapeId="0">
      <text>
        <r>
          <rPr>
            <b/>
            <sz val="9"/>
            <color indexed="81"/>
            <rFont val="Tahoma"/>
            <family val="2"/>
          </rPr>
          <t>Huan Zhang:</t>
        </r>
        <r>
          <rPr>
            <sz val="9"/>
            <color indexed="81"/>
            <rFont val="Tahoma"/>
            <family val="2"/>
          </rPr>
          <t xml:space="preserve">
http://www.news.tj/en/news/paper-passports-will-be-replaced-id-cards-tajikistan</t>
        </r>
      </text>
    </comment>
    <comment ref="AD176" authorId="2" shapeId="0">
      <text>
        <r>
          <rPr>
            <b/>
            <sz val="9"/>
            <color indexed="81"/>
            <rFont val="Tahoma"/>
            <family val="2"/>
          </rPr>
          <t>Huan Zhang:</t>
        </r>
        <r>
          <rPr>
            <sz val="9"/>
            <color indexed="81"/>
            <rFont val="Tahoma"/>
            <family val="2"/>
          </rPr>
          <t xml:space="preserve">
Biometric passport</t>
        </r>
      </text>
    </comment>
    <comment ref="AE176" authorId="0" shapeId="0">
      <text>
        <r>
          <rPr>
            <b/>
            <sz val="9"/>
            <color indexed="81"/>
            <rFont val="Tahoma"/>
            <family val="2"/>
          </rPr>
          <t>Cem Dener:</t>
        </r>
        <r>
          <rPr>
            <sz val="9"/>
            <color indexed="81"/>
            <rFont val="Tahoma"/>
            <family val="2"/>
          </rPr>
          <t xml:space="preserve">
New eID launched in Apr 2014</t>
        </r>
      </text>
    </comment>
    <comment ref="AL176" authorId="6" shapeId="0">
      <text>
        <r>
          <rPr>
            <b/>
            <sz val="9"/>
            <color indexed="81"/>
            <rFont val="Tahoma"/>
            <family val="2"/>
          </rPr>
          <t>Doruk Yarin Kiroglu:</t>
        </r>
        <r>
          <rPr>
            <sz val="9"/>
            <color indexed="81"/>
            <rFont val="Tahoma"/>
            <family val="2"/>
          </rPr>
          <t xml:space="preserve">
Unknown</t>
        </r>
      </text>
    </comment>
    <comment ref="HK176" authorId="6" shapeId="0">
      <text>
        <r>
          <rPr>
            <b/>
            <sz val="9"/>
            <color indexed="81"/>
            <rFont val="Tahoma"/>
            <family val="2"/>
          </rPr>
          <t>Doruk Yarin Kiroglu:</t>
        </r>
        <r>
          <rPr>
            <sz val="9"/>
            <color indexed="81"/>
            <rFont val="Tahoma"/>
            <family val="2"/>
          </rPr>
          <t xml:space="preserve">
No specific law for data protection. Article30 and 40 of the constitution protects intellectual property of citizens</t>
        </r>
      </text>
    </comment>
    <comment ref="HL176" authorId="6" shapeId="0">
      <text>
        <r>
          <rPr>
            <b/>
            <sz val="9"/>
            <color indexed="81"/>
            <rFont val="Tahoma"/>
            <family val="2"/>
          </rPr>
          <t>Doruk Yarin Kiroglu:</t>
        </r>
        <r>
          <rPr>
            <sz val="9"/>
            <color indexed="81"/>
            <rFont val="Tahoma"/>
            <family val="2"/>
          </rPr>
          <t xml:space="preserve">
http://unpan1.un.org/intradoc/groups/public/documents/untc/unpan003670.htm</t>
        </r>
      </text>
    </comment>
    <comment ref="HM176" authorId="6" shapeId="0">
      <text>
        <r>
          <rPr>
            <b/>
            <sz val="9"/>
            <color indexed="81"/>
            <rFont val="Tahoma"/>
            <family val="2"/>
          </rPr>
          <t>Doruk Yarin Kiroglu:</t>
        </r>
        <r>
          <rPr>
            <sz val="9"/>
            <color indexed="81"/>
            <rFont val="Tahoma"/>
            <family val="2"/>
          </rPr>
          <t xml:space="preserve">
1994</t>
        </r>
      </text>
    </comment>
    <comment ref="HO176" authorId="6" shapeId="0">
      <text>
        <r>
          <rPr>
            <b/>
            <sz val="9"/>
            <color indexed="81"/>
            <rFont val="Tahoma"/>
            <family val="2"/>
          </rPr>
          <t>Doruk Yarin Kiroglu:</t>
        </r>
        <r>
          <rPr>
            <sz val="9"/>
            <color indexed="81"/>
            <rFont val="Tahoma"/>
            <family val="2"/>
          </rPr>
          <t xml:space="preserve">
Pub</t>
        </r>
      </text>
    </comment>
    <comment ref="HP176" authorId="0" shapeId="0">
      <text>
        <r>
          <rPr>
            <b/>
            <sz val="9"/>
            <color indexed="81"/>
            <rFont val="Tahoma"/>
            <family val="2"/>
          </rPr>
          <t>Cem Dener:</t>
        </r>
        <r>
          <rPr>
            <sz val="9"/>
            <color indexed="81"/>
            <rFont val="Tahoma"/>
            <family val="2"/>
          </rPr>
          <t xml:space="preserve">
None</t>
        </r>
      </text>
    </comment>
    <comment ref="C177" authorId="0" shapeId="0">
      <text>
        <r>
          <rPr>
            <b/>
            <sz val="9"/>
            <color indexed="81"/>
            <rFont val="Tahoma"/>
            <family val="2"/>
          </rPr>
          <t>Cem Dener:</t>
        </r>
        <r>
          <rPr>
            <sz val="9"/>
            <color indexed="81"/>
            <rFont val="Tahoma"/>
            <family val="2"/>
          </rPr>
          <t xml:space="preserve">
United Republic of Tanzania</t>
        </r>
      </text>
    </comment>
    <comment ref="K177" authorId="0" shapeId="0">
      <text>
        <r>
          <rPr>
            <b/>
            <sz val="9"/>
            <color indexed="81"/>
            <rFont val="Tahoma"/>
            <family val="2"/>
          </rPr>
          <t>Cem Dener:</t>
        </r>
        <r>
          <rPr>
            <sz val="9"/>
            <color indexed="81"/>
            <rFont val="Tahoma"/>
            <family val="2"/>
          </rPr>
          <t xml:space="preserve">
Initiated in 1917:
http://www.cdc.gov/nchs/data/isp/016_Methods_And_Problems_of_Civil_Registration_Practices_and_Vital_Stat_Collection_in_Africa.pdf</t>
        </r>
      </text>
    </comment>
    <comment ref="N177" authorId="0" shapeId="0">
      <text>
        <r>
          <rPr>
            <b/>
            <sz val="9"/>
            <color indexed="81"/>
            <rFont val="Tahoma"/>
            <family val="2"/>
          </rPr>
          <t>Cem Dener:</t>
        </r>
        <r>
          <rPr>
            <sz val="9"/>
            <color indexed="81"/>
            <rFont val="Tahoma"/>
            <family val="2"/>
          </rPr>
          <t xml:space="preserve">
Within 90 days : Free
After 90 d (w/ birth notification) : Tsh 3,500
After 90 d (w/o birth notification) : Tsh 4,000 
Above ten (10) years : Tsh 10,000 </t>
        </r>
      </text>
    </comment>
    <comment ref="AD177" authorId="0" shapeId="0">
      <text>
        <r>
          <rPr>
            <b/>
            <sz val="9"/>
            <color indexed="81"/>
            <rFont val="Tahoma"/>
            <family val="2"/>
          </rPr>
          <t>Cem Dener:</t>
        </r>
        <r>
          <rPr>
            <sz val="9"/>
            <color indexed="81"/>
            <rFont val="Tahoma"/>
            <family val="2"/>
          </rPr>
          <t xml:space="preserve">
Expansion of coverage in progress</t>
        </r>
      </text>
    </comment>
    <comment ref="AK177" authorId="6" shapeId="0">
      <text>
        <r>
          <rPr>
            <b/>
            <sz val="9"/>
            <color indexed="81"/>
            <rFont val="Tahoma"/>
            <family val="2"/>
          </rPr>
          <t>Doruk Yarin Kiroglu:</t>
        </r>
        <r>
          <rPr>
            <sz val="9"/>
            <color indexed="81"/>
            <rFont val="Tahoma"/>
            <family val="2"/>
          </rPr>
          <t xml:space="preserve">
Total distribution amount http://sabahionline.com/sw/articles/hoa/articles/features/2012/07/12/feature-02</t>
        </r>
      </text>
    </comment>
    <comment ref="AM177" authorId="0" shapeId="0">
      <text>
        <r>
          <rPr>
            <b/>
            <sz val="9"/>
            <color indexed="81"/>
            <rFont val="Tahoma"/>
            <family val="2"/>
          </rPr>
          <t>Cem Dener:</t>
        </r>
        <r>
          <rPr>
            <sz val="9"/>
            <color indexed="81"/>
            <rFont val="Tahoma"/>
            <family val="2"/>
          </rPr>
          <t xml:space="preserve">
http://allafrica.com/stories/201302080118.html
</t>
        </r>
      </text>
    </comment>
    <comment ref="AQ177" authorId="6" shapeId="0">
      <text>
        <r>
          <rPr>
            <b/>
            <sz val="9"/>
            <color indexed="81"/>
            <rFont val="Tahoma"/>
            <family val="2"/>
          </rPr>
          <t>Doruk Yarin Kiroglu:</t>
        </r>
        <r>
          <rPr>
            <sz val="9"/>
            <color indexed="81"/>
            <rFont val="Tahoma"/>
            <family val="2"/>
          </rPr>
          <t xml:space="preserve">
Not implemented yet 
http://allafrica.com/stories/201501301520.html</t>
        </r>
      </text>
    </comment>
    <comment ref="CS177" authorId="0" shapeId="0">
      <text>
        <r>
          <rPr>
            <b/>
            <sz val="9"/>
            <color indexed="81"/>
            <rFont val="Tahoma"/>
            <family val="2"/>
          </rPr>
          <t>Cem Dener:</t>
        </r>
        <r>
          <rPr>
            <sz val="9"/>
            <color indexed="81"/>
            <rFont val="Tahoma"/>
            <family val="2"/>
          </rPr>
          <t xml:space="preserve">
http://www.nec.go.tz/uploads/documents/1448023814-3.pdf</t>
        </r>
      </text>
    </comment>
    <comment ref="HP177" authorId="0" shapeId="0">
      <text>
        <r>
          <rPr>
            <b/>
            <sz val="9"/>
            <color indexed="81"/>
            <rFont val="Tahoma"/>
            <family val="2"/>
          </rPr>
          <t>Cem Dener:</t>
        </r>
        <r>
          <rPr>
            <sz val="9"/>
            <color indexed="81"/>
            <rFont val="Tahoma"/>
            <family val="2"/>
          </rPr>
          <t xml:space="preserve">
None</t>
        </r>
      </text>
    </comment>
    <comment ref="HU177" authorId="6" shapeId="0">
      <text>
        <r>
          <rPr>
            <b/>
            <sz val="9"/>
            <color indexed="81"/>
            <rFont val="Tahoma"/>
            <family val="2"/>
          </rPr>
          <t>Doruk Yarin Kiroglu:</t>
        </r>
        <r>
          <rPr>
            <sz val="9"/>
            <color indexed="81"/>
            <rFont val="Tahoma"/>
            <family val="2"/>
          </rPr>
          <t xml:space="preserve">
Still under discussion
http://www.humanrightsinitiative.org/programs/ai/rti/international/laws_papers/tanzania/draft_foi_bill_2006.pdf
http://www.theguardian.com/global-development-professionals-network/2013/nov/01/closing-tanzania-open-government-plans
</t>
        </r>
      </text>
    </comment>
    <comment ref="H178" authorId="0" shapeId="0">
      <text>
        <r>
          <rPr>
            <b/>
            <sz val="9"/>
            <color indexed="81"/>
            <rFont val="Tahoma"/>
            <family val="2"/>
          </rPr>
          <t>Cem Dener:</t>
        </r>
        <r>
          <rPr>
            <sz val="9"/>
            <color indexed="81"/>
            <rFont val="Tahoma"/>
            <family val="2"/>
          </rPr>
          <t xml:space="preserve">
http://www.futuregov.asia/articles/thai-hospitals-adopted-online-birth-registration-system
http://www.childinfo.org/files/birthregistration_Digestenglish.pdf
http://thailand.angloinfo.com/healthcare/pregnancy-birth/registration-of-birth/</t>
        </r>
      </text>
    </comment>
    <comment ref="AK178" authorId="6" shapeId="0">
      <text>
        <r>
          <rPr>
            <b/>
            <sz val="9"/>
            <color indexed="81"/>
            <rFont val="Tahoma"/>
            <family val="2"/>
          </rPr>
          <t>Doruk Yarin Kiroglu:</t>
        </r>
        <r>
          <rPr>
            <sz val="9"/>
            <color indexed="81"/>
            <rFont val="Tahoma"/>
            <family val="2"/>
          </rPr>
          <t xml:space="preserve">
Annual distribution number estimated by officials in 2005
file:///C:/Users/WB469529/Downloads/GS10-2112_ThailandMinistry_CS.pdf</t>
        </r>
      </text>
    </comment>
    <comment ref="AL178" authorId="6" shapeId="0">
      <text>
        <r>
          <rPr>
            <b/>
            <sz val="9"/>
            <color indexed="81"/>
            <rFont val="Tahoma"/>
            <family val="2"/>
          </rPr>
          <t>Doruk Yarin Kiroglu:</t>
        </r>
        <r>
          <rPr>
            <sz val="9"/>
            <color indexed="81"/>
            <rFont val="Tahoma"/>
            <family val="2"/>
          </rPr>
          <t xml:space="preserve">
Precise Biometrics</t>
        </r>
      </text>
    </comment>
    <comment ref="AM178" authorId="6" shapeId="0">
      <text>
        <r>
          <rPr>
            <b/>
            <sz val="9"/>
            <color indexed="81"/>
            <rFont val="Tahoma"/>
            <family val="2"/>
          </rPr>
          <t>Doruk Yarin Kiroglu:</t>
        </r>
        <r>
          <rPr>
            <sz val="9"/>
            <color indexed="81"/>
            <rFont val="Tahoma"/>
            <family val="2"/>
          </rPr>
          <t xml:space="preserve">
http://precisebiometrics.com/case/match-on-card-thailand/</t>
        </r>
      </text>
    </comment>
    <comment ref="CU178" authorId="0" shapeId="0">
      <text>
        <r>
          <rPr>
            <b/>
            <sz val="9"/>
            <color indexed="81"/>
            <rFont val="Tahoma"/>
            <family val="2"/>
          </rPr>
          <t>Cem Dener:</t>
        </r>
        <r>
          <rPr>
            <sz val="9"/>
            <color indexed="81"/>
            <rFont val="Tahoma"/>
            <family val="2"/>
          </rPr>
          <t xml:space="preserve">
compulsory only for Thai-Cititzens, who are Thai-Cititzens from Birth on</t>
        </r>
      </text>
    </comment>
    <comment ref="HN178" authorId="0" shapeId="0">
      <text>
        <r>
          <rPr>
            <b/>
            <sz val="9"/>
            <color indexed="81"/>
            <rFont val="Tahoma"/>
            <family val="2"/>
          </rPr>
          <t>Cem Dener:</t>
        </r>
        <r>
          <rPr>
            <sz val="9"/>
            <color indexed="81"/>
            <rFont val="Tahoma"/>
            <family val="2"/>
          </rPr>
          <t xml:space="preserve">
Bill before Cabinet mid-2012; new private sector law to add to existing public sector law</t>
        </r>
      </text>
    </comment>
    <comment ref="F179" authorId="0" shapeId="0">
      <text>
        <r>
          <rPr>
            <b/>
            <sz val="9"/>
            <color indexed="81"/>
            <rFont val="Tahoma"/>
            <family val="2"/>
          </rPr>
          <t>Cem Dener:</t>
        </r>
        <r>
          <rPr>
            <sz val="9"/>
            <color indexed="81"/>
            <rFont val="Tahoma"/>
            <family val="2"/>
          </rPr>
          <t xml:space="preserve">
TMP</t>
        </r>
      </text>
    </comment>
    <comment ref="H179" authorId="0" shapeId="0">
      <text>
        <r>
          <rPr>
            <b/>
            <sz val="9"/>
            <color indexed="81"/>
            <rFont val="Tahoma"/>
            <family val="2"/>
          </rPr>
          <t>Cem Dener:</t>
        </r>
        <r>
          <rPr>
            <sz val="9"/>
            <color indexed="81"/>
            <rFont val="Tahoma"/>
            <family val="2"/>
          </rPr>
          <t xml:space="preserve">
http://apps.who.int/iris/bitstream/10665/94365/1/2012-18%20SEA_HSS_TimorLeste_Vital_Regn_System_Assessment.pdf</t>
        </r>
      </text>
    </comment>
    <comment ref="I179" authorId="0" shapeId="0">
      <text>
        <r>
          <rPr>
            <b/>
            <sz val="9"/>
            <color indexed="81"/>
            <rFont val="Tahoma"/>
            <family val="2"/>
          </rPr>
          <t>Cem Dener:</t>
        </r>
        <r>
          <rPr>
            <sz val="9"/>
            <color indexed="81"/>
            <rFont val="Tahoma"/>
            <family val="2"/>
          </rPr>
          <t xml:space="preserve">
Certificates:
Central Civil Registry, Min of Internal Affairs</t>
        </r>
      </text>
    </comment>
    <comment ref="AN179" authorId="2" shapeId="0">
      <text>
        <r>
          <rPr>
            <b/>
            <sz val="9"/>
            <color indexed="81"/>
            <rFont val="Tahoma"/>
            <family val="2"/>
          </rPr>
          <t>Huan Zhang:</t>
        </r>
        <r>
          <rPr>
            <sz val="9"/>
            <color indexed="81"/>
            <rFont val="Tahoma"/>
            <family val="2"/>
          </rPr>
          <t xml:space="preserve">
http://temposemanaltimor.blogspot.com/2008/11/identity-card-project-breaches-law-no.html</t>
        </r>
      </text>
    </comment>
    <comment ref="BC179" authorId="6" shapeId="0">
      <text>
        <r>
          <rPr>
            <b/>
            <sz val="9"/>
            <color indexed="81"/>
            <rFont val="Tahoma"/>
            <family val="2"/>
          </rPr>
          <t>Doruk Yarin Kiroglu:</t>
        </r>
        <r>
          <rPr>
            <sz val="9"/>
            <color indexed="81"/>
            <rFont val="Tahoma"/>
            <family val="2"/>
          </rPr>
          <t xml:space="preserve">
pg 1277</t>
        </r>
      </text>
    </comment>
    <comment ref="DY179" authorId="0" shapeId="0">
      <text>
        <r>
          <rPr>
            <b/>
            <sz val="9"/>
            <color indexed="81"/>
            <rFont val="Tahoma"/>
            <family val="2"/>
          </rPr>
          <t>Cem Dener:</t>
        </r>
        <r>
          <rPr>
            <sz val="9"/>
            <color indexed="81"/>
            <rFont val="Tahoma"/>
            <family val="2"/>
          </rPr>
          <t xml:space="preserve">
http://en.wikipedia.org/wiki/Poverty_in_East_Timor</t>
        </r>
      </text>
    </comment>
    <comment ref="HL179" authorId="6" shapeId="0">
      <text>
        <r>
          <rPr>
            <b/>
            <sz val="9"/>
            <color indexed="81"/>
            <rFont val="Tahoma"/>
            <family val="2"/>
          </rPr>
          <t>Doruk Yarin Kiroglu:</t>
        </r>
        <r>
          <rPr>
            <sz val="9"/>
            <color indexed="81"/>
            <rFont val="Tahoma"/>
            <family val="2"/>
          </rPr>
          <t xml:space="preserve">
Section 38 ensures personal data protection
http://timor-leste.gov.tl/wp-content/uploads/2010/03/Constitution_RDTL_ENG.pdf</t>
        </r>
      </text>
    </comment>
    <comment ref="HP179" authorId="6" shapeId="0">
      <text>
        <r>
          <rPr>
            <b/>
            <sz val="9"/>
            <color indexed="81"/>
            <rFont val="Tahoma"/>
            <family val="2"/>
          </rPr>
          <t>Doruk Yarin Kiroglu:</t>
        </r>
        <r>
          <rPr>
            <sz val="9"/>
            <color indexed="81"/>
            <rFont val="Tahoma"/>
            <family val="2"/>
          </rPr>
          <t xml:space="preserve">
None</t>
        </r>
      </text>
    </comment>
    <comment ref="H180" authorId="0" shapeId="0">
      <text>
        <r>
          <rPr>
            <b/>
            <sz val="9"/>
            <color indexed="81"/>
            <rFont val="Tahoma"/>
            <family val="2"/>
          </rPr>
          <t>Cem Dener:</t>
        </r>
        <r>
          <rPr>
            <sz val="9"/>
            <color indexed="81"/>
            <rFont val="Tahoma"/>
            <family val="2"/>
          </rPr>
          <t xml:space="preserve">
http://www.who.int/classifications/Togo_Feuille_de_route_redevabilite.pdf</t>
        </r>
      </text>
    </comment>
    <comment ref="K180" authorId="0" shapeId="0">
      <text>
        <r>
          <rPr>
            <b/>
            <sz val="9"/>
            <color indexed="81"/>
            <rFont val="Tahoma"/>
            <family val="2"/>
          </rPr>
          <t>Cem Dener:</t>
        </r>
        <r>
          <rPr>
            <sz val="9"/>
            <color indexed="81"/>
            <rFont val="Tahoma"/>
            <family val="2"/>
          </rPr>
          <t xml:space="preserve">
http://www.cdc.gov/nchs/data/isp/016_Methods_And_Problems_of_Civil_Registration_Practices_and_Vital_Stat_Collection_in_Africa.pdf</t>
        </r>
      </text>
    </comment>
    <comment ref="AZ180" authorId="6" shapeId="0">
      <text>
        <r>
          <rPr>
            <b/>
            <sz val="9"/>
            <color indexed="81"/>
            <rFont val="Tahoma"/>
            <family val="2"/>
          </rPr>
          <t>Doruk Yarin Kiroglu:</t>
        </r>
        <r>
          <rPr>
            <sz val="9"/>
            <color indexed="81"/>
            <rFont val="Tahoma"/>
            <family val="2"/>
          </rPr>
          <t xml:space="preserve">
1921
http://www.cfetogo.org/presentation</t>
        </r>
      </text>
    </comment>
    <comment ref="BC180" authorId="6" shapeId="0">
      <text>
        <r>
          <rPr>
            <b/>
            <sz val="9"/>
            <color indexed="81"/>
            <rFont val="Tahoma"/>
            <family val="2"/>
          </rPr>
          <t>Doruk Yarin Kiroglu:</t>
        </r>
        <r>
          <rPr>
            <sz val="9"/>
            <color indexed="81"/>
            <rFont val="Tahoma"/>
            <family val="2"/>
          </rPr>
          <t xml:space="preserve">
Areas of expertise section on TIN</t>
        </r>
      </text>
    </comment>
    <comment ref="BD180" authorId="6" shapeId="0">
      <text>
        <r>
          <rPr>
            <b/>
            <sz val="9"/>
            <color indexed="81"/>
            <rFont val="Tahoma"/>
            <family val="2"/>
          </rPr>
          <t>Doruk Yarin Kiroglu:</t>
        </r>
        <r>
          <rPr>
            <sz val="9"/>
            <color indexed="81"/>
            <rFont val="Tahoma"/>
            <family val="2"/>
          </rPr>
          <t xml:space="preserve">
Implemented OHADA laws in 2011
</t>
        </r>
      </text>
    </comment>
    <comment ref="HK180" authorId="6" shapeId="0">
      <text>
        <r>
          <rPr>
            <b/>
            <sz val="9"/>
            <color indexed="81"/>
            <rFont val="Tahoma"/>
            <family val="2"/>
          </rPr>
          <t>Doruk Yarin Kiroglu:</t>
        </r>
        <r>
          <rPr>
            <sz val="9"/>
            <color indexed="81"/>
            <rFont val="Tahoma"/>
            <family val="2"/>
          </rPr>
          <t xml:space="preserve">
No data protection law
</t>
        </r>
      </text>
    </comment>
    <comment ref="H181" authorId="0" shapeId="0">
      <text>
        <r>
          <rPr>
            <b/>
            <sz val="9"/>
            <color indexed="81"/>
            <rFont val="Tahoma"/>
            <family val="2"/>
          </rPr>
          <t>Cem Dener:</t>
        </r>
        <r>
          <rPr>
            <sz val="9"/>
            <color indexed="81"/>
            <rFont val="Tahoma"/>
            <family val="2"/>
          </rPr>
          <t xml:space="preserve">
http://www.mic.gov.to/news-today/press-releases/4409-digitization-project-of-the-national-civil-registry-registrar-generals-office-ministry-of-justice
http://legislation.to/Tonga/DATA/PRIN/1988-042/BirthsDeathsandMarriagesRegistrationAct.pdf</t>
        </r>
      </text>
    </comment>
    <comment ref="O181" authorId="2" shapeId="0">
      <text>
        <r>
          <rPr>
            <b/>
            <sz val="9"/>
            <color indexed="81"/>
            <rFont val="Tahoma"/>
            <family val="2"/>
          </rPr>
          <t>Huan Zhang:</t>
        </r>
        <r>
          <rPr>
            <sz val="9"/>
            <color indexed="81"/>
            <rFont val="Tahoma"/>
            <family val="2"/>
          </rPr>
          <t xml:space="preserve">
http://www.tongaelections.com/images/stories/TECdocuments/nationaliddatasheeteng.pdf</t>
        </r>
      </text>
    </comment>
    <comment ref="CG181" authorId="0" shapeId="0">
      <text>
        <r>
          <rPr>
            <b/>
            <sz val="9"/>
            <color indexed="81"/>
            <rFont val="Tahoma"/>
            <family val="2"/>
          </rPr>
          <t>Cem Dener:</t>
        </r>
        <r>
          <rPr>
            <sz val="9"/>
            <color indexed="81"/>
            <rFont val="Tahoma"/>
            <family val="2"/>
          </rPr>
          <t xml:space="preserve">
No data.
Estimated BR rate</t>
        </r>
      </text>
    </comment>
    <comment ref="CH181" authorId="0" shapeId="0">
      <text>
        <r>
          <rPr>
            <b/>
            <sz val="9"/>
            <color indexed="81"/>
            <rFont val="Tahoma"/>
            <family val="2"/>
          </rPr>
          <t>Cem Dener:</t>
        </r>
        <r>
          <rPr>
            <sz val="9"/>
            <color indexed="81"/>
            <rFont val="Tahoma"/>
            <family val="2"/>
          </rPr>
          <t xml:space="preserve">
No data.
Estimated BR rate</t>
        </r>
      </text>
    </comment>
    <comment ref="CI181" authorId="0" shapeId="0">
      <text>
        <r>
          <rPr>
            <b/>
            <sz val="9"/>
            <color indexed="81"/>
            <rFont val="Tahoma"/>
            <family val="2"/>
          </rPr>
          <t>Cem Dener:</t>
        </r>
        <r>
          <rPr>
            <sz val="9"/>
            <color indexed="81"/>
            <rFont val="Tahoma"/>
            <family val="2"/>
          </rPr>
          <t xml:space="preserve">
No data.
Estimated BR rate</t>
        </r>
      </text>
    </comment>
    <comment ref="DY181" authorId="0" shapeId="0">
      <text>
        <r>
          <rPr>
            <b/>
            <sz val="9"/>
            <color indexed="81"/>
            <rFont val="Tahoma"/>
            <family val="2"/>
          </rPr>
          <t>Cem Dener:</t>
        </r>
        <r>
          <rPr>
            <sz val="9"/>
            <color indexed="81"/>
            <rFont val="Tahoma"/>
            <family val="2"/>
          </rPr>
          <t xml:space="preserve">
http://www.humanium.org/en/tonga/</t>
        </r>
      </text>
    </comment>
    <comment ref="EB181" authorId="0" shapeId="0">
      <text>
        <r>
          <rPr>
            <b/>
            <sz val="9"/>
            <color indexed="81"/>
            <rFont val="Tahoma"/>
            <family val="2"/>
          </rPr>
          <t>Cem Dener:</t>
        </r>
        <r>
          <rPr>
            <sz val="9"/>
            <color indexed="81"/>
            <rFont val="Tahoma"/>
            <family val="2"/>
          </rPr>
          <t xml:space="preserve">
http://www.adb.org/countries/tonga/main</t>
        </r>
      </text>
    </comment>
    <comment ref="HK181" authorId="6" shapeId="0">
      <text>
        <r>
          <rPr>
            <b/>
            <sz val="9"/>
            <color indexed="81"/>
            <rFont val="Tahoma"/>
            <family val="2"/>
          </rPr>
          <t>Doruk Yarin Kiroglu:</t>
        </r>
        <r>
          <rPr>
            <sz val="9"/>
            <color indexed="81"/>
            <rFont val="Tahoma"/>
            <family val="2"/>
          </rPr>
          <t xml:space="preserve">
No data protection law
</t>
        </r>
      </text>
    </comment>
    <comment ref="H182" authorId="0" shapeId="0">
      <text>
        <r>
          <rPr>
            <b/>
            <sz val="9"/>
            <color indexed="81"/>
            <rFont val="Tahoma"/>
            <family val="2"/>
          </rPr>
          <t>Cem Dener:</t>
        </r>
        <r>
          <rPr>
            <sz val="9"/>
            <color indexed="81"/>
            <rFont val="Tahoma"/>
            <family val="2"/>
          </rPr>
          <t xml:space="preserve">
http://www.ebctt.com</t>
        </r>
      </text>
    </comment>
    <comment ref="N182" authorId="0" shapeId="0">
      <text>
        <r>
          <rPr>
            <b/>
            <sz val="9"/>
            <color indexed="81"/>
            <rFont val="Tahoma"/>
            <family val="2"/>
          </rPr>
          <t>Cem Dener:</t>
        </r>
        <r>
          <rPr>
            <sz val="9"/>
            <color indexed="81"/>
            <rFont val="Tahoma"/>
            <family val="2"/>
          </rPr>
          <t xml:space="preserve">
Free up to 3 months.
Late reg: 3 to 12 m 
$20.00 to District egistrar. $50.00 to Warden's Office
After 1 year:
$25.00 to District Registrar. $75.00 to Warden Officer
</t>
        </r>
      </text>
    </comment>
    <comment ref="AD182" authorId="0" shapeId="0">
      <text>
        <r>
          <rPr>
            <b/>
            <sz val="9"/>
            <color indexed="81"/>
            <rFont val="Tahoma"/>
            <family val="2"/>
          </rPr>
          <t>Cem Dener:</t>
        </r>
        <r>
          <rPr>
            <sz val="9"/>
            <color indexed="81"/>
            <rFont val="Tahoma"/>
            <family val="2"/>
          </rPr>
          <t xml:space="preserve">
http://www.delarue.com/~/media/Files/D/Delarue/markets/protecting-identity/trinidad-tobago-id-case-study.pdf</t>
        </r>
      </text>
    </comment>
    <comment ref="AE182" authorId="0" shapeId="0">
      <text>
        <r>
          <rPr>
            <b/>
            <sz val="9"/>
            <color indexed="81"/>
            <rFont val="Tahoma"/>
            <family val="2"/>
          </rPr>
          <t>Cem Dener:</t>
        </r>
        <r>
          <rPr>
            <sz val="9"/>
            <color indexed="81"/>
            <rFont val="Tahoma"/>
            <family val="2"/>
          </rPr>
          <t xml:space="preserve">
Launched in 2013.
Delay in rolling out the eID system</t>
        </r>
      </text>
    </comment>
    <comment ref="AL182" authorId="6" shapeId="0">
      <text>
        <r>
          <rPr>
            <b/>
            <sz val="9"/>
            <color indexed="81"/>
            <rFont val="Tahoma"/>
            <family val="2"/>
          </rPr>
          <t>Doruk Yarin Kiroglu:</t>
        </r>
        <r>
          <rPr>
            <sz val="9"/>
            <color indexed="81"/>
            <rFont val="Tahoma"/>
            <family val="2"/>
          </rPr>
          <t xml:space="preserve">
The National Database and Registration Authority - NADRA</t>
        </r>
      </text>
    </comment>
    <comment ref="AM182" authorId="0" shapeId="0">
      <text>
        <r>
          <rPr>
            <b/>
            <sz val="9"/>
            <color indexed="81"/>
            <rFont val="Tahoma"/>
            <family val="2"/>
          </rPr>
          <t>Cem Dener:</t>
        </r>
        <r>
          <rPr>
            <sz val="9"/>
            <color indexed="81"/>
            <rFont val="Tahoma"/>
            <family val="2"/>
          </rPr>
          <t xml:space="preserve">
http://www2.mpsd.gov.tt/content/targeted-conditional-cash-transfer-programme-0</t>
        </r>
      </text>
    </comment>
    <comment ref="AT182" authorId="6" shapeId="0">
      <text>
        <r>
          <rPr>
            <b/>
            <sz val="9"/>
            <color indexed="81"/>
            <rFont val="Tahoma"/>
            <family val="2"/>
          </rPr>
          <t>Doruk Yarin Kiroglu:</t>
        </r>
        <r>
          <rPr>
            <sz val="9"/>
            <color indexed="81"/>
            <rFont val="Tahoma"/>
            <family val="2"/>
          </rPr>
          <t xml:space="preserve">
Ministry of National Security</t>
        </r>
      </text>
    </comment>
    <comment ref="BF182" authorId="6" shapeId="0">
      <text>
        <r>
          <rPr>
            <b/>
            <sz val="9"/>
            <color indexed="81"/>
            <rFont val="Tahoma"/>
            <family val="2"/>
          </rPr>
          <t>Doruk Yarin Kiroglu:</t>
        </r>
        <r>
          <rPr>
            <sz val="9"/>
            <color indexed="81"/>
            <rFont val="Tahoma"/>
            <family val="2"/>
          </rPr>
          <t xml:space="preserve">
Certificate application, Advisor system, Insurance</t>
        </r>
      </text>
    </comment>
    <comment ref="CN182" authorId="0" shapeId="0">
      <text>
        <r>
          <rPr>
            <b/>
            <sz val="9"/>
            <color indexed="81"/>
            <rFont val="Tahoma"/>
            <family val="2"/>
          </rPr>
          <t>Cem Dener:</t>
        </r>
        <r>
          <rPr>
            <sz val="9"/>
            <color indexed="81"/>
            <rFont val="Tahoma"/>
            <family val="2"/>
          </rPr>
          <t xml:space="preserve">
Voting Age Population was used (Registered voter was greater than VAP)</t>
        </r>
      </text>
    </comment>
    <comment ref="HQ182" authorId="6" shapeId="0">
      <text>
        <r>
          <rPr>
            <b/>
            <sz val="9"/>
            <color indexed="81"/>
            <rFont val="Tahoma"/>
            <family val="2"/>
          </rPr>
          <t>Doruk Yarin Kiroglu:</t>
        </r>
        <r>
          <rPr>
            <sz val="9"/>
            <color indexed="81"/>
            <rFont val="Tahoma"/>
            <family val="2"/>
          </rPr>
          <t xml:space="preserve">
National Data Protection Authority</t>
        </r>
      </text>
    </comment>
    <comment ref="AM183" authorId="0" shapeId="0">
      <text>
        <r>
          <rPr>
            <b/>
            <sz val="9"/>
            <color indexed="81"/>
            <rFont val="Tahoma"/>
            <family val="2"/>
          </rPr>
          <t>Cem Dener:</t>
        </r>
        <r>
          <rPr>
            <sz val="9"/>
            <color indexed="81"/>
            <rFont val="Tahoma"/>
            <family val="2"/>
          </rPr>
          <t xml:space="preserve">
http://www.securitydocumentworld.com/article-details/i/11882/</t>
        </r>
      </text>
    </comment>
    <comment ref="AZ183" authorId="6" shapeId="0">
      <text>
        <r>
          <rPr>
            <b/>
            <sz val="9"/>
            <color indexed="81"/>
            <rFont val="Tahoma"/>
            <family val="2"/>
          </rPr>
          <t>Doruk Yarin Kiroglu:</t>
        </r>
        <r>
          <rPr>
            <sz val="9"/>
            <color indexed="81"/>
            <rFont val="Tahoma"/>
            <family val="2"/>
          </rPr>
          <t xml:space="preserve">
1885
http://www.jurisitetunisie.com/tunisie/codes/cs/cs1000.htm</t>
        </r>
      </text>
    </comment>
    <comment ref="BD183" authorId="6" shapeId="0">
      <text>
        <r>
          <rPr>
            <b/>
            <sz val="9"/>
            <color indexed="81"/>
            <rFont val="Tahoma"/>
            <family val="2"/>
          </rPr>
          <t>Doruk Yarin Kiroglu:</t>
        </r>
        <r>
          <rPr>
            <sz val="9"/>
            <color indexed="81"/>
            <rFont val="Tahoma"/>
            <family val="2"/>
          </rPr>
          <t xml:space="preserve">
Revised in 2012 http://www.jurisitetunisie.com/tunisie/codes/rc/rc1000.htm#3</t>
        </r>
      </text>
    </comment>
    <comment ref="CS183" authorId="0" shapeId="0">
      <text>
        <r>
          <rPr>
            <b/>
            <sz val="9"/>
            <color indexed="81"/>
            <rFont val="Tahoma"/>
            <family val="2"/>
          </rPr>
          <t>Cem Dener:</t>
        </r>
        <r>
          <rPr>
            <sz val="9"/>
            <color indexed="81"/>
            <rFont val="Tahoma"/>
            <family val="2"/>
          </rPr>
          <t xml:space="preserve">
http://www.isie.tn 
</t>
        </r>
      </text>
    </comment>
    <comment ref="V184" authorId="0" shapeId="0">
      <text>
        <r>
          <rPr>
            <b/>
            <sz val="9"/>
            <color indexed="81"/>
            <rFont val="Tahoma"/>
            <family val="2"/>
          </rPr>
          <t>Cem Dener:</t>
        </r>
        <r>
          <rPr>
            <sz val="9"/>
            <color indexed="81"/>
            <rFont val="Tahoma"/>
            <family val="2"/>
          </rPr>
          <t xml:space="preserve">
Photo ID is compulsory at 15</t>
        </r>
      </text>
    </comment>
    <comment ref="AD184" authorId="0" shapeId="0">
      <text>
        <r>
          <rPr>
            <b/>
            <sz val="9"/>
            <color indexed="81"/>
            <rFont val="Tahoma"/>
            <family val="2"/>
          </rPr>
          <t>Cem Dener:</t>
        </r>
        <r>
          <rPr>
            <sz val="9"/>
            <color indexed="81"/>
            <rFont val="Tahoma"/>
            <family val="2"/>
          </rPr>
          <t xml:space="preserve">
http://www.ekds.gov.tr</t>
        </r>
      </text>
    </comment>
    <comment ref="AE184" authorId="0" shapeId="0">
      <text>
        <r>
          <rPr>
            <b/>
            <sz val="9"/>
            <color indexed="81"/>
            <rFont val="Tahoma"/>
            <family val="2"/>
          </rPr>
          <t>Cem Dener:</t>
        </r>
        <r>
          <rPr>
            <sz val="9"/>
            <color indexed="81"/>
            <rFont val="Tahoma"/>
            <family val="2"/>
          </rPr>
          <t xml:space="preserve">
Pilot implementation started in 2011</t>
        </r>
      </text>
    </comment>
    <comment ref="AK184" authorId="6" shapeId="0">
      <text>
        <r>
          <rPr>
            <b/>
            <sz val="9"/>
            <color indexed="81"/>
            <rFont val="Tahoma"/>
            <family val="2"/>
          </rPr>
          <t>Doruk Yarin Kiroglu:</t>
        </r>
        <r>
          <rPr>
            <sz val="9"/>
            <color indexed="81"/>
            <rFont val="Tahoma"/>
            <family val="2"/>
          </rPr>
          <t xml:space="preserve">
Planning to cover every citizen by 2016, distributing 30 million cards on average every year
http://www.ekds.org/node/78</t>
        </r>
      </text>
    </comment>
    <comment ref="AL184" authorId="6" shapeId="0">
      <text>
        <r>
          <rPr>
            <b/>
            <sz val="9"/>
            <color indexed="81"/>
            <rFont val="Tahoma"/>
            <family val="2"/>
          </rPr>
          <t>Doruk Yarin Kiroglu:</t>
        </r>
        <r>
          <rPr>
            <sz val="9"/>
            <color indexed="81"/>
            <rFont val="Tahoma"/>
            <family val="2"/>
          </rPr>
          <t xml:space="preserve">
TUBITAK - UEKAE</t>
        </r>
      </text>
    </comment>
    <comment ref="AN184" authorId="0" shapeId="0">
      <text>
        <r>
          <rPr>
            <b/>
            <sz val="9"/>
            <color indexed="81"/>
            <rFont val="Tahoma"/>
            <family val="2"/>
          </rPr>
          <t>Cem Dener:</t>
        </r>
        <r>
          <rPr>
            <sz val="9"/>
            <color indexed="81"/>
            <rFont val="Tahoma"/>
            <family val="2"/>
          </rPr>
          <t xml:space="preserve">
http://callcenterinfo.tmcnet.com/news/2014/11/11/8116549.htm </t>
        </r>
      </text>
    </comment>
    <comment ref="AZ184" authorId="6" shapeId="0">
      <text>
        <r>
          <rPr>
            <b/>
            <sz val="9"/>
            <color indexed="81"/>
            <rFont val="Tahoma"/>
            <family val="2"/>
          </rPr>
          <t>Doruk Yarin Kiroglu:</t>
        </r>
        <r>
          <rPr>
            <sz val="9"/>
            <color indexed="81"/>
            <rFont val="Tahoma"/>
            <family val="2"/>
          </rPr>
          <t xml:space="preserve">
1957
http://www.doingbusiness.org/data/exploreeconomies/turkey/starting-a-business</t>
        </r>
      </text>
    </comment>
    <comment ref="BF184" authorId="6" shapeId="0">
      <text>
        <r>
          <rPr>
            <b/>
            <sz val="9"/>
            <color indexed="81"/>
            <rFont val="Tahoma"/>
            <family val="2"/>
          </rPr>
          <t>Doruk Yarin Kiroglu:</t>
        </r>
        <r>
          <rPr>
            <sz val="9"/>
            <color indexed="81"/>
            <rFont val="Tahoma"/>
            <family val="2"/>
          </rPr>
          <t xml:space="preserve">
Permits, Electronic pay roll</t>
        </r>
      </text>
    </comment>
    <comment ref="H185" authorId="0" shapeId="0">
      <text>
        <r>
          <rPr>
            <b/>
            <sz val="9"/>
            <color indexed="81"/>
            <rFont val="Tahoma"/>
            <family val="2"/>
          </rPr>
          <t>Cem Dener:</t>
        </r>
        <r>
          <rPr>
            <sz val="9"/>
            <color indexed="81"/>
            <rFont val="Tahoma"/>
            <family val="2"/>
          </rPr>
          <t xml:space="preserve">
http://www.unicef.org/ceecis/RIGHT_AT_BIRTH.CEECIS(1).pdf</t>
        </r>
      </text>
    </comment>
    <comment ref="O185" authorId="2" shapeId="0">
      <text>
        <r>
          <rPr>
            <b/>
            <sz val="9"/>
            <color indexed="81"/>
            <rFont val="Tahoma"/>
            <family val="2"/>
          </rPr>
          <t>Huan Zhang:</t>
        </r>
        <r>
          <rPr>
            <sz val="9"/>
            <color indexed="81"/>
            <rFont val="Tahoma"/>
            <family val="2"/>
          </rPr>
          <t xml:space="preserve">
http://www.legislationline.org/documents/action/popup/id/7023</t>
        </r>
      </text>
    </comment>
    <comment ref="AY185" authorId="6" shapeId="0">
      <text>
        <r>
          <rPr>
            <b/>
            <sz val="9"/>
            <color indexed="81"/>
            <rFont val="Tahoma"/>
            <family val="2"/>
          </rPr>
          <t>Doruk Yarin Kiroglu:</t>
        </r>
        <r>
          <rPr>
            <sz val="9"/>
            <color indexed="81"/>
            <rFont val="Tahoma"/>
            <family val="2"/>
          </rPr>
          <t xml:space="preserve">
No accesible business registry</t>
        </r>
      </text>
    </comment>
    <comment ref="AZ185" authorId="6" shapeId="0">
      <text>
        <r>
          <rPr>
            <b/>
            <sz val="9"/>
            <color indexed="81"/>
            <rFont val="Tahoma"/>
            <family val="2"/>
          </rPr>
          <t>Doruk Yarin Kiroglu:</t>
        </r>
        <r>
          <rPr>
            <sz val="9"/>
            <color indexed="81"/>
            <rFont val="Tahoma"/>
            <family val="2"/>
          </rPr>
          <t xml:space="preserve">
1994</t>
        </r>
      </text>
    </comment>
    <comment ref="HK185" authorId="6" shapeId="0">
      <text>
        <r>
          <rPr>
            <b/>
            <sz val="9"/>
            <color indexed="81"/>
            <rFont val="Tahoma"/>
            <family val="2"/>
          </rPr>
          <t>Doruk Yarin Kiroglu:</t>
        </r>
        <r>
          <rPr>
            <sz val="9"/>
            <color indexed="81"/>
            <rFont val="Tahoma"/>
            <family val="2"/>
          </rPr>
          <t xml:space="preserve">
No data protection law
</t>
        </r>
      </text>
    </comment>
    <comment ref="AY186" authorId="6" shapeId="0">
      <text>
        <r>
          <rPr>
            <b/>
            <sz val="9"/>
            <color indexed="81"/>
            <rFont val="Tahoma"/>
            <family val="2"/>
          </rPr>
          <t>Doruk Yarin Kiroglu:</t>
        </r>
        <r>
          <rPr>
            <sz val="9"/>
            <color indexed="81"/>
            <rFont val="Tahoma"/>
            <family val="2"/>
          </rPr>
          <t xml:space="preserve">
Tuvalu National Chamber of Commerce 
No accesible government or Doing Business website.</t>
        </r>
      </text>
    </comment>
    <comment ref="CS186" authorId="0" shapeId="0">
      <text>
        <r>
          <rPr>
            <b/>
            <sz val="9"/>
            <color indexed="81"/>
            <rFont val="Tahoma"/>
            <family val="2"/>
          </rPr>
          <t>Cem Dener:</t>
        </r>
        <r>
          <rPr>
            <sz val="9"/>
            <color indexed="81"/>
            <rFont val="Tahoma"/>
            <family val="2"/>
          </rPr>
          <t xml:space="preserve">
http://www.spc.int/prism/tuvalu/en/social/demographic
http://www.spc.int/prism/tuvalu/en/social/demographic</t>
        </r>
      </text>
    </comment>
    <comment ref="HK186" authorId="6" shapeId="0">
      <text>
        <r>
          <rPr>
            <b/>
            <sz val="9"/>
            <color indexed="81"/>
            <rFont val="Tahoma"/>
            <family val="2"/>
          </rPr>
          <t>Doruk Yarin Kiroglu:</t>
        </r>
        <r>
          <rPr>
            <sz val="9"/>
            <color indexed="81"/>
            <rFont val="Tahoma"/>
            <family val="2"/>
          </rPr>
          <t xml:space="preserve">
No data protection law
</t>
        </r>
      </text>
    </comment>
    <comment ref="K187" authorId="0" shapeId="0">
      <text>
        <r>
          <rPr>
            <b/>
            <sz val="9"/>
            <color indexed="81"/>
            <rFont val="Tahoma"/>
            <family val="2"/>
          </rPr>
          <t>Cem Dener:</t>
        </r>
        <r>
          <rPr>
            <sz val="9"/>
            <color indexed="81"/>
            <rFont val="Tahoma"/>
            <family val="2"/>
          </rPr>
          <t xml:space="preserve">
http://www.cdc.gov/nchs/data/isp/016_Methods_And_Problems_of_Civil_Registration_Practices_and_Vital_Stat_Collection_in_Africa.pdf</t>
        </r>
      </text>
    </comment>
    <comment ref="N187" authorId="0" shapeId="0">
      <text>
        <r>
          <rPr>
            <b/>
            <sz val="9"/>
            <color indexed="81"/>
            <rFont val="Tahoma"/>
            <family val="2"/>
          </rPr>
          <t>Cem Dener:</t>
        </r>
        <r>
          <rPr>
            <sz val="9"/>
            <color indexed="81"/>
            <rFont val="Tahoma"/>
            <family val="2"/>
          </rPr>
          <t xml:space="preserve">
Uganda shillings 5000 and bank charges of 2500 shillings</t>
        </r>
      </text>
    </comment>
    <comment ref="R187" authorId="0" shapeId="0">
      <text>
        <r>
          <rPr>
            <b/>
            <sz val="9"/>
            <color indexed="81"/>
            <rFont val="Tahoma"/>
            <family val="2"/>
          </rPr>
          <t>Cem Dener:</t>
        </r>
        <r>
          <rPr>
            <sz val="9"/>
            <color indexed="81"/>
            <rFont val="Tahoma"/>
            <family val="2"/>
          </rPr>
          <t xml:space="preserve">
Will be compulsory in 2016</t>
        </r>
      </text>
    </comment>
    <comment ref="AD187" authorId="0" shapeId="0">
      <text>
        <r>
          <rPr>
            <b/>
            <sz val="9"/>
            <color indexed="81"/>
            <rFont val="Tahoma"/>
            <family val="2"/>
          </rPr>
          <t>Cem Dener:</t>
        </r>
        <r>
          <rPr>
            <sz val="9"/>
            <color indexed="81"/>
            <rFont val="Tahoma"/>
            <family val="2"/>
          </rPr>
          <t xml:space="preserve">
Implementation in progress since 2010. Delay in deliverables.
64m Euro contract</t>
        </r>
      </text>
    </comment>
    <comment ref="AK187" authorId="6" shapeId="0">
      <text>
        <r>
          <rPr>
            <b/>
            <sz val="9"/>
            <color indexed="81"/>
            <rFont val="Tahoma"/>
            <family val="2"/>
          </rPr>
          <t>Doruk Yarin Kiroglu:</t>
        </r>
        <r>
          <rPr>
            <sz val="9"/>
            <color indexed="81"/>
            <rFont val="Tahoma"/>
            <family val="2"/>
          </rPr>
          <t xml:space="preserve">
Reported by National Security Information Systems on December 2014
http://nsis.go.ug/</t>
        </r>
      </text>
    </comment>
    <comment ref="AL187" authorId="6" shapeId="0">
      <text>
        <r>
          <rPr>
            <b/>
            <sz val="9"/>
            <color indexed="81"/>
            <rFont val="Tahoma"/>
            <family val="2"/>
          </rPr>
          <t>Doruk Yarin Kiroglu:</t>
        </r>
        <r>
          <rPr>
            <sz val="9"/>
            <color indexed="81"/>
            <rFont val="Tahoma"/>
            <family val="2"/>
          </rPr>
          <t xml:space="preserve">
Mühlbauer Group</t>
        </r>
      </text>
    </comment>
    <comment ref="AM187" authorId="0" shapeId="0">
      <text>
        <r>
          <rPr>
            <b/>
            <sz val="9"/>
            <color indexed="81"/>
            <rFont val="Tahoma"/>
            <family val="2"/>
          </rPr>
          <t>Cem Dener:</t>
        </r>
        <r>
          <rPr>
            <sz val="9"/>
            <color indexed="81"/>
            <rFont val="Tahoma"/>
            <family val="2"/>
          </rPr>
          <t xml:space="preserve">
http://www.monitor.co.ug/News/National/Government-wants-extra-Shs500b-for-ID-project/-/688334/2046186/-/phpbn1/-/index.html</t>
        </r>
      </text>
    </comment>
    <comment ref="AZ187" authorId="6" shapeId="0">
      <text>
        <r>
          <rPr>
            <b/>
            <sz val="9"/>
            <color indexed="81"/>
            <rFont val="Tahoma"/>
            <family val="2"/>
          </rPr>
          <t>Doruk Yarin Kiroglu:</t>
        </r>
        <r>
          <rPr>
            <sz val="9"/>
            <color indexed="81"/>
            <rFont val="Tahoma"/>
            <family val="2"/>
          </rPr>
          <t xml:space="preserve">
1998
http://www.ulii.org/files/ug/legislation/act/2012/1/companies_act_no_1_of_2012_pdf_84470.pdf</t>
        </r>
      </text>
    </comment>
    <comment ref="BF187" authorId="6" shapeId="0">
      <text>
        <r>
          <rPr>
            <b/>
            <sz val="9"/>
            <color indexed="81"/>
            <rFont val="Tahoma"/>
            <family val="2"/>
          </rPr>
          <t>Doruk Yarin Kiroglu:</t>
        </r>
        <r>
          <rPr>
            <sz val="9"/>
            <color indexed="81"/>
            <rFont val="Tahoma"/>
            <family val="2"/>
          </rPr>
          <t xml:space="preserve">
Companies act 2012
http://www.ulii.org/files/ug/legislation/act/2012/1/companies_act_no_1_of_2012_pdf_84470.pdf</t>
        </r>
      </text>
    </comment>
    <comment ref="HK187" authorId="6" shapeId="0">
      <text>
        <r>
          <rPr>
            <b/>
            <sz val="9"/>
            <color indexed="81"/>
            <rFont val="Tahoma"/>
            <family val="2"/>
          </rPr>
          <t>Doruk Yarin Kiroglu:</t>
        </r>
        <r>
          <rPr>
            <sz val="9"/>
            <color indexed="81"/>
            <rFont val="Tahoma"/>
            <family val="2"/>
          </rPr>
          <t xml:space="preserve">
Draft version of the bill. Not implemented yet</t>
        </r>
      </text>
    </comment>
    <comment ref="HM187" authorId="6" shapeId="0">
      <text>
        <r>
          <rPr>
            <b/>
            <sz val="9"/>
            <color indexed="81"/>
            <rFont val="Tahoma"/>
            <family val="2"/>
          </rPr>
          <t>Doruk Yarin Kiroglu:</t>
        </r>
        <r>
          <rPr>
            <sz val="9"/>
            <color indexed="81"/>
            <rFont val="Tahoma"/>
            <family val="2"/>
          </rPr>
          <t xml:space="preserve">
Draft version of the bill. Not implemented yet</t>
        </r>
      </text>
    </comment>
    <comment ref="H188" authorId="0" shapeId="0">
      <text>
        <r>
          <rPr>
            <b/>
            <sz val="9"/>
            <color indexed="81"/>
            <rFont val="Tahoma"/>
            <family val="2"/>
          </rPr>
          <t>Cem Dener:</t>
        </r>
        <r>
          <rPr>
            <sz val="9"/>
            <color indexed="81"/>
            <rFont val="Tahoma"/>
            <family val="2"/>
          </rPr>
          <t xml:space="preserve">
http://www.unicef.org/ceecis/RIGHT_AT_BIRTH.CEECIS(1).pdf</t>
        </r>
      </text>
    </comment>
    <comment ref="N188" authorId="0" shapeId="0">
      <text>
        <r>
          <rPr>
            <b/>
            <sz val="9"/>
            <color indexed="81"/>
            <rFont val="Tahoma"/>
            <family val="2"/>
          </rPr>
          <t>Cem Dener:</t>
        </r>
        <r>
          <rPr>
            <sz val="9"/>
            <color indexed="81"/>
            <rFont val="Tahoma"/>
            <family val="2"/>
          </rPr>
          <t xml:space="preserve">
$3 late reg fee</t>
        </r>
      </text>
    </comment>
    <comment ref="AL188" authorId="6" shapeId="0">
      <text>
        <r>
          <rPr>
            <b/>
            <sz val="9"/>
            <color indexed="81"/>
            <rFont val="Tahoma"/>
            <family val="2"/>
          </rPr>
          <t>Doruk Yarin Kiroglu:</t>
        </r>
        <r>
          <rPr>
            <sz val="9"/>
            <color indexed="81"/>
            <rFont val="Tahoma"/>
            <family val="2"/>
          </rPr>
          <t xml:space="preserve">
EDAPS Consortium</t>
        </r>
      </text>
    </comment>
    <comment ref="AZ188" authorId="6" shapeId="0">
      <text>
        <r>
          <rPr>
            <b/>
            <sz val="9"/>
            <color indexed="81"/>
            <rFont val="Tahoma"/>
            <family val="2"/>
          </rPr>
          <t>Doruk Yarin Kiroglu:</t>
        </r>
        <r>
          <rPr>
            <sz val="9"/>
            <color indexed="81"/>
            <rFont val="Tahoma"/>
            <family val="2"/>
          </rPr>
          <t xml:space="preserve">
2005
http://irc.gov.ua/en/about</t>
        </r>
      </text>
    </comment>
    <comment ref="BF188" authorId="6" shapeId="0">
      <text>
        <r>
          <rPr>
            <b/>
            <sz val="9"/>
            <color indexed="81"/>
            <rFont val="Tahoma"/>
            <family val="2"/>
          </rPr>
          <t>Doruk Yarin Kiroglu:</t>
        </r>
        <r>
          <rPr>
            <sz val="9"/>
            <color indexed="81"/>
            <rFont val="Tahoma"/>
            <family val="2"/>
          </rPr>
          <t xml:space="preserve">
</t>
        </r>
        <r>
          <rPr>
            <sz val="9"/>
            <color indexed="81"/>
            <rFont val="Tahoma"/>
            <family val="2"/>
          </rPr>
          <t>http://zakon4.rada.gov.ua/laws/show/1658-2000-%D0%BF</t>
        </r>
      </text>
    </comment>
    <comment ref="I189" authorId="0" shapeId="0">
      <text>
        <r>
          <rPr>
            <b/>
            <sz val="9"/>
            <color indexed="81"/>
            <rFont val="Tahoma"/>
            <family val="2"/>
          </rPr>
          <t>Cem Dener:</t>
        </r>
        <r>
          <rPr>
            <sz val="9"/>
            <color indexed="81"/>
            <rFont val="Tahoma"/>
            <family val="2"/>
          </rPr>
          <t xml:space="preserve">
Certificate:
Min of Health</t>
        </r>
      </text>
    </comment>
    <comment ref="AJ189" authorId="6" shapeId="0">
      <text>
        <r>
          <rPr>
            <b/>
            <sz val="9"/>
            <color indexed="81"/>
            <rFont val="Tahoma"/>
            <family val="2"/>
          </rPr>
          <t>Doruk Yarin Kiroglu:</t>
        </r>
        <r>
          <rPr>
            <sz val="9"/>
            <color indexed="81"/>
            <rFont val="Tahoma"/>
            <family val="2"/>
          </rPr>
          <t xml:space="preserve">
http://government.ae/en/web/guest/eservice-topic-details?categoryId=91</t>
        </r>
      </text>
    </comment>
    <comment ref="AK189" authorId="6" shapeId="0">
      <text>
        <r>
          <rPr>
            <b/>
            <sz val="9"/>
            <color indexed="81"/>
            <rFont val="Tahoma"/>
            <family val="2"/>
          </rPr>
          <t>Doruk Yarin Kiroglu:</t>
        </r>
        <r>
          <rPr>
            <sz val="9"/>
            <color indexed="81"/>
            <rFont val="Tahoma"/>
            <family val="2"/>
          </rPr>
          <t xml:space="preserve">
Number of distributed ID's between 2011 and 2014
http://www.id.gov.ae/userfiles/assets/7JFtMQWKsxp.pdf</t>
        </r>
      </text>
    </comment>
    <comment ref="AM189" authorId="0" shapeId="0">
      <text>
        <r>
          <rPr>
            <b/>
            <sz val="9"/>
            <color indexed="81"/>
            <rFont val="Tahoma"/>
            <family val="2"/>
          </rPr>
          <t>Cem Dener:</t>
        </r>
        <r>
          <rPr>
            <sz val="9"/>
            <color indexed="81"/>
            <rFont val="Tahoma"/>
            <family val="2"/>
          </rPr>
          <t xml:space="preserve">
http://www.icao.int/Security/mrtd/2011qatar/Documents/15_Morpho.pdf
GEMALTO:
http://www.gemalto.com/brochures-site/download-site/Documents/gov-ID-programs.pdf</t>
        </r>
      </text>
    </comment>
    <comment ref="AR189" authorId="6" shapeId="0">
      <text>
        <r>
          <rPr>
            <b/>
            <sz val="9"/>
            <color indexed="81"/>
            <rFont val="Tahoma"/>
            <family val="2"/>
          </rPr>
          <t>Doruk Yarin Kiroglu:</t>
        </r>
        <r>
          <rPr>
            <sz val="9"/>
            <color indexed="81"/>
            <rFont val="Tahoma"/>
            <family val="2"/>
          </rPr>
          <t xml:space="preserve">
Application through mobile app is available http://www.alarabiya.net/ar/technology/2014/10/27/%D8%A7%D9%84%D8%AF%D8%A7%D8%AE%D9%84%D9%8A%D8%A9-%D8%A7%D9%84%D8%A5%D9%85%D8%A7%D8%B1%D8%A7%D8%AA%D9%8A%D8%A9-%D8%AA%D8%B7%D8%A8%D9%8A%D9%82-%D8%B0%D9%83%D9%8A-%D9%84%D8%AA%D8%AC%D8%AF%D9%8A%D8%AF-%D8%AC%D9%88%D8%A7%D8%B2-%D8%A7%D9%84%D8%B3%D9%81%D8%B1.html</t>
        </r>
      </text>
    </comment>
    <comment ref="BC189" authorId="6" shapeId="0">
      <text>
        <r>
          <rPr>
            <b/>
            <sz val="9"/>
            <color indexed="81"/>
            <rFont val="Tahoma"/>
            <family val="2"/>
          </rPr>
          <t>Doruk Yarin Kiroglu:</t>
        </r>
        <r>
          <rPr>
            <sz val="9"/>
            <color indexed="81"/>
            <rFont val="Tahoma"/>
            <family val="2"/>
          </rPr>
          <t xml:space="preserve">
Unique business number is given with registration to the Registrar of Companies under DIFC</t>
        </r>
      </text>
    </comment>
    <comment ref="CS189" authorId="0" shapeId="0">
      <text>
        <r>
          <rPr>
            <b/>
            <sz val="9"/>
            <color indexed="81"/>
            <rFont val="Tahoma"/>
            <family val="2"/>
          </rPr>
          <t>Cem Dener:</t>
        </r>
        <r>
          <rPr>
            <sz val="9"/>
            <color indexed="81"/>
            <rFont val="Tahoma"/>
            <family val="2"/>
          </rPr>
          <t xml:space="preserve">
http://thevotingnews.com/international/middle-east/uae/</t>
        </r>
      </text>
    </comment>
    <comment ref="CU189" authorId="0" shapeId="0">
      <text>
        <r>
          <rPr>
            <b/>
            <sz val="9"/>
            <color indexed="81"/>
            <rFont val="Tahoma"/>
            <family val="2"/>
          </rPr>
          <t>Cem Dener:</t>
        </r>
        <r>
          <rPr>
            <sz val="9"/>
            <color indexed="81"/>
            <rFont val="Tahoma"/>
            <family val="2"/>
          </rPr>
          <t xml:space="preserve">
none - but at least 25 (the minimum age is decided by the ruler of each Emirate and may vary from one Emirate to another)</t>
        </r>
      </text>
    </comment>
    <comment ref="HK189" authorId="6" shapeId="0">
      <text>
        <r>
          <rPr>
            <b/>
            <sz val="9"/>
            <color indexed="81"/>
            <rFont val="Tahoma"/>
            <family val="2"/>
          </rPr>
          <t>Doruk Yarin Kiroglu:</t>
        </r>
        <r>
          <rPr>
            <sz val="9"/>
            <color indexed="81"/>
            <rFont val="Tahoma"/>
            <family val="2"/>
          </rPr>
          <t xml:space="preserve">
No data protection law
http://us.practicallaw.com/0-518-8836</t>
        </r>
      </text>
    </comment>
    <comment ref="C190" authorId="0" shapeId="0">
      <text>
        <r>
          <rPr>
            <b/>
            <sz val="9"/>
            <color indexed="81"/>
            <rFont val="Tahoma"/>
            <family val="2"/>
          </rPr>
          <t>Cem Dener:</t>
        </r>
        <r>
          <rPr>
            <sz val="9"/>
            <color indexed="81"/>
            <rFont val="Tahoma"/>
            <family val="2"/>
          </rPr>
          <t xml:space="preserve">
United Kingdom of Great Britain and Northern Ireland</t>
        </r>
      </text>
    </comment>
    <comment ref="H190" authorId="0" shapeId="0">
      <text>
        <r>
          <rPr>
            <b/>
            <sz val="9"/>
            <color indexed="81"/>
            <rFont val="Tahoma"/>
            <family val="2"/>
          </rPr>
          <t>Cem Dener:</t>
        </r>
        <r>
          <rPr>
            <sz val="9"/>
            <color indexed="81"/>
            <rFont val="Tahoma"/>
            <family val="2"/>
          </rPr>
          <t xml:space="preserve">
http://www.gro-scotland.gov.uk/regscot/registering-a-birth.html
http://www.nidirect.gov.uk/index/information-and-services/government-citizens-and-rights/births-and-registration/registering-and-naming-your-baby.htm</t>
        </r>
      </text>
    </comment>
    <comment ref="K190" authorId="0" shapeId="0">
      <text>
        <r>
          <rPr>
            <b/>
            <sz val="9"/>
            <color indexed="81"/>
            <rFont val="Tahoma"/>
            <family val="2"/>
          </rPr>
          <t>Cem Dener:</t>
        </r>
        <r>
          <rPr>
            <sz val="9"/>
            <color indexed="81"/>
            <rFont val="Tahoma"/>
            <family val="2"/>
          </rPr>
          <t xml:space="preserve">
Since 1853 ?</t>
        </r>
      </text>
    </comment>
    <comment ref="M190" authorId="0" shapeId="0">
      <text>
        <r>
          <rPr>
            <b/>
            <sz val="9"/>
            <color indexed="81"/>
            <rFont val="Tahoma"/>
            <family val="2"/>
          </rPr>
          <t>Cem Dener:</t>
        </r>
        <r>
          <rPr>
            <sz val="9"/>
            <color indexed="81"/>
            <rFont val="Tahoma"/>
            <family val="2"/>
          </rPr>
          <t xml:space="preserve">
England, Wakes and N. Ireland: 42 d
Scotland: 21 d</t>
        </r>
      </text>
    </comment>
    <comment ref="R190" authorId="0" shapeId="0">
      <text>
        <r>
          <rPr>
            <b/>
            <sz val="9"/>
            <color indexed="81"/>
            <rFont val="Tahoma"/>
            <family val="2"/>
          </rPr>
          <t>Cem Dener:</t>
        </r>
        <r>
          <rPr>
            <sz val="9"/>
            <color indexed="81"/>
            <rFont val="Tahoma"/>
            <family val="2"/>
          </rPr>
          <t xml:space="preserve">
No National ID since 2011</t>
        </r>
      </text>
    </comment>
    <comment ref="AD190" authorId="0" shapeId="0">
      <text>
        <r>
          <rPr>
            <b/>
            <sz val="9"/>
            <color indexed="81"/>
            <rFont val="Tahoma"/>
            <family val="2"/>
          </rPr>
          <t>Cem Dener:</t>
        </r>
        <r>
          <rPr>
            <sz val="9"/>
            <color indexed="81"/>
            <rFont val="Tahoma"/>
            <family val="2"/>
          </rPr>
          <t xml:space="preserve">
https://www.eff.org/pages/success-story-dismantling-uk%E2%80%99s-biometric-id-database </t>
        </r>
      </text>
    </comment>
    <comment ref="AN190" authorId="2" shapeId="0">
      <text>
        <r>
          <rPr>
            <b/>
            <sz val="9"/>
            <color indexed="81"/>
            <rFont val="Tahoma"/>
            <family val="2"/>
          </rPr>
          <t>Huan Zhang:</t>
        </r>
        <r>
          <rPr>
            <sz val="9"/>
            <color indexed="81"/>
            <rFont val="Tahoma"/>
            <family val="2"/>
          </rPr>
          <t xml:space="preserve">
https://www.eff.org/pages/success-story-dismantling-uk%E2%80%99s-biometric-id-database</t>
        </r>
      </text>
    </comment>
    <comment ref="AX190" authorId="6" shapeId="0">
      <text>
        <r>
          <rPr>
            <b/>
            <sz val="9"/>
            <color indexed="81"/>
            <rFont val="Tahoma"/>
            <family val="2"/>
          </rPr>
          <t>Doruk Yarin Kiroglu:</t>
        </r>
        <r>
          <rPr>
            <sz val="9"/>
            <color indexed="81"/>
            <rFont val="Tahoma"/>
            <family val="2"/>
          </rPr>
          <t xml:space="preserve">
e-ID can be used to travel to EU countries</t>
        </r>
      </text>
    </comment>
    <comment ref="AZ190" authorId="6" shapeId="0">
      <text>
        <r>
          <rPr>
            <b/>
            <sz val="9"/>
            <color indexed="81"/>
            <rFont val="Tahoma"/>
            <family val="2"/>
          </rPr>
          <t>Doruk Yarin Kiroglu:</t>
        </r>
        <r>
          <rPr>
            <sz val="9"/>
            <color indexed="81"/>
            <rFont val="Tahoma"/>
            <family val="2"/>
          </rPr>
          <t xml:space="preserve">
1844
http://en.wikipedia.org/wiki/United_Kingdom_company_law</t>
        </r>
      </text>
    </comment>
    <comment ref="CU190" authorId="0" shapeId="0">
      <text>
        <r>
          <rPr>
            <b/>
            <sz val="9"/>
            <color indexed="81"/>
            <rFont val="Tahoma"/>
            <family val="2"/>
          </rPr>
          <t>Cem Dener:</t>
        </r>
        <r>
          <rPr>
            <sz val="9"/>
            <color indexed="81"/>
            <rFont val="Tahoma"/>
            <family val="2"/>
          </rPr>
          <t xml:space="preserve">
16 for the Scottish independence referendum, Scottish Parliament elections and Scottish local government elections</t>
        </r>
      </text>
    </comment>
    <comment ref="S191" authorId="0" shapeId="0">
      <text>
        <r>
          <rPr>
            <b/>
            <sz val="9"/>
            <color indexed="81"/>
            <rFont val="Tahoma"/>
            <family val="2"/>
          </rPr>
          <t>Cem Dener:</t>
        </r>
        <r>
          <rPr>
            <sz val="9"/>
            <color indexed="81"/>
            <rFont val="Tahoma"/>
            <family val="2"/>
          </rPr>
          <t xml:space="preserve">
Social Security Number, Driver's License, and Passport, instead of ID</t>
        </r>
      </text>
    </comment>
    <comment ref="AD191" authorId="0" shapeId="0">
      <text>
        <r>
          <rPr>
            <b/>
            <sz val="9"/>
            <color indexed="81"/>
            <rFont val="Tahoma"/>
            <family val="2"/>
          </rPr>
          <t>Cem Dener:</t>
        </r>
        <r>
          <rPr>
            <sz val="9"/>
            <color indexed="81"/>
            <rFont val="Tahoma"/>
            <family val="2"/>
          </rPr>
          <t xml:space="preserve">
http://www.hidglobal.com/government/citizen-id/united-states</t>
        </r>
      </text>
    </comment>
    <comment ref="AZ191" authorId="6" shapeId="0">
      <text>
        <r>
          <rPr>
            <b/>
            <sz val="9"/>
            <color indexed="81"/>
            <rFont val="Tahoma"/>
            <family val="2"/>
          </rPr>
          <t>Doruk Yarin Kiroglu:</t>
        </r>
        <r>
          <rPr>
            <sz val="9"/>
            <color indexed="81"/>
            <rFont val="Tahoma"/>
            <family val="2"/>
          </rPr>
          <t xml:space="preserve">
1796
http://en.wikipedia.org/wiki/Corporate_law_in_the_United_States</t>
        </r>
      </text>
    </comment>
    <comment ref="BC191" authorId="6" shapeId="0">
      <text>
        <r>
          <rPr>
            <b/>
            <sz val="9"/>
            <color indexed="81"/>
            <rFont val="Tahoma"/>
            <family val="2"/>
          </rPr>
          <t>Doruk Yarin Kiroglu:</t>
        </r>
        <r>
          <rPr>
            <sz val="9"/>
            <color indexed="81"/>
            <rFont val="Tahoma"/>
            <family val="2"/>
          </rPr>
          <t xml:space="preserve">
EIN in federal level,
State level name varies</t>
        </r>
      </text>
    </comment>
    <comment ref="CU191" authorId="0" shapeId="0">
      <text>
        <r>
          <rPr>
            <b/>
            <sz val="9"/>
            <color indexed="81"/>
            <rFont val="Tahoma"/>
            <family val="2"/>
          </rPr>
          <t>Cem Dener:</t>
        </r>
        <r>
          <rPr>
            <sz val="9"/>
            <color indexed="81"/>
            <rFont val="Tahoma"/>
            <family val="2"/>
          </rPr>
          <t xml:space="preserve">
however, in many states, persons 17 years of age are permitted to vote in primary elections if they will be 18 years of age on or before the day of the general election</t>
        </r>
      </text>
    </comment>
    <comment ref="CZ191" authorId="1" shapeId="0">
      <text>
        <r>
          <rPr>
            <b/>
            <sz val="9"/>
            <color indexed="81"/>
            <rFont val="Tahoma"/>
            <family val="2"/>
          </rPr>
          <t>Author:</t>
        </r>
        <r>
          <rPr>
            <sz val="9"/>
            <color indexed="81"/>
            <rFont val="Tahoma"/>
            <family val="2"/>
          </rPr>
          <t xml:space="preserve">
Gender disaggregated voter turnout data available
http://www.census.gov/hhes/www/socdemo/voting/publications/p20/2014/tables.html</t>
        </r>
      </text>
    </comment>
    <comment ref="H192" authorId="0" shapeId="0">
      <text>
        <r>
          <rPr>
            <b/>
            <sz val="9"/>
            <color indexed="81"/>
            <rFont val="Tahoma"/>
            <family val="2"/>
          </rPr>
          <t>Cem Dener:</t>
        </r>
        <r>
          <rPr>
            <sz val="9"/>
            <color indexed="81"/>
            <rFont val="Tahoma"/>
            <family val="2"/>
          </rPr>
          <t xml:space="preserve">
http://www.ine.gub.uy/
http://www.uruguay.gub.uy/dnic/faq.asp
http://www.mec.gub.uy/innovaportal/v/301/2/mecweb/registro-civil?leftmenuid=301
</t>
        </r>
      </text>
    </comment>
    <comment ref="O192" authorId="0" shapeId="0">
      <text>
        <r>
          <rPr>
            <b/>
            <sz val="9"/>
            <color indexed="81"/>
            <rFont val="Tahoma"/>
            <family val="2"/>
          </rPr>
          <t>Cem Dener:</t>
        </r>
        <r>
          <rPr>
            <sz val="9"/>
            <color indexed="81"/>
            <rFont val="Tahoma"/>
            <family val="2"/>
          </rPr>
          <t xml:space="preserve">
https://dnic.minterior.gub.uy/</t>
        </r>
      </text>
    </comment>
    <comment ref="AM192" authorId="6" shapeId="0">
      <text>
        <r>
          <rPr>
            <b/>
            <sz val="9"/>
            <color indexed="81"/>
            <rFont val="Tahoma"/>
            <family val="2"/>
          </rPr>
          <t>Doruk Yarin Kiroglu:</t>
        </r>
        <r>
          <rPr>
            <sz val="9"/>
            <color indexed="81"/>
            <rFont val="Tahoma"/>
            <family val="2"/>
          </rPr>
          <t xml:space="preserve">
http://www.gemalto.com/press/Pages/Uruguay-selects-Gemalto-for-eID-secure-document-and-issuance-solution.aspx</t>
        </r>
      </text>
    </comment>
    <comment ref="AR192" authorId="6" shapeId="0">
      <text>
        <r>
          <rPr>
            <b/>
            <sz val="9"/>
            <color indexed="81"/>
            <rFont val="Tahoma"/>
            <family val="2"/>
          </rPr>
          <t>Doruk Yarin Kiroglu:</t>
        </r>
        <r>
          <rPr>
            <sz val="9"/>
            <color indexed="81"/>
            <rFont val="Tahoma"/>
            <family val="2"/>
          </rPr>
          <t xml:space="preserve">
DNIC</t>
        </r>
      </text>
    </comment>
    <comment ref="AX192" authorId="0" shapeId="0">
      <text>
        <r>
          <rPr>
            <b/>
            <sz val="9"/>
            <color indexed="81"/>
            <rFont val="Tahoma"/>
            <family val="2"/>
          </rPr>
          <t>Cem Dener:</t>
        </r>
        <r>
          <rPr>
            <sz val="9"/>
            <color indexed="81"/>
            <rFont val="Tahoma"/>
            <family val="2"/>
          </rPr>
          <t xml:space="preserve">
e-ID can be used while travelling to Mercosur countries, as well as Chile and Bolivia.
</t>
        </r>
        <r>
          <rPr>
            <b/>
            <sz val="9"/>
            <color indexed="81"/>
            <rFont val="Tahoma"/>
            <family val="2"/>
          </rPr>
          <t>Mercosur/Mercosul countries:</t>
        </r>
        <r>
          <rPr>
            <sz val="9"/>
            <color indexed="81"/>
            <rFont val="Tahoma"/>
            <family val="2"/>
          </rPr>
          <t xml:space="preserve">
Argentina, Brazil, Paraguay, Uruguay, Venezuela.
Associate: Chile, Bolivia, Colombia, Ecuador, Peru.
Observer: New Zealand and Mexico.</t>
        </r>
      </text>
    </comment>
    <comment ref="AZ192" authorId="6" shapeId="0">
      <text>
        <r>
          <rPr>
            <b/>
            <sz val="9"/>
            <color indexed="81"/>
            <rFont val="Tahoma"/>
            <family val="2"/>
          </rPr>
          <t>Doruk Yarin Kiroglu:</t>
        </r>
        <r>
          <rPr>
            <sz val="9"/>
            <color indexed="81"/>
            <rFont val="Tahoma"/>
            <family val="2"/>
          </rPr>
          <t xml:space="preserve">
1950
http://agesic.gub.uy/innovaportal/v/2468/17/agesic/normativa.html</t>
        </r>
      </text>
    </comment>
    <comment ref="CS192" authorId="0" shapeId="0">
      <text>
        <r>
          <rPr>
            <b/>
            <sz val="9"/>
            <color indexed="81"/>
            <rFont val="Tahoma"/>
            <family val="2"/>
          </rPr>
          <t>Cem Dener:</t>
        </r>
        <r>
          <rPr>
            <sz val="9"/>
            <color indexed="81"/>
            <rFont val="Tahoma"/>
            <family val="2"/>
          </rPr>
          <t xml:space="preserve">
http://www.idea.int/vt/countryview.cfm?id=232</t>
        </r>
      </text>
    </comment>
    <comment ref="CZ192" authorId="1" shapeId="0">
      <text>
        <r>
          <rPr>
            <b/>
            <sz val="9"/>
            <color indexed="81"/>
            <rFont val="Tahoma"/>
            <family val="2"/>
          </rPr>
          <t>Author:</t>
        </r>
        <r>
          <rPr>
            <sz val="9"/>
            <color indexed="81"/>
            <rFont val="Tahoma"/>
            <family val="2"/>
          </rPr>
          <t xml:space="preserve">
http://www.corteelectoral.gub.uy/gxpsites/page.aspx?3,26,294,O,S,0,</t>
        </r>
      </text>
    </comment>
    <comment ref="FI192" authorId="0" shapeId="0">
      <text>
        <r>
          <rPr>
            <b/>
            <sz val="9"/>
            <color indexed="81"/>
            <rFont val="Tahoma"/>
            <family val="2"/>
          </rPr>
          <t>Cem Dener:</t>
        </r>
        <r>
          <rPr>
            <sz val="9"/>
            <color indexed="81"/>
            <rFont val="Tahoma"/>
            <family val="2"/>
          </rPr>
          <t xml:space="preserve">
Ministerio de Educacion y Cultura</t>
        </r>
      </text>
    </comment>
    <comment ref="H193" authorId="0" shapeId="0">
      <text>
        <r>
          <rPr>
            <b/>
            <sz val="9"/>
            <color indexed="81"/>
            <rFont val="Tahoma"/>
            <family val="2"/>
          </rPr>
          <t>Cem Dener:</t>
        </r>
        <r>
          <rPr>
            <sz val="9"/>
            <color indexed="81"/>
            <rFont val="Tahoma"/>
            <family val="2"/>
          </rPr>
          <t xml:space="preserve">
http://www.unicef.org/ceecis/RIGHT_AT_BIRTH.CEECIS(1).pdf</t>
        </r>
      </text>
    </comment>
    <comment ref="AH193" authorId="6" shapeId="0">
      <text>
        <r>
          <rPr>
            <b/>
            <sz val="9"/>
            <color indexed="81"/>
            <rFont val="Tahoma"/>
            <family val="2"/>
          </rPr>
          <t>Doruk Yarin Kiroglu:</t>
        </r>
        <r>
          <rPr>
            <sz val="9"/>
            <color indexed="81"/>
            <rFont val="Tahoma"/>
            <family val="2"/>
          </rPr>
          <t xml:space="preserve">
http://www.gov.uz/en/citizen/</t>
        </r>
      </text>
    </comment>
    <comment ref="AU193" authorId="6" shapeId="0">
      <text>
        <r>
          <rPr>
            <b/>
            <sz val="9"/>
            <color indexed="81"/>
            <rFont val="Tahoma"/>
            <family val="2"/>
          </rPr>
          <t>Doruk Yarin Kiroglu:</t>
        </r>
        <r>
          <rPr>
            <sz val="9"/>
            <color indexed="81"/>
            <rFont val="Tahoma"/>
            <family val="2"/>
          </rPr>
          <t xml:space="preserve">
Planning to finish distribution by the end of 2015
http://www.gov.uz/uz/press/society/7513</t>
        </r>
      </text>
    </comment>
    <comment ref="AW193" authorId="0" shapeId="0">
      <text>
        <r>
          <rPr>
            <b/>
            <sz val="9"/>
            <color indexed="81"/>
            <rFont val="Tahoma"/>
            <family val="2"/>
          </rPr>
          <t>Cem Dener:</t>
        </r>
        <r>
          <rPr>
            <sz val="9"/>
            <color indexed="81"/>
            <rFont val="Tahoma"/>
            <family val="2"/>
          </rPr>
          <t xml:space="preserve">
http://www.oberthur.com/news/identity-market/</t>
        </r>
      </text>
    </comment>
    <comment ref="AZ193" authorId="6" shapeId="0">
      <text>
        <r>
          <rPr>
            <b/>
            <sz val="9"/>
            <color indexed="81"/>
            <rFont val="Tahoma"/>
            <family val="2"/>
          </rPr>
          <t>Doruk Yarin Kiroglu:</t>
        </r>
        <r>
          <rPr>
            <sz val="9"/>
            <color indexed="81"/>
            <rFont val="Tahoma"/>
            <family val="2"/>
          </rPr>
          <t xml:space="preserve">
http://www.stat.uz/uz/egrpo/</t>
        </r>
      </text>
    </comment>
    <comment ref="BF193" authorId="6" shapeId="0">
      <text>
        <r>
          <rPr>
            <b/>
            <sz val="9"/>
            <color indexed="81"/>
            <rFont val="Tahoma"/>
            <family val="2"/>
          </rPr>
          <t>Doruk Yarin Kiroglu:</t>
        </r>
        <r>
          <rPr>
            <sz val="9"/>
            <color indexed="81"/>
            <rFont val="Tahoma"/>
            <family val="2"/>
          </rPr>
          <t xml:space="preserve">
Certificates, Advisory services</t>
        </r>
      </text>
    </comment>
    <comment ref="HK193" authorId="6" shapeId="0">
      <text>
        <r>
          <rPr>
            <b/>
            <sz val="9"/>
            <color indexed="81"/>
            <rFont val="Tahoma"/>
            <family val="2"/>
          </rPr>
          <t>Doruk Yarin Kiroglu:</t>
        </r>
        <r>
          <rPr>
            <sz val="9"/>
            <color indexed="81"/>
            <rFont val="Tahoma"/>
            <family val="2"/>
          </rPr>
          <t xml:space="preserve">
No law for data protection
https://www.google.com/url?sa=t&amp;rct=j&amp;q=&amp;esrc=s&amp;source=web&amp;cd=1&amp;ved=0CB4QFjAA&amp;url=http%3A%2F%2Fwww.gratanet.com%2Fup_files%2Fdata%2520protection.pdf&amp;ei=FHHCVNvnFcOngwSRs4LIDQ&amp;usg=AFQjCNEAeKRFW5GSYolRgOBKcJ3SEa8nig&amp;sig2=J5u5pFD7B6YmpqP7M7x7SQ&amp;bvm=bv.84349003,d.eXY&amp;cad=rja</t>
        </r>
      </text>
    </comment>
    <comment ref="H194" authorId="0" shapeId="0">
      <text>
        <r>
          <rPr>
            <b/>
            <sz val="9"/>
            <color indexed="81"/>
            <rFont val="Tahoma"/>
            <family val="2"/>
          </rPr>
          <t>Cem Dener:</t>
        </r>
        <r>
          <rPr>
            <sz val="9"/>
            <color indexed="81"/>
            <rFont val="Tahoma"/>
            <family val="2"/>
          </rPr>
          <t xml:space="preserve">
http://www.unicef.org/pacificislands/BR_Report_Part1.pdf</t>
        </r>
      </text>
    </comment>
    <comment ref="K194" authorId="2" shapeId="0">
      <text>
        <r>
          <rPr>
            <b/>
            <sz val="9"/>
            <color indexed="81"/>
            <rFont val="Tahoma"/>
            <family val="2"/>
          </rPr>
          <t>Huan Zhang:</t>
        </r>
        <r>
          <rPr>
            <sz val="9"/>
            <color indexed="81"/>
            <rFont val="Tahoma"/>
            <family val="2"/>
          </rPr>
          <t xml:space="preserve">
http://www.refworld.org/pdfid/51b829460.pdf</t>
        </r>
      </text>
    </comment>
    <comment ref="AY194" authorId="6" shapeId="0">
      <text>
        <r>
          <rPr>
            <b/>
            <sz val="9"/>
            <color indexed="81"/>
            <rFont val="Tahoma"/>
            <family val="2"/>
          </rPr>
          <t>Doruk Yarin Kiroglu:</t>
        </r>
        <r>
          <rPr>
            <sz val="9"/>
            <color indexed="81"/>
            <rFont val="Tahoma"/>
            <family val="2"/>
          </rPr>
          <t xml:space="preserve">
Registrar of Companies. No online access</t>
        </r>
      </text>
    </comment>
    <comment ref="AZ194" authorId="6" shapeId="0">
      <text>
        <r>
          <rPr>
            <b/>
            <sz val="9"/>
            <color indexed="81"/>
            <rFont val="Tahoma"/>
            <family val="2"/>
          </rPr>
          <t>Doruk Yarin Kiroglu:</t>
        </r>
        <r>
          <rPr>
            <sz val="9"/>
            <color indexed="81"/>
            <rFont val="Tahoma"/>
            <family val="2"/>
          </rPr>
          <t xml:space="preserve">
1971
http://www.vfsc.vu/Download/laws/companies_act_cap_191.pdf</t>
        </r>
      </text>
    </comment>
    <comment ref="BF194" authorId="6" shapeId="0">
      <text>
        <r>
          <rPr>
            <b/>
            <sz val="9"/>
            <color indexed="81"/>
            <rFont val="Tahoma"/>
            <family val="2"/>
          </rPr>
          <t>Doruk Yarin Kiroglu:</t>
        </r>
        <r>
          <rPr>
            <sz val="9"/>
            <color indexed="81"/>
            <rFont val="Tahoma"/>
            <family val="2"/>
          </rPr>
          <t xml:space="preserve">
Companies Act
http://www.vfsc.vu/Download/laws/international_companies_act.pdf</t>
        </r>
      </text>
    </comment>
    <comment ref="CN194" authorId="0" shapeId="0">
      <text>
        <r>
          <rPr>
            <b/>
            <sz val="9"/>
            <color indexed="81"/>
            <rFont val="Tahoma"/>
            <family val="2"/>
          </rPr>
          <t>Cem Dener:</t>
        </r>
        <r>
          <rPr>
            <sz val="9"/>
            <color indexed="81"/>
            <rFont val="Tahoma"/>
            <family val="2"/>
          </rPr>
          <t xml:space="preserve">
Voting Age Population was used (Registered voter was greater than VAP)</t>
        </r>
      </text>
    </comment>
    <comment ref="HP194" authorId="6" shapeId="0">
      <text>
        <r>
          <rPr>
            <b/>
            <sz val="9"/>
            <color indexed="81"/>
            <rFont val="Tahoma"/>
            <family val="2"/>
          </rPr>
          <t>Doruk Yarin Kiroglu:</t>
        </r>
        <r>
          <rPr>
            <sz val="9"/>
            <color indexed="81"/>
            <rFont val="Tahoma"/>
            <family val="2"/>
          </rPr>
          <t xml:space="preserve">
Telecommunications and Radiocommunications Regulator</t>
        </r>
      </text>
    </comment>
    <comment ref="C195" authorId="0" shapeId="0">
      <text>
        <r>
          <rPr>
            <b/>
            <sz val="9"/>
            <color indexed="81"/>
            <rFont val="Tahoma"/>
            <family val="2"/>
          </rPr>
          <t>Cem Dener:</t>
        </r>
        <r>
          <rPr>
            <sz val="9"/>
            <color indexed="81"/>
            <rFont val="Tahoma"/>
            <family val="2"/>
          </rPr>
          <t xml:space="preserve">
Bolivarian Republic of Venezuela</t>
        </r>
      </text>
    </comment>
    <comment ref="H195" authorId="0" shapeId="0">
      <text>
        <r>
          <rPr>
            <b/>
            <sz val="9"/>
            <color indexed="81"/>
            <rFont val="Tahoma"/>
            <family val="2"/>
          </rPr>
          <t>Cem Dener:</t>
        </r>
        <r>
          <rPr>
            <sz val="9"/>
            <color indexed="81"/>
            <rFont val="Tahoma"/>
            <family val="2"/>
          </rPr>
          <t xml:space="preserve">
http://www.ine.gov.ve/productosyservicios/pys.asp
http://www.cne.gob.ve/registrocivil/index.php/informacion_nacimientos</t>
        </r>
      </text>
    </comment>
    <comment ref="M195" authorId="0" shapeId="0">
      <text>
        <r>
          <rPr>
            <b/>
            <sz val="9"/>
            <color indexed="81"/>
            <rFont val="Tahoma"/>
            <family val="2"/>
          </rPr>
          <t>Cem Dener:</t>
        </r>
        <r>
          <rPr>
            <sz val="9"/>
            <color indexed="81"/>
            <rFont val="Tahoma"/>
            <family val="2"/>
          </rPr>
          <t xml:space="preserve">
Hospitals: Immediate
Ourside: Births in health facilities where there are no civil registration units or extra-hospital births: Up to 90 days</t>
        </r>
      </text>
    </comment>
    <comment ref="AL195" authorId="6" shapeId="0">
      <text>
        <r>
          <rPr>
            <b/>
            <sz val="9"/>
            <color indexed="81"/>
            <rFont val="Tahoma"/>
            <family val="2"/>
          </rPr>
          <t>Doruk Yarin Kiroglu:</t>
        </r>
        <r>
          <rPr>
            <sz val="9"/>
            <color indexed="81"/>
            <rFont val="Tahoma"/>
            <family val="2"/>
          </rPr>
          <t xml:space="preserve">
Unknown</t>
        </r>
      </text>
    </comment>
    <comment ref="AU195" authorId="6" shapeId="0">
      <text>
        <r>
          <rPr>
            <b/>
            <sz val="9"/>
            <color indexed="81"/>
            <rFont val="Tahoma"/>
            <family val="2"/>
          </rPr>
          <t>Doruk Yarin Kiroglu:</t>
        </r>
        <r>
          <rPr>
            <sz val="9"/>
            <color indexed="81"/>
            <rFont val="Tahoma"/>
            <family val="2"/>
          </rPr>
          <t xml:space="preserve">
2013, change in design of the passport</t>
        </r>
      </text>
    </comment>
    <comment ref="BC195" authorId="6" shapeId="0">
      <text>
        <r>
          <rPr>
            <b/>
            <sz val="9"/>
            <color indexed="81"/>
            <rFont val="Tahoma"/>
            <family val="2"/>
          </rPr>
          <t>Doruk Yarin Kiroglu:</t>
        </r>
        <r>
          <rPr>
            <sz val="9"/>
            <color indexed="81"/>
            <rFont val="Tahoma"/>
            <family val="2"/>
          </rPr>
          <t xml:space="preserve">
Tax ID is named RIF
Section B-6
https://www.google.com/url?sa=t&amp;rct=j&amp;q=&amp;esrc=s&amp;source=web&amp;cd=2&amp;ved=0CCgQFjAB&amp;url=http%3A%2F%2Fwww.lexmundi.com%2FDocument.asp%3FDocID%3D2330&amp;ei=9aGuVMK_JMfIsQSy4oCgAw&amp;usg=AFQjCNHgg26rVNpFtFxrR5NHSASnn--pxg&amp;sig2=d_lJ9GGMisM7x077XXmh7A&amp;bvm=bv.83134100,d.cWc&amp;cad=rja</t>
        </r>
      </text>
    </comment>
    <comment ref="CH195" authorId="0" shapeId="0">
      <text>
        <r>
          <rPr>
            <b/>
            <sz val="9"/>
            <color indexed="81"/>
            <rFont val="Tahoma"/>
            <family val="2"/>
          </rPr>
          <t>Cem Dener:</t>
        </r>
        <r>
          <rPr>
            <sz val="9"/>
            <color indexed="81"/>
            <rFont val="Tahoma"/>
            <family val="2"/>
          </rPr>
          <t xml:space="preserve">
No data.
Estimated BR rate</t>
        </r>
      </text>
    </comment>
    <comment ref="CI195" authorId="0" shapeId="0">
      <text>
        <r>
          <rPr>
            <b/>
            <sz val="9"/>
            <color indexed="81"/>
            <rFont val="Tahoma"/>
            <family val="2"/>
          </rPr>
          <t>Cem Dener:</t>
        </r>
        <r>
          <rPr>
            <sz val="9"/>
            <color indexed="81"/>
            <rFont val="Tahoma"/>
            <family val="2"/>
          </rPr>
          <t xml:space="preserve">
No data.
Estimated BR rate</t>
        </r>
      </text>
    </comment>
    <comment ref="CS195" authorId="0" shapeId="0">
      <text>
        <r>
          <rPr>
            <b/>
            <sz val="9"/>
            <color indexed="81"/>
            <rFont val="Tahoma"/>
            <family val="2"/>
          </rPr>
          <t>Cem Dener:</t>
        </r>
        <r>
          <rPr>
            <sz val="9"/>
            <color indexed="81"/>
            <rFont val="Tahoma"/>
            <family val="2"/>
          </rPr>
          <t xml:space="preserve">
http://www.cne.gob.ve/divulgacion_asamblea_2015/
http://www.idea.int/vt/countryview.cfm?id=236 </t>
        </r>
      </text>
    </comment>
    <comment ref="HK195" authorId="6" shapeId="0">
      <text>
        <r>
          <rPr>
            <b/>
            <sz val="9"/>
            <color indexed="81"/>
            <rFont val="Tahoma"/>
            <family val="2"/>
          </rPr>
          <t>Doruk Yarin Kiroglu:</t>
        </r>
        <r>
          <rPr>
            <sz val="9"/>
            <color indexed="81"/>
            <rFont val="Tahoma"/>
            <family val="2"/>
          </rPr>
          <t xml:space="preserve">
No law for data protection
http://www.americanbar.org/publications/international_law_news/2012/fall/data_protection_law_spain_latin_america_survey_legal_approaches.html</t>
        </r>
      </text>
    </comment>
    <comment ref="H196" authorId="0" shapeId="0">
      <text>
        <r>
          <rPr>
            <b/>
            <sz val="9"/>
            <color indexed="81"/>
            <rFont val="Tahoma"/>
            <family val="2"/>
          </rPr>
          <t>Cem Dener:</t>
        </r>
        <r>
          <rPr>
            <sz val="9"/>
            <color indexed="81"/>
            <rFont val="Tahoma"/>
            <family val="2"/>
          </rPr>
          <t xml:space="preserve">
http://www.vietnamembassy.org.au/Forms/Don%20cap%20giay%20khai%20sinh.pdf</t>
        </r>
      </text>
    </comment>
    <comment ref="AD196" authorId="0" shapeId="0">
      <text>
        <r>
          <rPr>
            <b/>
            <sz val="9"/>
            <color indexed="81"/>
            <rFont val="Tahoma"/>
            <family val="2"/>
          </rPr>
          <t>Cem Dener:</t>
        </r>
        <r>
          <rPr>
            <sz val="9"/>
            <color indexed="81"/>
            <rFont val="Tahoma"/>
            <family val="2"/>
          </rPr>
          <t xml:space="preserve">
http://www.vietnambreakingnews.com/2014/12/citizen-id-cards-can-be-used-in-place-of-passports-official/</t>
        </r>
      </text>
    </comment>
    <comment ref="AK196" authorId="6" shapeId="0">
      <text>
        <r>
          <rPr>
            <b/>
            <sz val="9"/>
            <color indexed="81"/>
            <rFont val="Tahoma"/>
            <family val="2"/>
          </rPr>
          <t>Doruk Yarin Kiroglu:</t>
        </r>
        <r>
          <rPr>
            <sz val="9"/>
            <color indexed="81"/>
            <rFont val="Tahoma"/>
            <family val="2"/>
          </rPr>
          <t xml:space="preserve">
Planning to cover every citizen by 2020</t>
        </r>
      </text>
    </comment>
    <comment ref="AL196" authorId="6" shapeId="0">
      <text>
        <r>
          <rPr>
            <b/>
            <sz val="9"/>
            <color indexed="81"/>
            <rFont val="Tahoma"/>
            <family val="2"/>
          </rPr>
          <t>Doruk Yarin Kiroglu:</t>
        </r>
        <r>
          <rPr>
            <sz val="9"/>
            <color indexed="81"/>
            <rFont val="Tahoma"/>
            <family val="2"/>
          </rPr>
          <t xml:space="preserve">
Unknown</t>
        </r>
      </text>
    </comment>
    <comment ref="AM196" authorId="0" shapeId="0">
      <text>
        <r>
          <rPr>
            <b/>
            <sz val="9"/>
            <color indexed="81"/>
            <rFont val="Tahoma"/>
            <family val="2"/>
          </rPr>
          <t>Cem Dener:</t>
        </r>
        <r>
          <rPr>
            <sz val="9"/>
            <color indexed="81"/>
            <rFont val="Tahoma"/>
            <family val="2"/>
          </rPr>
          <t xml:space="preserve">
http://www.dtinews.vn/en/news/017004/25020/hanoi-issues-new-electronic-id-cards.html</t>
        </r>
      </text>
    </comment>
    <comment ref="AU196" authorId="6" shapeId="0">
      <text>
        <r>
          <rPr>
            <b/>
            <sz val="9"/>
            <color indexed="81"/>
            <rFont val="Tahoma"/>
            <family val="2"/>
          </rPr>
          <t>Cem Dener:</t>
        </r>
        <r>
          <rPr>
            <sz val="9"/>
            <color indexed="81"/>
            <rFont val="Tahoma"/>
            <family val="2"/>
          </rPr>
          <t xml:space="preserve">
http://xnc.congan.com.vn/thutuc-xnc-vietnam/vanban-phapluat/mldocument.2008-05-16.4324703669/view</t>
        </r>
      </text>
    </comment>
    <comment ref="AZ196" authorId="6" shapeId="0">
      <text>
        <r>
          <rPr>
            <b/>
            <sz val="9"/>
            <color indexed="81"/>
            <rFont val="Tahoma"/>
            <family val="2"/>
          </rPr>
          <t>Doruk Yarin Kiroglu:</t>
        </r>
        <r>
          <rPr>
            <sz val="9"/>
            <color indexed="81"/>
            <rFont val="Tahoma"/>
            <family val="2"/>
          </rPr>
          <t xml:space="preserve">
2007
http://dangkykinhdoanh.gov.vn/AboutUs/tabid/171/CategoryID/137/language/en-GB/Default.aspx</t>
        </r>
      </text>
    </comment>
    <comment ref="CS196" authorId="0" shapeId="0">
      <text>
        <r>
          <rPr>
            <b/>
            <sz val="9"/>
            <color indexed="81"/>
            <rFont val="Tahoma"/>
            <family val="2"/>
          </rPr>
          <t>Cem Dener:</t>
        </r>
        <r>
          <rPr>
            <sz val="9"/>
            <color indexed="81"/>
            <rFont val="Tahoma"/>
            <family val="2"/>
          </rPr>
          <t xml:space="preserve">
http://www.mps.gov.vn/web/guest/english </t>
        </r>
      </text>
    </comment>
    <comment ref="HP196" authorId="0" shapeId="0">
      <text>
        <r>
          <rPr>
            <b/>
            <sz val="9"/>
            <color indexed="81"/>
            <rFont val="Tahoma"/>
            <family val="2"/>
          </rPr>
          <t>Cem Dener:</t>
        </r>
        <r>
          <rPr>
            <sz val="9"/>
            <color indexed="81"/>
            <rFont val="Tahoma"/>
            <family val="2"/>
          </rPr>
          <t xml:space="preserve">
None</t>
        </r>
      </text>
    </comment>
    <comment ref="C197" authorId="0" shapeId="0">
      <text>
        <r>
          <rPr>
            <b/>
            <sz val="9"/>
            <color indexed="81"/>
            <rFont val="Tahoma"/>
            <family val="2"/>
          </rPr>
          <t>Cem Dener:</t>
        </r>
        <r>
          <rPr>
            <sz val="9"/>
            <color indexed="81"/>
            <rFont val="Tahoma"/>
            <family val="2"/>
          </rPr>
          <t xml:space="preserve">
West Bank and Gaza
</t>
        </r>
      </text>
    </comment>
    <comment ref="F197" authorId="0" shapeId="0">
      <text>
        <r>
          <rPr>
            <b/>
            <sz val="9"/>
            <color indexed="81"/>
            <rFont val="Tahoma"/>
            <family val="2"/>
          </rPr>
          <t>Cem Dener:</t>
        </r>
        <r>
          <rPr>
            <sz val="9"/>
            <color indexed="81"/>
            <rFont val="Tahoma"/>
            <family val="2"/>
          </rPr>
          <t xml:space="preserve">
PSE Palestine
WBG</t>
        </r>
      </text>
    </comment>
    <comment ref="G197" authorId="0" shapeId="0">
      <text>
        <r>
          <rPr>
            <b/>
            <sz val="9"/>
            <color indexed="81"/>
            <rFont val="Tahoma"/>
            <family val="2"/>
          </rPr>
          <t>Cem Dener:</t>
        </r>
        <r>
          <rPr>
            <sz val="9"/>
            <color indexed="81"/>
            <rFont val="Tahoma"/>
            <family val="2"/>
          </rPr>
          <t xml:space="preserve">
GZ</t>
        </r>
      </text>
    </comment>
    <comment ref="AZ197" authorId="6" shapeId="0">
      <text>
        <r>
          <rPr>
            <b/>
            <sz val="9"/>
            <color indexed="81"/>
            <rFont val="Tahoma"/>
            <family val="2"/>
          </rPr>
          <t>Doruk Yarin Kiroglu:</t>
        </r>
        <r>
          <rPr>
            <sz val="9"/>
            <color indexed="81"/>
            <rFont val="Tahoma"/>
            <family val="2"/>
          </rPr>
          <t xml:space="preserve">
1998
Pipa initiation act
http://www.pipa.gov.ps/aboutpipa.asp</t>
        </r>
      </text>
    </comment>
    <comment ref="CZ197" authorId="1" shapeId="0">
      <text>
        <r>
          <rPr>
            <b/>
            <sz val="9"/>
            <color indexed="81"/>
            <rFont val="Tahoma"/>
            <family val="2"/>
          </rPr>
          <t>Author:</t>
        </r>
        <r>
          <rPr>
            <sz val="9"/>
            <color indexed="81"/>
            <rFont val="Tahoma"/>
            <family val="2"/>
          </rPr>
          <t xml:space="preserve">
Gender disaggregated voter turnout data available
https://www.elections.ps/tabid/938/language/en-US/Default.aspx?rid=2&amp;ep=6</t>
        </r>
      </text>
    </comment>
    <comment ref="HK197" authorId="6" shapeId="0">
      <text>
        <r>
          <rPr>
            <b/>
            <sz val="9"/>
            <color indexed="81"/>
            <rFont val="Tahoma"/>
            <family val="2"/>
          </rPr>
          <t>Doruk Yarin Kiroglu:</t>
        </r>
        <r>
          <rPr>
            <sz val="9"/>
            <color indexed="81"/>
            <rFont val="Tahoma"/>
            <family val="2"/>
          </rPr>
          <t xml:space="preserve">
No data protection law
</t>
        </r>
      </text>
    </comment>
    <comment ref="H198" authorId="0" shapeId="0">
      <text>
        <r>
          <rPr>
            <b/>
            <sz val="9"/>
            <color indexed="81"/>
            <rFont val="Tahoma"/>
            <family val="2"/>
          </rPr>
          <t>Cem Dener:</t>
        </r>
        <r>
          <rPr>
            <sz val="9"/>
            <color indexed="81"/>
            <rFont val="Tahoma"/>
            <family val="2"/>
          </rPr>
          <t xml:space="preserve">
http://www.yemen.gov.ye/portal/default.aspx?tabid=241
http://www.moi.gov.ye/
http://unstats.un.org/unsd/vitalstatkb/Attachment100.aspx
http://www.cra.gov.ye
http://eeas.europa.eu/delegations/yemen/documents/news/20131001_en.pdf
https://www.crc4d.com/downloads/2013-05-towards-universal-birth-registration-in-yemen.pdf</t>
        </r>
      </text>
    </comment>
    <comment ref="O198" authorId="0" shapeId="0">
      <text>
        <r>
          <rPr>
            <b/>
            <sz val="9"/>
            <color indexed="81"/>
            <rFont val="Tahoma"/>
            <family val="2"/>
          </rPr>
          <t>Cem Dener:</t>
        </r>
        <r>
          <rPr>
            <sz val="9"/>
            <color indexed="81"/>
            <rFont val="Tahoma"/>
            <family val="2"/>
          </rPr>
          <t xml:space="preserve">
http://www.yementimes.com/en/1759/report/3543/President-Hadi-urges-government-to-establish-civil-registry.htm</t>
        </r>
      </text>
    </comment>
    <comment ref="S198" authorId="0" shapeId="0">
      <text>
        <r>
          <rPr>
            <b/>
            <sz val="9"/>
            <color indexed="81"/>
            <rFont val="Tahoma"/>
            <family val="2"/>
          </rPr>
          <t>Cem Dener:</t>
        </r>
        <r>
          <rPr>
            <sz val="9"/>
            <color indexed="81"/>
            <rFont val="Tahoma"/>
            <family val="2"/>
          </rPr>
          <t xml:space="preserve">
http://www.iom.int/seguridad-fronteriza/lit/cr/cr-results-2010.pdf</t>
        </r>
      </text>
    </comment>
    <comment ref="AK198" authorId="6" shapeId="0">
      <text>
        <r>
          <rPr>
            <b/>
            <sz val="9"/>
            <color indexed="81"/>
            <rFont val="Tahoma"/>
            <family val="2"/>
          </rPr>
          <t>Doruk Yarin Kiroglu:</t>
        </r>
        <r>
          <rPr>
            <sz val="9"/>
            <color indexed="81"/>
            <rFont val="Tahoma"/>
            <family val="2"/>
          </rPr>
          <t xml:space="preserve">
An article dated 2008 states Gemalto has been selected to deliver 10 million ID cards before next national elections
http://www.sciencedirect.com/science/article/pii/S0965259008700446</t>
        </r>
      </text>
    </comment>
    <comment ref="AL198" authorId="6" shapeId="0">
      <text>
        <r>
          <rPr>
            <b/>
            <sz val="9"/>
            <color indexed="81"/>
            <rFont val="Tahoma"/>
            <family val="2"/>
          </rPr>
          <t>Doruk Yarin Kiroglu:</t>
        </r>
        <r>
          <rPr>
            <sz val="9"/>
            <color indexed="81"/>
            <rFont val="Tahoma"/>
            <family val="2"/>
          </rPr>
          <t xml:space="preserve">
Suprema INC.</t>
        </r>
      </text>
    </comment>
    <comment ref="AM198" authorId="0" shapeId="0">
      <text>
        <r>
          <rPr>
            <b/>
            <sz val="9"/>
            <color indexed="81"/>
            <rFont val="Tahoma"/>
            <family val="2"/>
          </rPr>
          <t>Cem Dener:</t>
        </r>
        <r>
          <rPr>
            <sz val="9"/>
            <color indexed="81"/>
            <rFont val="Tahoma"/>
            <family val="2"/>
          </rPr>
          <t xml:space="preserve">
http://www.cnsnews.com/commentary/mohammad-shahnewaz/why-yemens-biometric-voter-registration-initiative-example-follow
</t>
        </r>
      </text>
    </comment>
    <comment ref="AQ198" authorId="6" shapeId="0">
      <text>
        <r>
          <rPr>
            <b/>
            <sz val="9"/>
            <color indexed="81"/>
            <rFont val="Tahoma"/>
            <family val="2"/>
          </rPr>
          <t>Doruk Yarin Kiroglu:</t>
        </r>
        <r>
          <rPr>
            <sz val="9"/>
            <color indexed="81"/>
            <rFont val="Tahoma"/>
            <family val="2"/>
          </rPr>
          <t xml:space="preserve">
http://www.yemen.gov.ye/portal/default.aspx?tabid=241</t>
        </r>
      </text>
    </comment>
    <comment ref="HQ198" authorId="6" shapeId="0">
      <text>
        <r>
          <rPr>
            <b/>
            <sz val="9"/>
            <color indexed="81"/>
            <rFont val="Tahoma"/>
            <family val="2"/>
          </rPr>
          <t>Doruk Yarin Kiroglu:</t>
        </r>
        <r>
          <rPr>
            <sz val="9"/>
            <color indexed="81"/>
            <rFont val="Tahoma"/>
            <family val="2"/>
          </rPr>
          <t xml:space="preserve">
Article 1</t>
        </r>
      </text>
    </comment>
    <comment ref="H199" authorId="0" shapeId="0">
      <text>
        <r>
          <rPr>
            <b/>
            <sz val="9"/>
            <color indexed="81"/>
            <rFont val="Tahoma"/>
            <family val="2"/>
          </rPr>
          <t>Cem Dener:</t>
        </r>
        <r>
          <rPr>
            <sz val="9"/>
            <color indexed="81"/>
            <rFont val="Tahoma"/>
            <family val="2"/>
          </rPr>
          <t xml:space="preserve">
http://www.zamlii.org/zm/legislation/consolidated-act/51</t>
        </r>
      </text>
    </comment>
    <comment ref="S199" authorId="0" shapeId="0">
      <text>
        <r>
          <rPr>
            <b/>
            <sz val="9"/>
            <color indexed="81"/>
            <rFont val="Tahoma"/>
            <family val="2"/>
          </rPr>
          <t>Cem Dener:</t>
        </r>
        <r>
          <rPr>
            <sz val="9"/>
            <color indexed="81"/>
            <rFont val="Tahoma"/>
            <family val="2"/>
          </rPr>
          <t xml:space="preserve">
Transition to biometric ID initiated in 2012.</t>
        </r>
      </text>
    </comment>
    <comment ref="AE199" authorId="0" shapeId="0">
      <text>
        <r>
          <rPr>
            <b/>
            <sz val="9"/>
            <color indexed="81"/>
            <rFont val="Tahoma"/>
            <family val="2"/>
          </rPr>
          <t>Cem Dener:</t>
        </r>
        <r>
          <rPr>
            <sz val="9"/>
            <color indexed="81"/>
            <rFont val="Tahoma"/>
            <family val="2"/>
          </rPr>
          <t xml:space="preserve">
Expansion of system is in progress (since 2013)</t>
        </r>
      </text>
    </comment>
    <comment ref="AK199" authorId="6" shapeId="0">
      <text>
        <r>
          <rPr>
            <b/>
            <sz val="9"/>
            <color indexed="81"/>
            <rFont val="Tahoma"/>
            <family val="2"/>
          </rPr>
          <t>Doruk Yarin Kiroglu:</t>
        </r>
        <r>
          <rPr>
            <sz val="9"/>
            <color indexed="81"/>
            <rFont val="Tahoma"/>
            <family val="2"/>
          </rPr>
          <t xml:space="preserve">
No distribution information on government or technology website</t>
        </r>
      </text>
    </comment>
    <comment ref="AL199" authorId="6" shapeId="0">
      <text>
        <r>
          <rPr>
            <b/>
            <sz val="9"/>
            <color indexed="81"/>
            <rFont val="Tahoma"/>
            <family val="2"/>
          </rPr>
          <t>Doruk Yarin Kiroglu:</t>
        </r>
        <r>
          <rPr>
            <sz val="9"/>
            <color indexed="81"/>
            <rFont val="Tahoma"/>
            <family val="2"/>
          </rPr>
          <t xml:space="preserve">
Smartmatic</t>
        </r>
      </text>
    </comment>
    <comment ref="AM199" authorId="0" shapeId="0">
      <text>
        <r>
          <rPr>
            <b/>
            <sz val="9"/>
            <color indexed="81"/>
            <rFont val="Tahoma"/>
            <family val="2"/>
          </rPr>
          <t>Cem Dener:</t>
        </r>
        <r>
          <rPr>
            <sz val="9"/>
            <color indexed="81"/>
            <rFont val="Tahoma"/>
            <family val="2"/>
          </rPr>
          <t xml:space="preserve">
http://www.lusakatimes.com/2013/05/23/government-to-introduce-new-national-registration-cards-next-month/</t>
        </r>
      </text>
    </comment>
    <comment ref="AQ199" authorId="6" shapeId="0">
      <text>
        <r>
          <rPr>
            <b/>
            <sz val="9"/>
            <color indexed="81"/>
            <rFont val="Tahoma"/>
            <family val="2"/>
          </rPr>
          <t>Doruk Yarin Kiroglu:</t>
        </r>
        <r>
          <rPr>
            <sz val="9"/>
            <color indexed="81"/>
            <rFont val="Tahoma"/>
            <family val="2"/>
          </rPr>
          <t xml:space="preserve">
e-passport system not started yet 
http://www.homeaffairs.gov.zm/?q=node/93</t>
        </r>
      </text>
    </comment>
    <comment ref="CM199" authorId="2" shapeId="0">
      <text>
        <r>
          <rPr>
            <b/>
            <sz val="9"/>
            <color indexed="81"/>
            <rFont val="Tahoma"/>
            <family val="2"/>
          </rPr>
          <t>Huan Zhang:</t>
        </r>
        <r>
          <rPr>
            <sz val="9"/>
            <color indexed="81"/>
            <rFont val="Tahoma"/>
            <family val="2"/>
          </rPr>
          <t xml:space="preserve">
http://www.unicef.org/zambia/5109_8455.html
(0-4) &gt; 50% birth registration
(6-18) &gt; 30 % birth registration
(0-4 was 14% in 2007)</t>
        </r>
      </text>
    </comment>
    <comment ref="HK199" authorId="6" shapeId="0">
      <text>
        <r>
          <rPr>
            <b/>
            <sz val="9"/>
            <color indexed="81"/>
            <rFont val="Tahoma"/>
            <family val="2"/>
          </rPr>
          <t>Doruk Yarin Kiroglu:</t>
        </r>
        <r>
          <rPr>
            <sz val="9"/>
            <color indexed="81"/>
            <rFont val="Tahoma"/>
            <family val="2"/>
          </rPr>
          <t xml:space="preserve">
No data protection law
</t>
        </r>
      </text>
    </comment>
    <comment ref="HU199" authorId="6" shapeId="0">
      <text>
        <r>
          <rPr>
            <b/>
            <sz val="9"/>
            <color indexed="81"/>
            <rFont val="Tahoma"/>
            <family val="2"/>
          </rPr>
          <t>Doruk Yarin Kiroglu:</t>
        </r>
        <r>
          <rPr>
            <sz val="9"/>
            <color indexed="81"/>
            <rFont val="Tahoma"/>
            <family val="2"/>
          </rPr>
          <t xml:space="preserve">
Still under discussion
http://www.osisa.org/media-and-ict/zambia/calls-zambia-pass-access-information-bill
FOI Bill from 2002
http://www.humanrightsinitiative.org/programs/ai/rti/international/laws_papers/zambia/foi_bill_2002.pdf</t>
        </r>
      </text>
    </comment>
    <comment ref="N200" authorId="0" shapeId="0">
      <text>
        <r>
          <rPr>
            <b/>
            <sz val="9"/>
            <color indexed="81"/>
            <rFont val="Tahoma"/>
            <family val="2"/>
          </rPr>
          <t>Cem Dener:</t>
        </r>
        <r>
          <rPr>
            <sz val="9"/>
            <color indexed="81"/>
            <rFont val="Tahoma"/>
            <family val="2"/>
          </rPr>
          <t xml:space="preserve">
Free up to 6 years
US$2 after 6 years</t>
        </r>
      </text>
    </comment>
    <comment ref="AK200" authorId="6" shapeId="0">
      <text>
        <r>
          <rPr>
            <b/>
            <sz val="9"/>
            <color indexed="81"/>
            <rFont val="Tahoma"/>
            <family val="2"/>
          </rPr>
          <t>Doruk Yarin Kiroglu:</t>
        </r>
        <r>
          <rPr>
            <sz val="9"/>
            <color indexed="81"/>
            <rFont val="Tahoma"/>
            <family val="2"/>
          </rPr>
          <t xml:space="preserve">
No distribution information on government or technology website</t>
        </r>
      </text>
    </comment>
    <comment ref="AL200" authorId="0" shapeId="0">
      <text>
        <r>
          <rPr>
            <b/>
            <sz val="9"/>
            <color indexed="81"/>
            <rFont val="Tahoma"/>
            <family val="2"/>
          </rPr>
          <t>Cem Dener:</t>
        </r>
        <r>
          <rPr>
            <sz val="9"/>
            <color indexed="81"/>
            <rFont val="Tahoma"/>
            <family val="2"/>
          </rPr>
          <t xml:space="preserve">
NIP</t>
        </r>
      </text>
    </comment>
    <comment ref="AM200" authorId="0" shapeId="0">
      <text>
        <r>
          <rPr>
            <b/>
            <sz val="9"/>
            <color indexed="81"/>
            <rFont val="Tahoma"/>
            <family val="2"/>
          </rPr>
          <t>Cem Dener:</t>
        </r>
        <r>
          <rPr>
            <sz val="9"/>
            <color indexed="81"/>
            <rFont val="Tahoma"/>
            <family val="2"/>
          </rPr>
          <t xml:space="preserve">
http://www.icao.int/meetings/mrtd-zimbabwe2012/documents/6-mudede_machiri_zimbabwe-situation.pdf</t>
        </r>
      </text>
    </comment>
    <comment ref="AU200" authorId="6" shapeId="0">
      <text>
        <r>
          <rPr>
            <b/>
            <sz val="9"/>
            <color indexed="81"/>
            <rFont val="Tahoma"/>
            <family val="2"/>
          </rPr>
          <t>Doruk Yarin Kiroglu:</t>
        </r>
        <r>
          <rPr>
            <sz val="9"/>
            <color indexed="81"/>
            <rFont val="Tahoma"/>
            <family val="2"/>
          </rPr>
          <t xml:space="preserve">
http://www.theindependent.co.zw/2014/03/28/nikuv-digs-long-haul/</t>
        </r>
      </text>
    </comment>
    <comment ref="AY200" authorId="6" shapeId="0">
      <text>
        <r>
          <rPr>
            <b/>
            <sz val="9"/>
            <color indexed="81"/>
            <rFont val="Tahoma"/>
            <family val="2"/>
          </rPr>
          <t>Doruk Yarin Kiroglu:</t>
        </r>
        <r>
          <rPr>
            <sz val="9"/>
            <color indexed="81"/>
            <rFont val="Tahoma"/>
            <family val="2"/>
          </rPr>
          <t xml:space="preserve">
Chief Registrar of Companies
Companies act http://www.parlzim.gov.zw/attachments/article/110/COMPANIES_ACT_24_03.pdf
http://www.doingbusiness.org/data/exploreeconomies/zimbabwe/starting-a-business/</t>
        </r>
      </text>
    </comment>
    <comment ref="AZ200" authorId="6" shapeId="0">
      <text>
        <r>
          <rPr>
            <b/>
            <sz val="9"/>
            <color indexed="81"/>
            <rFont val="Tahoma"/>
            <family val="2"/>
          </rPr>
          <t>Doruk Yarin Kiroglu:</t>
        </r>
        <r>
          <rPr>
            <sz val="9"/>
            <color indexed="81"/>
            <rFont val="Tahoma"/>
            <family val="2"/>
          </rPr>
          <t xml:space="preserve">
1951 Companies act
http://www.parlzim.gov.zw/attachments/article/110/COMPANIES_ACT_24_03.pdf</t>
        </r>
      </text>
    </comment>
    <comment ref="CZ200" authorId="1" shapeId="0">
      <text>
        <r>
          <rPr>
            <b/>
            <sz val="9"/>
            <color indexed="81"/>
            <rFont val="Tahoma"/>
            <family val="2"/>
          </rPr>
          <t>Author:</t>
        </r>
        <r>
          <rPr>
            <sz val="9"/>
            <color indexed="81"/>
            <rFont val="Tahoma"/>
            <family val="2"/>
          </rPr>
          <t xml:space="preserve">
http://www.zec.gov.zw/</t>
        </r>
      </text>
    </comment>
    <comment ref="DY200" authorId="0" shapeId="0">
      <text>
        <r>
          <rPr>
            <b/>
            <sz val="9"/>
            <color indexed="81"/>
            <rFont val="Tahoma"/>
            <family val="2"/>
          </rPr>
          <t>Cem Dener:</t>
        </r>
        <r>
          <rPr>
            <sz val="9"/>
            <color indexed="81"/>
            <rFont val="Tahoma"/>
            <family val="2"/>
          </rPr>
          <t xml:space="preserve">
http://www.zw.one.un.org/togetherwedeliver/millennium-development-goals/1-eradicate-extreme-poverty-and-hunger</t>
        </r>
      </text>
    </comment>
    <comment ref="CZ203" authorId="1" shapeId="0">
      <text>
        <r>
          <rPr>
            <b/>
            <sz val="9"/>
            <color indexed="81"/>
            <rFont val="Tahoma"/>
            <family val="2"/>
          </rPr>
          <t>Author:</t>
        </r>
        <r>
          <rPr>
            <sz val="9"/>
            <color indexed="81"/>
            <rFont val="Tahoma"/>
            <family val="2"/>
          </rPr>
          <t xml:space="preserve">
0.. Checked, no update
1.. Checked, Voter registration numbers updated
2.. Checked, ID registration numbers updated</t>
        </r>
      </text>
    </comment>
    <comment ref="DA203" authorId="1" shapeId="0">
      <text>
        <r>
          <rPr>
            <b/>
            <sz val="9"/>
            <color indexed="81"/>
            <rFont val="Tahoma"/>
            <family val="2"/>
          </rPr>
          <t>Author:</t>
        </r>
        <r>
          <rPr>
            <sz val="9"/>
            <color indexed="81"/>
            <rFont val="Tahoma"/>
            <family val="2"/>
          </rPr>
          <t xml:space="preserve">
1 :  No indication of NID
2 : No NID or Voter registration numbers, different resources captured
3 : NID captured but not easily verified
4 : Voter registration captured
5 : NID captured but not mandatory at birth  
6 : NID registration rates and BR are mandatory at birth and available</t>
        </r>
      </text>
    </comment>
    <comment ref="DC205" authorId="0" shapeId="0">
      <text>
        <r>
          <rPr>
            <b/>
            <sz val="9"/>
            <color indexed="81"/>
            <rFont val="Tahoma"/>
            <family val="2"/>
          </rPr>
          <t>Cem Dener:</t>
        </r>
        <r>
          <rPr>
            <sz val="9"/>
            <color indexed="81"/>
            <rFont val="Tahoma"/>
            <family val="2"/>
          </rPr>
          <t xml:space="preserve">
Development challenges:
A : Urgent support needed &gt;&gt;&gt; Low birth registration rate OR high levels iof extreme poverty OR high unregistered population rates
B : Support for modernization of existing systems or improvement of practices
C : No WBG support is needed (high OR middle income); G20, EU, etc.</t>
        </r>
      </text>
    </comment>
  </commentList>
</comments>
</file>

<file path=xl/comments2.xml><?xml version="1.0" encoding="utf-8"?>
<comments xmlns="http://schemas.openxmlformats.org/spreadsheetml/2006/main">
  <authors>
    <author>Cem Dener</author>
    <author>Author</author>
  </authors>
  <commentList>
    <comment ref="C4" authorId="0" shapeId="0">
      <text>
        <r>
          <rPr>
            <sz val="9"/>
            <color indexed="81"/>
            <rFont val="Tahoma"/>
            <family val="2"/>
          </rPr>
          <t>Web link to related Wikipedia page</t>
        </r>
      </text>
    </comment>
    <comment ref="C6" authorId="0" shapeId="0">
      <text>
        <r>
          <rPr>
            <sz val="9"/>
            <color indexed="81"/>
            <rFont val="Tahoma"/>
            <family val="2"/>
          </rPr>
          <t xml:space="preserve">Income levels wrt GNIPC (2011):
LIC     Low Income              [ $1,025 or less ]
LMIC  Lower Middle Income  [ $1,026 to $4,035 ]
UMIC Upper Middle Income   [ $4,036 to $12,475 ]
HIC    High Income              [ $12,476 or more ]
</t>
        </r>
      </text>
    </comment>
    <comment ref="C7" authorId="0" shapeId="0">
      <text>
        <r>
          <rPr>
            <b/>
            <sz val="9"/>
            <color indexed="81"/>
            <rFont val="Tahoma"/>
            <family val="2"/>
          </rPr>
          <t>Cem Dener:</t>
        </r>
        <r>
          <rPr>
            <sz val="9"/>
            <color indexed="81"/>
            <rFont val="Tahoma"/>
            <family val="2"/>
          </rPr>
          <t xml:space="preserve">
 ISO 3166-1 alpha-3 codes</t>
        </r>
      </text>
    </comment>
    <comment ref="C8" authorId="0" shapeId="0">
      <text>
        <r>
          <rPr>
            <b/>
            <sz val="9"/>
            <color indexed="81"/>
            <rFont val="Tahoma"/>
            <family val="2"/>
          </rPr>
          <t>Cem Dener:</t>
        </r>
        <r>
          <rPr>
            <sz val="9"/>
            <color indexed="81"/>
            <rFont val="Tahoma"/>
            <family val="2"/>
          </rPr>
          <t xml:space="preserve">
 ISO 3166-1 alpha-2 codes</t>
        </r>
      </text>
    </comment>
    <comment ref="C9" authorId="0" shapeId="0">
      <text>
        <r>
          <rPr>
            <b/>
            <sz val="9"/>
            <color indexed="81"/>
            <rFont val="Tahoma"/>
            <family val="2"/>
          </rPr>
          <t>Cem Dener:</t>
        </r>
        <r>
          <rPr>
            <sz val="9"/>
            <color indexed="81"/>
            <rFont val="Tahoma"/>
            <family val="2"/>
          </rPr>
          <t xml:space="preserve">
Web site containing info/doc about the government entity managing Birth Registration (BR)
Note: Birth Certificates may be obtained from another entity in some countries</t>
        </r>
      </text>
    </comment>
    <comment ref="C10" authorId="0" shapeId="0">
      <text>
        <r>
          <rPr>
            <b/>
            <sz val="9"/>
            <color indexed="81"/>
            <rFont val="Tahoma"/>
            <family val="2"/>
          </rPr>
          <t xml:space="preserve">Cem Dener:
</t>
        </r>
        <r>
          <rPr>
            <sz val="9"/>
            <color indexed="81"/>
            <rFont val="Tahoma"/>
            <family val="2"/>
          </rPr>
          <t xml:space="preserve">Name of the government entity managing the Birth Registration (BR)
</t>
        </r>
      </text>
    </comment>
    <comment ref="C11" authorId="0" shapeId="0">
      <text>
        <r>
          <rPr>
            <b/>
            <sz val="9"/>
            <color indexed="81"/>
            <rFont val="Tahoma"/>
            <family val="2"/>
          </rPr>
          <t>Cem Dener:</t>
        </r>
        <r>
          <rPr>
            <sz val="9"/>
            <color indexed="81"/>
            <rFont val="Tahoma"/>
            <family val="2"/>
          </rPr>
          <t xml:space="preserve">
Institutional responsibility for Birth Registration:
1: Ministry of Justice
2: Ministry of Interior/Home Affairs
3: Ministry of Health
4: Entity responsible for Electoral System
5: Autonomous / Municipality / Town Hall 
6: Other</t>
        </r>
      </text>
    </comment>
    <comment ref="C12" authorId="0" shapeId="0">
      <text>
        <r>
          <rPr>
            <b/>
            <sz val="9"/>
            <color indexed="81"/>
            <rFont val="Tahoma"/>
            <family val="2"/>
          </rPr>
          <t>Cem Dener:</t>
        </r>
        <r>
          <rPr>
            <sz val="9"/>
            <color indexed="81"/>
            <rFont val="Tahoma"/>
            <family val="2"/>
          </rPr>
          <t xml:space="preserve">
Birth Registry is maintained since (year)</t>
        </r>
      </text>
    </comment>
    <comment ref="C13" authorId="0" shapeId="0">
      <text>
        <r>
          <rPr>
            <b/>
            <sz val="9"/>
            <color indexed="81"/>
            <rFont val="Tahoma"/>
            <family val="2"/>
          </rPr>
          <t>Cem Dener:</t>
        </r>
        <r>
          <rPr>
            <sz val="9"/>
            <color indexed="81"/>
            <rFont val="Tahoma"/>
            <family val="2"/>
          </rPr>
          <t xml:space="preserve">
Birth Registration:
0…  No BR yet
1…  BR exists, but registration is not mandatory at birth  
2…  BR exists, and registration is mandatory at birth
</t>
        </r>
      </text>
    </comment>
    <comment ref="C14" authorId="0" shapeId="0">
      <text>
        <r>
          <rPr>
            <b/>
            <sz val="9"/>
            <color indexed="81"/>
            <rFont val="Tahoma"/>
            <family val="2"/>
          </rPr>
          <t>Cem Dener:</t>
        </r>
        <r>
          <rPr>
            <sz val="9"/>
            <color indexed="81"/>
            <rFont val="Tahoma"/>
            <family val="2"/>
          </rPr>
          <t xml:space="preserve">
Birth Registration: 
Indicate the specific period (day / month / year) in which the registration should be completed by law.
d : day
w : week
m : month
y: year</t>
        </r>
      </text>
    </comment>
    <comment ref="C15" authorId="0" shapeId="0">
      <text>
        <r>
          <rPr>
            <b/>
            <sz val="9"/>
            <color indexed="81"/>
            <rFont val="Tahoma"/>
            <family val="2"/>
          </rPr>
          <t>Cem Dener:</t>
        </r>
        <r>
          <rPr>
            <sz val="9"/>
            <color indexed="81"/>
            <rFont val="Tahoma"/>
            <family val="2"/>
          </rPr>
          <t xml:space="preserve">
Fees applicable to birth registration process</t>
        </r>
      </text>
    </comment>
    <comment ref="C16" authorId="0" shapeId="0">
      <text>
        <r>
          <rPr>
            <b/>
            <sz val="9"/>
            <color indexed="81"/>
            <rFont val="Tahoma"/>
            <family val="2"/>
          </rPr>
          <t>Cem Dener:</t>
        </r>
        <r>
          <rPr>
            <sz val="9"/>
            <color indexed="81"/>
            <rFont val="Tahoma"/>
            <family val="2"/>
          </rPr>
          <t xml:space="preserve">
Web site containing info/doc about the National ID platform/usage (URL)</t>
        </r>
      </text>
    </comment>
    <comment ref="C17" authorId="0" shapeId="0">
      <text>
        <r>
          <rPr>
            <b/>
            <sz val="9"/>
            <color indexed="81"/>
            <rFont val="Tahoma"/>
            <family val="2"/>
          </rPr>
          <t>Cem Dener:</t>
        </r>
        <r>
          <rPr>
            <sz val="9"/>
            <color indexed="81"/>
            <rFont val="Tahoma"/>
            <family val="2"/>
          </rPr>
          <t xml:space="preserve">
Name of gov entity issuing National ID</t>
        </r>
      </text>
    </comment>
    <comment ref="C18" authorId="0" shapeId="0">
      <text>
        <r>
          <rPr>
            <b/>
            <sz val="9"/>
            <color indexed="81"/>
            <rFont val="Tahoma"/>
            <family val="2"/>
          </rPr>
          <t>Cem Dener:</t>
        </r>
        <r>
          <rPr>
            <sz val="9"/>
            <color indexed="81"/>
            <rFont val="Tahoma"/>
            <family val="2"/>
          </rPr>
          <t xml:space="preserve">
Institutional responsibility for National ID:
1: Ministry of Justice
2: Ministry of Interior/ Home Affairs
3: Ministry of Health
4: Entity responsible for Electoral System
5: Autonomous
6: Other</t>
        </r>
      </text>
    </comment>
    <comment ref="C19" authorId="0" shapeId="0">
      <text>
        <r>
          <rPr>
            <b/>
            <sz val="9"/>
            <color indexed="81"/>
            <rFont val="Tahoma"/>
            <family val="2"/>
          </rPr>
          <t>Cem Dener:</t>
        </r>
        <r>
          <rPr>
            <sz val="9"/>
            <color indexed="81"/>
            <rFont val="Tahoma"/>
            <family val="2"/>
          </rPr>
          <t xml:space="preserve">
National ID is being used since (year)</t>
        </r>
      </text>
    </comment>
    <comment ref="C20" authorId="0" shapeId="0">
      <text>
        <r>
          <rPr>
            <b/>
            <sz val="9"/>
            <color indexed="81"/>
            <rFont val="Tahoma"/>
            <family val="2"/>
          </rPr>
          <t>Cem Dener:</t>
        </r>
        <r>
          <rPr>
            <sz val="9"/>
            <color indexed="81"/>
            <rFont val="Tahoma"/>
            <family val="2"/>
          </rPr>
          <t xml:space="preserve">
National Identification document</t>
        </r>
      </text>
    </comment>
    <comment ref="C21" authorId="0" shapeId="0">
      <text>
        <r>
          <rPr>
            <b/>
            <sz val="9"/>
            <color indexed="81"/>
            <rFont val="Tahoma"/>
            <family val="2"/>
          </rPr>
          <t>Cem Dener:</t>
        </r>
        <r>
          <rPr>
            <sz val="9"/>
            <color indexed="81"/>
            <rFont val="Tahoma"/>
            <family val="2"/>
          </rPr>
          <t xml:space="preserve">
National ID usage:
0…  No National ID
1…  National ID exists, but not issued at birth  
2… National ID exists, and issued at birth
</t>
        </r>
      </text>
    </comment>
    <comment ref="C22" authorId="0" shapeId="0">
      <text>
        <r>
          <rPr>
            <b/>
            <sz val="9"/>
            <color indexed="81"/>
            <rFont val="Tahoma"/>
            <family val="2"/>
          </rPr>
          <t>Cem Dener:</t>
        </r>
        <r>
          <rPr>
            <sz val="9"/>
            <color indexed="81"/>
            <rFont val="Tahoma"/>
            <family val="2"/>
          </rPr>
          <t xml:space="preserve">
National ID policy:
0:  No ID card
1:  National ID is optional
2:  National ID is mandatory</t>
        </r>
      </text>
    </comment>
    <comment ref="C23" authorId="0" shapeId="0">
      <text>
        <r>
          <rPr>
            <b/>
            <sz val="9"/>
            <color indexed="81"/>
            <rFont val="Tahoma"/>
            <family val="2"/>
          </rPr>
          <t xml:space="preserve">Cem Dener:
</t>
        </r>
        <r>
          <rPr>
            <sz val="9"/>
            <color indexed="81"/>
            <rFont val="Tahoma"/>
            <family val="2"/>
          </rPr>
          <t xml:space="preserve">National ID: Indicate the specific year in which the ID should be obtained by law.
0 : Issued at birth
year: Age to obtain Natl ID
</t>
        </r>
      </text>
    </comment>
    <comment ref="C24" authorId="0" shapeId="0">
      <text>
        <r>
          <rPr>
            <b/>
            <sz val="9"/>
            <color indexed="81"/>
            <rFont val="Tahoma"/>
            <family val="2"/>
          </rPr>
          <t>Cem Dener:</t>
        </r>
        <r>
          <rPr>
            <sz val="9"/>
            <color indexed="81"/>
            <rFont val="Tahoma"/>
            <family val="2"/>
          </rPr>
          <t xml:space="preserve">
Fees applicable to obtaining National ID</t>
        </r>
      </text>
    </comment>
    <comment ref="C25" authorId="0" shapeId="0">
      <text>
        <r>
          <rPr>
            <b/>
            <sz val="9"/>
            <color indexed="81"/>
            <rFont val="Tahoma"/>
            <family val="2"/>
          </rPr>
          <t>Cem Dener:</t>
        </r>
        <r>
          <rPr>
            <sz val="9"/>
            <color indexed="81"/>
            <rFont val="Tahoma"/>
            <family val="2"/>
          </rPr>
          <t xml:space="preserve">
National ID ?
0:  No National ID 
1:  National ID exists</t>
        </r>
      </text>
    </comment>
    <comment ref="C26" authorId="0" shapeId="0">
      <text>
        <r>
          <rPr>
            <b/>
            <sz val="9"/>
            <color indexed="81"/>
            <rFont val="Tahoma"/>
            <family val="2"/>
          </rPr>
          <t>Cem Dener:</t>
        </r>
        <r>
          <rPr>
            <sz val="9"/>
            <color indexed="81"/>
            <rFont val="Tahoma"/>
            <family val="2"/>
          </rPr>
          <t xml:space="preserve">
National ID mandatory?
0:  No
1:  Yes</t>
        </r>
      </text>
    </comment>
    <comment ref="C28" authorId="0" shapeId="0">
      <text>
        <r>
          <rPr>
            <b/>
            <sz val="9"/>
            <color indexed="81"/>
            <rFont val="Tahoma"/>
            <family val="2"/>
          </rPr>
          <t>Cem Dener:</t>
        </r>
        <r>
          <rPr>
            <sz val="9"/>
            <color indexed="81"/>
            <rFont val="Tahoma"/>
            <family val="2"/>
          </rPr>
          <t xml:space="preserve">
www.wikiprocedure.com
Birth Registration </t>
        </r>
      </text>
    </comment>
    <comment ref="C29" authorId="0" shapeId="0">
      <text>
        <r>
          <rPr>
            <b/>
            <sz val="9"/>
            <color indexed="81"/>
            <rFont val="Tahoma"/>
            <family val="2"/>
          </rPr>
          <t>Cem Dener:</t>
        </r>
        <r>
          <rPr>
            <sz val="9"/>
            <color indexed="81"/>
            <rFont val="Tahoma"/>
            <family val="2"/>
          </rPr>
          <t xml:space="preserve">
www.wikiprocedure.com
Application for National ID </t>
        </r>
      </text>
    </comment>
    <comment ref="C30" authorId="0" shapeId="0">
      <text>
        <r>
          <rPr>
            <b/>
            <sz val="9"/>
            <color indexed="81"/>
            <rFont val="Tahoma"/>
            <family val="2"/>
          </rPr>
          <t>Cem Dener:</t>
        </r>
        <r>
          <rPr>
            <sz val="9"/>
            <color indexed="81"/>
            <rFont val="Tahoma"/>
            <family val="2"/>
          </rPr>
          <t xml:space="preserve">
www.wikiprocedure.com
Application for e-ID </t>
        </r>
      </text>
    </comment>
    <comment ref="C31" authorId="0" shapeId="0">
      <text>
        <r>
          <rPr>
            <b/>
            <sz val="9"/>
            <color indexed="81"/>
            <rFont val="Tahoma"/>
            <family val="2"/>
          </rPr>
          <t>Cem Dener:</t>
        </r>
        <r>
          <rPr>
            <sz val="9"/>
            <color indexed="81"/>
            <rFont val="Tahoma"/>
            <family val="2"/>
          </rPr>
          <t xml:space="preserve">
Web site containing info/doc about the e-ID/Digital ID platform/usage (URL)</t>
        </r>
      </text>
    </comment>
    <comment ref="C32" authorId="0" shapeId="0">
      <text>
        <r>
          <rPr>
            <b/>
            <sz val="9"/>
            <color indexed="81"/>
            <rFont val="Tahoma"/>
            <family val="2"/>
          </rPr>
          <t>Cem Dener:</t>
        </r>
        <r>
          <rPr>
            <sz val="9"/>
            <color indexed="81"/>
            <rFont val="Tahoma"/>
            <family val="2"/>
          </rPr>
          <t xml:space="preserve">
e-ID is being used since (year)</t>
        </r>
      </text>
    </comment>
    <comment ref="C33" authorId="0" shapeId="0">
      <text>
        <r>
          <rPr>
            <b/>
            <sz val="9"/>
            <color indexed="81"/>
            <rFont val="Tahoma"/>
            <family val="2"/>
          </rPr>
          <t>Cem Dener:</t>
        </r>
        <r>
          <rPr>
            <sz val="9"/>
            <color indexed="81"/>
            <rFont val="Tahoma"/>
            <family val="2"/>
          </rPr>
          <t xml:space="preserve">
Digital ID / Electronic ID usage:
0…  No e-ID solution yet
1… e-ID is used for identification only
2…  e-ID is used in several e-Services
3…  Multi-purpose e-ID used in most e-Services</t>
        </r>
      </text>
    </comment>
    <comment ref="C34" authorId="0" shapeId="0">
      <text>
        <r>
          <rPr>
            <b/>
            <sz val="9"/>
            <color indexed="81"/>
            <rFont val="Tahoma"/>
            <family val="2"/>
          </rPr>
          <t>Cem Dener:</t>
        </r>
        <r>
          <rPr>
            <sz val="9"/>
            <color indexed="81"/>
            <rFont val="Tahoma"/>
            <family val="2"/>
          </rPr>
          <t xml:space="preserve">
Type of e-ID Card
0 : No e-ID yet
1 : Barcode cards (static)
1B : Barcode including biometrics
2 : Mag-strip cards (Data Matric Code / PDF 417 / QR Code)
2B : Mag-strip card including biometrics
3 : Smart cards (chip-based) [ contact/contactless ]
3B : Smart cards with biometrics 
B indicates Biometric Registry (as in India’s Aadhaar Unique Identification Program)
</t>
        </r>
      </text>
    </comment>
    <comment ref="C35" authorId="0" shapeId="0">
      <text>
        <r>
          <rPr>
            <b/>
            <sz val="9"/>
            <color indexed="81"/>
            <rFont val="Tahoma"/>
            <family val="2"/>
          </rPr>
          <t>Cem Dener:</t>
        </r>
        <r>
          <rPr>
            <sz val="9"/>
            <color indexed="81"/>
            <rFont val="Tahoma"/>
            <family val="2"/>
          </rPr>
          <t xml:space="preserve">
Type of services in which the e-ID is used:
E : Education
F : Finance / Payments
H : Health
R : Tax / Customs
S : Social Security
T : Transport
V : Voting / elections
O : Other e-Services
? : Unknown</t>
        </r>
      </text>
    </comment>
    <comment ref="C36" authorId="0" shapeId="0">
      <text>
        <r>
          <rPr>
            <b/>
            <sz val="9"/>
            <color indexed="81"/>
            <rFont val="Tahoma"/>
            <family val="2"/>
          </rPr>
          <t>Cem Dener:</t>
        </r>
        <r>
          <rPr>
            <sz val="9"/>
            <color indexed="81"/>
            <rFont val="Tahoma"/>
            <family val="2"/>
          </rPr>
          <t xml:space="preserve">
Digitial Signature on e-ID Card
0 : Digital signature is not available on e-ID card
1 : Digital signature is embedded in e-ID Card</t>
        </r>
      </text>
    </comment>
    <comment ref="C37" authorId="0" shapeId="0">
      <text>
        <r>
          <rPr>
            <b/>
            <sz val="9"/>
            <color indexed="81"/>
            <rFont val="Tahoma"/>
            <family val="2"/>
          </rPr>
          <t>Cem Dener:</t>
        </r>
        <r>
          <rPr>
            <sz val="9"/>
            <color indexed="81"/>
            <rFont val="Tahoma"/>
            <family val="2"/>
          </rPr>
          <t xml:space="preserve">
Remote use of e-ID Card
0 : e-ID card cannot be used for remote online transactions
1 : e-ID Card is being used for remote online transactions (payments, voting, birth registration, etc.).</t>
        </r>
      </text>
    </comment>
    <comment ref="C38" authorId="0" shapeId="0">
      <text>
        <r>
          <rPr>
            <b/>
            <sz val="9"/>
            <color indexed="81"/>
            <rFont val="Tahoma"/>
            <family val="2"/>
          </rPr>
          <t>Cem Dener:</t>
        </r>
        <r>
          <rPr>
            <sz val="9"/>
            <color indexed="81"/>
            <rFont val="Tahoma"/>
            <family val="2"/>
          </rPr>
          <t xml:space="preserve">
Total number of e-ID cards produced/to be produced (x1,000)</t>
        </r>
      </text>
    </comment>
    <comment ref="C39" authorId="0" shapeId="0">
      <text>
        <r>
          <rPr>
            <b/>
            <sz val="9"/>
            <color indexed="81"/>
            <rFont val="Tahoma"/>
            <family val="2"/>
          </rPr>
          <t>Cem Dener:</t>
        </r>
        <r>
          <rPr>
            <sz val="9"/>
            <color indexed="81"/>
            <rFont val="Tahoma"/>
            <family val="2"/>
          </rPr>
          <t xml:space="preserve">
Biometric ID card solution:
0 : No e-ID yet
1 : GEMALTO (NL)
2 : SAFRAN / Morpho (FR)
3 : Giesecke &amp; Devrient (DE)
4 : Trueb (CH)
5 : Other
9 : Implementation in progress
</t>
        </r>
      </text>
    </comment>
    <comment ref="C40" authorId="0" shapeId="0">
      <text>
        <r>
          <rPr>
            <b/>
            <sz val="9"/>
            <color indexed="81"/>
            <rFont val="Tahoma"/>
            <family val="2"/>
          </rPr>
          <t>Cem Dener:</t>
        </r>
        <r>
          <rPr>
            <sz val="9"/>
            <color indexed="81"/>
            <rFont val="Tahoma"/>
            <family val="2"/>
          </rPr>
          <t xml:space="preserve">
Website(s) providing info on e-ID technology platform</t>
        </r>
      </text>
    </comment>
    <comment ref="C41" authorId="0" shapeId="0">
      <text>
        <r>
          <rPr>
            <b/>
            <sz val="9"/>
            <color indexed="81"/>
            <rFont val="Tahoma"/>
            <family val="2"/>
          </rPr>
          <t>Cem Dener:</t>
        </r>
        <r>
          <rPr>
            <sz val="9"/>
            <color indexed="81"/>
            <rFont val="Tahoma"/>
            <family val="2"/>
          </rPr>
          <t xml:space="preserve">
Implementation Challenges:
0 : No major complication
1 : Implementation cancelled (during bidding or implementation)
2 : Unexpected interruption of implementation (political conflict, disaster, etc.)
3 : Privacy concerns; public campaigns; resistance; human rights issues
4 : Data protection; information security; technical and capacity issues
5 : Government ownership; political commitment
6 : Legal case during implementation (contractual dispute, fraud, etc.)
7 : Other</t>
        </r>
      </text>
    </comment>
    <comment ref="C42" authorId="0" shapeId="0">
      <text>
        <r>
          <rPr>
            <b/>
            <sz val="9"/>
            <color indexed="81"/>
            <rFont val="Tahoma"/>
            <family val="2"/>
          </rPr>
          <t>Cem Dener:</t>
        </r>
        <r>
          <rPr>
            <sz val="9"/>
            <color indexed="81"/>
            <rFont val="Tahoma"/>
            <family val="2"/>
          </rPr>
          <t xml:space="preserve">
Biometric ID ?
0:  No Biometric ID 
1:  Biometric ID exists</t>
        </r>
      </text>
    </comment>
    <comment ref="C43" authorId="0" shapeId="0">
      <text>
        <r>
          <rPr>
            <b/>
            <sz val="9"/>
            <color indexed="81"/>
            <rFont val="Tahoma"/>
            <family val="2"/>
          </rPr>
          <t>Cem Dener:</t>
        </r>
        <r>
          <rPr>
            <sz val="9"/>
            <color indexed="81"/>
            <rFont val="Tahoma"/>
            <family val="2"/>
          </rPr>
          <t xml:space="preserve">
Biometric ID mandatory?
0:  No
1:  Yes</t>
        </r>
      </text>
    </comment>
    <comment ref="C44" authorId="0" shapeId="0">
      <text>
        <r>
          <rPr>
            <b/>
            <sz val="9"/>
            <color indexed="81"/>
            <rFont val="Tahoma"/>
            <family val="2"/>
          </rPr>
          <t>Cem Dener:</t>
        </r>
        <r>
          <rPr>
            <sz val="9"/>
            <color indexed="81"/>
            <rFont val="Tahoma"/>
            <family val="2"/>
          </rPr>
          <t xml:space="preserve">
Web site containing info/doc about the e-Passport (URL)</t>
        </r>
      </text>
    </comment>
    <comment ref="C45" authorId="0" shapeId="0">
      <text>
        <r>
          <rPr>
            <b/>
            <sz val="9"/>
            <color indexed="81"/>
            <rFont val="Tahoma"/>
            <family val="2"/>
          </rPr>
          <t>Cem Dener:</t>
        </r>
        <r>
          <rPr>
            <sz val="9"/>
            <color indexed="81"/>
            <rFont val="Tahoma"/>
            <family val="2"/>
          </rPr>
          <t xml:space="preserve">
Name of gov entity issuing e-Passport</t>
        </r>
      </text>
    </comment>
    <comment ref="C46" authorId="0" shapeId="0">
      <text>
        <r>
          <rPr>
            <b/>
            <sz val="9"/>
            <color indexed="81"/>
            <rFont val="Tahoma"/>
            <family val="2"/>
          </rPr>
          <t>Cem Dener:</t>
        </r>
        <r>
          <rPr>
            <sz val="9"/>
            <color indexed="81"/>
            <rFont val="Tahoma"/>
            <family val="2"/>
          </rPr>
          <t xml:space="preserve">
e-Passport exists?
0…  No
1…  Yes
 </t>
        </r>
      </text>
    </comment>
    <comment ref="C47" authorId="0" shapeId="0">
      <text>
        <r>
          <rPr>
            <b/>
            <sz val="9"/>
            <color indexed="81"/>
            <rFont val="Tahoma"/>
            <family val="2"/>
          </rPr>
          <t>Cem Dener:</t>
        </r>
        <r>
          <rPr>
            <sz val="9"/>
            <color indexed="81"/>
            <rFont val="Tahoma"/>
            <family val="2"/>
          </rPr>
          <t xml:space="preserve">
Institutional responsibility for e-Passport:
0: No e-Passport service/unknown
1: Ministry of Justice
2: Ministry of Interior/ Home Affairs
3: Ministry of Foreign Affairs
4: Entity responsible for Electoral System
5: Autonomous
6: Other</t>
        </r>
      </text>
    </comment>
    <comment ref="C48" authorId="0" shapeId="0">
      <text>
        <r>
          <rPr>
            <b/>
            <sz val="9"/>
            <color indexed="81"/>
            <rFont val="Tahoma"/>
            <family val="2"/>
          </rPr>
          <t>Cem Dener:</t>
        </r>
        <r>
          <rPr>
            <sz val="9"/>
            <color indexed="81"/>
            <rFont val="Tahoma"/>
            <family val="2"/>
          </rPr>
          <t xml:space="preserve">
e-Passport is being used since (year)</t>
        </r>
      </text>
    </comment>
    <comment ref="C49" authorId="0" shapeId="0">
      <text>
        <r>
          <rPr>
            <b/>
            <sz val="9"/>
            <color indexed="81"/>
            <rFont val="Tahoma"/>
            <family val="2"/>
          </rPr>
          <t>Cem Dener:</t>
        </r>
        <r>
          <rPr>
            <sz val="9"/>
            <color indexed="81"/>
            <rFont val="Tahoma"/>
            <family val="2"/>
          </rPr>
          <t xml:space="preserve">
Validity of e-Passport (year)</t>
        </r>
      </text>
    </comment>
    <comment ref="C50" authorId="0" shapeId="0">
      <text>
        <r>
          <rPr>
            <b/>
            <sz val="9"/>
            <color indexed="81"/>
            <rFont val="Tahoma"/>
            <family val="2"/>
          </rPr>
          <t>Cem Dener:</t>
        </r>
        <r>
          <rPr>
            <sz val="9"/>
            <color indexed="81"/>
            <rFont val="Tahoma"/>
            <family val="2"/>
          </rPr>
          <t xml:space="preserve">
Estimated number of e-Passports issued</t>
        </r>
      </text>
    </comment>
    <comment ref="C51" authorId="0" shapeId="0">
      <text>
        <r>
          <rPr>
            <b/>
            <sz val="9"/>
            <color indexed="81"/>
            <rFont val="Tahoma"/>
            <family val="2"/>
          </rPr>
          <t>Cem Dener:</t>
        </r>
        <r>
          <rPr>
            <sz val="9"/>
            <color indexed="81"/>
            <rFont val="Tahoma"/>
            <family val="2"/>
          </rPr>
          <t xml:space="preserve">
e-Passport and e-ID linkages
- : No e-Passport/e-ID solution / status unknown
0 : e-ID is not linked to e-Passport 
1 : e-ID can be used as e-Passport (for cross border travel, trade, etc.)</t>
        </r>
      </text>
    </comment>
    <comment ref="C52" authorId="0" shapeId="0">
      <text>
        <r>
          <rPr>
            <b/>
            <sz val="9"/>
            <color indexed="81"/>
            <rFont val="Tahoma"/>
            <family val="2"/>
          </rPr>
          <t>Cem Dener:</t>
        </r>
        <r>
          <rPr>
            <sz val="9"/>
            <color indexed="81"/>
            <rFont val="Tahoma"/>
            <family val="2"/>
          </rPr>
          <t xml:space="preserve">
Website(s) containing info/doc about Business Registry (URL)</t>
        </r>
      </text>
    </comment>
    <comment ref="C53" authorId="0" shapeId="0">
      <text>
        <r>
          <rPr>
            <b/>
            <sz val="9"/>
            <color indexed="81"/>
            <rFont val="Tahoma"/>
            <family val="2"/>
          </rPr>
          <t>Cem Dener:</t>
        </r>
        <r>
          <rPr>
            <sz val="9"/>
            <color indexed="81"/>
            <rFont val="Tahoma"/>
            <family val="2"/>
          </rPr>
          <t xml:space="preserve">
Business Registry is being used since (year)</t>
        </r>
      </text>
    </comment>
    <comment ref="C54" authorId="0" shapeId="0">
      <text>
        <r>
          <rPr>
            <b/>
            <sz val="9"/>
            <color indexed="81"/>
            <rFont val="Tahoma"/>
            <family val="2"/>
          </rPr>
          <t>Cem Dener:</t>
        </r>
        <r>
          <rPr>
            <sz val="9"/>
            <color indexed="81"/>
            <rFont val="Tahoma"/>
            <family val="2"/>
          </rPr>
          <t xml:space="preserve">
Business Registration automated?
0…  No automation yet
1…  BR is automated
 </t>
        </r>
      </text>
    </comment>
    <comment ref="C55" authorId="0" shapeId="0">
      <text>
        <r>
          <rPr>
            <b/>
            <sz val="9"/>
            <color indexed="81"/>
            <rFont val="Tahoma"/>
            <family val="2"/>
          </rPr>
          <t>Cem Dener:</t>
        </r>
        <r>
          <rPr>
            <sz val="9"/>
            <color indexed="81"/>
            <rFont val="Tahoma"/>
            <family val="2"/>
          </rPr>
          <t xml:space="preserve">
Unique Business/Corporate ID (c-ID):
0…  No c-ID solution yet
1…  Existing Taxpayer or other unique ID is used
2…  Unique c-ID is in use
 </t>
        </r>
      </text>
    </comment>
    <comment ref="C56" authorId="0" shapeId="0">
      <text>
        <r>
          <rPr>
            <b/>
            <sz val="9"/>
            <color indexed="81"/>
            <rFont val="Tahoma"/>
            <family val="2"/>
          </rPr>
          <t>Cem Dener:</t>
        </r>
        <r>
          <rPr>
            <sz val="9"/>
            <color indexed="81"/>
            <rFont val="Tahoma"/>
            <family val="2"/>
          </rPr>
          <t xml:space="preserve">
Unique Business/Corporate ID (c-ID) usage:
0…  No c-ID solution yet
1…  c-ID exists, but no evidence on usage in e-Services 
2…  c-ID is used in e-Services
 </t>
        </r>
      </text>
    </comment>
    <comment ref="C57" authorId="0" shapeId="0">
      <text>
        <r>
          <rPr>
            <b/>
            <sz val="9"/>
            <color indexed="81"/>
            <rFont val="Tahoma"/>
            <family val="2"/>
          </rPr>
          <t>Cem Dener:</t>
        </r>
        <r>
          <rPr>
            <sz val="9"/>
            <color indexed="81"/>
            <rFont val="Tahoma"/>
            <family val="2"/>
          </rPr>
          <t xml:space="preserve">
Website(s) containing info/doc about the Unique Business/Corporate ID usage (URL)</t>
        </r>
      </text>
    </comment>
    <comment ref="C58" authorId="0" shapeId="0">
      <text>
        <r>
          <rPr>
            <b/>
            <sz val="9"/>
            <color indexed="81"/>
            <rFont val="Tahoma"/>
            <family val="2"/>
          </rPr>
          <t>Cem Dener:</t>
        </r>
        <r>
          <rPr>
            <sz val="9"/>
            <color indexed="81"/>
            <rFont val="Tahoma"/>
            <family val="2"/>
          </rPr>
          <t xml:space="preserve">
c-ID is being used since (year)</t>
        </r>
      </text>
    </comment>
    <comment ref="C59" authorId="0" shapeId="0">
      <text>
        <r>
          <rPr>
            <b/>
            <sz val="9"/>
            <color indexed="81"/>
            <rFont val="Tahoma"/>
            <family val="2"/>
          </rPr>
          <t>Cem Dener:</t>
        </r>
        <r>
          <rPr>
            <sz val="9"/>
            <color indexed="81"/>
            <rFont val="Tahoma"/>
            <family val="2"/>
          </rPr>
          <t xml:space="preserve">
Services linked to unique Business ID:
F : Finance / Payments
P : Permits
R : Tax / Customs</t>
        </r>
      </text>
    </comment>
    <comment ref="C60" authorId="0" shapeId="0">
      <text>
        <r>
          <rPr>
            <b/>
            <sz val="9"/>
            <color indexed="81"/>
            <rFont val="Tahoma"/>
            <family val="2"/>
          </rPr>
          <t>Cem Dener:</t>
        </r>
        <r>
          <rPr>
            <sz val="9"/>
            <color indexed="81"/>
            <rFont val="Tahoma"/>
            <family val="2"/>
          </rPr>
          <t xml:space="preserve">
Usage of single sign-on for business services
0 : No single sign-on usage
1 : Single sign-on is used for business services
</t>
        </r>
      </text>
    </comment>
    <comment ref="C61" authorId="0" shapeId="0">
      <text>
        <r>
          <rPr>
            <b/>
            <sz val="9"/>
            <color indexed="81"/>
            <rFont val="Tahoma"/>
            <family val="2"/>
          </rPr>
          <t>Cem Dener:</t>
        </r>
        <r>
          <rPr>
            <sz val="9"/>
            <color indexed="81"/>
            <rFont val="Tahoma"/>
            <family val="2"/>
          </rPr>
          <t xml:space="preserve">
Website(s) containing info/doc on usage of single sing-on for business services</t>
        </r>
      </text>
    </comment>
    <comment ref="C62" authorId="0" shapeId="0">
      <text>
        <r>
          <rPr>
            <b/>
            <sz val="9"/>
            <color indexed="81"/>
            <rFont val="Tahoma"/>
            <family val="2"/>
          </rPr>
          <t>Cem Dener:</t>
        </r>
        <r>
          <rPr>
            <sz val="9"/>
            <color indexed="81"/>
            <rFont val="Tahoma"/>
            <family val="2"/>
          </rPr>
          <t xml:space="preserve">
Data protection law/ data privacy bill:
0= No data protection/privacy law yet
1= Draft law / bill is prepared but not enacted yet
2= Data protection law is approved (no data protection agency yet). 
3= Data protection law is approved and dats protection agency is in place.</t>
        </r>
      </text>
    </comment>
    <comment ref="C63" authorId="0" shapeId="0">
      <text>
        <r>
          <rPr>
            <b/>
            <sz val="9"/>
            <color indexed="81"/>
            <rFont val="Tahoma"/>
            <family val="2"/>
          </rPr>
          <t>Cem Dener:</t>
        </r>
        <r>
          <rPr>
            <sz val="9"/>
            <color indexed="81"/>
            <rFont val="Tahoma"/>
            <family val="2"/>
          </rPr>
          <t xml:space="preserve">
Right to Information legislation:
0= No RTI law yet
1=  RTI law is approved</t>
        </r>
      </text>
    </comment>
    <comment ref="C64" authorId="0" shapeId="0">
      <text>
        <r>
          <rPr>
            <sz val="9"/>
            <color indexed="81"/>
            <rFont val="Tahoma"/>
            <family val="2"/>
          </rPr>
          <t xml:space="preserve">Population in thousands (2015)
UN population database (thousands)
http://esa.un.org/unpd/wpp/Download/Standard/Population/
</t>
        </r>
      </text>
    </comment>
    <comment ref="C65" authorId="0" shapeId="0">
      <text>
        <r>
          <rPr>
            <b/>
            <sz val="9"/>
            <color indexed="81"/>
            <rFont val="Tahoma"/>
            <family val="2"/>
          </rPr>
          <t>Cem Dener:</t>
        </r>
        <r>
          <rPr>
            <sz val="9"/>
            <color indexed="81"/>
            <rFont val="Tahoma"/>
            <family val="2"/>
          </rPr>
          <t xml:space="preserve">
% Female
in total population</t>
        </r>
      </text>
    </comment>
    <comment ref="C68" authorId="0" shapeId="0">
      <text>
        <r>
          <rPr>
            <sz val="9"/>
            <color indexed="81"/>
            <rFont val="Tahoma"/>
            <family val="2"/>
          </rPr>
          <t>Population (0-4) in thousands (2015)
UN population database (thousands)
http://esa.un.org/unpd/wpp/Download/Standard/Population/</t>
        </r>
      </text>
    </comment>
    <comment ref="C69" authorId="0" shapeId="0">
      <text>
        <r>
          <rPr>
            <b/>
            <sz val="9"/>
            <color indexed="81"/>
            <rFont val="Tahoma"/>
            <family val="2"/>
          </rPr>
          <t>Cem Dener:</t>
        </r>
        <r>
          <rPr>
            <sz val="9"/>
            <color indexed="81"/>
            <rFont val="Tahoma"/>
            <family val="2"/>
          </rPr>
          <t xml:space="preserve">
% Female (0-4)
in total population</t>
        </r>
      </text>
    </comment>
    <comment ref="C72" authorId="0" shapeId="0">
      <text>
        <r>
          <rPr>
            <sz val="9"/>
            <color indexed="81"/>
            <rFont val="Tahoma"/>
            <family val="2"/>
          </rPr>
          <t>Population (5-14) in thousands (2015)
UN population database (thousands)
http://esa.un.org/unpd/wpp/Download/Standard/Population/</t>
        </r>
      </text>
    </comment>
    <comment ref="C73" authorId="0" shapeId="0">
      <text>
        <r>
          <rPr>
            <b/>
            <sz val="9"/>
            <color indexed="81"/>
            <rFont val="Tahoma"/>
            <family val="2"/>
          </rPr>
          <t>Cem Dener:</t>
        </r>
        <r>
          <rPr>
            <sz val="9"/>
            <color indexed="81"/>
            <rFont val="Tahoma"/>
            <family val="2"/>
          </rPr>
          <t xml:space="preserve">
% Female (5-14)
in total population</t>
        </r>
      </text>
    </comment>
    <comment ref="C76" authorId="0" shapeId="0">
      <text>
        <r>
          <rPr>
            <sz val="9"/>
            <color indexed="81"/>
            <rFont val="Tahoma"/>
            <family val="2"/>
          </rPr>
          <t>Population (5-14) in thousands (2015)
UN population database (thousands)
http://esa.un.org/unpd/wpp/Download/Standard/Population/</t>
        </r>
      </text>
    </comment>
    <comment ref="C77" authorId="0" shapeId="0">
      <text>
        <r>
          <rPr>
            <b/>
            <sz val="9"/>
            <color indexed="81"/>
            <rFont val="Tahoma"/>
            <family val="2"/>
          </rPr>
          <t>Cem Dener:</t>
        </r>
        <r>
          <rPr>
            <sz val="9"/>
            <color indexed="81"/>
            <rFont val="Tahoma"/>
            <family val="2"/>
          </rPr>
          <t xml:space="preserve">
% Female (5-14)
in total population</t>
        </r>
      </text>
    </comment>
    <comment ref="C80" authorId="0" shapeId="0">
      <text>
        <r>
          <rPr>
            <sz val="9"/>
            <color indexed="81"/>
            <rFont val="Tahoma"/>
            <family val="2"/>
          </rPr>
          <t>Population (15+) in thousands (2015)
UN population database (thousands)
http://esa.un.org/unpd/wpp/Download/Standard/Population/</t>
        </r>
      </text>
    </comment>
    <comment ref="C81" authorId="0" shapeId="0">
      <text>
        <r>
          <rPr>
            <b/>
            <sz val="9"/>
            <color indexed="81"/>
            <rFont val="Tahoma"/>
            <family val="2"/>
          </rPr>
          <t>Cem Dener:</t>
        </r>
        <r>
          <rPr>
            <sz val="9"/>
            <color indexed="81"/>
            <rFont val="Tahoma"/>
            <family val="2"/>
          </rPr>
          <t xml:space="preserve">
% Female (15+)
in total population</t>
        </r>
      </text>
    </comment>
    <comment ref="C86" authorId="0" shapeId="0">
      <text>
        <r>
          <rPr>
            <b/>
            <sz val="9"/>
            <color indexed="81"/>
            <rFont val="Tahoma"/>
            <family val="2"/>
          </rPr>
          <t>Cem Dener:</t>
        </r>
        <r>
          <rPr>
            <sz val="9"/>
            <color indexed="81"/>
            <rFont val="Tahoma"/>
            <family val="2"/>
          </rPr>
          <t xml:space="preserve">
Registration rate of births (ages 0-4) : % of population
Source: UNICEF 2014 Birth Registration DB
http://data.unicef.org/child-protection/birth-registration.html
</t>
        </r>
      </text>
    </comment>
    <comment ref="C87" authorId="0" shapeId="0">
      <text>
        <r>
          <rPr>
            <b/>
            <sz val="9"/>
            <color indexed="81"/>
            <rFont val="Tahoma"/>
            <family val="2"/>
          </rPr>
          <t>Cem Dener:</t>
        </r>
        <r>
          <rPr>
            <sz val="9"/>
            <color indexed="81"/>
            <rFont val="Tahoma"/>
            <family val="2"/>
          </rPr>
          <t xml:space="preserve">
Male birth (0-4) registration rate (%)</t>
        </r>
      </text>
    </comment>
    <comment ref="C88" authorId="0" shapeId="0">
      <text>
        <r>
          <rPr>
            <b/>
            <sz val="9"/>
            <color indexed="81"/>
            <rFont val="Tahoma"/>
            <family val="2"/>
          </rPr>
          <t>Cem Dener:</t>
        </r>
        <r>
          <rPr>
            <sz val="9"/>
            <color indexed="81"/>
            <rFont val="Tahoma"/>
            <family val="2"/>
          </rPr>
          <t xml:space="preserve">
Female birth (0-4) registration rate (%)</t>
        </r>
      </text>
    </comment>
    <comment ref="C89" authorId="0" shapeId="0">
      <text>
        <r>
          <rPr>
            <b/>
            <sz val="9"/>
            <color indexed="81"/>
            <rFont val="Tahoma"/>
            <family val="2"/>
          </rPr>
          <t>Cem Dener:</t>
        </r>
        <r>
          <rPr>
            <sz val="9"/>
            <color indexed="81"/>
            <rFont val="Tahoma"/>
            <family val="2"/>
          </rPr>
          <t xml:space="preserve">
Urban BR rate (%)</t>
        </r>
      </text>
    </comment>
    <comment ref="C90" authorId="0" shapeId="0">
      <text>
        <r>
          <rPr>
            <b/>
            <sz val="9"/>
            <color indexed="81"/>
            <rFont val="Tahoma"/>
            <family val="2"/>
          </rPr>
          <t>Cem Dener:</t>
        </r>
        <r>
          <rPr>
            <sz val="9"/>
            <color indexed="81"/>
            <rFont val="Tahoma"/>
            <family val="2"/>
          </rPr>
          <t xml:space="preserve">
Rural BR rate (%)</t>
        </r>
      </text>
    </comment>
    <comment ref="C91" authorId="0" shapeId="0">
      <text>
        <r>
          <rPr>
            <b/>
            <sz val="9"/>
            <color indexed="81"/>
            <rFont val="Tahoma"/>
            <family val="2"/>
          </rPr>
          <t>Cem Dener:</t>
        </r>
        <r>
          <rPr>
            <sz val="9"/>
            <color indexed="81"/>
            <rFont val="Tahoma"/>
            <family val="2"/>
          </rPr>
          <t xml:space="preserve">
BR rate data reference year</t>
        </r>
      </text>
    </comment>
    <comment ref="C92" authorId="0" shapeId="0">
      <text>
        <r>
          <rPr>
            <b/>
            <sz val="9"/>
            <color indexed="81"/>
            <rFont val="Tahoma"/>
            <family val="2"/>
          </rPr>
          <t>Cem Dener:</t>
        </r>
        <r>
          <rPr>
            <sz val="9"/>
            <color indexed="81"/>
            <rFont val="Tahoma"/>
            <family val="2"/>
          </rPr>
          <t xml:space="preserve">
BR rate data source
 MICS : Multiple Indicator Cluster Surveys
DHS : Demographic and Health Surveys
</t>
        </r>
      </text>
    </comment>
    <comment ref="C93" authorId="0" shapeId="0">
      <text>
        <r>
          <rPr>
            <b/>
            <sz val="9"/>
            <color indexed="81"/>
            <rFont val="Tahoma"/>
            <family val="2"/>
          </rPr>
          <t>Cem Dener:</t>
        </r>
        <r>
          <rPr>
            <sz val="9"/>
            <color indexed="81"/>
            <rFont val="Tahoma"/>
            <family val="2"/>
          </rPr>
          <t xml:space="preserve">
Total number of adults registered in NID or other legal registers (in some cases voter roll)</t>
        </r>
      </text>
    </comment>
    <comment ref="C94" authorId="0" shapeId="0">
      <text>
        <r>
          <rPr>
            <b/>
            <sz val="9"/>
            <color indexed="81"/>
            <rFont val="Tahoma"/>
            <family val="2"/>
          </rPr>
          <t>Cem Dener:</t>
        </r>
        <r>
          <rPr>
            <sz val="9"/>
            <color indexed="81"/>
            <rFont val="Tahoma"/>
            <family val="2"/>
          </rPr>
          <t xml:space="preserve">
Percentage of adult population with National ID or Voter ID (%)</t>
        </r>
      </text>
    </comment>
    <comment ref="C99" authorId="0" shapeId="0">
      <text>
        <r>
          <rPr>
            <b/>
            <sz val="9"/>
            <color indexed="81"/>
            <rFont val="Tahoma"/>
            <family val="2"/>
          </rPr>
          <t>Cem Dener:</t>
        </r>
        <r>
          <rPr>
            <sz val="9"/>
            <color indexed="81"/>
            <rFont val="Tahoma"/>
            <family val="2"/>
          </rPr>
          <t xml:space="preserve">
Mandatory age for issuing National ID</t>
        </r>
      </text>
    </comment>
    <comment ref="C100" authorId="0" shapeId="0">
      <text>
        <r>
          <rPr>
            <b/>
            <sz val="9"/>
            <color indexed="81"/>
            <rFont val="Tahoma"/>
            <family val="2"/>
          </rPr>
          <t>Cem Dener:</t>
        </r>
        <r>
          <rPr>
            <sz val="9"/>
            <color indexed="81"/>
            <rFont val="Tahoma"/>
            <family val="2"/>
          </rPr>
          <t xml:space="preserve">
https://en.wikipedia.org/wiki/Voting_age</t>
        </r>
      </text>
    </comment>
    <comment ref="C102" authorId="0" shapeId="0">
      <text>
        <r>
          <rPr>
            <b/>
            <sz val="9"/>
            <color indexed="81"/>
            <rFont val="Tahoma"/>
            <family val="2"/>
          </rPr>
          <t>Cem Dener:</t>
        </r>
        <r>
          <rPr>
            <sz val="9"/>
            <color indexed="81"/>
            <rFont val="Tahoma"/>
            <family val="2"/>
          </rPr>
          <t xml:space="preserve">
Registered voters 
(x1000)
http://www.idea.int/vt/index.cfm</t>
        </r>
      </text>
    </comment>
    <comment ref="C103" authorId="0" shapeId="0">
      <text>
        <r>
          <rPr>
            <b/>
            <sz val="9"/>
            <color indexed="81"/>
            <rFont val="Tahoma"/>
            <family val="2"/>
          </rPr>
          <t>Cem Dener:</t>
        </r>
        <r>
          <rPr>
            <sz val="9"/>
            <color indexed="81"/>
            <rFont val="Tahoma"/>
            <family val="2"/>
          </rPr>
          <t xml:space="preserve">
Voting age population
(x1000)
http://www.idea.int/vt/index.cfm</t>
        </r>
      </text>
    </comment>
    <comment ref="C104" authorId="0" shapeId="0">
      <text>
        <r>
          <rPr>
            <b/>
            <sz val="9"/>
            <color indexed="81"/>
            <rFont val="Tahoma"/>
            <family val="2"/>
          </rPr>
          <t>Cem Dener:</t>
        </r>
        <r>
          <rPr>
            <sz val="9"/>
            <color indexed="81"/>
            <rFont val="Tahoma"/>
            <family val="2"/>
          </rPr>
          <t xml:space="preserve">
Population
(x1000)
http://www.idea.int/vt/index.cfm</t>
        </r>
      </text>
    </comment>
    <comment ref="C105" authorId="1" shapeId="0">
      <text>
        <r>
          <rPr>
            <b/>
            <sz val="9"/>
            <color indexed="81"/>
            <rFont val="Tahoma"/>
            <family val="2"/>
          </rPr>
          <t>Author:</t>
        </r>
        <r>
          <rPr>
            <sz val="9"/>
            <color indexed="81"/>
            <rFont val="Tahoma"/>
            <family val="2"/>
          </rPr>
          <t xml:space="preserve">
0 : No update
1 :  Voter registration numbers updated
2 :  NID registration numbers updated
3 :  Other sources used for updates
10: Voter registration number from country URL and gender data
20: NID registration number from country URL and gender data</t>
        </r>
      </text>
    </comment>
    <comment ref="C106" authorId="1" shapeId="0">
      <text>
        <r>
          <rPr>
            <b/>
            <sz val="9"/>
            <color indexed="81"/>
            <rFont val="Tahoma"/>
            <family val="2"/>
          </rPr>
          <t>Author:</t>
        </r>
        <r>
          <rPr>
            <sz val="9"/>
            <color indexed="81"/>
            <rFont val="Tahoma"/>
            <family val="2"/>
          </rPr>
          <t xml:space="preserve">
1 :  No indication of NID
2 : No NID or Voter registration numbers, different resources captured
3 : NID or Voter ID captured but not easily verified
4 : Voter registration captured
5 : NID captured but not mandatory at birth  
6 : NID registration rates and BR are mandatory at birth and available</t>
        </r>
      </text>
    </comment>
    <comment ref="C108" authorId="0" shapeId="0">
      <text>
        <r>
          <rPr>
            <b/>
            <sz val="9"/>
            <color indexed="81"/>
            <rFont val="Tahoma"/>
            <family val="2"/>
          </rPr>
          <t>Cem Dener:</t>
        </r>
        <r>
          <rPr>
            <sz val="9"/>
            <color indexed="81"/>
            <rFont val="Tahoma"/>
            <family val="2"/>
          </rPr>
          <t xml:space="preserve">
Development challenges:
A : Urgent support needed &gt;&gt;&gt; Low birth registration rate OR high levels iof extreme poverty OR high unregistered population rates
B : Support for modernization of existing systems or improvement of practices
C : No WBG support is needed (high OR middle income); G20, EU, etc.</t>
        </r>
      </text>
    </comment>
    <comment ref="C109" authorId="0" shapeId="0">
      <text>
        <r>
          <rPr>
            <b/>
            <sz val="9"/>
            <color indexed="81"/>
            <rFont val="Tahoma"/>
            <family val="2"/>
          </rPr>
          <t>Cem Dener:</t>
        </r>
        <r>
          <rPr>
            <sz val="9"/>
            <color indexed="81"/>
            <rFont val="Tahoma"/>
            <family val="2"/>
          </rPr>
          <t xml:space="preserve">
Total estimated unregistered population (no CR records) (x 1,000)</t>
        </r>
      </text>
    </comment>
    <comment ref="C110" authorId="0" shapeId="0">
      <text>
        <r>
          <rPr>
            <b/>
            <sz val="9"/>
            <color indexed="81"/>
            <rFont val="Tahoma"/>
            <family val="2"/>
          </rPr>
          <t>Cem Dener:</t>
        </r>
        <r>
          <rPr>
            <sz val="9"/>
            <color indexed="81"/>
            <rFont val="Tahoma"/>
            <family val="2"/>
          </rPr>
          <t xml:space="preserve">
% of total unregistered population</t>
        </r>
      </text>
    </comment>
    <comment ref="C111" authorId="0" shapeId="0">
      <text>
        <r>
          <rPr>
            <b/>
            <sz val="9"/>
            <color indexed="81"/>
            <rFont val="Tahoma"/>
            <family val="2"/>
          </rPr>
          <t>Cem Dener:</t>
        </r>
        <r>
          <rPr>
            <sz val="9"/>
            <color indexed="81"/>
            <rFont val="Tahoma"/>
            <family val="2"/>
          </rPr>
          <t xml:space="preserve">
Female % of
total unregistered population</t>
        </r>
      </text>
    </comment>
    <comment ref="C112" authorId="0" shapeId="0">
      <text>
        <r>
          <rPr>
            <b/>
            <sz val="9"/>
            <color indexed="81"/>
            <rFont val="Tahoma"/>
            <family val="2"/>
          </rPr>
          <t>Cem Dener:</t>
        </r>
        <r>
          <rPr>
            <sz val="9"/>
            <color indexed="81"/>
            <rFont val="Tahoma"/>
            <family val="2"/>
          </rPr>
          <t xml:space="preserve">
Unregistered males (x1,000)</t>
        </r>
      </text>
    </comment>
    <comment ref="C113" authorId="0" shapeId="0">
      <text>
        <r>
          <rPr>
            <b/>
            <sz val="9"/>
            <color indexed="81"/>
            <rFont val="Tahoma"/>
            <family val="2"/>
          </rPr>
          <t>Cem Dener:</t>
        </r>
        <r>
          <rPr>
            <sz val="9"/>
            <color indexed="81"/>
            <rFont val="Tahoma"/>
            <family val="2"/>
          </rPr>
          <t xml:space="preserve">
Unregistered females (x1,000)</t>
        </r>
      </text>
    </comment>
    <comment ref="C114" authorId="0" shapeId="0">
      <text>
        <r>
          <rPr>
            <b/>
            <sz val="9"/>
            <color indexed="81"/>
            <rFont val="Tahoma"/>
            <family val="2"/>
          </rPr>
          <t>Cem Dener:</t>
        </r>
        <r>
          <rPr>
            <sz val="9"/>
            <color indexed="81"/>
            <rFont val="Tahoma"/>
            <family val="2"/>
          </rPr>
          <t xml:space="preserve">
Percentage of unregistered males among total male population</t>
        </r>
      </text>
    </comment>
    <comment ref="C115" authorId="0" shapeId="0">
      <text>
        <r>
          <rPr>
            <b/>
            <sz val="9"/>
            <color indexed="81"/>
            <rFont val="Tahoma"/>
            <family val="2"/>
          </rPr>
          <t>Cem Dener:</t>
        </r>
        <r>
          <rPr>
            <sz val="9"/>
            <color indexed="81"/>
            <rFont val="Tahoma"/>
            <family val="2"/>
          </rPr>
          <t xml:space="preserve">
Percentage of unregistered females among total female population</t>
        </r>
      </text>
    </comment>
    <comment ref="C116" authorId="0" shapeId="0">
      <text>
        <r>
          <rPr>
            <b/>
            <sz val="9"/>
            <color indexed="81"/>
            <rFont val="Tahoma"/>
            <family val="2"/>
          </rPr>
          <t>Cem Dener:</t>
        </r>
        <r>
          <rPr>
            <sz val="9"/>
            <color indexed="81"/>
            <rFont val="Tahoma"/>
            <family val="2"/>
          </rPr>
          <t xml:space="preserve">
Total estimated unregistered population (no CR records) above age 14 (x 1,000)</t>
        </r>
      </text>
    </comment>
    <comment ref="C117" authorId="0" shapeId="0">
      <text>
        <r>
          <rPr>
            <b/>
            <sz val="9"/>
            <color indexed="81"/>
            <rFont val="Tahoma"/>
            <family val="2"/>
          </rPr>
          <t>Cem Dener:</t>
        </r>
        <r>
          <rPr>
            <sz val="9"/>
            <color indexed="81"/>
            <rFont val="Tahoma"/>
            <family val="2"/>
          </rPr>
          <t xml:space="preserve">
Female % of
total unregistered population above 14</t>
        </r>
      </text>
    </comment>
    <comment ref="C120" authorId="0" shapeId="0">
      <text>
        <r>
          <rPr>
            <b/>
            <sz val="9"/>
            <color indexed="81"/>
            <rFont val="Tahoma"/>
            <family val="2"/>
          </rPr>
          <t>Cem Dener:</t>
        </r>
        <r>
          <rPr>
            <sz val="9"/>
            <color indexed="81"/>
            <rFont val="Tahoma"/>
            <family val="2"/>
          </rPr>
          <t xml:space="preserve">
Total number of unregistered children
(x 1,000) 
(5-14 age group)</t>
        </r>
      </text>
    </comment>
    <comment ref="C121" authorId="0" shapeId="0">
      <text>
        <r>
          <rPr>
            <b/>
            <sz val="9"/>
            <color indexed="81"/>
            <rFont val="Tahoma"/>
            <family val="2"/>
          </rPr>
          <t>Cem Dener:</t>
        </r>
        <r>
          <rPr>
            <sz val="9"/>
            <color indexed="81"/>
            <rFont val="Tahoma"/>
            <family val="2"/>
          </rPr>
          <t xml:space="preserve">
Unregistered population (0-14) Female (%)</t>
        </r>
      </text>
    </comment>
    <comment ref="C124" authorId="0" shapeId="0">
      <text>
        <r>
          <rPr>
            <b/>
            <sz val="9"/>
            <color indexed="81"/>
            <rFont val="Tahoma"/>
            <family val="2"/>
          </rPr>
          <t>Cem Dener:</t>
        </r>
        <r>
          <rPr>
            <sz val="9"/>
            <color indexed="81"/>
            <rFont val="Tahoma"/>
            <family val="2"/>
          </rPr>
          <t xml:space="preserve">
Total number of unregistered children
(x 1,000)
(0-4 age group)</t>
        </r>
      </text>
    </comment>
    <comment ref="C125" authorId="0" shapeId="0">
      <text>
        <r>
          <rPr>
            <b/>
            <sz val="9"/>
            <color indexed="81"/>
            <rFont val="Tahoma"/>
            <family val="2"/>
          </rPr>
          <t>Cem Dener:</t>
        </r>
        <r>
          <rPr>
            <sz val="9"/>
            <color indexed="81"/>
            <rFont val="Tahoma"/>
            <family val="2"/>
          </rPr>
          <t xml:space="preserve">
Unregistered population (0-4) Female (%)</t>
        </r>
      </text>
    </comment>
    <comment ref="C128" authorId="0" shapeId="0">
      <text>
        <r>
          <rPr>
            <b/>
            <sz val="9"/>
            <color indexed="81"/>
            <rFont val="Tahoma"/>
            <family val="2"/>
          </rPr>
          <t>Cem Dener:</t>
        </r>
        <r>
          <rPr>
            <sz val="9"/>
            <color indexed="81"/>
            <rFont val="Tahoma"/>
            <family val="2"/>
          </rPr>
          <t xml:space="preserve">
Percentage of unregistered males among total male population (0-4 age group)</t>
        </r>
      </text>
    </comment>
    <comment ref="C129" authorId="0" shapeId="0">
      <text>
        <r>
          <rPr>
            <b/>
            <sz val="9"/>
            <color indexed="81"/>
            <rFont val="Tahoma"/>
            <family val="2"/>
          </rPr>
          <t>Cem Dener:</t>
        </r>
        <r>
          <rPr>
            <sz val="9"/>
            <color indexed="81"/>
            <rFont val="Tahoma"/>
            <family val="2"/>
          </rPr>
          <t xml:space="preserve">
Percentage of unregistered females among total female population (0-4 age group)</t>
        </r>
      </text>
    </comment>
    <comment ref="C130" authorId="0" shapeId="0">
      <text>
        <r>
          <rPr>
            <b/>
            <sz val="9"/>
            <color indexed="81"/>
            <rFont val="Tahoma"/>
            <family val="2"/>
          </rPr>
          <t>Cem Dener:</t>
        </r>
        <r>
          <rPr>
            <sz val="9"/>
            <color indexed="81"/>
            <rFont val="Tahoma"/>
            <family val="2"/>
          </rPr>
          <t xml:space="preserve">
Poverty headcount ratio at $1.25 a day (PPP) (% of population)</t>
        </r>
      </text>
    </comment>
    <comment ref="C131" authorId="0" shapeId="0">
      <text>
        <r>
          <rPr>
            <b/>
            <sz val="9"/>
            <color indexed="81"/>
            <rFont val="Tahoma"/>
            <family val="2"/>
          </rPr>
          <t>Cem Dener:</t>
        </r>
        <r>
          <rPr>
            <sz val="9"/>
            <color indexed="81"/>
            <rFont val="Tahoma"/>
            <family val="2"/>
          </rPr>
          <t xml:space="preserve">
Poverty reduction ratio was measured in (year)</t>
        </r>
      </text>
    </comment>
    <comment ref="C132" authorId="0" shapeId="0">
      <text>
        <r>
          <rPr>
            <sz val="9"/>
            <color indexed="81"/>
            <rFont val="Tahoma"/>
            <family val="2"/>
          </rPr>
          <t>Population below poverty line in thousands (2011)</t>
        </r>
      </text>
    </comment>
    <comment ref="C133" authorId="0" shapeId="0">
      <text>
        <r>
          <rPr>
            <b/>
            <sz val="9"/>
            <color indexed="81"/>
            <rFont val="Tahoma"/>
            <family val="2"/>
          </rPr>
          <t>Cem Dener:</t>
        </r>
        <r>
          <rPr>
            <sz val="9"/>
            <color indexed="81"/>
            <rFont val="Tahoma"/>
            <family val="2"/>
          </rPr>
          <t xml:space="preserve">
Poverty headcount ratio at national poverty line (% of population) </t>
        </r>
      </text>
    </comment>
    <comment ref="C134" authorId="0" shapeId="0">
      <text>
        <r>
          <rPr>
            <b/>
            <sz val="9"/>
            <color indexed="81"/>
            <rFont val="Tahoma"/>
            <family val="2"/>
          </rPr>
          <t>Cem Dener:</t>
        </r>
        <r>
          <rPr>
            <sz val="9"/>
            <color indexed="81"/>
            <rFont val="Tahoma"/>
            <family val="2"/>
          </rPr>
          <t xml:space="preserve">
Poverty reduction ratio (national) was measured in (year)</t>
        </r>
      </text>
    </comment>
    <comment ref="C135" authorId="0" shapeId="0">
      <text>
        <r>
          <rPr>
            <sz val="9"/>
            <color indexed="81"/>
            <rFont val="Tahoma"/>
            <family val="2"/>
          </rPr>
          <t>Population below national poverty line in thousands (2011)</t>
        </r>
      </text>
    </comment>
    <comment ref="C136" authorId="0" shapeId="0">
      <text>
        <r>
          <rPr>
            <b/>
            <sz val="9"/>
            <color indexed="81"/>
            <rFont val="Tahoma"/>
            <family val="2"/>
          </rPr>
          <t>Cem Dener:</t>
        </r>
        <r>
          <rPr>
            <sz val="9"/>
            <color indexed="81"/>
            <rFont val="Tahoma"/>
            <family val="2"/>
          </rPr>
          <t xml:space="preserve">
Poverty headcount ratio below poverty line (% of population)</t>
        </r>
      </text>
    </comment>
    <comment ref="C137" authorId="0" shapeId="0">
      <text>
        <r>
          <rPr>
            <b/>
            <sz val="9"/>
            <color indexed="81"/>
            <rFont val="Tahoma"/>
            <family val="2"/>
          </rPr>
          <t>Cem Dener:</t>
        </r>
        <r>
          <rPr>
            <sz val="9"/>
            <color indexed="81"/>
            <rFont val="Tahoma"/>
            <family val="2"/>
          </rPr>
          <t xml:space="preserve">
Poverty reduction ratio was measured in (year)</t>
        </r>
      </text>
    </comment>
    <comment ref="C138" authorId="0" shapeId="0">
      <text>
        <r>
          <rPr>
            <b/>
            <sz val="9"/>
            <color indexed="81"/>
            <rFont val="Tahoma"/>
            <family val="2"/>
          </rPr>
          <t>Cem Dener:</t>
        </r>
        <r>
          <rPr>
            <sz val="9"/>
            <color indexed="81"/>
            <rFont val="Tahoma"/>
            <family val="2"/>
          </rPr>
          <t xml:space="preserve">
Literacy rate, adult total (% of people ages 15 and above)
WBG Data (2013)
</t>
        </r>
      </text>
    </comment>
    <comment ref="C139" authorId="0" shapeId="0">
      <text>
        <r>
          <rPr>
            <b/>
            <sz val="9"/>
            <color indexed="81"/>
            <rFont val="Tahoma"/>
            <family val="2"/>
          </rPr>
          <t>Cem Dener:</t>
        </r>
        <r>
          <rPr>
            <sz val="9"/>
            <color indexed="81"/>
            <rFont val="Tahoma"/>
            <family val="2"/>
          </rPr>
          <t xml:space="preserve">
Official Language</t>
        </r>
      </text>
    </comment>
    <comment ref="C141" authorId="0" shapeId="0">
      <text>
        <r>
          <rPr>
            <b/>
            <sz val="9"/>
            <color indexed="81"/>
            <rFont val="Tahoma"/>
            <family val="2"/>
          </rPr>
          <t>Cem Dener:</t>
        </r>
        <r>
          <rPr>
            <sz val="9"/>
            <color indexed="81"/>
            <rFont val="Tahoma"/>
            <family val="2"/>
          </rPr>
          <t xml:space="preserve">
Category (CRVS readiness):
1:  Comprehensive assessment completed, strategic plan advanced, high level political commitment and coord established &amp; active.
2:  Comprehensive assessments underway, or commitment for comprehensive assessments in the immediate future.
3:  Countries which have not yet indicated that they are seeking a comprehensive assessment.</t>
        </r>
      </text>
    </comment>
    <comment ref="C142" authorId="0" shapeId="0">
      <text>
        <r>
          <rPr>
            <b/>
            <sz val="9"/>
            <color indexed="81"/>
            <rFont val="Tahoma"/>
            <family val="2"/>
          </rPr>
          <t>Cem Dener:</t>
        </r>
        <r>
          <rPr>
            <sz val="9"/>
            <color indexed="81"/>
            <rFont val="Tahoma"/>
            <family val="2"/>
          </rPr>
          <t xml:space="preserve">
CRVS Rapid Assessment</t>
        </r>
      </text>
    </comment>
    <comment ref="C143" authorId="0" shapeId="0">
      <text>
        <r>
          <rPr>
            <b/>
            <sz val="9"/>
            <color indexed="81"/>
            <rFont val="Tahoma"/>
            <family val="2"/>
          </rPr>
          <t>Cem Dener:</t>
        </r>
        <r>
          <rPr>
            <sz val="9"/>
            <color indexed="81"/>
            <rFont val="Tahoma"/>
            <family val="2"/>
          </rPr>
          <t xml:space="preserve">
CRVS Comprehensive Assessment</t>
        </r>
      </text>
    </comment>
    <comment ref="C144" authorId="0" shapeId="0">
      <text>
        <r>
          <rPr>
            <b/>
            <sz val="9"/>
            <color indexed="81"/>
            <rFont val="Tahoma"/>
            <family val="2"/>
          </rPr>
          <t>Cem Dener:</t>
        </r>
        <r>
          <rPr>
            <sz val="9"/>
            <color indexed="81"/>
            <rFont val="Tahoma"/>
            <family val="2"/>
          </rPr>
          <t xml:space="preserve">
CRVS Strategic Plan / Commitment</t>
        </r>
      </text>
    </comment>
    <comment ref="C145" authorId="0" shapeId="0">
      <text>
        <r>
          <rPr>
            <b/>
            <sz val="9"/>
            <color indexed="81"/>
            <rFont val="Tahoma"/>
            <family val="2"/>
          </rPr>
          <t>Cem Dener:</t>
        </r>
        <r>
          <rPr>
            <sz val="9"/>
            <color indexed="81"/>
            <rFont val="Tahoma"/>
            <family val="2"/>
          </rPr>
          <t xml:space="preserve">
CRVS Costed Investment Plan
</t>
        </r>
      </text>
    </comment>
    <comment ref="C146" authorId="0" shapeId="0">
      <text>
        <r>
          <rPr>
            <b/>
            <sz val="9"/>
            <color indexed="81"/>
            <rFont val="Tahoma"/>
            <family val="2"/>
          </rPr>
          <t>Cem Dener:</t>
        </r>
        <r>
          <rPr>
            <sz val="9"/>
            <color indexed="81"/>
            <rFont val="Tahoma"/>
            <family val="2"/>
          </rPr>
          <t xml:space="preserve">
Political Commitment</t>
        </r>
      </text>
    </comment>
    <comment ref="C147" authorId="0" shapeId="0">
      <text>
        <r>
          <rPr>
            <b/>
            <sz val="9"/>
            <color indexed="81"/>
            <rFont val="Tahoma"/>
            <family val="2"/>
          </rPr>
          <t>Cem Dener:</t>
        </r>
        <r>
          <rPr>
            <sz val="9"/>
            <color indexed="81"/>
            <rFont val="Tahoma"/>
            <family val="2"/>
          </rPr>
          <t xml:space="preserve">
Birth Rate coverage (%)</t>
        </r>
      </text>
    </comment>
    <comment ref="C148" authorId="0" shapeId="0">
      <text>
        <r>
          <rPr>
            <b/>
            <sz val="9"/>
            <color indexed="81"/>
            <rFont val="Tahoma"/>
            <family val="2"/>
          </rPr>
          <t>Cem Dener:</t>
        </r>
        <r>
          <rPr>
            <sz val="9"/>
            <color indexed="81"/>
            <rFont val="Tahoma"/>
            <family val="2"/>
          </rPr>
          <t xml:space="preserve">
Death Rate coverage (%)</t>
        </r>
      </text>
    </comment>
    <comment ref="C149" authorId="0" shapeId="0">
      <text>
        <r>
          <rPr>
            <b/>
            <sz val="9"/>
            <color indexed="81"/>
            <rFont val="Tahoma"/>
            <family val="2"/>
          </rPr>
          <t>Cem Dener:</t>
        </r>
        <r>
          <rPr>
            <sz val="9"/>
            <color indexed="81"/>
            <rFont val="Tahoma"/>
            <family val="2"/>
          </rPr>
          <t xml:space="preserve">
Total number of WB Projects in ID4D domain
</t>
        </r>
      </text>
    </comment>
    <comment ref="C150" authorId="0" shapeId="0">
      <text>
        <r>
          <rPr>
            <b/>
            <sz val="9"/>
            <color indexed="81"/>
            <rFont val="Tahoma"/>
            <family val="2"/>
          </rPr>
          <t>Cem Dener:</t>
        </r>
        <r>
          <rPr>
            <sz val="9"/>
            <color indexed="81"/>
            <rFont val="Tahoma"/>
            <family val="2"/>
          </rPr>
          <t xml:space="preserve">
WB Project ID(s) :
Civil Registries
</t>
        </r>
      </text>
    </comment>
    <comment ref="C164" authorId="0" shapeId="0">
      <text>
        <r>
          <rPr>
            <b/>
            <sz val="9"/>
            <color indexed="81"/>
            <rFont val="Tahoma"/>
            <family val="2"/>
          </rPr>
          <t>Cem Dener:</t>
        </r>
        <r>
          <rPr>
            <sz val="9"/>
            <color indexed="81"/>
            <rFont val="Tahoma"/>
            <family val="2"/>
          </rPr>
          <t xml:space="preserve">
Birth Registration (0-5): Unregistered births % of total</t>
        </r>
      </text>
    </comment>
    <comment ref="C165" authorId="0" shapeId="0">
      <text>
        <r>
          <rPr>
            <b/>
            <sz val="9"/>
            <color indexed="81"/>
            <rFont val="Tahoma"/>
            <family val="2"/>
          </rPr>
          <t>Cem Dener:</t>
        </r>
        <r>
          <rPr>
            <sz val="9"/>
            <color indexed="81"/>
            <rFont val="Tahoma"/>
            <family val="2"/>
          </rPr>
          <t xml:space="preserve">
Unregistered population
(% of total)</t>
        </r>
      </text>
    </comment>
    <comment ref="C166" authorId="0" shapeId="0">
      <text>
        <r>
          <rPr>
            <b/>
            <sz val="9"/>
            <color indexed="81"/>
            <rFont val="Tahoma"/>
            <family val="2"/>
          </rPr>
          <t>Cem Dener:</t>
        </r>
        <r>
          <rPr>
            <sz val="9"/>
            <color indexed="81"/>
            <rFont val="Tahoma"/>
            <family val="2"/>
          </rPr>
          <t xml:space="preserve">
Institutional responsibility for Civil Registry:
0: No CR org yet / Unknown
1: Ministry of Justice
2: Entity responsible for Electoral System
3: Autonomous
4: Other</t>
        </r>
      </text>
    </comment>
    <comment ref="C167" authorId="0" shapeId="0">
      <text>
        <r>
          <rPr>
            <b/>
            <sz val="9"/>
            <color indexed="81"/>
            <rFont val="Tahoma"/>
            <family val="2"/>
          </rPr>
          <t>Cem Dener:</t>
        </r>
        <r>
          <rPr>
            <sz val="9"/>
            <color indexed="81"/>
            <rFont val="Tahoma"/>
            <family val="2"/>
          </rPr>
          <t xml:space="preserve">
In case of mandatory Civil Registration: Indicate the specific period (day / month / year) in which the certificate should be obtained by law.
d : day
m : month
y: year</t>
        </r>
      </text>
    </comment>
    <comment ref="C168" authorId="0" shapeId="0">
      <text>
        <r>
          <rPr>
            <b/>
            <sz val="9"/>
            <color indexed="81"/>
            <rFont val="Tahoma"/>
            <family val="2"/>
          </rPr>
          <t>Cem Dener:</t>
        </r>
        <r>
          <rPr>
            <sz val="9"/>
            <color indexed="81"/>
            <rFont val="Tahoma"/>
            <family val="2"/>
          </rPr>
          <t xml:space="preserve">
Fees applicable to civil registration process</t>
        </r>
      </text>
    </comment>
    <comment ref="C169" authorId="0" shapeId="0">
      <text>
        <r>
          <rPr>
            <b/>
            <sz val="9"/>
            <color indexed="81"/>
            <rFont val="Tahoma"/>
            <family val="2"/>
          </rPr>
          <t>Cem Dener:</t>
        </r>
        <r>
          <rPr>
            <sz val="9"/>
            <color indexed="81"/>
            <rFont val="Tahoma"/>
            <family val="2"/>
          </rPr>
          <t xml:space="preserve">
National Identification document</t>
        </r>
      </text>
    </comment>
    <comment ref="C170" authorId="0" shapeId="0">
      <text>
        <r>
          <rPr>
            <b/>
            <sz val="9"/>
            <color indexed="81"/>
            <rFont val="Tahoma"/>
            <family val="2"/>
          </rPr>
          <t>Cem Dener:</t>
        </r>
        <r>
          <rPr>
            <sz val="9"/>
            <color indexed="81"/>
            <rFont val="Tahoma"/>
            <family val="2"/>
          </rPr>
          <t xml:space="preserve">
Fees applicable to obtaining National ID</t>
        </r>
      </text>
    </comment>
    <comment ref="C171" authorId="0" shapeId="0">
      <text>
        <r>
          <rPr>
            <b/>
            <sz val="9"/>
            <color indexed="81"/>
            <rFont val="Tahoma"/>
            <family val="2"/>
          </rPr>
          <t>Cem Dener:</t>
        </r>
        <r>
          <rPr>
            <sz val="9"/>
            <color indexed="81"/>
            <rFont val="Tahoma"/>
            <family val="2"/>
          </rPr>
          <t xml:space="preserve">
Unique Identification Number</t>
        </r>
      </text>
    </comment>
    <comment ref="C187" authorId="0" shapeId="0">
      <text>
        <r>
          <rPr>
            <b/>
            <sz val="9"/>
            <color indexed="81"/>
            <rFont val="Tahoma"/>
            <family val="2"/>
          </rPr>
          <t>Cem Dener:</t>
        </r>
        <r>
          <rPr>
            <sz val="9"/>
            <color indexed="81"/>
            <rFont val="Tahoma"/>
            <family val="2"/>
          </rPr>
          <t xml:space="preserve">
Legal system (main characteristics of the current llegal system):
1 : Civil
2 : Common
3 : Religious</t>
        </r>
      </text>
    </comment>
    <comment ref="C189" authorId="0" shapeId="0">
      <text>
        <r>
          <rPr>
            <b/>
            <sz val="9"/>
            <color indexed="81"/>
            <rFont val="Tahoma"/>
            <family val="2"/>
          </rPr>
          <t>Cem Dener:</t>
        </r>
        <r>
          <rPr>
            <sz val="9"/>
            <color indexed="81"/>
            <rFont val="Tahoma"/>
            <family val="2"/>
          </rPr>
          <t xml:space="preserve">
Status:
Free (F): 0-30
Partly Free (PF): 31-60
Not Free (NF): 61-100</t>
        </r>
      </text>
    </comment>
    <comment ref="C190" authorId="0" shapeId="0">
      <text>
        <r>
          <rPr>
            <b/>
            <sz val="9"/>
            <color indexed="81"/>
            <rFont val="Tahoma"/>
            <family val="2"/>
          </rPr>
          <t>Cem Dener:</t>
        </r>
        <r>
          <rPr>
            <sz val="9"/>
            <color indexed="81"/>
            <rFont val="Tahoma"/>
            <family val="2"/>
          </rPr>
          <t xml:space="preserve">
Political Rights 
(1=Best; 7=Worst)</t>
        </r>
      </text>
    </comment>
    <comment ref="C191" authorId="0" shapeId="0">
      <text>
        <r>
          <rPr>
            <b/>
            <sz val="9"/>
            <color indexed="81"/>
            <rFont val="Tahoma"/>
            <family val="2"/>
          </rPr>
          <t>Cem Dener:</t>
        </r>
        <r>
          <rPr>
            <sz val="9"/>
            <color indexed="81"/>
            <rFont val="Tahoma"/>
            <family val="2"/>
          </rPr>
          <t xml:space="preserve">
Civil Liberties 
(1=Best; 7=Worst)</t>
        </r>
      </text>
    </comment>
    <comment ref="C192" authorId="0" shapeId="0">
      <text>
        <r>
          <rPr>
            <b/>
            <sz val="9"/>
            <color indexed="81"/>
            <rFont val="Tahoma"/>
            <family val="2"/>
          </rPr>
          <t>Cem Dener:</t>
        </r>
        <r>
          <rPr>
            <sz val="9"/>
            <color indexed="81"/>
            <rFont val="Tahoma"/>
            <family val="2"/>
          </rPr>
          <t xml:space="preserve">
Status:
Free (F): 0-30
Partly Free (PF): 31-60
Not Free (NF): 61-100</t>
        </r>
      </text>
    </comment>
    <comment ref="C194" authorId="0" shapeId="0">
      <text>
        <r>
          <rPr>
            <b/>
            <sz val="9"/>
            <color indexed="81"/>
            <rFont val="Tahoma"/>
            <family val="2"/>
          </rPr>
          <t>Cem Dener:</t>
        </r>
        <r>
          <rPr>
            <sz val="9"/>
            <color indexed="81"/>
            <rFont val="Tahoma"/>
            <family val="2"/>
          </rPr>
          <t xml:space="preserve">
A. Obstacles to Access
(0-25)</t>
        </r>
      </text>
    </comment>
    <comment ref="C195" authorId="0" shapeId="0">
      <text>
        <r>
          <rPr>
            <b/>
            <sz val="9"/>
            <color indexed="81"/>
            <rFont val="Tahoma"/>
            <family val="2"/>
          </rPr>
          <t>Cem Dener:</t>
        </r>
        <r>
          <rPr>
            <sz val="9"/>
            <color indexed="81"/>
            <rFont val="Tahoma"/>
            <family val="2"/>
          </rPr>
          <t xml:space="preserve">
B. Limits on Content 
(0-35)</t>
        </r>
      </text>
    </comment>
    <comment ref="C196" authorId="0" shapeId="0">
      <text>
        <r>
          <rPr>
            <b/>
            <sz val="9"/>
            <color indexed="81"/>
            <rFont val="Tahoma"/>
            <family val="2"/>
          </rPr>
          <t>Cem Dener:</t>
        </r>
        <r>
          <rPr>
            <sz val="9"/>
            <color indexed="81"/>
            <rFont val="Tahoma"/>
            <family val="2"/>
          </rPr>
          <t xml:space="preserve">
C. Violations of User Rights (0-40)</t>
        </r>
      </text>
    </comment>
    <comment ref="C197" authorId="0" shapeId="0">
      <text>
        <r>
          <rPr>
            <b/>
            <sz val="9"/>
            <color indexed="81"/>
            <rFont val="Tahoma"/>
            <family val="2"/>
          </rPr>
          <t>Cem Dener:</t>
        </r>
        <r>
          <rPr>
            <sz val="9"/>
            <color indexed="81"/>
            <rFont val="Tahoma"/>
            <family val="2"/>
          </rPr>
          <t xml:space="preserve">
Status:
Free (F): 0-30
Partly Free (PF): 31-60
Not Free (NF): 61-100</t>
        </r>
      </text>
    </comment>
    <comment ref="C199" authorId="0" shapeId="0">
      <text>
        <r>
          <rPr>
            <b/>
            <sz val="9"/>
            <color indexed="81"/>
            <rFont val="Tahoma"/>
            <family val="2"/>
          </rPr>
          <t>Cem Dener:</t>
        </r>
        <r>
          <rPr>
            <sz val="9"/>
            <color indexed="81"/>
            <rFont val="Tahoma"/>
            <family val="2"/>
          </rPr>
          <t xml:space="preserve">
A= Laws and regulations that influence media content (0-30)</t>
        </r>
      </text>
    </comment>
    <comment ref="C200" authorId="0" shapeId="0">
      <text>
        <r>
          <rPr>
            <b/>
            <sz val="9"/>
            <color indexed="81"/>
            <rFont val="Tahoma"/>
            <family val="2"/>
          </rPr>
          <t>Cem Dener:</t>
        </r>
        <r>
          <rPr>
            <sz val="9"/>
            <color indexed="81"/>
            <rFont val="Tahoma"/>
            <family val="2"/>
          </rPr>
          <t xml:space="preserve">
B= Political pressures and controls on media content (including harassment or violence against journalists or facilities, censorship, self-censorship etc) (0-40)</t>
        </r>
      </text>
    </comment>
    <comment ref="C201" authorId="0" shapeId="0">
      <text>
        <r>
          <rPr>
            <b/>
            <sz val="9"/>
            <color indexed="81"/>
            <rFont val="Tahoma"/>
            <family val="2"/>
          </rPr>
          <t>Cem Dener:</t>
        </r>
        <r>
          <rPr>
            <sz val="9"/>
            <color indexed="81"/>
            <rFont val="Tahoma"/>
            <family val="2"/>
          </rPr>
          <t xml:space="preserve">
C= Economic influences over media content. (0-30)</t>
        </r>
      </text>
    </comment>
    <comment ref="C203" authorId="0" shapeId="0">
      <text>
        <r>
          <rPr>
            <b/>
            <sz val="9"/>
            <color indexed="81"/>
            <rFont val="Tahoma"/>
            <family val="2"/>
          </rPr>
          <t>Cem Dener:</t>
        </r>
        <r>
          <rPr>
            <sz val="9"/>
            <color indexed="81"/>
            <rFont val="Tahoma"/>
            <family val="2"/>
          </rPr>
          <t xml:space="preserve">
Voice and Accountability:
Ranges from approximately -2.5 (weak) to 2.5 (strong) performance</t>
        </r>
      </text>
    </comment>
    <comment ref="C204" authorId="0" shapeId="0">
      <text>
        <r>
          <rPr>
            <b/>
            <sz val="9"/>
            <color indexed="81"/>
            <rFont val="Tahoma"/>
            <family val="2"/>
          </rPr>
          <t>Cem Dener:</t>
        </r>
        <r>
          <rPr>
            <sz val="9"/>
            <color indexed="81"/>
            <rFont val="Tahoma"/>
            <family val="2"/>
          </rPr>
          <t xml:space="preserve">
Political Stability and Absence of Violence/Terrorism</t>
        </r>
      </text>
    </comment>
    <comment ref="C205" authorId="0" shapeId="0">
      <text>
        <r>
          <rPr>
            <b/>
            <sz val="9"/>
            <color indexed="81"/>
            <rFont val="Tahoma"/>
            <family val="2"/>
          </rPr>
          <t>Cem Dener:</t>
        </r>
        <r>
          <rPr>
            <sz val="9"/>
            <color indexed="81"/>
            <rFont val="Tahoma"/>
            <family val="2"/>
          </rPr>
          <t xml:space="preserve">
Government Effectiveness</t>
        </r>
      </text>
    </comment>
    <comment ref="C206" authorId="0" shapeId="0">
      <text>
        <r>
          <rPr>
            <b/>
            <sz val="9"/>
            <color indexed="81"/>
            <rFont val="Tahoma"/>
            <family val="2"/>
          </rPr>
          <t>Cem Dener:</t>
        </r>
        <r>
          <rPr>
            <sz val="9"/>
            <color indexed="81"/>
            <rFont val="Tahoma"/>
            <family val="2"/>
          </rPr>
          <t xml:space="preserve">
Regulatory Quality</t>
        </r>
      </text>
    </comment>
    <comment ref="C207" authorId="0" shapeId="0">
      <text>
        <r>
          <rPr>
            <b/>
            <sz val="9"/>
            <color indexed="81"/>
            <rFont val="Tahoma"/>
            <family val="2"/>
          </rPr>
          <t>Cem Dener:</t>
        </r>
        <r>
          <rPr>
            <sz val="9"/>
            <color indexed="81"/>
            <rFont val="Tahoma"/>
            <family val="2"/>
          </rPr>
          <t xml:space="preserve">
Rule of Law
</t>
        </r>
      </text>
    </comment>
    <comment ref="C208" authorId="0" shapeId="0">
      <text>
        <r>
          <rPr>
            <b/>
            <sz val="9"/>
            <color indexed="81"/>
            <rFont val="Tahoma"/>
            <family val="2"/>
          </rPr>
          <t>Cem Dener:</t>
        </r>
        <r>
          <rPr>
            <sz val="9"/>
            <color indexed="81"/>
            <rFont val="Tahoma"/>
            <family val="2"/>
          </rPr>
          <t xml:space="preserve">
Control of Corruption</t>
        </r>
      </text>
    </comment>
    <comment ref="C209" authorId="0" shapeId="0">
      <text>
        <r>
          <rPr>
            <sz val="9"/>
            <color indexed="81"/>
            <rFont val="Tahoma"/>
            <family val="2"/>
          </rPr>
          <t>2014 UN e-Government Ranking</t>
        </r>
      </text>
    </comment>
    <comment ref="C212" authorId="0" shapeId="0">
      <text>
        <r>
          <rPr>
            <b/>
            <sz val="9"/>
            <color indexed="81"/>
            <rFont val="Tahoma"/>
            <family val="2"/>
          </rPr>
          <t>Cem Dener:</t>
        </r>
        <r>
          <rPr>
            <sz val="9"/>
            <color indexed="81"/>
            <rFont val="Tahoma"/>
            <family val="2"/>
          </rPr>
          <t xml:space="preserve">
Online Services</t>
        </r>
      </text>
    </comment>
    <comment ref="C213" authorId="0" shapeId="0">
      <text>
        <r>
          <rPr>
            <b/>
            <sz val="9"/>
            <color indexed="81"/>
            <rFont val="Tahoma"/>
            <family val="2"/>
          </rPr>
          <t>Cem Dener:</t>
        </r>
        <r>
          <rPr>
            <sz val="9"/>
            <color indexed="81"/>
            <rFont val="Tahoma"/>
            <family val="2"/>
          </rPr>
          <t xml:space="preserve">
Telecom Infrastructure</t>
        </r>
      </text>
    </comment>
    <comment ref="C214" authorId="0" shapeId="0">
      <text>
        <r>
          <rPr>
            <b/>
            <sz val="9"/>
            <color indexed="81"/>
            <rFont val="Tahoma"/>
            <family val="2"/>
          </rPr>
          <t>Cem Dener:</t>
        </r>
        <r>
          <rPr>
            <sz val="9"/>
            <color indexed="81"/>
            <rFont val="Tahoma"/>
            <family val="2"/>
          </rPr>
          <t xml:space="preserve">
Human Capital</t>
        </r>
      </text>
    </comment>
    <comment ref="C215" authorId="0" shapeId="0">
      <text>
        <r>
          <rPr>
            <sz val="9"/>
            <color indexed="81"/>
            <rFont val="Tahoma"/>
            <family val="2"/>
          </rPr>
          <t>ICT Development Index (IDI) Ranking
[ based on 2013 data ]</t>
        </r>
      </text>
    </comment>
    <comment ref="C217" authorId="0" shapeId="0">
      <text>
        <r>
          <rPr>
            <b/>
            <sz val="9"/>
            <color indexed="81"/>
            <rFont val="Tahoma"/>
            <family val="2"/>
          </rPr>
          <t>Cem Dener:</t>
        </r>
        <r>
          <rPr>
            <sz val="9"/>
            <color indexed="81"/>
            <rFont val="Tahoma"/>
            <family val="2"/>
          </rPr>
          <t xml:space="preserve">
ICT infrastructure and access indicator [ 0.4 ]
1. Fixed-telephone subscriptions per 100 inhabitants [0.2]
2. Mobile-cellular telephone subscriptions per 100 inhabitants [0.2]
3. International Internet bandwidth (bit/s) per Internet user [0.2]
4. Percentage of households with a computer [0.2]
5. Percentage of households with Internet access [0.2]</t>
        </r>
      </text>
    </comment>
    <comment ref="C218" authorId="0" shapeId="0">
      <text>
        <r>
          <rPr>
            <b/>
            <sz val="9"/>
            <color indexed="81"/>
            <rFont val="Tahoma"/>
            <family val="2"/>
          </rPr>
          <t>Cem Dener:</t>
        </r>
        <r>
          <rPr>
            <sz val="9"/>
            <color indexed="81"/>
            <rFont val="Tahoma"/>
            <family val="2"/>
          </rPr>
          <t xml:space="preserve">
ICT use indicator [ 0.4 ]
1. Percentage of individuals using the Internet [0.33]
2. Fixed (wired)-broadband subscriptions per 100 inhabitants [0.33]
3. Wireless-broadband subscriptions per 100 inhabitants [0.33]
</t>
        </r>
      </text>
    </comment>
    <comment ref="C219" authorId="0" shapeId="0">
      <text>
        <r>
          <rPr>
            <b/>
            <sz val="9"/>
            <color indexed="81"/>
            <rFont val="Tahoma"/>
            <family val="2"/>
          </rPr>
          <t>Cem Dener:</t>
        </r>
        <r>
          <rPr>
            <sz val="9"/>
            <color indexed="81"/>
            <rFont val="Tahoma"/>
            <family val="2"/>
          </rPr>
          <t xml:space="preserve">
ICT skills indicator [ 0.2 ]
1. Adult literacy rate [0.33]
2. Gross enrolment ratio (secondary level) [0.33]
3. Gross enrolment ratio (tertiary level) [0.33]
</t>
        </r>
      </text>
    </comment>
    <comment ref="C220" authorId="0" shapeId="0">
      <text>
        <r>
          <rPr>
            <b/>
            <sz val="9"/>
            <color indexed="81"/>
            <rFont val="Tahoma"/>
            <family val="2"/>
          </rPr>
          <t>Cem Dener:</t>
        </r>
        <r>
          <rPr>
            <sz val="9"/>
            <color indexed="81"/>
            <rFont val="Tahoma"/>
            <family val="2"/>
          </rPr>
          <t xml:space="preserve">
Name of the key data protection law or data privacy bill</t>
        </r>
      </text>
    </comment>
    <comment ref="C222" authorId="0" shapeId="0">
      <text>
        <r>
          <rPr>
            <b/>
            <sz val="9"/>
            <color indexed="81"/>
            <rFont val="Tahoma"/>
            <family val="2"/>
          </rPr>
          <t>Cem Dener:</t>
        </r>
        <r>
          <rPr>
            <sz val="9"/>
            <color indexed="81"/>
            <rFont val="Tahoma"/>
            <family val="2"/>
          </rPr>
          <t xml:space="preserve">
Year = Date original data privacy law enacted, for either private or public sector; might not be date of current law.</t>
        </r>
      </text>
    </comment>
    <comment ref="C223" authorId="0" shapeId="0">
      <text>
        <r>
          <rPr>
            <b/>
            <sz val="9"/>
            <color indexed="81"/>
            <rFont val="Tahoma"/>
            <family val="2"/>
          </rPr>
          <t>Cem Dener:</t>
        </r>
        <r>
          <rPr>
            <sz val="9"/>
            <color indexed="81"/>
            <rFont val="Tahoma"/>
            <family val="2"/>
          </rPr>
          <t xml:space="preserve">
Year = Date of last significant amendment known; ‘NYIF’ = not yet in force; ‘NIFU’ = not in force until year stated, where bringing into force is delayed over one year.   </t>
        </r>
      </text>
    </comment>
    <comment ref="C224" authorId="0" shapeId="0">
      <text>
        <r>
          <rPr>
            <b/>
            <sz val="9"/>
            <color indexed="81"/>
            <rFont val="Tahoma"/>
            <family val="2"/>
          </rPr>
          <t>Cem Dener:</t>
        </r>
        <r>
          <rPr>
            <sz val="9"/>
            <color indexed="81"/>
            <rFont val="Tahoma"/>
            <family val="2"/>
          </rPr>
          <t xml:space="preserve">
Sector:
Pri = covers private sector only
Pub = covers public sector only
Both/blank = covers both sectors</t>
        </r>
      </text>
    </comment>
    <comment ref="C225" authorId="0" shapeId="0">
      <text>
        <r>
          <rPr>
            <b/>
            <sz val="9"/>
            <color indexed="81"/>
            <rFont val="Tahoma"/>
            <family val="2"/>
          </rPr>
          <t>Cem Dener:</t>
        </r>
        <r>
          <rPr>
            <sz val="9"/>
            <color indexed="81"/>
            <rFont val="Tahoma"/>
            <family val="2"/>
          </rPr>
          <t xml:space="preserve">
DPA (Data Protection Agency): 
None = no specialised data protection authority
Name of DPA =  name of authority (enacted or appointed).</t>
        </r>
      </text>
    </comment>
    <comment ref="C227" authorId="0" shapeId="0">
      <text>
        <r>
          <rPr>
            <b/>
            <sz val="9"/>
            <color indexed="81"/>
            <rFont val="Tahoma"/>
            <family val="2"/>
          </rPr>
          <t>Cem Dener:</t>
        </r>
        <r>
          <rPr>
            <sz val="9"/>
            <color indexed="81"/>
            <rFont val="Tahoma"/>
            <family val="2"/>
          </rPr>
          <t xml:space="preserve">
DPA is a member of’ the named association of data protection authorities; except O = Observer status only):
ICDPPC = International Conference of Data Protection and Privacy Commissioners
A29WP = EU Article 29 Working Party
GPEN = Global Privacy Enforcement Network
AFAPDP = Association of Francophone Data Protection Authorities
APPA = Asia-Pacific Privacy Authorities 
RedIPD = Latin American Network 
CEEDPA = Central and Eastern Europe Data Protection Authorities 
NDPA = Nordic Data Protection Authorities 
EDPA = European Data Protection Authorities 
BIIDPA = British, Irish and Islands Data Protection Authorities 
APEC CPEA = APEC Cross-border Privacy Enforcement Arrangement
</t>
        </r>
      </text>
    </comment>
    <comment ref="C232" authorId="0" shapeId="0">
      <text>
        <r>
          <rPr>
            <b/>
            <sz val="9"/>
            <color indexed="81"/>
            <rFont val="Tahoma"/>
            <family val="2"/>
          </rPr>
          <t>Cem Dener:</t>
        </r>
        <r>
          <rPr>
            <sz val="9"/>
            <color indexed="81"/>
            <rFont val="Tahoma"/>
            <family val="2"/>
          </rPr>
          <t xml:space="preserve">
RTI: Right of Access [ 6 ]</t>
        </r>
      </text>
    </comment>
    <comment ref="C233" authorId="0" shapeId="0">
      <text>
        <r>
          <rPr>
            <b/>
            <sz val="9"/>
            <color indexed="81"/>
            <rFont val="Tahoma"/>
            <family val="2"/>
          </rPr>
          <t>Cem Dener:</t>
        </r>
        <r>
          <rPr>
            <sz val="9"/>
            <color indexed="81"/>
            <rFont val="Tahoma"/>
            <family val="2"/>
          </rPr>
          <t xml:space="preserve">
RTI: Scope [ 30 ]</t>
        </r>
      </text>
    </comment>
    <comment ref="C234" authorId="0" shapeId="0">
      <text>
        <r>
          <rPr>
            <b/>
            <sz val="9"/>
            <color indexed="81"/>
            <rFont val="Tahoma"/>
            <family val="2"/>
          </rPr>
          <t>Cem Dener:</t>
        </r>
        <r>
          <rPr>
            <sz val="9"/>
            <color indexed="81"/>
            <rFont val="Tahoma"/>
            <family val="2"/>
          </rPr>
          <t xml:space="preserve">
RTI : Requesting Procedures  [ 30 ]</t>
        </r>
      </text>
    </comment>
    <comment ref="C235" authorId="0" shapeId="0">
      <text>
        <r>
          <rPr>
            <b/>
            <sz val="9"/>
            <color indexed="81"/>
            <rFont val="Tahoma"/>
            <family val="2"/>
          </rPr>
          <t>Cem Dener:</t>
        </r>
        <r>
          <rPr>
            <sz val="9"/>
            <color indexed="81"/>
            <rFont val="Tahoma"/>
            <family val="2"/>
          </rPr>
          <t xml:space="preserve">
RTI : Exceptions &amp; Refusals  [ 30 ]</t>
        </r>
      </text>
    </comment>
    <comment ref="C236" authorId="0" shapeId="0">
      <text>
        <r>
          <rPr>
            <b/>
            <sz val="9"/>
            <color indexed="81"/>
            <rFont val="Tahoma"/>
            <family val="2"/>
          </rPr>
          <t>Cem Dener:</t>
        </r>
        <r>
          <rPr>
            <sz val="9"/>
            <color indexed="81"/>
            <rFont val="Tahoma"/>
            <family val="2"/>
          </rPr>
          <t xml:space="preserve">
RTI : Appeals  [ 30 ]</t>
        </r>
      </text>
    </comment>
    <comment ref="C237" authorId="0" shapeId="0">
      <text>
        <r>
          <rPr>
            <b/>
            <sz val="9"/>
            <color indexed="81"/>
            <rFont val="Tahoma"/>
            <family val="2"/>
          </rPr>
          <t>Cem Dener:</t>
        </r>
        <r>
          <rPr>
            <sz val="9"/>
            <color indexed="81"/>
            <rFont val="Tahoma"/>
            <family val="2"/>
          </rPr>
          <t xml:space="preserve">
RTI : Sanctions &amp; Protections  [ 8 ]</t>
        </r>
      </text>
    </comment>
    <comment ref="C238" authorId="0" shapeId="0">
      <text>
        <r>
          <rPr>
            <b/>
            <sz val="9"/>
            <color indexed="81"/>
            <rFont val="Tahoma"/>
            <family val="2"/>
          </rPr>
          <t>Cem Dener:</t>
        </r>
        <r>
          <rPr>
            <sz val="9"/>
            <color indexed="81"/>
            <rFont val="Tahoma"/>
            <family val="2"/>
          </rPr>
          <t xml:space="preserve">
RTI : Promotional measures  [ 16 ]</t>
        </r>
      </text>
    </comment>
    <comment ref="C239" authorId="0" shapeId="0">
      <text>
        <r>
          <rPr>
            <b/>
            <sz val="9"/>
            <color indexed="81"/>
            <rFont val="Tahoma"/>
            <family val="2"/>
          </rPr>
          <t>Cem Dener:</t>
        </r>
        <r>
          <rPr>
            <sz val="9"/>
            <color indexed="81"/>
            <rFont val="Tahoma"/>
            <family val="2"/>
          </rPr>
          <t xml:space="preserve">
Zone of various countries according to their membership in int'l organizations</t>
        </r>
      </text>
    </comment>
    <comment ref="C242" authorId="0" shapeId="0">
      <text>
        <r>
          <rPr>
            <b/>
            <sz val="9"/>
            <color indexed="81"/>
            <rFont val="Tahoma"/>
            <family val="2"/>
          </rPr>
          <t>Cem Dener:</t>
        </r>
        <r>
          <rPr>
            <sz val="9"/>
            <color indexed="81"/>
            <rFont val="Tahoma"/>
            <family val="2"/>
          </rPr>
          <t xml:space="preserve">
Fragile and Conflict Situation (FCS) 
FY15 data
</t>
        </r>
      </text>
    </comment>
    <comment ref="C243" authorId="0" shapeId="0">
      <text>
        <r>
          <rPr>
            <b/>
            <sz val="9"/>
            <color indexed="81"/>
            <rFont val="Tahoma"/>
            <family val="2"/>
          </rPr>
          <t>Cem Dener:</t>
        </r>
        <r>
          <rPr>
            <sz val="9"/>
            <color indexed="81"/>
            <rFont val="Tahoma"/>
            <family val="2"/>
          </rPr>
          <t xml:space="preserve">
Natural resource rich:
Resource revenues &gt; 20% GDP</t>
        </r>
      </text>
    </comment>
    <comment ref="C244" authorId="0" shapeId="0">
      <text>
        <r>
          <rPr>
            <b/>
            <sz val="9"/>
            <color indexed="81"/>
            <rFont val="Tahoma"/>
            <family val="2"/>
          </rPr>
          <t>Cem Dener:</t>
        </r>
        <r>
          <rPr>
            <sz val="9"/>
            <color indexed="81"/>
            <rFont val="Tahoma"/>
            <family val="2"/>
          </rPr>
          <t xml:space="preserve">
Lending Category:
    IDA countries are those that had a per capita income in 2013 of less than $1,215 and lack the financial ability to borrow from IBRD. IDA loans are deeply concessional—interest-free loans and grants for programs aimed at boosting economic growth and improving living conditions. 
    IBRD loans are noncessional. 
    Blend countries are eligible for IDA loans because of their low per capita incomes but are also eligible for IBRD loans because they are financially creditworthy.</t>
        </r>
      </text>
    </comment>
    <comment ref="C245" authorId="0" shapeId="0">
      <text>
        <r>
          <rPr>
            <b/>
            <sz val="9"/>
            <color indexed="81"/>
            <rFont val="Tahoma"/>
            <family val="2"/>
          </rPr>
          <t>Cem Dener:</t>
        </r>
        <r>
          <rPr>
            <sz val="9"/>
            <color indexed="81"/>
            <rFont val="Tahoma"/>
            <family val="2"/>
          </rPr>
          <t xml:space="preserve">
Heavily indebted poor countries (HIPC)</t>
        </r>
      </text>
    </comment>
    <comment ref="C246" authorId="0" shapeId="0">
      <text>
        <r>
          <rPr>
            <b/>
            <sz val="9"/>
            <color indexed="81"/>
            <rFont val="Tahoma"/>
            <family val="2"/>
          </rPr>
          <t>Cem Dener:</t>
        </r>
        <r>
          <rPr>
            <sz val="9"/>
            <color indexed="81"/>
            <rFont val="Tahoma"/>
            <family val="2"/>
          </rPr>
          <t xml:space="preserve">
Select countries:
Population less than 0.5 million</t>
        </r>
      </text>
    </comment>
    <comment ref="C247" authorId="0" shapeId="0">
      <text>
        <r>
          <rPr>
            <b/>
            <sz val="9"/>
            <color indexed="81"/>
            <rFont val="Tahoma"/>
            <family val="2"/>
          </rPr>
          <t>Cem Dener:</t>
        </r>
        <r>
          <rPr>
            <sz val="9"/>
            <color indexed="81"/>
            <rFont val="Tahoma"/>
            <family val="2"/>
          </rPr>
          <t xml:space="preserve">
Total Points
(24 pts max)</t>
        </r>
      </text>
    </comment>
    <comment ref="C248" authorId="0" shapeId="0">
      <text>
        <r>
          <rPr>
            <b/>
            <sz val="9"/>
            <color indexed="81"/>
            <rFont val="Tahoma"/>
            <family val="2"/>
          </rPr>
          <t>Cem Dener:</t>
        </r>
        <r>
          <rPr>
            <sz val="9"/>
            <color indexed="81"/>
            <rFont val="Tahoma"/>
            <family val="2"/>
          </rPr>
          <t xml:space="preserve">
Normalized score
(0 … 100)</t>
        </r>
      </text>
    </comment>
  </commentList>
</comments>
</file>

<file path=xl/comments3.xml><?xml version="1.0" encoding="utf-8"?>
<comments xmlns="http://schemas.openxmlformats.org/spreadsheetml/2006/main">
  <authors>
    <author>Cem Dener</author>
  </authors>
  <commentList>
    <comment ref="I1" authorId="0" shapeId="0">
      <text>
        <r>
          <rPr>
            <b/>
            <sz val="9"/>
            <color indexed="81"/>
            <rFont val="Tahoma"/>
            <family val="2"/>
          </rPr>
          <t>Cem Dener:</t>
        </r>
        <r>
          <rPr>
            <sz val="9"/>
            <color indexed="81"/>
            <rFont val="Tahoma"/>
            <family val="2"/>
          </rPr>
          <t xml:space="preserve">
WHS 2013</t>
        </r>
      </text>
    </comment>
  </commentList>
</comments>
</file>

<file path=xl/comments4.xml><?xml version="1.0" encoding="utf-8"?>
<comments xmlns="http://schemas.openxmlformats.org/spreadsheetml/2006/main">
  <authors>
    <author>Cem Dener</author>
  </authors>
  <commentList>
    <comment ref="I1" authorId="0" shapeId="0">
      <text>
        <r>
          <rPr>
            <b/>
            <sz val="9"/>
            <color indexed="81"/>
            <rFont val="Tahoma"/>
            <family val="2"/>
          </rPr>
          <t>Cem Dener:</t>
        </r>
        <r>
          <rPr>
            <sz val="9"/>
            <color indexed="81"/>
            <rFont val="Tahoma"/>
            <family val="2"/>
          </rPr>
          <t xml:space="preserve">
Registration at birth</t>
        </r>
      </text>
    </comment>
    <comment ref="J1" authorId="0" shapeId="0">
      <text>
        <r>
          <rPr>
            <b/>
            <sz val="9"/>
            <color indexed="81"/>
            <rFont val="Tahoma"/>
            <family val="2"/>
          </rPr>
          <t>Cem Dener:</t>
        </r>
        <r>
          <rPr>
            <sz val="9"/>
            <color indexed="81"/>
            <rFont val="Tahoma"/>
            <family val="2"/>
          </rPr>
          <t xml:space="preserve">
Standard ID, e-ID, Digital ID, Biometric ID cards</t>
        </r>
      </text>
    </comment>
    <comment ref="T1" authorId="0" shapeId="0">
      <text>
        <r>
          <rPr>
            <b/>
            <sz val="9"/>
            <color indexed="81"/>
            <rFont val="Tahoma"/>
            <family val="2"/>
          </rPr>
          <t>Cem Dener:</t>
        </r>
        <r>
          <rPr>
            <sz val="9"/>
            <color indexed="81"/>
            <rFont val="Tahoma"/>
            <family val="2"/>
          </rPr>
          <t xml:space="preserve">
Registration at birth</t>
        </r>
      </text>
    </comment>
    <comment ref="B37" authorId="0" shapeId="0">
      <text>
        <r>
          <rPr>
            <b/>
            <sz val="9"/>
            <color indexed="81"/>
            <rFont val="Tahoma"/>
            <family val="2"/>
          </rPr>
          <t>Cem Dener:</t>
        </r>
        <r>
          <rPr>
            <sz val="9"/>
            <color indexed="81"/>
            <rFont val="Tahoma"/>
            <family val="2"/>
          </rPr>
          <t xml:space="preserve">
P082817 original project
P144762 Additional Financing</t>
        </r>
      </text>
    </comment>
    <comment ref="E37" authorId="0" shapeId="0">
      <text>
        <r>
          <rPr>
            <b/>
            <sz val="9"/>
            <color indexed="81"/>
            <rFont val="Tahoma"/>
            <family val="2"/>
          </rPr>
          <t>Cem Dener:</t>
        </r>
        <r>
          <rPr>
            <sz val="9"/>
            <color indexed="81"/>
            <rFont val="Tahoma"/>
            <family val="2"/>
          </rPr>
          <t xml:space="preserve">
Social, Urban, Rural and Resilience</t>
        </r>
      </text>
    </comment>
    <comment ref="B43" authorId="0" shapeId="0">
      <text>
        <r>
          <rPr>
            <b/>
            <sz val="9"/>
            <color indexed="81"/>
            <rFont val="Tahoma"/>
            <family val="2"/>
          </rPr>
          <t>Cem Dener:</t>
        </r>
        <r>
          <rPr>
            <sz val="9"/>
            <color indexed="81"/>
            <rFont val="Tahoma"/>
            <family val="2"/>
          </rPr>
          <t xml:space="preserve">
P116369 for AF</t>
        </r>
      </text>
    </comment>
    <comment ref="B55" authorId="0" shapeId="0">
      <text>
        <r>
          <rPr>
            <b/>
            <sz val="9"/>
            <color indexed="81"/>
            <rFont val="Tahoma"/>
            <family val="2"/>
          </rPr>
          <t>Cem Dener:</t>
        </r>
        <r>
          <rPr>
            <sz val="9"/>
            <color indexed="81"/>
            <rFont val="Tahoma"/>
            <family val="2"/>
          </rPr>
          <t xml:space="preserve">
P146923 Additional Credit</t>
        </r>
      </text>
    </comment>
    <comment ref="B75" authorId="0" shapeId="0">
      <text>
        <r>
          <rPr>
            <b/>
            <sz val="9"/>
            <color indexed="81"/>
            <rFont val="Tahoma"/>
            <family val="2"/>
          </rPr>
          <t>Cem Dener:</t>
        </r>
        <r>
          <rPr>
            <sz val="9"/>
            <color indexed="81"/>
            <rFont val="Tahoma"/>
            <family val="2"/>
          </rPr>
          <t xml:space="preserve">
P149019 AF
</t>
        </r>
      </text>
    </comment>
    <comment ref="B76" authorId="0" shapeId="0">
      <text>
        <r>
          <rPr>
            <b/>
            <sz val="9"/>
            <color indexed="81"/>
            <rFont val="Tahoma"/>
            <family val="2"/>
          </rPr>
          <t>Cem Dener:</t>
        </r>
        <r>
          <rPr>
            <sz val="9"/>
            <color indexed="81"/>
            <rFont val="Tahoma"/>
            <family val="2"/>
          </rPr>
          <t xml:space="preserve">
P124906 AF</t>
        </r>
      </text>
    </comment>
    <comment ref="F100" authorId="0" shapeId="0">
      <text>
        <r>
          <rPr>
            <b/>
            <sz val="9"/>
            <color indexed="81"/>
            <rFont val="Tahoma"/>
            <family val="2"/>
          </rPr>
          <t>Cem Dener:</t>
        </r>
        <r>
          <rPr>
            <sz val="9"/>
            <color indexed="81"/>
            <rFont val="Tahoma"/>
            <family val="2"/>
          </rPr>
          <t xml:space="preserve">
Dropped ?</t>
        </r>
      </text>
    </comment>
    <comment ref="A105" authorId="0" shapeId="0">
      <text>
        <r>
          <rPr>
            <b/>
            <sz val="9"/>
            <color indexed="81"/>
            <rFont val="Tahoma"/>
            <family val="2"/>
          </rPr>
          <t>Cem Dener:</t>
        </r>
        <r>
          <rPr>
            <sz val="9"/>
            <color indexed="81"/>
            <rFont val="Tahoma"/>
            <family val="2"/>
          </rPr>
          <t xml:space="preserve">
Organization of Eastern Caribbean States</t>
        </r>
      </text>
    </comment>
    <comment ref="A106" authorId="0" shapeId="0">
      <text>
        <r>
          <rPr>
            <b/>
            <sz val="9"/>
            <color indexed="81"/>
            <rFont val="Tahoma"/>
            <family val="2"/>
          </rPr>
          <t>Cem Dener:</t>
        </r>
        <r>
          <rPr>
            <sz val="9"/>
            <color indexed="81"/>
            <rFont val="Tahoma"/>
            <family val="2"/>
          </rPr>
          <t xml:space="preserve">
Organization of Eastern Caribbean States</t>
        </r>
      </text>
    </comment>
    <comment ref="B110" authorId="0" shapeId="0">
      <text>
        <r>
          <rPr>
            <b/>
            <sz val="9"/>
            <color indexed="81"/>
            <rFont val="Tahoma"/>
            <family val="2"/>
          </rPr>
          <t>Cem Dener:</t>
        </r>
        <r>
          <rPr>
            <sz val="9"/>
            <color indexed="81"/>
            <rFont val="Tahoma"/>
            <family val="2"/>
          </rPr>
          <t xml:space="preserve">
P125793 AF</t>
        </r>
      </text>
    </comment>
  </commentList>
</comments>
</file>

<file path=xl/sharedStrings.xml><?xml version="1.0" encoding="utf-8"?>
<sst xmlns="http://schemas.openxmlformats.org/spreadsheetml/2006/main" count="22711" uniqueCount="6233">
  <si>
    <t>#</t>
  </si>
  <si>
    <t>Flag</t>
  </si>
  <si>
    <t>Economy</t>
  </si>
  <si>
    <t>Level</t>
  </si>
  <si>
    <t>Population</t>
  </si>
  <si>
    <t>Ministry of Finance</t>
  </si>
  <si>
    <t>Source</t>
  </si>
  <si>
    <t>Other</t>
  </si>
  <si>
    <t>Afghanistan</t>
  </si>
  <si>
    <t>LIC</t>
  </si>
  <si>
    <t>F</t>
  </si>
  <si>
    <t>Albania</t>
  </si>
  <si>
    <t>UMIC</t>
  </si>
  <si>
    <t>http://www.minfin.gov.al</t>
  </si>
  <si>
    <t>Algeria</t>
  </si>
  <si>
    <t>http://www.mf.gov.dz</t>
  </si>
  <si>
    <t>Andorra</t>
  </si>
  <si>
    <t>HIC</t>
  </si>
  <si>
    <t>http://www.finances.ad</t>
  </si>
  <si>
    <t>Angola</t>
  </si>
  <si>
    <t>LMIC</t>
  </si>
  <si>
    <t>Antigua and Barbuda</t>
  </si>
  <si>
    <t>Argentina</t>
  </si>
  <si>
    <t>Armenia</t>
  </si>
  <si>
    <t>Australia</t>
  </si>
  <si>
    <t>http://www.finance.gov.au</t>
  </si>
  <si>
    <t>Austria</t>
  </si>
  <si>
    <t>Azerbaijan</t>
  </si>
  <si>
    <t>http://www.maliyye.gov.az</t>
  </si>
  <si>
    <t>Bahamas</t>
  </si>
  <si>
    <t>Bahrain</t>
  </si>
  <si>
    <t>Bangladesh</t>
  </si>
  <si>
    <t>http://www.mof.gov.bd</t>
  </si>
  <si>
    <t>Barbados</t>
  </si>
  <si>
    <t>Belarus</t>
  </si>
  <si>
    <t>Belgium</t>
  </si>
  <si>
    <t>Belize</t>
  </si>
  <si>
    <t>http://www.mof.gov.bz</t>
  </si>
  <si>
    <t>Benin</t>
  </si>
  <si>
    <t>Bhutan</t>
  </si>
  <si>
    <t>Bolivia</t>
  </si>
  <si>
    <t>Bosnia and Herzegovina</t>
  </si>
  <si>
    <t>Botswana</t>
  </si>
  <si>
    <t>Brazil</t>
  </si>
  <si>
    <t>http://www.fazenda.gov.br</t>
  </si>
  <si>
    <t>Brunei Darussalam</t>
  </si>
  <si>
    <t>http://www.mof.gov.bn</t>
  </si>
  <si>
    <t>Bulgaria</t>
  </si>
  <si>
    <t>http://www.minfin.bg</t>
  </si>
  <si>
    <t>Burkina Faso</t>
  </si>
  <si>
    <t>Burundi</t>
  </si>
  <si>
    <t>Cambodia</t>
  </si>
  <si>
    <t>Cameroon</t>
  </si>
  <si>
    <t>Canada</t>
  </si>
  <si>
    <t>http://www.fin.gc.ca</t>
  </si>
  <si>
    <t>Cape Verde</t>
  </si>
  <si>
    <t>Central African Republic</t>
  </si>
  <si>
    <t>Chad</t>
  </si>
  <si>
    <t>Chile</t>
  </si>
  <si>
    <t>China</t>
  </si>
  <si>
    <t>http://www.mof.gov.cn</t>
  </si>
  <si>
    <t>Colombia</t>
  </si>
  <si>
    <t>http://www.minhacienda.gov.co</t>
  </si>
  <si>
    <t>Comoros</t>
  </si>
  <si>
    <t>Congo</t>
  </si>
  <si>
    <t>Congo, Dem. Rep.</t>
  </si>
  <si>
    <t xml:space="preserve"> </t>
  </si>
  <si>
    <t>Costa Rica</t>
  </si>
  <si>
    <t>http://www.hacienda.go.cr</t>
  </si>
  <si>
    <t>Côte d'Ivoire</t>
  </si>
  <si>
    <t>http://www.finances.gouv.ci</t>
  </si>
  <si>
    <t>Croatia</t>
  </si>
  <si>
    <t>http://www.mfin.hr</t>
  </si>
  <si>
    <t>Cuba</t>
  </si>
  <si>
    <t>http://www.mfp.cu</t>
  </si>
  <si>
    <t>Cyprus</t>
  </si>
  <si>
    <t>http://www.mof.gov.cy</t>
  </si>
  <si>
    <t>Czech Republic</t>
  </si>
  <si>
    <t>http://www.mfcr.cz</t>
  </si>
  <si>
    <t>Denmark</t>
  </si>
  <si>
    <t>http://uk.fm.dk</t>
  </si>
  <si>
    <t>Djibouti</t>
  </si>
  <si>
    <t>http://www.ministere-finances.dj</t>
  </si>
  <si>
    <t>Dominica</t>
  </si>
  <si>
    <t>Dominican Republic</t>
  </si>
  <si>
    <t>http://www.hacienda.gov.do</t>
  </si>
  <si>
    <t>Ecuador</t>
  </si>
  <si>
    <t>Egypt</t>
  </si>
  <si>
    <t>http://www.mof.gov.eg</t>
  </si>
  <si>
    <t>El Salvador</t>
  </si>
  <si>
    <t>http://www.mh.gob.sv</t>
  </si>
  <si>
    <t>Equatorial Guinea</t>
  </si>
  <si>
    <t>Eritrea</t>
  </si>
  <si>
    <t>Estonia</t>
  </si>
  <si>
    <t>Ethiopia</t>
  </si>
  <si>
    <t>http://www.mofed.gov.et</t>
  </si>
  <si>
    <t>Fiji</t>
  </si>
  <si>
    <t>Finland</t>
  </si>
  <si>
    <t>France</t>
  </si>
  <si>
    <t>Gabon</t>
  </si>
  <si>
    <t>Gambia</t>
  </si>
  <si>
    <t>Georgia</t>
  </si>
  <si>
    <t>http://www.mof.ge</t>
  </si>
  <si>
    <t>Germany</t>
  </si>
  <si>
    <t>http://www.bundesfinanzministerium.de</t>
  </si>
  <si>
    <t>Ghana</t>
  </si>
  <si>
    <t>http://www.mofep.gov.gh</t>
  </si>
  <si>
    <t>Greece</t>
  </si>
  <si>
    <t>Grenada</t>
  </si>
  <si>
    <t>Guatemala</t>
  </si>
  <si>
    <t>http://www.minfin.gob.gt</t>
  </si>
  <si>
    <t>Guinea</t>
  </si>
  <si>
    <t>Guinea-Bissau</t>
  </si>
  <si>
    <t>Guyana</t>
  </si>
  <si>
    <t>http://www.finance.gov.gy</t>
  </si>
  <si>
    <t>Haiti</t>
  </si>
  <si>
    <t>Honduras</t>
  </si>
  <si>
    <t>http://www.sefin.gob.hn</t>
  </si>
  <si>
    <t>Hong Kong SAR, China</t>
  </si>
  <si>
    <t>Hungary</t>
  </si>
  <si>
    <t>Iceland</t>
  </si>
  <si>
    <t>http://www.ministryoffinance.is</t>
  </si>
  <si>
    <t>India</t>
  </si>
  <si>
    <t>Indonesia</t>
  </si>
  <si>
    <t>http://www.depkeu.go.id</t>
  </si>
  <si>
    <t>Iran</t>
  </si>
  <si>
    <t>http://www.mefa.gov.ir</t>
  </si>
  <si>
    <t>Iraq</t>
  </si>
  <si>
    <t>http://www.mof.gov.iq</t>
  </si>
  <si>
    <t>Ireland</t>
  </si>
  <si>
    <t>http://www.finance.gov.ie</t>
  </si>
  <si>
    <t>Israel</t>
  </si>
  <si>
    <t>Italy</t>
  </si>
  <si>
    <t>Jamaica</t>
  </si>
  <si>
    <t>http://www.mof.gov.jm</t>
  </si>
  <si>
    <t>Japan</t>
  </si>
  <si>
    <t>http://www.mof.go.jp</t>
  </si>
  <si>
    <t>Jordan</t>
  </si>
  <si>
    <t>http://www.mof.gov.jo</t>
  </si>
  <si>
    <t>Kazakhstan</t>
  </si>
  <si>
    <t>http://www.minfin.kz</t>
  </si>
  <si>
    <t>Kenya</t>
  </si>
  <si>
    <t>http://www.treasury.go.ke</t>
  </si>
  <si>
    <t>Kiribati</t>
  </si>
  <si>
    <t>Korea, Dem. Rep.</t>
  </si>
  <si>
    <t>-</t>
  </si>
  <si>
    <t>Korea, Rep.</t>
  </si>
  <si>
    <t>http://www.mosf.go.kr</t>
  </si>
  <si>
    <t>Kosovo</t>
  </si>
  <si>
    <t>Kuwait</t>
  </si>
  <si>
    <t>http://www.mof.gov.kw</t>
  </si>
  <si>
    <t>http://www.minfin.kg</t>
  </si>
  <si>
    <t>Lao PDR</t>
  </si>
  <si>
    <t>http://www.mof.gov.la</t>
  </si>
  <si>
    <t>Latvia</t>
  </si>
  <si>
    <t>http://www.fm.gov.lv</t>
  </si>
  <si>
    <t>Lebanon</t>
  </si>
  <si>
    <t>http://www.finance.gov.lb</t>
  </si>
  <si>
    <t>Lesotho</t>
  </si>
  <si>
    <t>Liberia</t>
  </si>
  <si>
    <t>http://www.mof.gov.lr</t>
  </si>
  <si>
    <t>Libya</t>
  </si>
  <si>
    <t>Liechtenstein</t>
  </si>
  <si>
    <t>Lithuania</t>
  </si>
  <si>
    <t>http://www.finmin.lt</t>
  </si>
  <si>
    <t>Luxembourg</t>
  </si>
  <si>
    <t>http://www.mf.public.lu</t>
  </si>
  <si>
    <t>Macao SAR, China</t>
  </si>
  <si>
    <t>Madagascar</t>
  </si>
  <si>
    <t>http://www.mefb.gov.mg</t>
  </si>
  <si>
    <t>Malawi</t>
  </si>
  <si>
    <t>http://www.finance.gov.mw</t>
  </si>
  <si>
    <t>Malaysia</t>
  </si>
  <si>
    <t>http://www.treasury.gov.my</t>
  </si>
  <si>
    <t>Maldives</t>
  </si>
  <si>
    <t>Mali</t>
  </si>
  <si>
    <t>Malta</t>
  </si>
  <si>
    <t>Marshall Islands</t>
  </si>
  <si>
    <t>Mauritania</t>
  </si>
  <si>
    <t>Mauritius</t>
  </si>
  <si>
    <t>Mexico</t>
  </si>
  <si>
    <t>http://www.shcp.gob.mx</t>
  </si>
  <si>
    <t>Micronesia, Fed. Sts.</t>
  </si>
  <si>
    <t>Moldova</t>
  </si>
  <si>
    <t>http://www.mf.gov.md</t>
  </si>
  <si>
    <t>Monaco</t>
  </si>
  <si>
    <t>Mongolia</t>
  </si>
  <si>
    <t>http://www.mof.gov.mn</t>
  </si>
  <si>
    <t>Montenegro</t>
  </si>
  <si>
    <t>Morocco</t>
  </si>
  <si>
    <t>http://www.finances.gov.ma</t>
  </si>
  <si>
    <t>Mozambique</t>
  </si>
  <si>
    <t>Myanmar</t>
  </si>
  <si>
    <t>Namibia</t>
  </si>
  <si>
    <t>http://www.mof.gov.na</t>
  </si>
  <si>
    <t>Nauru</t>
  </si>
  <si>
    <t>Nepal</t>
  </si>
  <si>
    <t>http://www.mof.gov.np</t>
  </si>
  <si>
    <t>Netherlands</t>
  </si>
  <si>
    <t>New Zealand</t>
  </si>
  <si>
    <t>http://www.treasury.govt.nz</t>
  </si>
  <si>
    <t>Nicaragua</t>
  </si>
  <si>
    <t>http://www.hacienda.gob.ni</t>
  </si>
  <si>
    <t>Niger</t>
  </si>
  <si>
    <t>Nigeria</t>
  </si>
  <si>
    <t>http://www.fmf.gov.ng</t>
  </si>
  <si>
    <t>Norway</t>
  </si>
  <si>
    <t>Oman</t>
  </si>
  <si>
    <t>http://www.mof.gov.om</t>
  </si>
  <si>
    <t>Pakistan</t>
  </si>
  <si>
    <t>http://www.finance.gov.pk</t>
  </si>
  <si>
    <t>Palau</t>
  </si>
  <si>
    <t>Panama</t>
  </si>
  <si>
    <t>Papua New Guinea</t>
  </si>
  <si>
    <t>Paraguay</t>
  </si>
  <si>
    <t>http://www.hacienda.gov.py</t>
  </si>
  <si>
    <t>Peru</t>
  </si>
  <si>
    <t>http://www.mef.gob.pe</t>
  </si>
  <si>
    <t>Philippines</t>
  </si>
  <si>
    <t>http://www.dof.gov.ph</t>
  </si>
  <si>
    <t>Poland</t>
  </si>
  <si>
    <t>Portugal</t>
  </si>
  <si>
    <t>Qatar</t>
  </si>
  <si>
    <t>http://www.mof.gov.qa</t>
  </si>
  <si>
    <t>Romania</t>
  </si>
  <si>
    <t>http://www.mfinante.ro</t>
  </si>
  <si>
    <t>Russian Federation</t>
  </si>
  <si>
    <t>Rwanda</t>
  </si>
  <si>
    <t>http://www.minecofin.gov.rw</t>
  </si>
  <si>
    <t>Saint Kitts and Nevis</t>
  </si>
  <si>
    <t>Saint Lucia</t>
  </si>
  <si>
    <t>Saint Vincent and the Grenadines</t>
  </si>
  <si>
    <t>Samoa</t>
  </si>
  <si>
    <t>http://www.mof.gov.ws</t>
  </si>
  <si>
    <t>San Marino</t>
  </si>
  <si>
    <t>http://www.finanze.sm</t>
  </si>
  <si>
    <t>São Tomé and Principe</t>
  </si>
  <si>
    <t>Saudi Arabia</t>
  </si>
  <si>
    <t>http://www.mof.gov.sa</t>
  </si>
  <si>
    <t>Senegal</t>
  </si>
  <si>
    <t>http://www.finances.gouv.sn</t>
  </si>
  <si>
    <t>Serbia</t>
  </si>
  <si>
    <t>Seychelles</t>
  </si>
  <si>
    <t>Sierra Leone</t>
  </si>
  <si>
    <t>Singapore</t>
  </si>
  <si>
    <t>http://www.finance.gov.sk</t>
  </si>
  <si>
    <t>Slovenia</t>
  </si>
  <si>
    <t>Solomon Islands</t>
  </si>
  <si>
    <t>http://www.mof.gov.sb</t>
  </si>
  <si>
    <t>Somalia</t>
  </si>
  <si>
    <t>South Africa</t>
  </si>
  <si>
    <t>South Sudan</t>
  </si>
  <si>
    <t>Spain</t>
  </si>
  <si>
    <t>Sri Lanka</t>
  </si>
  <si>
    <t>http://www.treasury.gov.lk</t>
  </si>
  <si>
    <t>Sudan</t>
  </si>
  <si>
    <t>http://www.mof.gov.sd</t>
  </si>
  <si>
    <t>Suriname</t>
  </si>
  <si>
    <t>Swaziland</t>
  </si>
  <si>
    <t>Sweden</t>
  </si>
  <si>
    <t>Switzerland</t>
  </si>
  <si>
    <t>http://www.efd.admin.ch</t>
  </si>
  <si>
    <t>Syrian Arab Republic</t>
  </si>
  <si>
    <t>Tajikistan</t>
  </si>
  <si>
    <t>http://www.minfin.tj</t>
  </si>
  <si>
    <t>Tanzania</t>
  </si>
  <si>
    <t>http://www.mof.go.tz</t>
  </si>
  <si>
    <t>Thailand</t>
  </si>
  <si>
    <t>Timor-Leste</t>
  </si>
  <si>
    <t>Togo</t>
  </si>
  <si>
    <t>Tonga</t>
  </si>
  <si>
    <t>http://www.finance.gov.to</t>
  </si>
  <si>
    <t>Trinidad and Tobago</t>
  </si>
  <si>
    <t>http://www.finance.gov.tt</t>
  </si>
  <si>
    <t>Tunisia</t>
  </si>
  <si>
    <t>http://www.portail.finances.gov.tn</t>
  </si>
  <si>
    <t>Turkey</t>
  </si>
  <si>
    <t>http://www.maliye.gov.tr</t>
  </si>
  <si>
    <t>Turkmenistan</t>
  </si>
  <si>
    <t>Tuvalu</t>
  </si>
  <si>
    <t>Uganda</t>
  </si>
  <si>
    <t>http://www.finance.go.ug</t>
  </si>
  <si>
    <t>Ukraine</t>
  </si>
  <si>
    <t>United Arab Emirates</t>
  </si>
  <si>
    <t>United Kingdom</t>
  </si>
  <si>
    <t>United States of America</t>
  </si>
  <si>
    <t>Uruguay</t>
  </si>
  <si>
    <t>http://www.mef.gub.uy</t>
  </si>
  <si>
    <t>Uzbekistan</t>
  </si>
  <si>
    <t>Vanuatu</t>
  </si>
  <si>
    <t>Venezuela, RB</t>
  </si>
  <si>
    <t>Viet Nam</t>
  </si>
  <si>
    <t>http://www.mof.gov.vn</t>
  </si>
  <si>
    <t>West Bank and Gaza</t>
  </si>
  <si>
    <t>Yemen</t>
  </si>
  <si>
    <t>Zambia</t>
  </si>
  <si>
    <t>http://www.mofnp.gov.zm</t>
  </si>
  <si>
    <t>Zimbabwe</t>
  </si>
  <si>
    <t>http://www.gov.gd/ministries/finance.html</t>
  </si>
  <si>
    <t>http://www.mof.gov.af</t>
  </si>
  <si>
    <t>http://www.bahamas.gov.bs/finance</t>
  </si>
  <si>
    <t>http://www.mof.gov.bt</t>
  </si>
  <si>
    <t>http://www.fmf.gov.ba</t>
  </si>
  <si>
    <t>http://www.finance.gov.bw</t>
  </si>
  <si>
    <t>http://www.finances.gov.bf</t>
  </si>
  <si>
    <t>http://www.mef.gov.kh</t>
  </si>
  <si>
    <t>Central Bureau of Statistics</t>
  </si>
  <si>
    <t>http://www.mof.gov.tl</t>
  </si>
  <si>
    <t>http://www.mof.gov.bh</t>
  </si>
  <si>
    <t>http://www.finance.gov.mk</t>
  </si>
  <si>
    <t>http://www.mf.gov.si</t>
  </si>
  <si>
    <t>http://www.mof.go.th</t>
  </si>
  <si>
    <t>http://www.mof.gov.ae</t>
  </si>
  <si>
    <t>http://www.bmf.gv.at</t>
  </si>
  <si>
    <t>http://www.economiayfinanzas.gob.bo</t>
  </si>
  <si>
    <t>http://www.mecon.gov.ar</t>
  </si>
  <si>
    <t>Kyrgyz Republic</t>
  </si>
  <si>
    <t>Slovak Republic</t>
  </si>
  <si>
    <t>?</t>
  </si>
  <si>
    <t>http://www.kormany.hu/hu/nemzetgazdasagi-miniszterium</t>
  </si>
  <si>
    <t>A</t>
  </si>
  <si>
    <t>Type</t>
  </si>
  <si>
    <t>B</t>
  </si>
  <si>
    <t>C</t>
  </si>
  <si>
    <t>T</t>
  </si>
  <si>
    <t>CS</t>
  </si>
  <si>
    <t>D</t>
  </si>
  <si>
    <t>S</t>
  </si>
  <si>
    <t>ara</t>
  </si>
  <si>
    <t>aze</t>
  </si>
  <si>
    <t>ben</t>
  </si>
  <si>
    <t>bul</t>
  </si>
  <si>
    <t>cat</t>
  </si>
  <si>
    <t>dan</t>
  </si>
  <si>
    <t>div</t>
  </si>
  <si>
    <t>eng</t>
  </si>
  <si>
    <t>est</t>
  </si>
  <si>
    <t>fin</t>
  </si>
  <si>
    <t>heb</t>
  </si>
  <si>
    <t>hin</t>
  </si>
  <si>
    <t>hrv</t>
  </si>
  <si>
    <t>hun</t>
  </si>
  <si>
    <t>ind</t>
  </si>
  <si>
    <t>ita</t>
  </si>
  <si>
    <t>jpn</t>
  </si>
  <si>
    <t>kaz</t>
  </si>
  <si>
    <t>khm</t>
  </si>
  <si>
    <t>kor</t>
  </si>
  <si>
    <t>lav</t>
  </si>
  <si>
    <t>lit</t>
  </si>
  <si>
    <t>mlt</t>
  </si>
  <si>
    <t>nep</t>
  </si>
  <si>
    <t>nor</t>
  </si>
  <si>
    <t>pol</t>
  </si>
  <si>
    <t>por</t>
  </si>
  <si>
    <t>rom</t>
  </si>
  <si>
    <t>rus</t>
  </si>
  <si>
    <t>slv</t>
  </si>
  <si>
    <t>spa</t>
  </si>
  <si>
    <t>srp</t>
  </si>
  <si>
    <t>swa</t>
  </si>
  <si>
    <t>swe</t>
  </si>
  <si>
    <t>tam</t>
  </si>
  <si>
    <t>tet</t>
  </si>
  <si>
    <t>tgk</t>
  </si>
  <si>
    <t>tha</t>
  </si>
  <si>
    <t>tuk</t>
  </si>
  <si>
    <t>tur</t>
  </si>
  <si>
    <t>ukr</t>
  </si>
  <si>
    <t>uzb</t>
  </si>
  <si>
    <t>vie</t>
  </si>
  <si>
    <t xml:space="preserve">eng </t>
  </si>
  <si>
    <t>fre</t>
  </si>
  <si>
    <t>alb</t>
  </si>
  <si>
    <t>per</t>
  </si>
  <si>
    <t>arm</t>
  </si>
  <si>
    <t>ger</t>
  </si>
  <si>
    <t>dut</t>
  </si>
  <si>
    <t>chi</t>
  </si>
  <si>
    <t>gre</t>
  </si>
  <si>
    <t>cze</t>
  </si>
  <si>
    <t>ice</t>
  </si>
  <si>
    <t>mac</t>
  </si>
  <si>
    <t>may</t>
  </si>
  <si>
    <t>slo</t>
  </si>
  <si>
    <t>http://www.treasury.gov.za</t>
  </si>
  <si>
    <t>bur</t>
  </si>
  <si>
    <t>geo</t>
  </si>
  <si>
    <t>mnt</t>
  </si>
  <si>
    <t>lao</t>
  </si>
  <si>
    <t>Ind</t>
  </si>
  <si>
    <t>W</t>
  </si>
  <si>
    <t>Q</t>
  </si>
  <si>
    <t>NR</t>
  </si>
  <si>
    <t>NA</t>
  </si>
  <si>
    <t>http://www.mef.gov.it</t>
  </si>
  <si>
    <t>Macedonia</t>
  </si>
  <si>
    <t>http://www.government.nl/ministries/fin</t>
  </si>
  <si>
    <t>M</t>
  </si>
  <si>
    <t>R</t>
  </si>
  <si>
    <t>P</t>
  </si>
  <si>
    <t>Econ</t>
  </si>
  <si>
    <t>St. Kitts and Nevis</t>
  </si>
  <si>
    <t>St. Lucia</t>
  </si>
  <si>
    <t>St. Vincent and the Grenadines</t>
  </si>
  <si>
    <t>Region</t>
  </si>
  <si>
    <t>AFR</t>
  </si>
  <si>
    <t>EAP</t>
  </si>
  <si>
    <t>ECA</t>
  </si>
  <si>
    <t>LCR</t>
  </si>
  <si>
    <t>MNA</t>
  </si>
  <si>
    <t>SAR</t>
  </si>
  <si>
    <t>Group</t>
  </si>
  <si>
    <t>TW</t>
  </si>
  <si>
    <t>X</t>
  </si>
  <si>
    <t>Y</t>
  </si>
  <si>
    <t>Z</t>
  </si>
  <si>
    <t>J</t>
  </si>
  <si>
    <t>L</t>
  </si>
  <si>
    <t>N</t>
  </si>
  <si>
    <t>U</t>
  </si>
  <si>
    <t>V</t>
  </si>
  <si>
    <t>AA</t>
  </si>
  <si>
    <t>AB</t>
  </si>
  <si>
    <t>AD</t>
  </si>
  <si>
    <t>AE</t>
  </si>
  <si>
    <t>AH</t>
  </si>
  <si>
    <t>AI</t>
  </si>
  <si>
    <t>AK</t>
  </si>
  <si>
    <t>AM</t>
  </si>
  <si>
    <t>AO</t>
  </si>
  <si>
    <t>AP</t>
  </si>
  <si>
    <t>AR</t>
  </si>
  <si>
    <t>AS</t>
  </si>
  <si>
    <t>AT</t>
  </si>
  <si>
    <t>AU</t>
  </si>
  <si>
    <t>AV</t>
  </si>
  <si>
    <t>AW</t>
  </si>
  <si>
    <t>AX</t>
  </si>
  <si>
    <t>AY</t>
  </si>
  <si>
    <t>AZ</t>
  </si>
  <si>
    <t>BA</t>
  </si>
  <si>
    <t>BD</t>
  </si>
  <si>
    <t>BF</t>
  </si>
  <si>
    <t>BH</t>
  </si>
  <si>
    <t>BJ</t>
  </si>
  <si>
    <t>BP</t>
  </si>
  <si>
    <t>BR</t>
  </si>
  <si>
    <t>BT</t>
  </si>
  <si>
    <t>BW</t>
  </si>
  <si>
    <t>BV</t>
  </si>
  <si>
    <t>BY</t>
  </si>
  <si>
    <t>AF</t>
  </si>
  <si>
    <t>AG</t>
  </si>
  <si>
    <t>AL</t>
  </si>
  <si>
    <t>AN</t>
  </si>
  <si>
    <t>AQ</t>
  </si>
  <si>
    <t>BB</t>
  </si>
  <si>
    <t>BE</t>
  </si>
  <si>
    <t>BG</t>
  </si>
  <si>
    <t>BI</t>
  </si>
  <si>
    <t>BM</t>
  </si>
  <si>
    <t>Bermuda</t>
  </si>
  <si>
    <t>BN</t>
  </si>
  <si>
    <t>BO</t>
  </si>
  <si>
    <t>BS</t>
  </si>
  <si>
    <t>BZ</t>
  </si>
  <si>
    <t>CA</t>
  </si>
  <si>
    <t>CC</t>
  </si>
  <si>
    <t>CF</t>
  </si>
  <si>
    <t>CG</t>
  </si>
  <si>
    <t>CH</t>
  </si>
  <si>
    <t>CI</t>
  </si>
  <si>
    <t>CK</t>
  </si>
  <si>
    <t>Cook Islands</t>
  </si>
  <si>
    <t>CL</t>
  </si>
  <si>
    <t>CM</t>
  </si>
  <si>
    <t>CN</t>
  </si>
  <si>
    <t>CO</t>
  </si>
  <si>
    <t>CR</t>
  </si>
  <si>
    <t>CU</t>
  </si>
  <si>
    <t>CV</t>
  </si>
  <si>
    <t>CX</t>
  </si>
  <si>
    <t>CY</t>
  </si>
  <si>
    <t>CZ</t>
  </si>
  <si>
    <t>DE</t>
  </si>
  <si>
    <t>DJ</t>
  </si>
  <si>
    <t>DK</t>
  </si>
  <si>
    <t>DM</t>
  </si>
  <si>
    <t>DO</t>
  </si>
  <si>
    <t>DZ</t>
  </si>
  <si>
    <t>EC</t>
  </si>
  <si>
    <t>EE</t>
  </si>
  <si>
    <t>EG</t>
  </si>
  <si>
    <t>EH</t>
  </si>
  <si>
    <t>ER</t>
  </si>
  <si>
    <t>ES</t>
  </si>
  <si>
    <t>ET</t>
  </si>
  <si>
    <t>FI</t>
  </si>
  <si>
    <t>FJ</t>
  </si>
  <si>
    <t>FK</t>
  </si>
  <si>
    <t>FM</t>
  </si>
  <si>
    <t>FO</t>
  </si>
  <si>
    <t>FR</t>
  </si>
  <si>
    <t>FX</t>
  </si>
  <si>
    <t>GA</t>
  </si>
  <si>
    <t>GB</t>
  </si>
  <si>
    <t>GD</t>
  </si>
  <si>
    <t>GE</t>
  </si>
  <si>
    <t>GF</t>
  </si>
  <si>
    <t>GH</t>
  </si>
  <si>
    <t>GI</t>
  </si>
  <si>
    <t>GL</t>
  </si>
  <si>
    <t>GM</t>
  </si>
  <si>
    <t>GN</t>
  </si>
  <si>
    <t>GP</t>
  </si>
  <si>
    <t>GQ</t>
  </si>
  <si>
    <t>GR</t>
  </si>
  <si>
    <t>GS</t>
  </si>
  <si>
    <t>GT</t>
  </si>
  <si>
    <t>GU</t>
  </si>
  <si>
    <t>GW</t>
  </si>
  <si>
    <t>GY</t>
  </si>
  <si>
    <t>HK</t>
  </si>
  <si>
    <t>HM</t>
  </si>
  <si>
    <t>HN</t>
  </si>
  <si>
    <t>HR</t>
  </si>
  <si>
    <t>HT</t>
  </si>
  <si>
    <t>HU</t>
  </si>
  <si>
    <t>ID</t>
  </si>
  <si>
    <t>IE</t>
  </si>
  <si>
    <t>IL</t>
  </si>
  <si>
    <t>IN</t>
  </si>
  <si>
    <t>IQ</t>
  </si>
  <si>
    <t>IR</t>
  </si>
  <si>
    <t>IS</t>
  </si>
  <si>
    <t>IT</t>
  </si>
  <si>
    <t>JM</t>
  </si>
  <si>
    <t>JO</t>
  </si>
  <si>
    <t>JP</t>
  </si>
  <si>
    <t>KE</t>
  </si>
  <si>
    <t>KG</t>
  </si>
  <si>
    <t>KH</t>
  </si>
  <si>
    <t>KI</t>
  </si>
  <si>
    <t>KM</t>
  </si>
  <si>
    <t>KN</t>
  </si>
  <si>
    <t>KP</t>
  </si>
  <si>
    <t>KR</t>
  </si>
  <si>
    <t>KW</t>
  </si>
  <si>
    <t>KZ</t>
  </si>
  <si>
    <t>LA</t>
  </si>
  <si>
    <t>LB</t>
  </si>
  <si>
    <t>LC</t>
  </si>
  <si>
    <t>LI</t>
  </si>
  <si>
    <t>LK</t>
  </si>
  <si>
    <t>LR</t>
  </si>
  <si>
    <t>LS</t>
  </si>
  <si>
    <t>LT</t>
  </si>
  <si>
    <t>LU</t>
  </si>
  <si>
    <t>LV</t>
  </si>
  <si>
    <t>LY</t>
  </si>
  <si>
    <t>MA</t>
  </si>
  <si>
    <t>MC</t>
  </si>
  <si>
    <t>MD</t>
  </si>
  <si>
    <t>MG</t>
  </si>
  <si>
    <t>MH</t>
  </si>
  <si>
    <t>MK</t>
  </si>
  <si>
    <t>ML</t>
  </si>
  <si>
    <t>MM</t>
  </si>
  <si>
    <t>MN</t>
  </si>
  <si>
    <t>MO</t>
  </si>
  <si>
    <t>MR</t>
  </si>
  <si>
    <t>MT</t>
  </si>
  <si>
    <t>MU</t>
  </si>
  <si>
    <t>MV</t>
  </si>
  <si>
    <t>MW</t>
  </si>
  <si>
    <t>MX</t>
  </si>
  <si>
    <t>MY</t>
  </si>
  <si>
    <t>MZ</t>
  </si>
  <si>
    <t>NE</t>
  </si>
  <si>
    <t>NF</t>
  </si>
  <si>
    <t>NG</t>
  </si>
  <si>
    <t>NI</t>
  </si>
  <si>
    <t>NL</t>
  </si>
  <si>
    <t>NO</t>
  </si>
  <si>
    <t>NP</t>
  </si>
  <si>
    <t>NZ</t>
  </si>
  <si>
    <t>OM</t>
  </si>
  <si>
    <t>PA</t>
  </si>
  <si>
    <t>PE</t>
  </si>
  <si>
    <t>PF</t>
  </si>
  <si>
    <t>PG</t>
  </si>
  <si>
    <t>PH</t>
  </si>
  <si>
    <t>PK</t>
  </si>
  <si>
    <t>PL</t>
  </si>
  <si>
    <t>PR</t>
  </si>
  <si>
    <t>PT</t>
  </si>
  <si>
    <t>PW</t>
  </si>
  <si>
    <t>PY</t>
  </si>
  <si>
    <t>QA</t>
  </si>
  <si>
    <t>RO</t>
  </si>
  <si>
    <t>RU</t>
  </si>
  <si>
    <t>RW</t>
  </si>
  <si>
    <t>SA</t>
  </si>
  <si>
    <t>SC</t>
  </si>
  <si>
    <t>SD</t>
  </si>
  <si>
    <t>SE</t>
  </si>
  <si>
    <t>SG</t>
  </si>
  <si>
    <t>SI</t>
  </si>
  <si>
    <t>SK</t>
  </si>
  <si>
    <t>SL</t>
  </si>
  <si>
    <t>SM</t>
  </si>
  <si>
    <t>SN</t>
  </si>
  <si>
    <t>SO</t>
  </si>
  <si>
    <t>SR</t>
  </si>
  <si>
    <t>ST</t>
  </si>
  <si>
    <t>SV</t>
  </si>
  <si>
    <t>SY</t>
  </si>
  <si>
    <t>SZ</t>
  </si>
  <si>
    <t>TD</t>
  </si>
  <si>
    <t>TG</t>
  </si>
  <si>
    <t>TH</t>
  </si>
  <si>
    <t>TJ</t>
  </si>
  <si>
    <t>TM</t>
  </si>
  <si>
    <t>TN</t>
  </si>
  <si>
    <t>TO</t>
  </si>
  <si>
    <t>TR</t>
  </si>
  <si>
    <t>TT</t>
  </si>
  <si>
    <t>TV</t>
  </si>
  <si>
    <t>TZ</t>
  </si>
  <si>
    <t>UA</t>
  </si>
  <si>
    <t>UG</t>
  </si>
  <si>
    <t>US</t>
  </si>
  <si>
    <t>UY</t>
  </si>
  <si>
    <t>UZ</t>
  </si>
  <si>
    <t>VC</t>
  </si>
  <si>
    <t>VE</t>
  </si>
  <si>
    <t>VN</t>
  </si>
  <si>
    <t>VU</t>
  </si>
  <si>
    <t>WS</t>
  </si>
  <si>
    <t>YE</t>
  </si>
  <si>
    <t>ZA</t>
  </si>
  <si>
    <t>ZM</t>
  </si>
  <si>
    <t>ZW</t>
  </si>
  <si>
    <t>mlg</t>
  </si>
  <si>
    <t>http://www.mf.gov.pl</t>
  </si>
  <si>
    <t>kir</t>
  </si>
  <si>
    <t>CD</t>
  </si>
  <si>
    <t>RS</t>
  </si>
  <si>
    <t>http://www.finance.gov.fj</t>
  </si>
  <si>
    <t>http://www.economie.gouv.fr</t>
  </si>
  <si>
    <t>http://www.mfed.gov.ki</t>
  </si>
  <si>
    <t>http://www.finance.gov.vc</t>
  </si>
  <si>
    <t>http://www.zimtreasury.gov.zw</t>
  </si>
  <si>
    <t>Col</t>
  </si>
  <si>
    <t>Size</t>
  </si>
  <si>
    <t>Format</t>
  </si>
  <si>
    <t>Val #1</t>
  </si>
  <si>
    <t>Value #1 Description</t>
  </si>
  <si>
    <t>Val #2</t>
  </si>
  <si>
    <t>Value #2 Description</t>
  </si>
  <si>
    <t>Val #3</t>
  </si>
  <si>
    <t>Value #3 Description</t>
  </si>
  <si>
    <t>Val #4</t>
  </si>
  <si>
    <t>Value #4 Description</t>
  </si>
  <si>
    <t>E</t>
  </si>
  <si>
    <t>G</t>
  </si>
  <si>
    <t>H</t>
  </si>
  <si>
    <t>I</t>
  </si>
  <si>
    <t>K</t>
  </si>
  <si>
    <t>O</t>
  </si>
  <si>
    <t>AC</t>
  </si>
  <si>
    <t>AJ</t>
  </si>
  <si>
    <t>BC</t>
  </si>
  <si>
    <t>BK</t>
  </si>
  <si>
    <t>BL</t>
  </si>
  <si>
    <t>BQ</t>
  </si>
  <si>
    <t>BU</t>
  </si>
  <si>
    <t>BX</t>
  </si>
  <si>
    <t>CB</t>
  </si>
  <si>
    <t>CE</t>
  </si>
  <si>
    <t>CJ</t>
  </si>
  <si>
    <t>CP</t>
  </si>
  <si>
    <t>CQ</t>
  </si>
  <si>
    <t>CT</t>
  </si>
  <si>
    <t>CW</t>
  </si>
  <si>
    <t>DA</t>
  </si>
  <si>
    <t>DB</t>
  </si>
  <si>
    <t>DC</t>
  </si>
  <si>
    <t>DD</t>
  </si>
  <si>
    <t>DF</t>
  </si>
  <si>
    <t>DG</t>
  </si>
  <si>
    <t>DH</t>
  </si>
  <si>
    <t>DI</t>
  </si>
  <si>
    <t>DL</t>
  </si>
  <si>
    <t>DN</t>
  </si>
  <si>
    <t>DP</t>
  </si>
  <si>
    <t>DQ</t>
  </si>
  <si>
    <t>DR</t>
  </si>
  <si>
    <t>DS</t>
  </si>
  <si>
    <t>DT</t>
  </si>
  <si>
    <t>DU</t>
  </si>
  <si>
    <t>DV</t>
  </si>
  <si>
    <t>DW</t>
  </si>
  <si>
    <t>DX</t>
  </si>
  <si>
    <t>DY</t>
  </si>
  <si>
    <t>EA</t>
  </si>
  <si>
    <t>EB</t>
  </si>
  <si>
    <t>Sequence</t>
  </si>
  <si>
    <t>Wikipedia</t>
  </si>
  <si>
    <t>WBG Open Data</t>
  </si>
  <si>
    <t>int</t>
  </si>
  <si>
    <t>000</t>
  </si>
  <si>
    <t>image</t>
  </si>
  <si>
    <t>png</t>
  </si>
  <si>
    <t>URL</t>
  </si>
  <si>
    <t>char</t>
  </si>
  <si>
    <t>Name of economy (linked to Wikipedia web site)</t>
  </si>
  <si>
    <t>1 … 198</t>
  </si>
  <si>
    <t>Income level</t>
  </si>
  <si>
    <t>Standard codes: HIC / UMIC / LMIC / LIC</t>
  </si>
  <si>
    <t>float</t>
  </si>
  <si>
    <t>#,##0</t>
  </si>
  <si>
    <t>Sequence number of alphabetical listing</t>
  </si>
  <si>
    <t>WWW</t>
  </si>
  <si>
    <t>No</t>
  </si>
  <si>
    <t>Reviewers</t>
  </si>
  <si>
    <t>Description</t>
  </si>
  <si>
    <t>Yes</t>
  </si>
  <si>
    <t>YYYY</t>
  </si>
  <si>
    <t>xxx</t>
  </si>
  <si>
    <t>Calculated</t>
  </si>
  <si>
    <t>Income</t>
  </si>
  <si>
    <t>Code</t>
  </si>
  <si>
    <t>BHS</t>
  </si>
  <si>
    <t>COG</t>
  </si>
  <si>
    <t>CIV</t>
  </si>
  <si>
    <t>EGY</t>
  </si>
  <si>
    <t>GMB</t>
  </si>
  <si>
    <t>IRN</t>
  </si>
  <si>
    <t>MKD</t>
  </si>
  <si>
    <t>STP</t>
  </si>
  <si>
    <t>USA</t>
  </si>
  <si>
    <t>VNM</t>
  </si>
  <si>
    <t>YEM</t>
  </si>
  <si>
    <t>NRU</t>
  </si>
  <si>
    <t>TWN</t>
  </si>
  <si>
    <t>AFG</t>
  </si>
  <si>
    <t>ALB</t>
  </si>
  <si>
    <t>DZA</t>
  </si>
  <si>
    <t>AGO</t>
  </si>
  <si>
    <t>ATG</t>
  </si>
  <si>
    <t>ARG</t>
  </si>
  <si>
    <t>ARM</t>
  </si>
  <si>
    <t>AUS</t>
  </si>
  <si>
    <t>AUT</t>
  </si>
  <si>
    <t>AZE</t>
  </si>
  <si>
    <t>BHR</t>
  </si>
  <si>
    <t>BGD</t>
  </si>
  <si>
    <t>BRB</t>
  </si>
  <si>
    <t>BLR</t>
  </si>
  <si>
    <t>BEL</t>
  </si>
  <si>
    <t>BLZ</t>
  </si>
  <si>
    <t>BEN</t>
  </si>
  <si>
    <t>BTN</t>
  </si>
  <si>
    <t>BOL</t>
  </si>
  <si>
    <t>BIH</t>
  </si>
  <si>
    <t>BWA</t>
  </si>
  <si>
    <t>BRA</t>
  </si>
  <si>
    <t>BRN</t>
  </si>
  <si>
    <t>BGR</t>
  </si>
  <si>
    <t>BFA</t>
  </si>
  <si>
    <t>BDI</t>
  </si>
  <si>
    <t>KHM</t>
  </si>
  <si>
    <t>CMR</t>
  </si>
  <si>
    <t>CAN</t>
  </si>
  <si>
    <t>CPV</t>
  </si>
  <si>
    <t>CAF</t>
  </si>
  <si>
    <t>TCD</t>
  </si>
  <si>
    <t>CHL</t>
  </si>
  <si>
    <t>CHN</t>
  </si>
  <si>
    <t>COL</t>
  </si>
  <si>
    <t>COM</t>
  </si>
  <si>
    <t>CRI</t>
  </si>
  <si>
    <t>HRV</t>
  </si>
  <si>
    <t>CUB</t>
  </si>
  <si>
    <t>CYP</t>
  </si>
  <si>
    <t>CZE</t>
  </si>
  <si>
    <t>DNK</t>
  </si>
  <si>
    <t>DJI</t>
  </si>
  <si>
    <t>DMA</t>
  </si>
  <si>
    <t>DOM</t>
  </si>
  <si>
    <t>ECU</t>
  </si>
  <si>
    <t>SLV</t>
  </si>
  <si>
    <t>GNQ</t>
  </si>
  <si>
    <t>ERI</t>
  </si>
  <si>
    <t>EST</t>
  </si>
  <si>
    <t>ETH</t>
  </si>
  <si>
    <t>FJI</t>
  </si>
  <si>
    <t>FIN</t>
  </si>
  <si>
    <t>FRA</t>
  </si>
  <si>
    <t>GAB</t>
  </si>
  <si>
    <t>GEO</t>
  </si>
  <si>
    <t>DEU</t>
  </si>
  <si>
    <t>GHA</t>
  </si>
  <si>
    <t>GRC</t>
  </si>
  <si>
    <t>GRD</t>
  </si>
  <si>
    <t>GTM</t>
  </si>
  <si>
    <t>GIN</t>
  </si>
  <si>
    <t>GNB</t>
  </si>
  <si>
    <t>GUY</t>
  </si>
  <si>
    <t>HTI</t>
  </si>
  <si>
    <t>HND</t>
  </si>
  <si>
    <t>HKG</t>
  </si>
  <si>
    <t>HUN</t>
  </si>
  <si>
    <t>ISL</t>
  </si>
  <si>
    <t>IND</t>
  </si>
  <si>
    <t>IDN</t>
  </si>
  <si>
    <t>IRQ</t>
  </si>
  <si>
    <t>IRL</t>
  </si>
  <si>
    <t>ISR</t>
  </si>
  <si>
    <t>ITA</t>
  </si>
  <si>
    <t>JAM</t>
  </si>
  <si>
    <t>JPN</t>
  </si>
  <si>
    <t>JOR</t>
  </si>
  <si>
    <t>KAZ</t>
  </si>
  <si>
    <t>KEN</t>
  </si>
  <si>
    <t>KIR</t>
  </si>
  <si>
    <t>PRK</t>
  </si>
  <si>
    <t>KOR</t>
  </si>
  <si>
    <t>KSV</t>
  </si>
  <si>
    <t>KWT</t>
  </si>
  <si>
    <t>KGZ</t>
  </si>
  <si>
    <t>LAO</t>
  </si>
  <si>
    <t>LVA</t>
  </si>
  <si>
    <t>LBN</t>
  </si>
  <si>
    <t>LSO</t>
  </si>
  <si>
    <t>LBR</t>
  </si>
  <si>
    <t>LBY</t>
  </si>
  <si>
    <t>LIE</t>
  </si>
  <si>
    <t>LTU</t>
  </si>
  <si>
    <t>LUX</t>
  </si>
  <si>
    <t>MAC</t>
  </si>
  <si>
    <t>MDG</t>
  </si>
  <si>
    <t>MWI</t>
  </si>
  <si>
    <t>MYS</t>
  </si>
  <si>
    <t>MDV</t>
  </si>
  <si>
    <t>MLI</t>
  </si>
  <si>
    <t>MLT</t>
  </si>
  <si>
    <t>MHL</t>
  </si>
  <si>
    <t>MRT</t>
  </si>
  <si>
    <t>MUS</t>
  </si>
  <si>
    <t>MEX</t>
  </si>
  <si>
    <t>FSM</t>
  </si>
  <si>
    <t>MDA</t>
  </si>
  <si>
    <t>MCO</t>
  </si>
  <si>
    <t>MNG</t>
  </si>
  <si>
    <t>MNE</t>
  </si>
  <si>
    <t>MAR</t>
  </si>
  <si>
    <t>MOZ</t>
  </si>
  <si>
    <t>MMR</t>
  </si>
  <si>
    <t>NAM</t>
  </si>
  <si>
    <t>NPL</t>
  </si>
  <si>
    <t>NLD</t>
  </si>
  <si>
    <t>NZL</t>
  </si>
  <si>
    <t>NIC</t>
  </si>
  <si>
    <t>NER</t>
  </si>
  <si>
    <t>NGA</t>
  </si>
  <si>
    <t>NOR</t>
  </si>
  <si>
    <t>OMN</t>
  </si>
  <si>
    <t>PAK</t>
  </si>
  <si>
    <t>PLW</t>
  </si>
  <si>
    <t>PAN</t>
  </si>
  <si>
    <t>PNG</t>
  </si>
  <si>
    <t>PRY</t>
  </si>
  <si>
    <t>PER</t>
  </si>
  <si>
    <t>PHL</t>
  </si>
  <si>
    <t>POL</t>
  </si>
  <si>
    <t>PRT</t>
  </si>
  <si>
    <t>QAT</t>
  </si>
  <si>
    <t>RUS</t>
  </si>
  <si>
    <t>RWA</t>
  </si>
  <si>
    <t>KNA</t>
  </si>
  <si>
    <t>LCA</t>
  </si>
  <si>
    <t>VCT</t>
  </si>
  <si>
    <t>WSM</t>
  </si>
  <si>
    <t>SMR</t>
  </si>
  <si>
    <t>SAU</t>
  </si>
  <si>
    <t>SEN</t>
  </si>
  <si>
    <t>SRB</t>
  </si>
  <si>
    <t>SYC</t>
  </si>
  <si>
    <t>SLE</t>
  </si>
  <si>
    <t>SGP</t>
  </si>
  <si>
    <t>SVK</t>
  </si>
  <si>
    <t>SVN</t>
  </si>
  <si>
    <t>SLB</t>
  </si>
  <si>
    <t>SOM</t>
  </si>
  <si>
    <t>ZAF</t>
  </si>
  <si>
    <t>SSD</t>
  </si>
  <si>
    <t>ESP</t>
  </si>
  <si>
    <t>LKA</t>
  </si>
  <si>
    <t>SDN</t>
  </si>
  <si>
    <t>SUR</t>
  </si>
  <si>
    <t>SWZ</t>
  </si>
  <si>
    <t>SWE</t>
  </si>
  <si>
    <t>CHE</t>
  </si>
  <si>
    <t>SYR</t>
  </si>
  <si>
    <t>TJK</t>
  </si>
  <si>
    <t>TZA</t>
  </si>
  <si>
    <t>THA</t>
  </si>
  <si>
    <t>TGO</t>
  </si>
  <si>
    <t>TON</t>
  </si>
  <si>
    <t>TTO</t>
  </si>
  <si>
    <t>TUN</t>
  </si>
  <si>
    <t>TUR</t>
  </si>
  <si>
    <t>TKM</t>
  </si>
  <si>
    <t>TUV</t>
  </si>
  <si>
    <t>UGA</t>
  </si>
  <si>
    <t>UKR</t>
  </si>
  <si>
    <t>ARE</t>
  </si>
  <si>
    <t>GBR</t>
  </si>
  <si>
    <t>URY</t>
  </si>
  <si>
    <t>UZB</t>
  </si>
  <si>
    <t>VUT</t>
  </si>
  <si>
    <t>VEN</t>
  </si>
  <si>
    <t>ZMB</t>
  </si>
  <si>
    <t>ZWE</t>
  </si>
  <si>
    <t>Vietnam</t>
  </si>
  <si>
    <t>http://www.mofea.gov.gm</t>
  </si>
  <si>
    <t>http://www.economicaffairs.gov.bb</t>
  </si>
  <si>
    <t>Taiwan, China</t>
  </si>
  <si>
    <t>Planned</t>
  </si>
  <si>
    <t>http://psh.gov.ge/index.php?lang_id=GEO&amp;sec_id=305</t>
  </si>
  <si>
    <t>Country</t>
  </si>
  <si>
    <t>Sao Tome and Principe</t>
  </si>
  <si>
    <t>Slovakia</t>
  </si>
  <si>
    <t>Venezuela</t>
  </si>
  <si>
    <t>Kyrgyzstan</t>
  </si>
  <si>
    <t>http://www.nida.go.tz/en/</t>
  </si>
  <si>
    <t>http://www.etazkira.gov.af/</t>
  </si>
  <si>
    <t>http://www.interieur.gov.dz/Dynamics/frmItem.aspx?html=30&amp;s=2</t>
  </si>
  <si>
    <t>http://www.cidadao.gov.ao/VerServico.aspx?id=231</t>
  </si>
  <si>
    <t>http://www.ekeng.am/?page_id=69</t>
  </si>
  <si>
    <t>http://www.mvr.bg/en/CSCA/default.htm</t>
  </si>
  <si>
    <t>http://www.smartcard.gov.bh/?lang=en</t>
  </si>
  <si>
    <t>http://www.segip.gob.bo/web/</t>
  </si>
  <si>
    <t>http://www.muptk.ba/index.php?option=com_content&amp;view=category&amp;layout=blog&amp;id=65&amp;Itemid=87</t>
  </si>
  <si>
    <t>http://www.dnt.adv.br/noticias/especificacoes-da-nova-identidade-o-ric-preveem-dois-chips-e-certificado-digital/</t>
  </si>
  <si>
    <t>http://psc.egov.bg/en/psc-electronic-identification</t>
  </si>
  <si>
    <t>http://burundi-gov.bi/Burundi-TIC-Projet-de-carte-d</t>
  </si>
  <si>
    <t>http://www.akp.gov.kh/?p=39831</t>
  </si>
  <si>
    <t>http://www.finances.gov.gn</t>
  </si>
  <si>
    <t>http://www.mef.gob.pa</t>
  </si>
  <si>
    <t>http://www.treasury.gov.pg</t>
  </si>
  <si>
    <t>http://www.goss.org/index.php/ministries/finance</t>
  </si>
  <si>
    <t>https://www.gov.uk/government/organisations/hm-treasury</t>
  </si>
  <si>
    <t>http://www.mefbp.gob.ve</t>
  </si>
  <si>
    <t>http://mcit.gov.af/en/page/7081</t>
  </si>
  <si>
    <t>http://www.anrpts.mr</t>
  </si>
  <si>
    <t>http://web.archive.org/web/20070522114551/http://www.polisen.se/inter/nodeid=36624&amp;pageversion=1.jsp</t>
  </si>
  <si>
    <t>https://www.tractis.com/help/?p=3670</t>
  </si>
  <si>
    <t>http://www.identity-cards.net/</t>
  </si>
  <si>
    <t>http://e-uprava.gov.si/e-uprava/en/portal.euprava</t>
  </si>
  <si>
    <t>http://www.bahamas.gov.bs</t>
  </si>
  <si>
    <t>http://www.gouv.bj</t>
  </si>
  <si>
    <t>http://www.cubagob.cu</t>
  </si>
  <si>
    <t>Democratic People's Republic of Korea</t>
  </si>
  <si>
    <t>Democratic Republic of the Congo</t>
  </si>
  <si>
    <t>Iran (Islamic Republic of)</t>
  </si>
  <si>
    <t>Lao People's Democratic Republic</t>
  </si>
  <si>
    <t>http://www.gov.ls</t>
  </si>
  <si>
    <t>Micronesia (Federated States of)</t>
  </si>
  <si>
    <t>http://portal.www.gov.qa</t>
  </si>
  <si>
    <t>Republic of Korea</t>
  </si>
  <si>
    <t>Republic of Moldova</t>
  </si>
  <si>
    <t>http://www.commerce.gov.sb</t>
  </si>
  <si>
    <t>The former Yugoslav Republic of Macedonia</t>
  </si>
  <si>
    <t>United Kingdom of Great Britain and Northern Ireland</t>
  </si>
  <si>
    <t>United Republic of Tanzania</t>
  </si>
  <si>
    <t xml:space="preserve">Country </t>
  </si>
  <si>
    <t>Ministry of Health</t>
  </si>
  <si>
    <t>Ministry of Education</t>
  </si>
  <si>
    <t xml:space="preserve">Ministry of Labor </t>
  </si>
  <si>
    <t>Ministry of Social Welfare</t>
  </si>
  <si>
    <t>http://molsamd.gov.af/en</t>
  </si>
  <si>
    <t>http://www.salutibenestar.ad</t>
  </si>
  <si>
    <t>http://www.minfin.gov.ao</t>
  </si>
  <si>
    <t>http://www.socialsecurity.gov.ag/default.aspx</t>
  </si>
  <si>
    <t>http://www.trabajo.gob.ar</t>
  </si>
  <si>
    <t>http://www.desarrollosocial.gov.ar</t>
  </si>
  <si>
    <t>http://www.mlsa.am/home/index.php?home</t>
  </si>
  <si>
    <t>http://www.education.gov.au</t>
  </si>
  <si>
    <t>http://www.humanservices.gov.au</t>
  </si>
  <si>
    <t>http://www.mlspp.gov.az/az/pages/1</t>
  </si>
  <si>
    <t>http://www.mlspp.gov.az/az/pages/2</t>
  </si>
  <si>
    <t>http://www.bahamas.gov.bs/health</t>
  </si>
  <si>
    <t>http://www.bahamas.gov.bs/socialservices</t>
  </si>
  <si>
    <t>http://www.moedu.gov.bd</t>
  </si>
  <si>
    <t>http://www.mintrud.gov.by</t>
  </si>
  <si>
    <t>http://www.moes.gov.bz</t>
  </si>
  <si>
    <t>http://beninmoh.eu5.org/index1.html</t>
  </si>
  <si>
    <t>http://www.education.gov.bt</t>
  </si>
  <si>
    <t>http://www.mohca.gov.bt/?page_id=206</t>
  </si>
  <si>
    <t>http://www.mintrabajo.gob.bo/Principal.asp</t>
  </si>
  <si>
    <t>http://portal.saude.gov.br</t>
  </si>
  <si>
    <t>http://www.mh.government.bg</t>
  </si>
  <si>
    <t>http://www.minedu.government.bg</t>
  </si>
  <si>
    <t>http://www.mlsp.government.bg</t>
  </si>
  <si>
    <t>http://www.edu.gov.on.ca</t>
  </si>
  <si>
    <t>http://www.minsaude.gov.cv</t>
  </si>
  <si>
    <t>http://www.minedu.gov.cv/index.php</t>
  </si>
  <si>
    <t>http://www.minfin.gov.cv/index.php</t>
  </si>
  <si>
    <t>http://www.molss.gov.cn/gb/jgxx/jgxx.htm</t>
  </si>
  <si>
    <t>http://dps.gov.co/portal/default.aspx</t>
  </si>
  <si>
    <t>http://www.mohp.gov.eg</t>
  </si>
  <si>
    <t>http://www.manpower.gov.eg</t>
  </si>
  <si>
    <t>http://www.mined.gob.sv</t>
  </si>
  <si>
    <t>http://hm.ee/et</t>
  </si>
  <si>
    <t>http://www.education.gov.fj</t>
  </si>
  <si>
    <t>http://www.edugambia.gm</t>
  </si>
  <si>
    <t>http://www.mnec.gr</t>
  </si>
  <si>
    <t>http://moe.gov.gd</t>
  </si>
  <si>
    <t>http://www.gov.gd/ministries/labour.html</t>
  </si>
  <si>
    <t>http://www.mineduc.gob.gt</t>
  </si>
  <si>
    <t>http://www.mintrabajo.gob.gt</t>
  </si>
  <si>
    <t>http://education-guinee.org/index.htm</t>
  </si>
  <si>
    <t>http://www.health.gov.gy/adm_about.php</t>
  </si>
  <si>
    <t>http://www.education.gov.gy</t>
  </si>
  <si>
    <t>http://www.eum.hu/main.php</t>
  </si>
  <si>
    <t>http://www.depkes.go.id</t>
  </si>
  <si>
    <t>http://www.mohme.gov.ir</t>
  </si>
  <si>
    <t>http://www.moedu.gov.iq</t>
  </si>
  <si>
    <t>http://www.education.ie</t>
  </si>
  <si>
    <t>http://www.health.gov.il/Pages/HomePage.aspx</t>
  </si>
  <si>
    <t>http://cms.education.gov.il</t>
  </si>
  <si>
    <t>http://www.molsa.gov.il/Pages/HomePage.aspx</t>
  </si>
  <si>
    <t>http://www.mof.gov.il/Pages/default.aspx</t>
  </si>
  <si>
    <t>http://www.moh.gov.jo</t>
  </si>
  <si>
    <t>http://www.mz.gov.kz</t>
  </si>
  <si>
    <t>http://www.edu.gov.kz</t>
  </si>
  <si>
    <t>http://www.enbek.kz</t>
  </si>
  <si>
    <t>http://www.education.go.ke</t>
  </si>
  <si>
    <t>http://www.moh.gov.kw/index.html</t>
  </si>
  <si>
    <t>http://www.moe.edu.kw</t>
  </si>
  <si>
    <t>http://www.mosal.gov.kw</t>
  </si>
  <si>
    <t>http://www.education.gov.ls</t>
  </si>
  <si>
    <t>http://www.mof.gov.Ly</t>
  </si>
  <si>
    <t>http://www.sam.lt</t>
  </si>
  <si>
    <t>http://www.socmin.lt</t>
  </si>
  <si>
    <t>http://www.men.public.lu/fr/index.html</t>
  </si>
  <si>
    <t>http://www.moe.gov.my</t>
  </si>
  <si>
    <t>http://www.moe.gov.mv</t>
  </si>
  <si>
    <t>https://citizen.egov.mv/G2CWeb/Default.aspx</t>
  </si>
  <si>
    <t>https://ehealth.gov.mt/HealthPortal/default.aspx</t>
  </si>
  <si>
    <t>http://www.education.gov.mt</t>
  </si>
  <si>
    <t>http://www.sante.gov.mr/MSAS/index.htm</t>
  </si>
  <si>
    <t>http://health.gov.mu</t>
  </si>
  <si>
    <t>http://labour.gov.mu</t>
  </si>
  <si>
    <t>http://mof.gov.mu</t>
  </si>
  <si>
    <t>http://www.salud.gob.mx</t>
  </si>
  <si>
    <t>http://www.stps.gob.mx</t>
  </si>
  <si>
    <t>http://www.moh.mn</t>
  </si>
  <si>
    <t>http://www.mps.gov.me/en/ministry</t>
  </si>
  <si>
    <t>http://www.mif.gov.me/en/ministry</t>
  </si>
  <si>
    <t>http://www.alpha.gov.ma</t>
  </si>
  <si>
    <t>http://www.mf.gov.mz/web/guest/welcome</t>
  </si>
  <si>
    <t>http://www.dol.gov.np/index-np.html</t>
  </si>
  <si>
    <t>http://www.government.nl/ministries/vws</t>
  </si>
  <si>
    <t>http://www.government.nl/ministries/ocw</t>
  </si>
  <si>
    <t>http://www.government.nl/ministries/szw</t>
  </si>
  <si>
    <t>http://www.moh.govt.nz</t>
  </si>
  <si>
    <t>http://www.minedu.govt.nz</t>
  </si>
  <si>
    <t>http://www.dol.govt.nz</t>
  </si>
  <si>
    <t>http://www.msd.govt.nz</t>
  </si>
  <si>
    <t>http://www.minsa.gob.ni</t>
  </si>
  <si>
    <t>http://www.mined.gob.ni</t>
  </si>
  <si>
    <t>http://www.education.gov.pg</t>
  </si>
  <si>
    <t>http://www.mspbs.gov.py</t>
  </si>
  <si>
    <t>http://www.mz.gov.pl</t>
  </si>
  <si>
    <t>http://www.men.gov.pl</t>
  </si>
  <si>
    <t>http://www.mpips.gov.pl</t>
  </si>
  <si>
    <t>http://www.portaldasaude.pt/portal</t>
  </si>
  <si>
    <t>http://portal.www.gov.qa/wps/portal/homepage</t>
  </si>
  <si>
    <t>http://www.mohw.go.kr</t>
  </si>
  <si>
    <t>http://www.mest.go.kr</t>
  </si>
  <si>
    <t>http://www.mesc.gov.ws</t>
  </si>
  <si>
    <t>http://www.lavoro.sm/on-line/home.html</t>
  </si>
  <si>
    <t>http://saude.portal-stp.net/spip.php?rubrique1</t>
  </si>
  <si>
    <t>http://www.gov.st/content.php?intMenuID=46</t>
  </si>
  <si>
    <t>http://www.moh.gov.sa</t>
  </si>
  <si>
    <t>http://www.moe.gov.sa</t>
  </si>
  <si>
    <t>http://www.mol.gov.sa</t>
  </si>
  <si>
    <t>http://www.fonctionpublique.gouv.sn</t>
  </si>
  <si>
    <t>http://www.education.gov.sc</t>
  </si>
  <si>
    <t>http://www.moh.gov.sg</t>
  </si>
  <si>
    <t>http://www.mom.gov.sg</t>
  </si>
  <si>
    <t>http://www.mcys.gov.sg</t>
  </si>
  <si>
    <t>http://app.mof.gov.sg/index.aspx</t>
  </si>
  <si>
    <t>http://www.health.gov.sk</t>
  </si>
  <si>
    <t>http://www.employment.gov.sk</t>
  </si>
  <si>
    <t>http://www.mss.gov.si</t>
  </si>
  <si>
    <t>http://www.mddsz.gov.si</t>
  </si>
  <si>
    <t>http://www.education.gov.za</t>
  </si>
  <si>
    <t>http://www.goss.org/index.php/ministries/health</t>
  </si>
  <si>
    <t>http://www.msc.es</t>
  </si>
  <si>
    <t>http://www.mec.es</t>
  </si>
  <si>
    <t>http://www.health.gov.lk</t>
  </si>
  <si>
    <t>http://www.socialwelfare.gov.lk</t>
  </si>
  <si>
    <t>http://www.regeringen.se/sb/d/1474</t>
  </si>
  <si>
    <t>http://www.regeringen.se/sb/d/1454</t>
  </si>
  <si>
    <t>http://www.regeringen.se/sb/d/1470</t>
  </si>
  <si>
    <t>http://www.regeringen.se/sb/d/1468</t>
  </si>
  <si>
    <t>http://www.mon.gov.mk</t>
  </si>
  <si>
    <t>http://www.santetunisie.rns.tn</t>
  </si>
  <si>
    <t>http://www.social.tn</t>
  </si>
  <si>
    <t>http://www.education.go.ug</t>
  </si>
  <si>
    <t>http://www.msp.gub.uy</t>
  </si>
  <si>
    <t>http://www.mec.gub.uy</t>
  </si>
  <si>
    <t>https://www.mf.uz</t>
  </si>
  <si>
    <t>http://gov.vu/health.html</t>
  </si>
  <si>
    <t>http://gov.vu/education.html</t>
  </si>
  <si>
    <t>http://www.mpps.gob.ve</t>
  </si>
  <si>
    <t>http://www.me.gob.ve</t>
  </si>
  <si>
    <t>http://www.moh.gov.vn</t>
  </si>
  <si>
    <t>http://www.moet.gov.vn</t>
  </si>
  <si>
    <t>http://www.health.belgium.be/eportal/index.htm?fodnlang=nl</t>
  </si>
  <si>
    <t>http://www.ab.gov.ag/article_details.php?id=311&amp;category=54</t>
  </si>
  <si>
    <t>http://www.fonction-publique.gov.bf/#ja-mainnav</t>
  </si>
  <si>
    <t>http://www.burundi-gov.bi/Missions-du-Ministere-de-l,1539</t>
  </si>
  <si>
    <t>http://www.burundi-gov.bi/Missions-du-Ministere-de-la</t>
  </si>
  <si>
    <t>http://www.sld.cu</t>
  </si>
  <si>
    <t>http://www.dominica.gov.dm/education-and-human-resource-development</t>
  </si>
  <si>
    <t>http://www.gov.gd/ministries/social_development.html</t>
  </si>
  <si>
    <t>http://2010-2014.kormany.hu/hu/emberi-eroforrasok-miniszteriuma</t>
  </si>
  <si>
    <t>http://www.education.gov.mr/MauritanieMen/Home.aspx</t>
  </si>
  <si>
    <t>http://www.modernisation.gov.mr/MEIFP/Arhome</t>
  </si>
  <si>
    <t>http://www.mzd.gov.me/en/ministry?alphabet=lat</t>
  </si>
  <si>
    <t>http://www.mrs.gov.me/en/ministry?alphabet=lat</t>
  </si>
  <si>
    <t>http://www.mohp.gov.np/english/home/index.php</t>
  </si>
  <si>
    <t>http://www.regjeringen.no/en/dep/hod.html?id=421</t>
  </si>
  <si>
    <t>http://www.regjeringen.no/en/dep/kd.html?id=586</t>
  </si>
  <si>
    <t>http://www.regjeringen.no/en/dep/asd.html?id=165</t>
  </si>
  <si>
    <t>http://www.regjeringen.no/en/dep/asd.html?id=166</t>
  </si>
  <si>
    <t>http://www.regjeringen.no/en/dep/fin.html?id=216</t>
  </si>
  <si>
    <t>http://www.portugal.gov.pt/pt/os-ministerios/ministerio-da-educacao-e-ciencia.aspx</t>
  </si>
  <si>
    <t>http://www.portugal.gov.pt/pt/os-ministerios/ministerio-da-solidariedade-e-seguranca-social.aspx</t>
  </si>
  <si>
    <t>http://www.portugal.gov.pt/pt/os-ministerios/ministerio-da-economia-e-do-emprego.aspx</t>
  </si>
  <si>
    <t>http://www.goss.org/index.php/ministries/general-education</t>
  </si>
  <si>
    <t>http://www.goss.org/index.php/ministries/labour-and-public-service</t>
  </si>
  <si>
    <t>http://www.gov.sz/index.php?option=com_content&amp;view=article&amp;id=267&amp;Itemid=403</t>
  </si>
  <si>
    <t>http://www.gov.sz/index.php?option=com_content&amp;view=article&amp;id=208&amp;Itemid=113</t>
  </si>
  <si>
    <t>http://www.gov.sz/index.php?option=com_content&amp;view=article&amp;id=242&amp;Itemid=311</t>
  </si>
  <si>
    <t>http://www.gov.sz/index.php?option=com_content&amp;view=article&amp;id=277&amp;Itemid=405</t>
  </si>
  <si>
    <t>http://www.mic.gov.to/ministrydepartment/14-govt-ministries/moet</t>
  </si>
  <si>
    <t>https://www.gov.uk/government/organisations/department-of-health</t>
  </si>
  <si>
    <t>https://www.gov.uk/government/organisations/department-for-education</t>
  </si>
  <si>
    <t>http://www.yemen.gov.ye/portal/Default.aspx?alias=www.yemen.gov.ye/portal/education</t>
  </si>
  <si>
    <t>http://www.yemen.gov.ye/portal/mosal/%D8%A7%D9%84%D9%88%D8%B2%D9%8A%D8%B1/tabid/2203/Default.aspx</t>
  </si>
  <si>
    <t>http://www.yemen.gov.ye/portal/default.aspx?tabid=400</t>
  </si>
  <si>
    <t>http://www.Education.gov.ag</t>
  </si>
  <si>
    <t>http://www.minedu.unibel.by</t>
  </si>
  <si>
    <t>http://www.minsante.cm</t>
  </si>
  <si>
    <t>http://www.ministeriodesalud.go.cr</t>
  </si>
  <si>
    <t>http://www.see.gob.do</t>
  </si>
  <si>
    <t>http://www.nosi.gov.eg</t>
  </si>
  <si>
    <t>http://www.health.gov.gd</t>
  </si>
  <si>
    <t>http://www.salute.gov.it</t>
  </si>
  <si>
    <t>http://www.miur.it</t>
  </si>
  <si>
    <t>http://www.lavoro.gov.it</t>
  </si>
  <si>
    <t>http://www.med.kg</t>
  </si>
  <si>
    <t>http://www.smm.lt</t>
  </si>
  <si>
    <t>http://www.ms.etat.lu</t>
  </si>
  <si>
    <t>http://www.mte.public.lu</t>
  </si>
  <si>
    <t>http://www.mss.public.lu</t>
  </si>
  <si>
    <t>http://www.sante.gov.mg</t>
  </si>
  <si>
    <t>http://www.moh.gov.om</t>
  </si>
  <si>
    <t>http://www.moe.gov.om</t>
  </si>
  <si>
    <t>http://www.manpower.gov.om</t>
  </si>
  <si>
    <t>http://www.minedu.gob.pe</t>
  </si>
  <si>
    <t>http://www.bag.admin.ch</t>
  </si>
  <si>
    <t>http://www.sbf.admin.ch</t>
  </si>
  <si>
    <t>http://www.seco.admin.ch</t>
  </si>
  <si>
    <t>http://www.m-society.go.th</t>
  </si>
  <si>
    <t>http://www.mtsp.gov.mk</t>
  </si>
  <si>
    <t>http://www.minfin.gov.tm</t>
  </si>
  <si>
    <t>http://www.gov.uk/dwp</t>
  </si>
  <si>
    <t>http://www.commerce.gov.af</t>
  </si>
  <si>
    <t>http://www.mpcs.gov.al</t>
  </si>
  <si>
    <t>http://www.sante.dz</t>
  </si>
  <si>
    <t>http://www.xena.ad</t>
  </si>
  <si>
    <t>http://www.ab.gov.ag/article_details.php?id=314&amp;category=54</t>
  </si>
  <si>
    <t>http://www.msal.gov.ar</t>
  </si>
  <si>
    <t>http://www.me.gov.ar</t>
  </si>
  <si>
    <t>http://www.mfe.am</t>
  </si>
  <si>
    <t>http://www.health.gov.au</t>
  </si>
  <si>
    <t>http://www.bmgfj.gv.at</t>
  </si>
  <si>
    <t>http://www.bmukk.gv.at</t>
  </si>
  <si>
    <t>http://www.moh.gov.bh</t>
  </si>
  <si>
    <t>http://www.moe.gov.bh</t>
  </si>
  <si>
    <t>http://www.lmra.bh</t>
  </si>
  <si>
    <t>http://www.social.gov.bh</t>
  </si>
  <si>
    <t>http://www.enseignement.be</t>
  </si>
  <si>
    <t>http://www.emploi.belgique.be</t>
  </si>
  <si>
    <t>http://www.socialsecurity.fgov.be</t>
  </si>
  <si>
    <t>http://www.minfin.fgov.be</t>
  </si>
  <si>
    <t>http://www.fmon.gov.ba</t>
  </si>
  <si>
    <t>http://www.moh.gov.bw</t>
  </si>
  <si>
    <t>http://www.moh.gov.bn</t>
  </si>
  <si>
    <t>http://www.moe.edu.bn</t>
  </si>
  <si>
    <t>http://www.japem.gov.bn</t>
  </si>
  <si>
    <t>http://www.moh.gov.kh</t>
  </si>
  <si>
    <t>http://www.moeys.gov.kh</t>
  </si>
  <si>
    <t>http://www.minesup.gov.cm</t>
  </si>
  <si>
    <t>http://www.impots.gov.cm</t>
  </si>
  <si>
    <t>http://www.hc-sc.gc.ca</t>
  </si>
  <si>
    <t>http://www.mintrab.cl</t>
  </si>
  <si>
    <t>http://www.economia.cl</t>
  </si>
  <si>
    <t>http://www.moh.gov.cn</t>
  </si>
  <si>
    <t>http://www.mep.go.cr</t>
  </si>
  <si>
    <t>http://www.sante.gouv.ci</t>
  </si>
  <si>
    <t>http://www.education.gouv.ci</t>
  </si>
  <si>
    <t>http://www.fonctionpublique.gouv.ci</t>
  </si>
  <si>
    <t>http://www.mzss.hr</t>
  </si>
  <si>
    <t>http://www.mzos.hr</t>
  </si>
  <si>
    <t>http://www.mingorp.hr</t>
  </si>
  <si>
    <t>http://www.mtss.cu</t>
  </si>
  <si>
    <t>http://www.moh.gov.cy</t>
  </si>
  <si>
    <t>http://www.moec.gov.cy</t>
  </si>
  <si>
    <t>http://www.mlsi.gov.cy</t>
  </si>
  <si>
    <t>http://www.mzcr.cz</t>
  </si>
  <si>
    <t>http://www.msmt.cz</t>
  </si>
  <si>
    <t>http://www.mpsv.cz</t>
  </si>
  <si>
    <t>http://www.minisanterdc.cd</t>
  </si>
  <si>
    <t>http://www.sespas.gob.do</t>
  </si>
  <si>
    <t>http://www.set.gov.do</t>
  </si>
  <si>
    <t>http://www.mtps.gob.sv</t>
  </si>
  <si>
    <t>http://www.sm.ee</t>
  </si>
  <si>
    <t>http://www.labour.gov.fj</t>
  </si>
  <si>
    <t>http://www.sante.gouv.fr</t>
  </si>
  <si>
    <t>http://www.education.gouv.fr</t>
  </si>
  <si>
    <t>http://www.travail-solidarite.gouv.fr</t>
  </si>
  <si>
    <t>http://www.moh.gov.ge</t>
  </si>
  <si>
    <t>http://www.mes.gov.ge</t>
  </si>
  <si>
    <t>http://www.bmg.bund.de</t>
  </si>
  <si>
    <t>http://www.bmbf.de</t>
  </si>
  <si>
    <t>http://www.bmas.bund.de</t>
  </si>
  <si>
    <t>http://www.ypakp.gr</t>
  </si>
  <si>
    <t>http://www.mspas.gob.gt</t>
  </si>
  <si>
    <t>http://www.salud.gob.hn</t>
  </si>
  <si>
    <t>http://www.se.gob.hn</t>
  </si>
  <si>
    <t>http://www.trabajo.gob.hn</t>
  </si>
  <si>
    <t>http://www.menntamalaraduneyti.is</t>
  </si>
  <si>
    <t>http://education.nic.in</t>
  </si>
  <si>
    <t>http://moh.gov.my</t>
  </si>
  <si>
    <t>http://www.kpwkm.gov.my</t>
  </si>
  <si>
    <t>http://www.mfss.gov.mt</t>
  </si>
  <si>
    <t>http://www.sante.gov.ma</t>
  </si>
  <si>
    <t>http://www.emploi.gov.ma</t>
  </si>
  <si>
    <t>http://www.mec.gov.py</t>
  </si>
  <si>
    <t>http://www.mjt.gov.py</t>
  </si>
  <si>
    <t>http://www.ms.gov.md</t>
  </si>
  <si>
    <t>http://www.edu.gov.md</t>
  </si>
  <si>
    <t>http://www.mmssf.ro</t>
  </si>
  <si>
    <t>http://www.mineduc.gov.rw</t>
  </si>
  <si>
    <t>http://www.mcil.gov.ws</t>
  </si>
  <si>
    <t>http://www.educazione.sm</t>
  </si>
  <si>
    <t>http://www.sante.gouv.sn</t>
  </si>
  <si>
    <t>http://www.education.gouv.sn</t>
  </si>
  <si>
    <t>http://www.moe.gov.sg</t>
  </si>
  <si>
    <t>http://www.minedu.sk</t>
  </si>
  <si>
    <t>http://www.mviv.es</t>
  </si>
  <si>
    <t>http://www.molisa.gov.vn</t>
  </si>
  <si>
    <t>http://www.moph.gov.af</t>
  </si>
  <si>
    <t>http://www.moe.gov.af</t>
  </si>
  <si>
    <t>http://www.shendetesia.gov.al</t>
  </si>
  <si>
    <t>http://www.arsimi.gov.al</t>
  </si>
  <si>
    <t>http://www.sociale.gov.al</t>
  </si>
  <si>
    <t>http://www.education.gov.dz</t>
  </si>
  <si>
    <t>http://www.mtess.gov.dz</t>
  </si>
  <si>
    <t>http://www.mtess.gov.dz/mtss_fr_N</t>
  </si>
  <si>
    <t>http://www.treball.ad</t>
  </si>
  <si>
    <t>http://www.minsa.gov.ao</t>
  </si>
  <si>
    <t>http://www.med.gov.ao</t>
  </si>
  <si>
    <t>http://www.mapess.gv.ao</t>
  </si>
  <si>
    <t>http://www.minars.gov.ao</t>
  </si>
  <si>
    <t>http://www.moh.am</t>
  </si>
  <si>
    <t>http://www.edu.am</t>
  </si>
  <si>
    <t>http://employment.gov.au</t>
  </si>
  <si>
    <t>http://www.sozialministerium.at//cms/siteEN</t>
  </si>
  <si>
    <t>http://www.sehiyye.gov.az</t>
  </si>
  <si>
    <t>http://edu.gov.az</t>
  </si>
  <si>
    <t>http://www.bahamaseducation.com</t>
  </si>
  <si>
    <t>http://www.bahamas.gov.bs/labour</t>
  </si>
  <si>
    <t>http://www.mohfw.gov.bd</t>
  </si>
  <si>
    <t>http://www.mole.gov.bd</t>
  </si>
  <si>
    <t>http://www.msw.gov.bd</t>
  </si>
  <si>
    <t>http://health.gov.bb</t>
  </si>
  <si>
    <t>http://www.mes.gov.bb</t>
  </si>
  <si>
    <t>https://labour.gov.bb</t>
  </si>
  <si>
    <t>http://www.socialcare.gov.bb</t>
  </si>
  <si>
    <t>http://www.minzdrav.by</t>
  </si>
  <si>
    <t>http://www.minfin.gov.by</t>
  </si>
  <si>
    <t>http://www.health.gov.bz</t>
  </si>
  <si>
    <t>http://labour.gov.bz/index.php/en</t>
  </si>
  <si>
    <t>http://www.humandevelopment.gov.bz</t>
  </si>
  <si>
    <t>http://www.offebenin.org</t>
  </si>
  <si>
    <t>http://finances.bj</t>
  </si>
  <si>
    <t>http://www.health.gov.bt</t>
  </si>
  <si>
    <t>http://www.molhr.gov.bt</t>
  </si>
  <si>
    <t>http://www.sns.gob.bo</t>
  </si>
  <si>
    <t>http://www.minedu.gob.bo</t>
  </si>
  <si>
    <t>http://www.fmoh.gov.ba</t>
  </si>
  <si>
    <t>http://www.fmrsp.gov.ba</t>
  </si>
  <si>
    <t>http://www.gov.bw/en/ministries--authorities/ministries/ministry-of-education-moe</t>
  </si>
  <si>
    <t>http://www.gov.bw/en/Ministries--Authorities/Ministries/Ministry-of-Labour--Home-Affairs-MLHA</t>
  </si>
  <si>
    <t>http://portal.mec.gov.br</t>
  </si>
  <si>
    <t>http://www.mte.gov.br</t>
  </si>
  <si>
    <t>http://www.previdencia.gov.br</t>
  </si>
  <si>
    <t>http://www.labour.gov.bn</t>
  </si>
  <si>
    <t>http://www.sante.gov.bf</t>
  </si>
  <si>
    <t>http://www.meba.gov.bf</t>
  </si>
  <si>
    <t>http://www.emploi.gov.bf</t>
  </si>
  <si>
    <t>http://www.minisante.bi</t>
  </si>
  <si>
    <t>http://english.finances.gov.bi</t>
  </si>
  <si>
    <t>http://www.mlvt.gov.kh</t>
  </si>
  <si>
    <t>http://www.mosvy.gov.kh</t>
  </si>
  <si>
    <t>http://www.mintss.gov.cm/fr</t>
  </si>
  <si>
    <t>http://www.minas.cm</t>
  </si>
  <si>
    <t>http://www.hrsdc.gc.ca</t>
  </si>
  <si>
    <t>http://www.mjedrh.org</t>
  </si>
  <si>
    <t>http://www.sante-tchad.org</t>
  </si>
  <si>
    <t>http://mestchad.blogspot.com</t>
  </si>
  <si>
    <t>http://www.pamfip.org</t>
  </si>
  <si>
    <t>http://web.minsal.cl</t>
  </si>
  <si>
    <t>http://www.mineduc.cl</t>
  </si>
  <si>
    <t>http://www.ministeriodesarrollosocial.gob.cl</t>
  </si>
  <si>
    <t>http://www.moe.edu.cn</t>
  </si>
  <si>
    <t>http://www.minsalud.gov.co</t>
  </si>
  <si>
    <t>http://www.mineducacion.gov.co</t>
  </si>
  <si>
    <t>http://www.mintrabajo.gov.co</t>
  </si>
  <si>
    <t>http://www.mtss.go.cr</t>
  </si>
  <si>
    <t>http://foros.ccss.sa.cr</t>
  </si>
  <si>
    <t>http://www.formation.gouv.ci</t>
  </si>
  <si>
    <t>http://www.mspm.hr</t>
  </si>
  <si>
    <t>http://www.eduquepsp.cd</t>
  </si>
  <si>
    <t>http://www.mintravail.gouv.cd</t>
  </si>
  <si>
    <t>http://minfinrdc.com/minfin</t>
  </si>
  <si>
    <t>http://www.sum.dk</t>
  </si>
  <si>
    <t>http://www.uvm.dk</t>
  </si>
  <si>
    <t>http://uk.bm.dk</t>
  </si>
  <si>
    <t>http://www.sm.dk</t>
  </si>
  <si>
    <t>http://health.gov.dm</t>
  </si>
  <si>
    <t>http://nationalsecurity.gov.dm</t>
  </si>
  <si>
    <t>http://socialservices.gov.dm</t>
  </si>
  <si>
    <t>http://finance.gov.dm</t>
  </si>
  <si>
    <t>http://www.salud.gob.ec</t>
  </si>
  <si>
    <t>http://educacion.gob.ec</t>
  </si>
  <si>
    <t>http://www.relacioneslaborales.gob.ec</t>
  </si>
  <si>
    <t>http://www.inclusion.gob.ec</t>
  </si>
  <si>
    <t>http://www.finanzas.gob.ec</t>
  </si>
  <si>
    <t>http://www.salud.gob.sv</t>
  </si>
  <si>
    <t>http://www.emta.ee</t>
  </si>
  <si>
    <t>http://www.moh.gov.et</t>
  </si>
  <si>
    <t>http://www.moe.gov.et</t>
  </si>
  <si>
    <t>http://www.molsa.gov.et</t>
  </si>
  <si>
    <t>http://www.health.gov.fj</t>
  </si>
  <si>
    <t>http://www.stm.fi</t>
  </si>
  <si>
    <t>http://www.minedu.fi</t>
  </si>
  <si>
    <t>http://www.mol.fi</t>
  </si>
  <si>
    <t>http://www.vm.fi</t>
  </si>
  <si>
    <t>http://moh.gov.gm</t>
  </si>
  <si>
    <t>http://www.motie.gov.gm</t>
  </si>
  <si>
    <t>http://moh-ghana.org</t>
  </si>
  <si>
    <t>http://moe.gov.gh</t>
  </si>
  <si>
    <t>http://www.labourdepartment.gov.gh</t>
  </si>
  <si>
    <t>http://www.moh.gov.gr</t>
  </si>
  <si>
    <t>http://minedu.gov.gr</t>
  </si>
  <si>
    <t>http://www.mlhsss.gov.gy</t>
  </si>
  <si>
    <t>http://mspp.gouv.ht</t>
  </si>
  <si>
    <t>http://eduhaiti.gouv.ht</t>
  </si>
  <si>
    <t>http://mast.gouv.ht</t>
  </si>
  <si>
    <t>http://mefhaiti.gouv.ht</t>
  </si>
  <si>
    <t>http://www.felagsmalaraduneyti.is</t>
  </si>
  <si>
    <t>http://www.mohfw.nic.in</t>
  </si>
  <si>
    <t>http://labour.gov.in</t>
  </si>
  <si>
    <t>http://socialjustice.nic.in</t>
  </si>
  <si>
    <t>http://finmin.nic.in</t>
  </si>
  <si>
    <t>http://www.kemsos.go.id</t>
  </si>
  <si>
    <t>http://www.medu.ir</t>
  </si>
  <si>
    <t>http://www.moh.gov.iq</t>
  </si>
  <si>
    <t>http://www.molsa.gov.iq/ar</t>
  </si>
  <si>
    <t>http://www.dohc.ie</t>
  </si>
  <si>
    <t>http://www.entemp.ie</t>
  </si>
  <si>
    <t>http://www.welfare.ie</t>
  </si>
  <si>
    <t>http://www.tamas.gov.il</t>
  </si>
  <si>
    <t>http://www.moh.gov.jm</t>
  </si>
  <si>
    <t>http://www.moe.gov.jm</t>
  </si>
  <si>
    <t>http://www.mlss.gov.jm</t>
  </si>
  <si>
    <t>http://www.mhlw.go.jp</t>
  </si>
  <si>
    <t>http://www.mext.go.jp</t>
  </si>
  <si>
    <t>http://www.moe.gov.jo</t>
  </si>
  <si>
    <t>http://www.mol.gov.jo</t>
  </si>
  <si>
    <t>http://www.mosd.gov.jo</t>
  </si>
  <si>
    <t>http://www.health.go.ke</t>
  </si>
  <si>
    <t>http://www.labour.go.ke</t>
  </si>
  <si>
    <t>http://www.moe.gov.ki</t>
  </si>
  <si>
    <t>http://www.labour.gov.ki</t>
  </si>
  <si>
    <t>http://www.moh.gov.la</t>
  </si>
  <si>
    <t>http://www.moe.gov.la</t>
  </si>
  <si>
    <t>http://www.ssolao.gov.la</t>
  </si>
  <si>
    <t>http://www.vm.gov.lv</t>
  </si>
  <si>
    <t>http://izm.izm.gov.lv</t>
  </si>
  <si>
    <t>http://www.nva.lv</t>
  </si>
  <si>
    <t>http://www.lm.gov.lv</t>
  </si>
  <si>
    <t>http://www.moph.gov.lb</t>
  </si>
  <si>
    <t>http://www.mehe.gov.lb</t>
  </si>
  <si>
    <t>http://www.labor.gov.lb</t>
  </si>
  <si>
    <t>http://www.socialaffairs.gov.lb</t>
  </si>
  <si>
    <t>http://www.health.gov.ls</t>
  </si>
  <si>
    <t>http://www.mohsw.gov.lr</t>
  </si>
  <si>
    <t>http://www.moe.gov.lr</t>
  </si>
  <si>
    <t>http://health.gov.ly/web</t>
  </si>
  <si>
    <t>http://www.edu.gov.ly</t>
  </si>
  <si>
    <t>http://labour.gov.ly/web</t>
  </si>
  <si>
    <t>http://www.llv.li</t>
  </si>
  <si>
    <t>http://www.education.gov.mg</t>
  </si>
  <si>
    <t>http://www.mfptls.gov.mg</t>
  </si>
  <si>
    <t>http://www.mohr.gov.my/index.php</t>
  </si>
  <si>
    <t>http://www.health.gov.mv</t>
  </si>
  <si>
    <t>http://www.finance.gov.mv/v1</t>
  </si>
  <si>
    <t>http://www.sante.gov.ml</t>
  </si>
  <si>
    <t>http://finances.gouv.ml</t>
  </si>
  <si>
    <t>http://mfin.gov.mt</t>
  </si>
  <si>
    <t>http://www.tresor.mr/ar</t>
  </si>
  <si>
    <t>http://ministry-education.gov.mu</t>
  </si>
  <si>
    <t>http://socialsecurity.gov.mu</t>
  </si>
  <si>
    <t>http://www.sep.gob.mx</t>
  </si>
  <si>
    <t>http://www.fsmed.fm</t>
  </si>
  <si>
    <t>http://www.fm/fsmss</t>
  </si>
  <si>
    <t>http://service-public-particuliers.gouv.mc</t>
  </si>
  <si>
    <t>http://www.meds.gov.mn</t>
  </si>
  <si>
    <t>http://www.mol.gov.mn</t>
  </si>
  <si>
    <t>http://www.social.gov.ma</t>
  </si>
  <si>
    <t>http://www.misau.gov.mz</t>
  </si>
  <si>
    <t>http://www.mec.gov.mz</t>
  </si>
  <si>
    <t>http://www.mitrab.gov.mz</t>
  </si>
  <si>
    <t>http://www.moh.gov.mm</t>
  </si>
  <si>
    <t>http://www.mol.gov.mm/en</t>
  </si>
  <si>
    <t>http://www.irdmyanmar.gov.mm/eng</t>
  </si>
  <si>
    <t>http://www.mhss.gov.na</t>
  </si>
  <si>
    <t>http://www.nied.edu.na</t>
  </si>
  <si>
    <t>http://www.mol.gov.na</t>
  </si>
  <si>
    <t>http://www.doe.gov.np</t>
  </si>
  <si>
    <t>http://www.mowcsw.gov.np</t>
  </si>
  <si>
    <t>http://www.mitrab.gob.ni</t>
  </si>
  <si>
    <t>http://www.mifamilia.gob.ni</t>
  </si>
  <si>
    <t>http://www.health.gov.ng</t>
  </si>
  <si>
    <t>http://mosd.gov.om</t>
  </si>
  <si>
    <t>http://www.hec.gov.pk</t>
  </si>
  <si>
    <t>http://palaugov.org/executive-branch/ministries/health</t>
  </si>
  <si>
    <t>http://www.palaumoe.net</t>
  </si>
  <si>
    <t>http://palaugov.org/executive-branch/ministries/community</t>
  </si>
  <si>
    <t>http://palaugov.org/executive-branch/ministries/finance</t>
  </si>
  <si>
    <t>http://www.minsa.gob.pa</t>
  </si>
  <si>
    <t>http://www.meduca.gob.pa</t>
  </si>
  <si>
    <t>http://www.mitradel.gob.pa</t>
  </si>
  <si>
    <t>http://www.mides.gob.pa</t>
  </si>
  <si>
    <t>http://www.health.gov.pg</t>
  </si>
  <si>
    <t>http://www.ned.gov.pg</t>
  </si>
  <si>
    <t>http://www.minsa.gob.pe</t>
  </si>
  <si>
    <t>http://www.mintra.gob.pe</t>
  </si>
  <si>
    <t>http://www.midis.gob.pe</t>
  </si>
  <si>
    <t>http://www.doh.gov.ph</t>
  </si>
  <si>
    <t>http://www.deped.gov.ph</t>
  </si>
  <si>
    <t>http://www.dole.gov.ph</t>
  </si>
  <si>
    <t>http://www.dswd.gov.ph</t>
  </si>
  <si>
    <t>http://www.sec.gov.qa</t>
  </si>
  <si>
    <t>http://www.molsa.gov.qa</t>
  </si>
  <si>
    <t>http://www.moel.go.kr</t>
  </si>
  <si>
    <t>http://www.mpsfc.gov.md</t>
  </si>
  <si>
    <t>http://www.ms.ro</t>
  </si>
  <si>
    <t>http://www.edu.ro</t>
  </si>
  <si>
    <t>http://www.rosminzdrav.ru</t>
  </si>
  <si>
    <t>http://www.mon.gov.ru</t>
  </si>
  <si>
    <t>http://www.rosmintrud.ru</t>
  </si>
  <si>
    <t>http://www.minfin.ru/en</t>
  </si>
  <si>
    <t>http://www.moh.gov.rw</t>
  </si>
  <si>
    <t>http://www.mifotra.gov.rw</t>
  </si>
  <si>
    <t>http://www.socialsecurity.kn</t>
  </si>
  <si>
    <t>http://mof.gov.kn</t>
  </si>
  <si>
    <t>http://health.govt.lc</t>
  </si>
  <si>
    <t>http://education.govt.lc</t>
  </si>
  <si>
    <t>http://www.finance.gov.lc</t>
  </si>
  <si>
    <t>http://www.health.gov.vc</t>
  </si>
  <si>
    <t>http://www.education.gov.vc</t>
  </si>
  <si>
    <t>http://www.dol.gov.vc</t>
  </si>
  <si>
    <t>http://www.health.gov.ws</t>
  </si>
  <si>
    <t>http://www.mwcsd.gov.ws</t>
  </si>
  <si>
    <t>http://www.salute.sm</t>
  </si>
  <si>
    <t>http://www.min-financas.st</t>
  </si>
  <si>
    <t>http://www.gosi.gov.sa</t>
  </si>
  <si>
    <t>http://zdravlje.gov.rs</t>
  </si>
  <si>
    <t>http://www.mpn.gov.rs</t>
  </si>
  <si>
    <t>http://www.minrzs.gov.rs</t>
  </si>
  <si>
    <t>http://www.mfin.gov.rs</t>
  </si>
  <si>
    <t>http://www.health.gov.sc</t>
  </si>
  <si>
    <t>http://www.employment.gov.sc</t>
  </si>
  <si>
    <t>http://www.src.gov.sc</t>
  </si>
  <si>
    <t>http://mofed.gov.sl</t>
  </si>
  <si>
    <t>http://www.mz.gov.si</t>
  </si>
  <si>
    <t>http://www.moh.somaligov.net</t>
  </si>
  <si>
    <t>http://moesomalia.net</t>
  </si>
  <si>
    <t>http://www.mof.gov.so</t>
  </si>
  <si>
    <t>http://www.doh.gov.za</t>
  </si>
  <si>
    <t>http://www.labour.gov.za</t>
  </si>
  <si>
    <t>http://www.dsd.gov.za</t>
  </si>
  <si>
    <t>http://www.empleo.gob.es</t>
  </si>
  <si>
    <t>http://www.meh.es</t>
  </si>
  <si>
    <t>http://www.moe.gov.lk</t>
  </si>
  <si>
    <t>http://www.labour.gov.lk</t>
  </si>
  <si>
    <t>http://www.fmoh.gov.sd</t>
  </si>
  <si>
    <t>http://www.moe.gov.sd</t>
  </si>
  <si>
    <t>http://www.hrl.gov.sd</t>
  </si>
  <si>
    <t>http://www.welfare.gov.sd</t>
  </si>
  <si>
    <t>http://health.gov.sr</t>
  </si>
  <si>
    <t>http://education.gov.sr</t>
  </si>
  <si>
    <t>http://atm.gov.sr</t>
  </si>
  <si>
    <t>http://socialaffairs.gov.sr</t>
  </si>
  <si>
    <t>http://finance.gov.sr</t>
  </si>
  <si>
    <t>http://www.bsv.admin.ch</t>
  </si>
  <si>
    <t>http://www.moh.gov.sy</t>
  </si>
  <si>
    <t>http://syrianeducation.org.sy/site</t>
  </si>
  <si>
    <t>http://www.syrianfinance.gov.sy</t>
  </si>
  <si>
    <t>http://www.health.tj</t>
  </si>
  <si>
    <t>http://controleducation.tj</t>
  </si>
  <si>
    <t>http://www.mehnat.tj</t>
  </si>
  <si>
    <t>http://www.moph.go.th</t>
  </si>
  <si>
    <t>http://www.moe.go.th</t>
  </si>
  <si>
    <t>http://www.labour.go.th</t>
  </si>
  <si>
    <t>http://www.moh.gov.mk</t>
  </si>
  <si>
    <t>http://www.moh.gov.tl</t>
  </si>
  <si>
    <t>http://www.sante.gouv.tg</t>
  </si>
  <si>
    <t>http://www.educ.tg</t>
  </si>
  <si>
    <t>http://finances.gouv.tg</t>
  </si>
  <si>
    <t>http://www.mctl.gov.to</t>
  </si>
  <si>
    <t>http://www.health.gov.tt</t>
  </si>
  <si>
    <t>http://www.moe.gov.tt</t>
  </si>
  <si>
    <t>http://www.labour.gov.tt</t>
  </si>
  <si>
    <t>http://www2.mpsd.gov.tt</t>
  </si>
  <si>
    <t>http://www.education.gov.tn</t>
  </si>
  <si>
    <t>http://www.emploi.gov.tn</t>
  </si>
  <si>
    <t>http://saglik.gov.tr</t>
  </si>
  <si>
    <t>http://www.meb.gov.tr</t>
  </si>
  <si>
    <t>http://www.csgb.gov.tr</t>
  </si>
  <si>
    <t>http://www.saglykhm.gov.tm</t>
  </si>
  <si>
    <t>http://mlsp.gov.tm</t>
  </si>
  <si>
    <t>http://www.health.go.ug</t>
  </si>
  <si>
    <t>http://www.mglsd.go.ug</t>
  </si>
  <si>
    <t>http://www.moz.gov.ua</t>
  </si>
  <si>
    <t>http://www.mon.gov.ua</t>
  </si>
  <si>
    <t>http://www.mlsp.gov.ua</t>
  </si>
  <si>
    <t>http://www.moh.gov.ae</t>
  </si>
  <si>
    <t>http://www.moe.gov.ae</t>
  </si>
  <si>
    <t>http://www.mol.gov.ae</t>
  </si>
  <si>
    <t>http://www.msa.gov.ae</t>
  </si>
  <si>
    <t>http://www.moh.go.tz</t>
  </si>
  <si>
    <t>http://www.moe.go.tz</t>
  </si>
  <si>
    <t>http://www.hhs.gov</t>
  </si>
  <si>
    <t>http://www.ed.gov</t>
  </si>
  <si>
    <t>http://www.dol.gov</t>
  </si>
  <si>
    <t>http://www.treasury.gov</t>
  </si>
  <si>
    <t>http://www.mtss.gub.uy</t>
  </si>
  <si>
    <t>http://mides.gub.uy</t>
  </si>
  <si>
    <t>http://www.minzdrav.uz</t>
  </si>
  <si>
    <t>http://www.uzedu.uz</t>
  </si>
  <si>
    <t>http://www.mehnat.uz</t>
  </si>
  <si>
    <t>https://doft.gov.vu</t>
  </si>
  <si>
    <t>http://www.minpptrass.gob.ve</t>
  </si>
  <si>
    <t>http://www.mophp-ye.org</t>
  </si>
  <si>
    <t>http://www.moh.gov.zm</t>
  </si>
  <si>
    <t>http://www.moe.gov.zm</t>
  </si>
  <si>
    <t>http://www.jobs.gov.zm</t>
  </si>
  <si>
    <t>http://www.mohcc.gov.zw</t>
  </si>
  <si>
    <t>http://www.mopse.gov.zw</t>
  </si>
  <si>
    <t>http://www.publicservice.gov.zw</t>
  </si>
  <si>
    <t>http://portal.moe.gov.eg</t>
  </si>
  <si>
    <t>http://www.minfin.gov.ua/</t>
  </si>
  <si>
    <t>http://www.ab.gov.ag</t>
  </si>
  <si>
    <t>http://www.burundi-gov.bi</t>
  </si>
  <si>
    <t>http://www.governo.bissau.net/</t>
  </si>
  <si>
    <t>http://www.gov.rw/National-ID</t>
  </si>
  <si>
    <t>http://www.servicepublic.gouv.sn</t>
  </si>
  <si>
    <t>https://eservice.egov.sc/eGateway/homepage.aspx</t>
  </si>
  <si>
    <t>https://www.slovensko.sk/sk/eid/_eid-karta</t>
  </si>
  <si>
    <t>http://www.saime.gob.ve/servicio_categories/1cedulacion/</t>
  </si>
  <si>
    <t>http://www.zambia.gov.zm/index.php/citizens/2013-01-17-13-32-40/national-id</t>
  </si>
  <si>
    <t>https://www.luxtrust.lu/fr</t>
  </si>
  <si>
    <t>http://www.publicdebtnet.org/public/links/index.html</t>
  </si>
  <si>
    <t>DMFAS Sistema de Gestão da Dívida e Análise Financeira</t>
  </si>
  <si>
    <t>https://www.eparaksts.lv/en/eid-card/eid-users/</t>
  </si>
  <si>
    <t>http://www.skatteetaten.no</t>
  </si>
  <si>
    <t>yes</t>
  </si>
  <si>
    <t>Congo, Rep.</t>
  </si>
  <si>
    <t>Year</t>
  </si>
  <si>
    <t>ME</t>
  </si>
  <si>
    <t>PS</t>
  </si>
  <si>
    <t>SB</t>
  </si>
  <si>
    <t>SS</t>
  </si>
  <si>
    <t>TL</t>
  </si>
  <si>
    <t>XK</t>
  </si>
  <si>
    <t>Literacy %</t>
  </si>
  <si>
    <t>Birth Reg %</t>
  </si>
  <si>
    <t>National ID</t>
  </si>
  <si>
    <t>e-ID URL</t>
  </si>
  <si>
    <t>e-ID</t>
  </si>
  <si>
    <t>e-ID Services</t>
  </si>
  <si>
    <t>Pov (%p)</t>
  </si>
  <si>
    <t>YearN</t>
  </si>
  <si>
    <t>PovN (%p)</t>
  </si>
  <si>
    <t>People</t>
  </si>
  <si>
    <t>PeopleN</t>
  </si>
  <si>
    <t>–</t>
  </si>
  <si>
    <t>Off Lang</t>
  </si>
  <si>
    <t>BR Urban</t>
  </si>
  <si>
    <t>BR Rural</t>
  </si>
  <si>
    <t>BR Ref Yr</t>
  </si>
  <si>
    <t>Urban</t>
  </si>
  <si>
    <t>Rural</t>
  </si>
  <si>
    <t>FY05/06</t>
  </si>
  <si>
    <t>Poverty (WBG)</t>
  </si>
  <si>
    <t>http://www.skra.is</t>
  </si>
  <si>
    <t>CRVS Rapid Assessment</t>
  </si>
  <si>
    <t>Comprehensive Assessment</t>
  </si>
  <si>
    <t>CRVS Strategic Plan / Committee</t>
  </si>
  <si>
    <t>Costed Investment Plan</t>
  </si>
  <si>
    <t>CRVS Political Commitment</t>
  </si>
  <si>
    <t>Birth Reg coverage  %</t>
  </si>
  <si>
    <t>Death Reg coverage %</t>
  </si>
  <si>
    <t>Completed</t>
  </si>
  <si>
    <t>Plan</t>
  </si>
  <si>
    <t xml:space="preserve">Health Minister </t>
  </si>
  <si>
    <t>Plan and Committee</t>
  </si>
  <si>
    <t>Through UNESCAP in 2014</t>
  </si>
  <si>
    <t>PAHO regional plan; also with other partners</t>
  </si>
  <si>
    <t xml:space="preserve">PAHO RC commitment </t>
  </si>
  <si>
    <t>Underway</t>
  </si>
  <si>
    <t>CR Minister</t>
  </si>
  <si>
    <t>PAHO regional plan; also other partners</t>
  </si>
  <si>
    <t>PAHO RC commitment</t>
  </si>
  <si>
    <t>Committee</t>
  </si>
  <si>
    <t>Health Minister</t>
  </si>
  <si>
    <t> Completed</t>
  </si>
  <si>
    <t>Plan and Committee </t>
  </si>
  <si>
    <t>Strategic Plan</t>
  </si>
  <si>
    <t xml:space="preserve">Health minister </t>
  </si>
  <si>
    <t xml:space="preserve">Yes </t>
  </si>
  <si>
    <t xml:space="preserve">Health / Finance Ministers </t>
  </si>
  <si>
    <t>PAHO RC</t>
  </si>
  <si>
    <t>Health / Finance Ministers</t>
  </si>
  <si>
    <t xml:space="preserve">Category 1 </t>
  </si>
  <si>
    <t>Plan + Committee</t>
  </si>
  <si>
    <t>Works within PAHO regional plan, &amp; with other partners</t>
  </si>
  <si>
    <t>Category 2</t>
  </si>
  <si>
    <t>Countries which have not yet indicated that they are seeking a comprehensive assessment</t>
  </si>
  <si>
    <t>Category 3</t>
  </si>
  <si>
    <t>Comprehensive assessments underway, or commitment for comprehensive assessments in the immediate future</t>
  </si>
  <si>
    <t>Comprehensive assessment completed, strategic plan advanced, high level political commitment and coord established &amp; active</t>
  </si>
  <si>
    <t>Likely in 2014 through UNESCAP process</t>
  </si>
  <si>
    <t>Planned in 1-3 provinces</t>
  </si>
  <si>
    <t>Indigeneous</t>
  </si>
  <si>
    <t>Pov %</t>
  </si>
  <si>
    <t>Lang</t>
  </si>
  <si>
    <t>Literacy</t>
  </si>
  <si>
    <t>esp</t>
  </si>
  <si>
    <t>http://idbdocs.iadb.org/wsdocs/getdocument.aspx?docnum=1959580</t>
  </si>
  <si>
    <t>IDB Ref URLs</t>
  </si>
  <si>
    <t>http://www.mininterior.gov.ar/renaper/renaper.php</t>
  </si>
  <si>
    <t>Min of Interior</t>
  </si>
  <si>
    <t>http://www.nuevodni.gov.ar/inicio/index.php</t>
  </si>
  <si>
    <t>http://www.nuevodni.gov.ar</t>
  </si>
  <si>
    <t>NID</t>
  </si>
  <si>
    <t>BID</t>
  </si>
  <si>
    <t>http://unstats.un.org/unsd/demographic/products/socind/default.htm</t>
  </si>
  <si>
    <t>Registrar General’s Department</t>
  </si>
  <si>
    <t>http://www.pricegen.com/the-global-civil-registration/</t>
  </si>
  <si>
    <t>Legal</t>
  </si>
  <si>
    <t>Elections</t>
  </si>
  <si>
    <t>Transfers</t>
  </si>
  <si>
    <t>Civil Serv</t>
  </si>
  <si>
    <t>Health</t>
  </si>
  <si>
    <t>Financial</t>
  </si>
  <si>
    <t>Civil Reg</t>
  </si>
  <si>
    <t>Beneficiary</t>
  </si>
  <si>
    <t>Taxpayer</t>
  </si>
  <si>
    <t>CS Reg</t>
  </si>
  <si>
    <t>Business</t>
  </si>
  <si>
    <t>RENAPER (civil registry &amp; ID) "SIBIOS"</t>
  </si>
  <si>
    <t>Electronic Tazkera (ID)</t>
  </si>
  <si>
    <t>Enhancing Legal &amp; Electoral Capacity for Tomorrow (ELECT)</t>
  </si>
  <si>
    <t>Letërnjoftimi (ID)</t>
  </si>
  <si>
    <t>Clave Única de Identificación Tributaria (Tax ID)</t>
  </si>
  <si>
    <t>B.I. (ID)</t>
  </si>
  <si>
    <t>Voter Registration</t>
  </si>
  <si>
    <t>Leg</t>
  </si>
  <si>
    <t>Ele</t>
  </si>
  <si>
    <t>Tra</t>
  </si>
  <si>
    <t>Civ</t>
  </si>
  <si>
    <t>Hea</t>
  </si>
  <si>
    <t>Fin</t>
  </si>
  <si>
    <t>Oth</t>
  </si>
  <si>
    <t>e-ID Yr</t>
  </si>
  <si>
    <t>http://www.lawcourts.gov.bb/Recordbranch.html</t>
  </si>
  <si>
    <t>Barbados Supreme Court / Records Branch</t>
  </si>
  <si>
    <t>NID Yr</t>
  </si>
  <si>
    <t>NID M</t>
  </si>
  <si>
    <t>BID M</t>
  </si>
  <si>
    <t>Category</t>
  </si>
  <si>
    <t>Inv Plan</t>
  </si>
  <si>
    <t>Str Plan/Com</t>
  </si>
  <si>
    <t>Pol Com</t>
  </si>
  <si>
    <t>Cat</t>
  </si>
  <si>
    <t>Rapid A</t>
  </si>
  <si>
    <t>Compr A</t>
  </si>
  <si>
    <t>BR cov %</t>
  </si>
  <si>
    <t>DR cov%</t>
  </si>
  <si>
    <t>Through UNESCAP in 2-14</t>
  </si>
  <si>
    <t>Likely in 2-14 through UNESCAP process</t>
  </si>
  <si>
    <t>1--</t>
  </si>
  <si>
    <t>CRVS (Civil Registration and Vital Statistics)</t>
  </si>
  <si>
    <t>http://en.wikipedia.org/wiki/Category:National_identity_cards_by_country</t>
  </si>
  <si>
    <t>c-ID</t>
  </si>
  <si>
    <t>c-ID Yr</t>
  </si>
  <si>
    <t>c-ID Services</t>
  </si>
  <si>
    <t>http://www.corporateregistersforum.org</t>
  </si>
  <si>
    <t>http://www.companieshouse.gov.uk/links/introduction.shtml#reg</t>
  </si>
  <si>
    <t>http://www.elections.gov.bz</t>
  </si>
  <si>
    <t>CR M</t>
  </si>
  <si>
    <t>http://www.belizejudiciary.org/web/supreme-court/general-registry/</t>
  </si>
  <si>
    <t>http://belizecompaniesregistry.gov.bz</t>
  </si>
  <si>
    <t>10 - 30</t>
  </si>
  <si>
    <t>http://idbdocs.iadb.org/wsdocs/getdocument.aspx?docnum=1963774</t>
  </si>
  <si>
    <t>http://sereci.oep.org.bo/sereci/</t>
  </si>
  <si>
    <t>National Civil Registry</t>
  </si>
  <si>
    <t>0.2 %</t>
  </si>
  <si>
    <t>62 %</t>
  </si>
  <si>
    <t>http://idbdocs.iadb.org/wsdocs/getdocument.aspx?docnum=1964014</t>
  </si>
  <si>
    <t>http://portal.mj.gov.br/data/Pages/MJ01CEB978PTBRIE.htm</t>
  </si>
  <si>
    <t>4.6 %</t>
  </si>
  <si>
    <t>&lt; 1%</t>
  </si>
  <si>
    <t>Servicio de Registro Civil e Identificación (SRCEI)</t>
  </si>
  <si>
    <t>Registro Civil de Brasil</t>
  </si>
  <si>
    <t>http://www.registrocivil.cl</t>
  </si>
  <si>
    <t>http://idbdocs.iadb.org/wsdocs/getdocument.aspx?docnum=1959542</t>
  </si>
  <si>
    <t>13.9 %</t>
  </si>
  <si>
    <t>Registraduría Nacional del Estado Civil (RNEC)</t>
  </si>
  <si>
    <t>http://www.registraduria.gov.co</t>
  </si>
  <si>
    <t>3.5 %</t>
  </si>
  <si>
    <t>Registro Civil</t>
  </si>
  <si>
    <t>http://www.tse.go.cr/rciv.html</t>
  </si>
  <si>
    <t>11.79 %</t>
  </si>
  <si>
    <t>Registro Civil de Ecuador</t>
  </si>
  <si>
    <t>0.36 %</t>
  </si>
  <si>
    <t>Registro Nacional de las Personas Naturales (RNPN)</t>
  </si>
  <si>
    <t>http://www.rnpn.gob.sv</t>
  </si>
  <si>
    <t>41 %</t>
  </si>
  <si>
    <t>&lt; 10 %</t>
  </si>
  <si>
    <t>http://www.renap.gob.gt</t>
  </si>
  <si>
    <t>http://idbdocs.iadb.org/wsdocs/getdocument.aspx?docnum=1963765</t>
  </si>
  <si>
    <t>http://opnew.op.gov.gy</t>
  </si>
  <si>
    <t>http://www.oni.gouv.ht</t>
  </si>
  <si>
    <t>http://portal.oas.org/Portal/Sector/Secretar%C3%ADaGeneral/SEDI/OESEDI/Proyectos/PUICA/Links/tabid/620/Default.aspx</t>
  </si>
  <si>
    <t>http://www.rnp.hn</t>
  </si>
  <si>
    <t>http://www.rgd.gov.jm/overview</t>
  </si>
  <si>
    <t>http://www.moj.gov.jm/node/view/21</t>
  </si>
  <si>
    <t>9.2 %</t>
  </si>
  <si>
    <t>http://www.renapo.gob.mx</t>
  </si>
  <si>
    <t>http://dgcnesyp.inegi.org.mx/cgiwin/ehm.exe/I</t>
  </si>
  <si>
    <t>3.2 %</t>
  </si>
  <si>
    <t>Consejo Supremo Electoral (CSE)</t>
  </si>
  <si>
    <t>&lt; 6</t>
  </si>
  <si>
    <t>Panamá el Tribunal Electoral</t>
  </si>
  <si>
    <t>http://idbdocs.iadb.org/wsdocs/getdocument.aspx?docnum=1959549</t>
  </si>
  <si>
    <t>http://www.tribunal-electoral.gob.pa</t>
  </si>
  <si>
    <t>1.7 %</t>
  </si>
  <si>
    <t>25 - 33</t>
  </si>
  <si>
    <t>Registro del Estado Civil (REC)</t>
  </si>
  <si>
    <t>http://idbdocs.iadb.org/wsdocs/getdocument.aspx?docnum=1959599</t>
  </si>
  <si>
    <t>15.7 %</t>
  </si>
  <si>
    <t>http://www.reniec.gob.pe/portal/intro.htm</t>
  </si>
  <si>
    <t>Junta Central Electoral de República Dominicana</t>
  </si>
  <si>
    <t>http://idbdocs.iadb.org/wsdocs/getdocument.aspx?docnum=1959558</t>
  </si>
  <si>
    <t>http://www.jce.do/web</t>
  </si>
  <si>
    <t>http://www.statistics-suriname.org/index.php/en/Nieuws/Basic-Indicators.html</t>
  </si>
  <si>
    <t>http://www.immigration.gov.tt/applicationloader.asp?app=articles&amp;id=691</t>
  </si>
  <si>
    <t>12.9 %</t>
  </si>
  <si>
    <t>&lt; 2 %</t>
  </si>
  <si>
    <t>http://www.uruguay.gub.uy/dgrec/usuario/form_login.asp</t>
  </si>
  <si>
    <t>1.5 %</t>
  </si>
  <si>
    <t>Consejo Nacional Electoral</t>
  </si>
  <si>
    <t>http://www.cne.gob.ve</t>
  </si>
  <si>
    <t>http://www.onidex.gov.ve</t>
  </si>
  <si>
    <t>CR Dur</t>
  </si>
  <si>
    <t>CR Cost</t>
  </si>
  <si>
    <t>ID Cost</t>
  </si>
  <si>
    <t>Unique</t>
  </si>
  <si>
    <t>40 d</t>
  </si>
  <si>
    <t>ARS 35 ($ 9)</t>
  </si>
  <si>
    <t>DNI (Documento Nacional de Identidad)</t>
  </si>
  <si>
    <t>ARD 9 ($2)</t>
  </si>
  <si>
    <t>21 d</t>
  </si>
  <si>
    <t>3 m</t>
  </si>
  <si>
    <t>12 y</t>
  </si>
  <si>
    <t>BOB 17 ($2.45)</t>
  </si>
  <si>
    <t>15 d</t>
  </si>
  <si>
    <t>Carteria de Identidade</t>
  </si>
  <si>
    <t>R$ 12.85 ($5.95) Varia segun el estado.</t>
  </si>
  <si>
    <t>60 d</t>
  </si>
  <si>
    <r>
      <t>C</t>
    </r>
    <r>
      <rPr>
        <sz val="11"/>
        <rFont val="Calibri"/>
        <family val="2"/>
      </rPr>
      <t>é</t>
    </r>
    <r>
      <rPr>
        <sz val="11"/>
        <rFont val="Calibri"/>
        <family val="2"/>
        <scheme val="minor"/>
      </rPr>
      <t>dula de Identidad</t>
    </r>
  </si>
  <si>
    <t xml:space="preserve">BOB 83 ($11.82) El costo de inscripción solo se hace efective para los mayores de 18 años </t>
  </si>
  <si>
    <t>CH$ 2.78 ($4.75)</t>
  </si>
  <si>
    <r>
      <t xml:space="preserve">RUN (Rol </t>
    </r>
    <r>
      <rPr>
        <sz val="11"/>
        <rFont val="Calibri"/>
        <family val="2"/>
      </rPr>
      <t>Ú</t>
    </r>
    <r>
      <rPr>
        <sz val="11"/>
        <rFont val="Calibri"/>
        <family val="2"/>
        <scheme val="minor"/>
      </rPr>
      <t>nico de Identidad)</t>
    </r>
  </si>
  <si>
    <t>1 m</t>
  </si>
  <si>
    <t>free</t>
  </si>
  <si>
    <r>
      <t>NUIP (N</t>
    </r>
    <r>
      <rPr>
        <sz val="11"/>
        <rFont val="Calibri"/>
        <family val="2"/>
      </rPr>
      <t>ú</t>
    </r>
    <r>
      <rPr>
        <sz val="11"/>
        <rFont val="Calibri"/>
        <family val="2"/>
        <scheme val="minor"/>
      </rPr>
      <t>mero Único de Identidad Personal)</t>
    </r>
  </si>
  <si>
    <r>
      <t>C</t>
    </r>
    <r>
      <rPr>
        <sz val="11"/>
        <rFont val="Calibri"/>
        <family val="2"/>
      </rPr>
      <t>ó</t>
    </r>
    <r>
      <rPr>
        <sz val="11"/>
        <rFont val="Calibri"/>
        <family val="2"/>
        <scheme val="minor"/>
      </rPr>
      <t>digo de Nacimiento</t>
    </r>
  </si>
  <si>
    <t>30 d</t>
  </si>
  <si>
    <t>$2 after 18. $0.5 if regitered in 30 d.</t>
  </si>
  <si>
    <t>DUI (Documento Único de Identidad)</t>
  </si>
  <si>
    <r>
      <t>NUI (N</t>
    </r>
    <r>
      <rPr>
        <sz val="11"/>
        <rFont val="Calibri"/>
        <family val="2"/>
      </rPr>
      <t>ú</t>
    </r>
    <r>
      <rPr>
        <sz val="11"/>
        <rFont val="Calibri"/>
        <family val="2"/>
        <scheme val="minor"/>
      </rPr>
      <t>mero Único de Identidad)</t>
    </r>
  </si>
  <si>
    <t>GTQ 10</t>
  </si>
  <si>
    <t>DPI (Documento Personal de Identidad)</t>
  </si>
  <si>
    <r>
      <t>CUI (C</t>
    </r>
    <r>
      <rPr>
        <sz val="11"/>
        <rFont val="Calibri"/>
        <family val="2"/>
      </rPr>
      <t>ó</t>
    </r>
    <r>
      <rPr>
        <sz val="11"/>
        <rFont val="Calibri"/>
        <family val="2"/>
        <scheme val="minor"/>
      </rPr>
      <t>digo Único de Identificación)</t>
    </r>
  </si>
  <si>
    <t>30/60 d</t>
  </si>
  <si>
    <t>$1 - $5</t>
  </si>
  <si>
    <t>14 d</t>
  </si>
  <si>
    <t>1 y</t>
  </si>
  <si>
    <r>
      <t>Tr</t>
    </r>
    <r>
      <rPr>
        <sz val="11"/>
        <rFont val="Calibri"/>
        <family val="2"/>
      </rPr>
      <t>á</t>
    </r>
    <r>
      <rPr>
        <sz val="11"/>
        <rFont val="Calibri"/>
        <family val="2"/>
        <scheme val="minor"/>
      </rPr>
      <t>mite de reposici</t>
    </r>
    <r>
      <rPr>
        <sz val="11"/>
        <rFont val="Calibri"/>
        <family val="2"/>
      </rPr>
      <t>ó</t>
    </r>
    <r>
      <rPr>
        <sz val="11"/>
        <rFont val="Calibri"/>
        <family val="2"/>
        <scheme val="minor"/>
      </rPr>
      <t>n por omisión sin costo</t>
    </r>
  </si>
  <si>
    <t>Tarjeta de Identidad</t>
  </si>
  <si>
    <t>NUN (Número Único de Nacimiento)</t>
  </si>
  <si>
    <t>Tarjeta nacional de votación</t>
  </si>
  <si>
    <t>Birth Entry Number</t>
  </si>
  <si>
    <t>6 m</t>
  </si>
  <si>
    <t>CURP (Clave Única de Registro de Población)</t>
  </si>
  <si>
    <t>3/30 d</t>
  </si>
  <si>
    <t>PEN 24 ($795)</t>
  </si>
  <si>
    <t>CUI (Código Único de Identificación)</t>
  </si>
  <si>
    <t>Tarjeta nacional de identidad (emitida con fines electorales)</t>
  </si>
  <si>
    <t>10 d</t>
  </si>
  <si>
    <t>UYU$ 108 ($5.19) std. UYU$ 216 ($10.38) urgent</t>
  </si>
  <si>
    <t>20 d</t>
  </si>
  <si>
    <t>CR Org</t>
  </si>
  <si>
    <t>IDB Civil Registration and Identification Database (Sep 2010)</t>
  </si>
  <si>
    <t>National Voting Card / Tarjeta nacional de votación (solo ciudadanos mayores de 18 años)</t>
  </si>
  <si>
    <t>PERP (Preparation of Electoral Roll with Photographs) + National ID</t>
  </si>
  <si>
    <t>LEPI (Liste Electorale Permanente Informatisee)</t>
  </si>
  <si>
    <t>RIU (Registro  Único de Identificación)</t>
  </si>
  <si>
    <t>Biomertic Census</t>
  </si>
  <si>
    <t>PRODEM FFP (smart card bank accounts)</t>
  </si>
  <si>
    <t>Omang (ID)</t>
  </si>
  <si>
    <t>SmartSwitch (banking, transfers)</t>
  </si>
  <si>
    <t>e-Health card (insurance) + VaxTrac (vaccinations)</t>
  </si>
  <si>
    <t>RIC (Registro de Identidade Civil)</t>
  </si>
  <si>
    <t>Cadastro Biométrico (voter
ID, authentication)</t>
  </si>
  <si>
    <t>demobilization, payments</t>
  </si>
  <si>
    <t>military/police, census, civil servant registration</t>
  </si>
  <si>
    <t>UNHCR proGres (refugee tracking)</t>
  </si>
  <si>
    <t>Cadastro Eleitoral</t>
  </si>
  <si>
    <t>Pastoral Production System (population tracking)</t>
  </si>
  <si>
    <t>Civil Registry + National ID</t>
  </si>
  <si>
    <t>National Registry of Civil Status, ID</t>
  </si>
  <si>
    <t>Plena Identidad (voter authentication)</t>
  </si>
  <si>
    <t>Gobierno Digital (voter card, serves as National ID)</t>
  </si>
  <si>
    <t>Cedula de Identidad y Electoral (ID)</t>
  </si>
  <si>
    <t>PNDDR (demobilization, payments)</t>
  </si>
  <si>
    <t>Voter ID</t>
  </si>
  <si>
    <t>DGRCIC “cédula de identidad” (civil registry, ID)</t>
  </si>
  <si>
    <t>RNPN “Documento Único de Identidad” (civil registry, ID)</t>
  </si>
  <si>
    <t>Biometric ID cards (Gelb &amp; Clark - Working Paper - Jan 2013)</t>
  </si>
  <si>
    <t>drivers’ license/vehicle registration</t>
  </si>
  <si>
    <t xml:space="preserve">UNHCR ProGres (refugee tracking) + NIN (taxes) </t>
  </si>
  <si>
    <t>Electronic Voter Register (voter ID)</t>
  </si>
  <si>
    <t>CNAMGS - Carte d'Assurance Maladie (insurance)</t>
  </si>
  <si>
    <t>GAMBIS (ID)</t>
  </si>
  <si>
    <t>NIS (National Identification System) + GhanaCard (ID)</t>
  </si>
  <si>
    <t>Civil Registry, National ID</t>
  </si>
  <si>
    <t>Biometric census of civil  servants</t>
  </si>
  <si>
    <t>Voter registration + ID cards</t>
  </si>
  <si>
    <t>UID/Aadhaar (ID) + National Population Census</t>
  </si>
  <si>
    <t xml:space="preserve">MNREGA &amp; NOAPS (Andhra Pradesh) + PDS (Andhra Pradesh, Orissa, Karnataka) </t>
  </si>
  <si>
    <t>Teacher attendance (Maharashtra,De
lhi) + BMC employee attendance (Mumbai)</t>
  </si>
  <si>
    <t>RSBY insurance + TB medication delivery (Delhi) + Sex worker clinic visits (Bangalore)</t>
  </si>
  <si>
    <t>Biometric ATMs (Kerala) + ICICI Bank/FINO smartcards</t>
  </si>
  <si>
    <t>National Coastal Security Program (ID for fisherman)</t>
  </si>
  <si>
    <t>E-KTPs (ID)</t>
  </si>
  <si>
    <t>Cash Grants for Livelihood
Recovery (relief payments)</t>
  </si>
  <si>
    <t>PT Bank Danamon</t>
  </si>
  <si>
    <t>Civil Service Reform</t>
  </si>
  <si>
    <t>Electronic Voter Registration</t>
  </si>
  <si>
    <t>Hunger Safety Net Program</t>
  </si>
  <si>
    <t>KEMRI/CDC HDSS “CliniPAK” (EHRs)</t>
  </si>
  <si>
    <t>UNHCR ProGres (refugee tracking)</t>
  </si>
  <si>
    <t>EBIRS (Employee Biometric Identification &amp; Records System)</t>
  </si>
  <si>
    <t>Dowa Emergency Cash Transfer (DECT)</t>
  </si>
  <si>
    <t>FPIS (Fingerprint Identification System, treatment monitoring)</t>
  </si>
  <si>
    <t>MALSWITCH OIBM Credit market experiment</t>
  </si>
  <si>
    <t>MyKad (ID)</t>
  </si>
  <si>
    <t>Biometric Census (civil registry &amp; ID)</t>
  </si>
  <si>
    <t>CEDI (ID) &amp; Registro de Menores de Edad</t>
  </si>
  <si>
    <t>Diconsa/Oportunidades payments</t>
  </si>
  <si>
    <t>SINOS (Sistema Nominal en Salud)</t>
  </si>
  <si>
    <t>Drivers’ license / Vehicle registration</t>
  </si>
  <si>
    <t>J-PAL Education CCT</t>
  </si>
  <si>
    <t>BOM (Banco Oportunidade de Moçambique)</t>
  </si>
  <si>
    <t>Basic Income Grant + Universal Pension Scheme</t>
  </si>
  <si>
    <t>Sajilo Banking Sewa (banking, transfers)</t>
  </si>
  <si>
    <t>NIN/GMPC (ID) + MySmartCity Card (Cross River State)</t>
  </si>
  <si>
    <t>National Pension + Project Comfort (Cross River State)</t>
  </si>
  <si>
    <t>IPPIS (payroll &amp; pensions)</t>
  </si>
  <si>
    <t>Project HOPE (Cross River State)</t>
  </si>
  <si>
    <t>Standardized testing (exams) + National SIM Card Registration Project</t>
  </si>
  <si>
    <t>NADRA, CNIC (civil registry, ID)</t>
  </si>
  <si>
    <t>BISP*+ Watan Card* + IDP assistance* + Repatriation grants (UNHCR) [*draw from NADRA]</t>
  </si>
  <si>
    <t>Refugee Proof of Registration, ID + UNHCR ProGres (refugee tracking)</t>
  </si>
  <si>
    <t>Cédula de Identidad (ID + voter card)</t>
  </si>
  <si>
    <t>NIS (New Identification System)</t>
  </si>
  <si>
    <t>RENIEC (civil registry + ID)</t>
  </si>
  <si>
    <t>UMID (social transfers) + 4Ps (payments)</t>
  </si>
  <si>
    <t>BEVS (Biometric Electronic Voting System) for parliamentarians</t>
  </si>
  <si>
    <t>e-Rwanda + Indangamuntu (joint distribution for ID and voter card)</t>
  </si>
  <si>
    <t>Opportunity International Savings Card</t>
  </si>
  <si>
    <t>E-Zwich Banking + Opportunity International Banking)</t>
  </si>
  <si>
    <t>ID cards for refugees</t>
  </si>
  <si>
    <t>HANIS (ID)</t>
  </si>
  <si>
    <t>KZN Joint Municipal Provident Fund + SASSA pensions &amp; transfers</t>
  </si>
  <si>
    <t>AHDSS (EHRs) + PCIS (EHRs) + STAT (treatment monitoring)</t>
  </si>
  <si>
    <t>NSIS (National Security Information System) (ID)</t>
  </si>
  <si>
    <t>NVR (National Photo-Bearing Voters’ Register)</t>
  </si>
  <si>
    <t>MTAC (Microcare Medical Acess Treatment Card)</t>
  </si>
  <si>
    <t>MAP International banking/credit report</t>
  </si>
  <si>
    <t>“Pon tu Huella” voter registration and authentication</t>
  </si>
  <si>
    <t>SonLa RCT (vaccine trial)</t>
  </si>
  <si>
    <t>Civil registry modernization project (ID)</t>
  </si>
  <si>
    <t>BIS (Biometric Information System)</t>
  </si>
  <si>
    <t>Queen of Sheba Safe Motherhood Project (health insurance)</t>
  </si>
  <si>
    <t>WBG ID4D data (Operations Portal)</t>
  </si>
  <si>
    <t>Biometric Voter Registration System</t>
  </si>
  <si>
    <t>www.gambis.gm</t>
  </si>
  <si>
    <t>GAMBIS</t>
  </si>
  <si>
    <t>ID Cards</t>
  </si>
  <si>
    <t>Smard Cards</t>
  </si>
  <si>
    <t>ISO/IEC 7816</t>
  </si>
  <si>
    <t>ISO/IEC 7810</t>
  </si>
  <si>
    <t xml:space="preserve">Gelb et.al. &gt; </t>
  </si>
  <si>
    <t xml:space="preserve">Other &gt; </t>
  </si>
  <si>
    <t>Unreg B</t>
  </si>
  <si>
    <t>Unreg P</t>
  </si>
  <si>
    <t>Personal Verification Card</t>
  </si>
  <si>
    <t>Agence Nationale du Registre des populations et des Titres Sécurisés</t>
  </si>
  <si>
    <t>https://cpr.dk/cpr/site.aspx?p=34</t>
  </si>
  <si>
    <t>National Registration Card</t>
  </si>
  <si>
    <t>Smart Card</t>
  </si>
  <si>
    <t>National ID Card</t>
  </si>
  <si>
    <t>NID (National ID Card)</t>
  </si>
  <si>
    <t>PRC (Resident Identity Card)</t>
  </si>
  <si>
    <t>http://www.mps.gov.cn</t>
  </si>
  <si>
    <t>HKID (Hong Kong Identity Card) </t>
  </si>
  <si>
    <t>http://www.uidai.gov.in</t>
  </si>
  <si>
    <t>MyKad</t>
  </si>
  <si>
    <t>Qatari ID Card</t>
  </si>
  <si>
    <t>National Registration Identity Card</t>
  </si>
  <si>
    <t>National Identity Card</t>
  </si>
  <si>
    <t>http://en.wikipedia.org/wiki/Macau_Resident_Identity_Card</t>
  </si>
  <si>
    <t>Bilhete de identidade</t>
  </si>
  <si>
    <t>http://en.wikipedia.org/wiki/Bilhete_de_identidade_(Mozambique)</t>
  </si>
  <si>
    <t>Citizen Card (Cartão de Cidadão) &lt; Previously: Bilhete de Identidade</t>
  </si>
  <si>
    <t>http://www.cartaodecidadao.pt</t>
  </si>
  <si>
    <t>http://en.wikipedia.org/wiki/Belgian_national_identity_card</t>
  </si>
  <si>
    <t>http://prado.consilium.europa.eu/en/searchbyissuingcountry.html</t>
  </si>
  <si>
    <t>http://en.wikipedia.org/wiki/National_identity_cards_in_the_European_Economic_Area</t>
  </si>
  <si>
    <t>Police and Border Guard Board</t>
  </si>
  <si>
    <t>Police</t>
  </si>
  <si>
    <t>City or town of residence</t>
  </si>
  <si>
    <t>Wójt/Mayor/President of the City</t>
  </si>
  <si>
    <t>SEK 400</t>
  </si>
  <si>
    <t>http://en.wikipedia.org/wiki/Indonesian_identity_card</t>
  </si>
  <si>
    <t>http://en.wikipedia.org/wiki/List_of_national_identity_card_policies_by_country</t>
  </si>
  <si>
    <t>http://en.wikipedia.org/wiki/Privacy_International</t>
  </si>
  <si>
    <t>http://en.wikipedia.org/wiki/Information_privacy</t>
  </si>
  <si>
    <t>http://en.wikipedia.org/wiki/Hong_Kong_Identity_Card</t>
  </si>
  <si>
    <t>Min of Interior and Transportation</t>
  </si>
  <si>
    <t>Smart Card ID (Prev: ID Book)</t>
  </si>
  <si>
    <t>e-KTP (Electronic KTP) &lt; KTP (Kartu Tanda Penduduk)</t>
  </si>
  <si>
    <t>National ID Card (Shenasnameh)</t>
  </si>
  <si>
    <t>National Registration Department of Malaysia</t>
  </si>
  <si>
    <t>NRC (National Registration Card)</t>
  </si>
  <si>
    <t>NADRA</t>
  </si>
  <si>
    <t>http://en.wikipedia.org/wiki/Computerised_National_Identity_Card</t>
  </si>
  <si>
    <t>D 200 ($4.5)</t>
  </si>
  <si>
    <t>http://en.wikipedia.org/wiki/Israeli_identity_card</t>
  </si>
  <si>
    <t>http://www.nadra.gov.pk</t>
  </si>
  <si>
    <t>ICAO standard 9303</t>
  </si>
  <si>
    <t>http://en.wikipedia.org/wiki/National_Identification_Card_(Republic_of_China)</t>
  </si>
  <si>
    <t>http://en.wikipedia.org/wiki/National_identity_card_(Sri_Lanka)</t>
  </si>
  <si>
    <t>http://www.rpd.gov.lk</t>
  </si>
  <si>
    <t>http://en.wikipedia.org/wiki/Thai_national_ID_card</t>
  </si>
  <si>
    <t>http://en.wikipedia.org/wiki/National_Registration_Identity_Card</t>
  </si>
  <si>
    <t>http://www.dopa.go.th</t>
  </si>
  <si>
    <t>http://en.wikipedia.org/wiki/Burmese_nationality_law</t>
  </si>
  <si>
    <t>http://en.wikipedia.org/wiki/MyKad</t>
  </si>
  <si>
    <t>Emirates Identity Authority </t>
  </si>
  <si>
    <t>http://en.wikipedia.org/wiki/Bulgarian_identity_card</t>
  </si>
  <si>
    <t>http://en.wikipedia.org/wiki/Croatian_identity_card</t>
  </si>
  <si>
    <t>http://www.belgium.be/nl/familie/identiteit/</t>
  </si>
  <si>
    <t>http://en.wikipedia.org/wiki/Czech_national_identity_card</t>
  </si>
  <si>
    <t>http://www.mvcr.cz/clanek/osobni-doklady.aspx</t>
  </si>
  <si>
    <t>http://en.wikipedia.org/wiki/Estonian_ID_card</t>
  </si>
  <si>
    <t>http://en.wikipedia.org/wiki/Finnish_identity_card</t>
  </si>
  <si>
    <t>http://en.wikipedia.org/wiki/French_national_identity_card</t>
  </si>
  <si>
    <t>http://en.wikipedia.org/wiki/German_identity_card</t>
  </si>
  <si>
    <t>http://en.wikipedia.org/wiki/Greek_identity_card</t>
  </si>
  <si>
    <t>http://en.wikipedia.org/wiki/Hungarian_identity_card</t>
  </si>
  <si>
    <t>http://en.wikipedia.org/wiki/Italian_electronic_identity_card</t>
  </si>
  <si>
    <t>http://en.wikipedia.org/wiki/Dutch_identity_card</t>
  </si>
  <si>
    <t>http://en.wikipedia.org/wiki/Polish_identity_card</t>
  </si>
  <si>
    <t>http://en.wikipedia.org/wiki/Citizen_Card_(Portugal)</t>
  </si>
  <si>
    <t>http://en.wikipedia.org/wiki/Romanian_identity_card</t>
  </si>
  <si>
    <t>NIF (Número de Identificación Fiscal) </t>
  </si>
  <si>
    <t>http://es.wikipedia.org/wiki/N%C3%BAmero_de_identificaci%C3%B3n_fiscal</t>
  </si>
  <si>
    <t>http://en.wikipedia.org/wiki/Identity_documents_in_Sweden</t>
  </si>
  <si>
    <t>http://en.wikipedia.org/wiki/Albanian_Identity_Card</t>
  </si>
  <si>
    <t>http://en.wikipedia.org/wiki/Belarusian_passport</t>
  </si>
  <si>
    <t>http://en.wikipedia.org/wiki/Bosnian-Herzegovinian_identity_card</t>
  </si>
  <si>
    <t>http://en.wikipedia.org/wiki/Macedonian_identity_card</t>
  </si>
  <si>
    <t>Registru</t>
  </si>
  <si>
    <t>http://en.wikipedia.org/wiki/Moldovan_Identity_Card</t>
  </si>
  <si>
    <t>http://www.registru.md</t>
  </si>
  <si>
    <t>various</t>
  </si>
  <si>
    <t>130 Lei ($10)</t>
  </si>
  <si>
    <t>http://en.wikipedia.org/wiki/Mon%C3%A9gasque_identity_card</t>
  </si>
  <si>
    <t>http://en.wikipedia.org/wiki/Montenegrin_identity_card</t>
  </si>
  <si>
    <t>http://en.wikipedia.org/wiki/Internal_passport_of_Russia</t>
  </si>
  <si>
    <t>http://en.wikipedia.org/wiki/Serbian_identity_card</t>
  </si>
  <si>
    <t>http://en.wikipedia.org/wiki/Kosovo_identity_card</t>
  </si>
  <si>
    <t>http://en.wikipedia.org/wiki/Turkish_identity_card</t>
  </si>
  <si>
    <t>Nüfus Cüzdanı</t>
  </si>
  <si>
    <t>http://en.wikipedia.org/wiki/Documento_Nacional_de_Identidad_(Argentina)</t>
  </si>
  <si>
    <t>http://en.wikipedia.org/wiki/Brazilian_Identity_Card</t>
  </si>
  <si>
    <t>RENIEC (National Registry of Identification and Civil Status)</t>
  </si>
  <si>
    <t>DNIC (National Civil Identification)</t>
  </si>
  <si>
    <t>http://en.wikipedia.org/wiki/National_Registry_of_Identification_and_Civil_Status</t>
  </si>
  <si>
    <t>http://en.wikipedia.org/wiki/National_identification_numbering_in_Iceland</t>
  </si>
  <si>
    <t>http://en.wikipedia.org/wiki/Personal_identification_number_(Denmark)</t>
  </si>
  <si>
    <t>http://en.wikipedia.org/wiki/Tax_File_Number</t>
  </si>
  <si>
    <t>http://en.wikipedia.org/wiki/Social_Insurance_Number</t>
  </si>
  <si>
    <t>http://en.wikipedia.org/wiki/Ghana_Card</t>
  </si>
  <si>
    <t>http://en.wikipedia.org/wiki/Aadhaar</t>
  </si>
  <si>
    <t>http://en.wikipedia.org/wiki/Personal_Public_Service_Number</t>
  </si>
  <si>
    <t>http://en.wikipedia.org/wiki/Resident_registration_number</t>
  </si>
  <si>
    <t>http://en.wikipedia.org/wiki/Saudi_Arabian_National_ID_Card</t>
  </si>
  <si>
    <t>http://en.wikipedia.org/wiki/NHI_Number</t>
  </si>
  <si>
    <t>1200 Lek ($15)</t>
  </si>
  <si>
    <t>http://en.wikipedia.org/wiki/C%C3%A9dula_de_identidad</t>
  </si>
  <si>
    <t>Lična Karta (Identity Card)</t>
  </si>
  <si>
    <t>Osobna Iskaznica (Identity card)</t>
  </si>
  <si>
    <t>Občanský Průkaz (Civil Card)</t>
  </si>
  <si>
    <t>Isikutunnistus (Identity Card)</t>
  </si>
  <si>
    <t>Personalausweis (Identity Card)</t>
  </si>
  <si>
    <t>Személyi Igazolvány (Identity Card)</t>
  </si>
  <si>
    <t>Teudat Zehut</t>
  </si>
  <si>
    <t>Personal Card</t>
  </si>
  <si>
    <t>Civil ID</t>
  </si>
  <si>
    <t>Personas Apliecība (Identity Card)</t>
  </si>
  <si>
    <t>Carte nationale d'identité de citoyen malagasy</t>
  </si>
  <si>
    <t>Karta ta' l-Identità (Identity Card)</t>
  </si>
  <si>
    <t>Buletin de identitate (Identity Card)</t>
  </si>
  <si>
    <t>Identiteitskaart (Identity Card)</t>
  </si>
  <si>
    <t>Identity Card, Travel Pass</t>
  </si>
  <si>
    <t>Dowód Osobisty (Identity Card)</t>
  </si>
  <si>
    <t>http://en.wikipedia.org/w/index.php?title=Qatari_ID_Card&amp;action=edit&amp;redlink=1</t>
  </si>
  <si>
    <t>Carte de Identitate (identity Card)</t>
  </si>
  <si>
    <t>Civil ID Card</t>
  </si>
  <si>
    <t>Občiansky Preukaz (Citizen Card)</t>
  </si>
  <si>
    <t>Osebna Izkaznica (Identity Card)</t>
  </si>
  <si>
    <t>People's Identity Card (Giấy chứng minh nhân dân)</t>
  </si>
  <si>
    <t>Identitätskarte</t>
  </si>
  <si>
    <t>Asmens Tapatybės Kortelė (Identity Card)</t>
  </si>
  <si>
    <t>National Electorate Institute / Insituto Nacional Electoral (INE)</t>
  </si>
  <si>
    <t>Swiss identity card</t>
  </si>
  <si>
    <t>http://en.wikipedia.org/wiki/Swiss_identity_card</t>
  </si>
  <si>
    <t>Elections and Boundaries Commission (EBC)</t>
  </si>
  <si>
    <t>http://en.wikipedia.org/wiki/Category:Personal_identification_documents</t>
  </si>
  <si>
    <t>http://en.wikipedia.org/wiki/Identity_document</t>
  </si>
  <si>
    <t>City Administrations / Consulates (citizens registered abroad)</t>
  </si>
  <si>
    <t>HRK 48.50</t>
  </si>
  <si>
    <t>Oficina de Registro General, Ministerio del Interior</t>
  </si>
  <si>
    <t>Registro Civil de México, Secretaria del Interior : CRs are maintained by individual states</t>
  </si>
  <si>
    <t>Oficina Central para Asuntos Cívicos/CBB (Central Bureau for Civic Affairs), Ministerio del Interior</t>
  </si>
  <si>
    <t>20 Euro</t>
  </si>
  <si>
    <t>0 / €25</t>
  </si>
  <si>
    <t>Police (Paris) / Mayor's office in the town of residence (France, except Paris) / French consulate (overseas)</t>
  </si>
  <si>
    <t>0 / €9</t>
  </si>
  <si>
    <t>Identity Management Office</t>
  </si>
  <si>
    <t>Town hall in town of residence (EU part) / Consular section of Embassy abroad (only in countries in which the Dutch ID card is a valid travel document) / Dutch nationals, residing on the Dutch Caribbean islands, although all also EU citizens, can only apply for a specific ID card issued by the island's authorities. These cards are not valid for travel in the EU.</t>
  </si>
  <si>
    <t>NID Age</t>
  </si>
  <si>
    <t>Administrative Unit / Min of Home Affairs / Min of Foreign Affairs</t>
  </si>
  <si>
    <t>0 / €20+JO162</t>
  </si>
  <si>
    <t>Canton / Municipality</t>
  </si>
  <si>
    <t>General Register Office</t>
  </si>
  <si>
    <t>Municipalities &gt; CR (Gemeentelijke Basisadministratie) maintained by municipalities</t>
  </si>
  <si>
    <t>Municipalities</t>
  </si>
  <si>
    <t>http://www.australia.gov.au/topics/law-and-justice/births-deaths-and-marriages-registries</t>
  </si>
  <si>
    <t>http://moi.gov.af/en/page/7180</t>
  </si>
  <si>
    <t>100 Leke</t>
  </si>
  <si>
    <t>http://www.moi.gov.al</t>
  </si>
  <si>
    <t>Vital Statistics Offices &gt; Min of Interior, General Directorate of Civil Status (GDCS)</t>
  </si>
  <si>
    <t>http://en.m.wikipedia.org/wiki/List_of_company_registers</t>
  </si>
  <si>
    <t>Min of Interior and Local Communities</t>
  </si>
  <si>
    <t>http://www.interieur.gov.dz</t>
  </si>
  <si>
    <t>5 - 60 d</t>
  </si>
  <si>
    <t>http://www.registrecivil.ad</t>
  </si>
  <si>
    <t>http://www.minjusdh.gov.ao</t>
  </si>
  <si>
    <t>Civil Registry (DNRN), Min of Justice and Human Rights</t>
  </si>
  <si>
    <t>EC 10</t>
  </si>
  <si>
    <t>Civil Registry, High Court of Justice</t>
  </si>
  <si>
    <t>Min of Justice</t>
  </si>
  <si>
    <t>http://www.justice.gov.az</t>
  </si>
  <si>
    <t>ZAGS (Civil Registry Offices), Min of Justice</t>
  </si>
  <si>
    <t>BD 1</t>
  </si>
  <si>
    <t>Min of Health</t>
  </si>
  <si>
    <t>45 d</t>
  </si>
  <si>
    <t>http://www.nidw.gov.bd</t>
  </si>
  <si>
    <t>Bangladesh Election Commission , National ID Registration Wing</t>
  </si>
  <si>
    <t>http://br.lgd.gov.bd</t>
  </si>
  <si>
    <t>Min of Interior Affairs, Statistics Office</t>
  </si>
  <si>
    <t>http://www.wikiprocedure.com</t>
  </si>
  <si>
    <t>28 d</t>
  </si>
  <si>
    <t>Municipality, Civil Status Dept</t>
  </si>
  <si>
    <t>http://www.brussels.be/artdet.cfm/4840</t>
  </si>
  <si>
    <t>General Registry, Vital Statistics Unit</t>
  </si>
  <si>
    <t>$ 4 - 15</t>
  </si>
  <si>
    <t>Min of Interior &amp; Public security</t>
  </si>
  <si>
    <t xml:space="preserve">Min of Home &amp; Cultural Affairs, Dept of Civl Reg and Census (DCRC) </t>
  </si>
  <si>
    <t>http://www.mohca.gov.bt</t>
  </si>
  <si>
    <t>KM 4</t>
  </si>
  <si>
    <t>http://www.centar.ba</t>
  </si>
  <si>
    <t>Municipality</t>
  </si>
  <si>
    <t>0 -12 y</t>
  </si>
  <si>
    <t>http://www.qkr.gov.al/nrc/default.aspx</t>
  </si>
  <si>
    <t>http://www.gov.bw/en/Ministries--Authorities/Ministries/Ministry-of-Labour--Home-Affairs-MLHA/Tools--Services/Services--Forms/Birth-registration/</t>
  </si>
  <si>
    <t>Min of Labor and Home Affairs</t>
  </si>
  <si>
    <t>BOB 83 ($11.82)</t>
  </si>
  <si>
    <t>7 d</t>
  </si>
  <si>
    <t>http://www.ompa.ad/index.php?lang=en</t>
  </si>
  <si>
    <t>http://www.asic.gov.au</t>
  </si>
  <si>
    <t>http://www.facil.dnrc.gov.br</t>
  </si>
  <si>
    <t>http://corporationscanada.ic.gc.ca</t>
  </si>
  <si>
    <t>http://www.confecamaras.org.co</t>
  </si>
  <si>
    <t>http://www1.biznet.hr/HgkWeb/do/language?lang=en_GB</t>
  </si>
  <si>
    <t>http://www.mcit.gov.cy/mcit/drcor/drcor.nsf/index_en/index_en?opendocument</t>
  </si>
  <si>
    <t>http://wwwinfo.mfcr.cz</t>
  </si>
  <si>
    <t>http://www.cvr.dk</t>
  </si>
  <si>
    <t>http://www.difc.ae/registration-and-setup</t>
  </si>
  <si>
    <t>http://www.prh.fi/en/index.html</t>
  </si>
  <si>
    <t>https://www.infogreffe.fr/societes/</t>
  </si>
  <si>
    <t>https://www.unternehmensregister.de/ureg/</t>
  </si>
  <si>
    <t>http://www.acci.gr/acci/Home/tabid/28/language/el-GR/Default.aspx</t>
  </si>
  <si>
    <t>http://www.cr.gov.hk/</t>
  </si>
  <si>
    <t>https://www.cro.ie</t>
  </si>
  <si>
    <t>http://www.mca.gov.in</t>
  </si>
  <si>
    <t>http://www.justice.gov.il/mojeng/</t>
  </si>
  <si>
    <t>http://www.infocamere.it</t>
  </si>
  <si>
    <t>http://www.rcsl.lu</t>
  </si>
  <si>
    <t>http://www.ssm.com.my</t>
  </si>
  <si>
    <t>http://www.kvk.nl</t>
  </si>
  <si>
    <t>http://www.companies.govt.nz</t>
  </si>
  <si>
    <t>http://www.cac.gov.ng</t>
  </si>
  <si>
    <t>http://www.brreg.no/english/</t>
  </si>
  <si>
    <t>http://www.apr.gov.rs/Default.aspx?alias=www.apr.gov.rs/eng</t>
  </si>
  <si>
    <t>http://www.cipc.co.za</t>
  </si>
  <si>
    <t>http://www.drc.gov.lk</t>
  </si>
  <si>
    <t>http://www.bolagsverket.se</t>
  </si>
  <si>
    <t>http://www.zefix.admin.ch</t>
  </si>
  <si>
    <t>http://www.companieshouse.gov.uk</t>
  </si>
  <si>
    <t>http://www.pacra.org.zm</t>
  </si>
  <si>
    <t>http://www.ebr.org</t>
  </si>
  <si>
    <t>http://acbr.gov.af</t>
  </si>
  <si>
    <t>http://www.cnrc.org.dz/fr/src/recherche.php</t>
  </si>
  <si>
    <t>http://www.minjusdh.gov.ao/VerServico.aspx?id=304</t>
  </si>
  <si>
    <t>http://www.fsrc.gov.ag</t>
  </si>
  <si>
    <t>https://www.argentinacompra.gov.ar/prod/onc/sitio/Paginas/Contenido/FrontEnd/index2.asp</t>
  </si>
  <si>
    <t>https://www.e-register.am/en/search</t>
  </si>
  <si>
    <t>http://www.firmenabc.at</t>
  </si>
  <si>
    <t>https://www.e-taxes.gov.az/ebyn/commersialChecker.jsp</t>
  </si>
  <si>
    <t>http://www.moic.gov.bh/En/Main/eServices/Commercial%20Registration%20Inquiry/Pages/Commercial%20Registration%20Inquiry.aspx?eserviceID=3</t>
  </si>
  <si>
    <t>http://www.caipo.gov.bb/site/index.php?option=com_easytable&amp;view=easytable&amp;id=3&amp;Itemid=61</t>
  </si>
  <si>
    <t>JIPK (Dept of Immigration and Registration)</t>
  </si>
  <si>
    <t>http://www.imigresen.gov.bn</t>
  </si>
  <si>
    <t>Town Hall, Min of Health</t>
  </si>
  <si>
    <t>Min of Civil Service and State Reform</t>
  </si>
  <si>
    <t>http://www.fonction-publuqie.gov.bf</t>
  </si>
  <si>
    <t>0 - 18 y</t>
  </si>
  <si>
    <t>Vital Statistics Records, Officier de l'Etat</t>
  </si>
  <si>
    <t>http://www.interior.gov.kh</t>
  </si>
  <si>
    <t>Local Councils, Hospitals, Embassies</t>
  </si>
  <si>
    <t>http://www.cameroon-embassy.nl/?page_id=126</t>
  </si>
  <si>
    <t>0 - 19 y</t>
  </si>
  <si>
    <t>http://www.vs.gov.bc.ca/admin/offices.html</t>
  </si>
  <si>
    <t>Provinces/Territories &gt; Vital Statistics or Service BC Offices</t>
  </si>
  <si>
    <t>C$ 60</t>
  </si>
  <si>
    <t>Porton portal; House of Citizen, Natl Archives of Civil and Criminal Identification; Registration services</t>
  </si>
  <si>
    <t>Mobile Registration Offices</t>
  </si>
  <si>
    <t>500 FCFA ($1.5)</t>
  </si>
  <si>
    <t>http://www.primature-rca.org</t>
  </si>
  <si>
    <t>http://www.unicef.org/evaldatabase/index_68198.html</t>
  </si>
  <si>
    <t>600-5000 FCFA</t>
  </si>
  <si>
    <t>Min of Interior, DAPEC</t>
  </si>
  <si>
    <t>Public Security Bureau</t>
  </si>
  <si>
    <t>Prefecture du Centre</t>
  </si>
  <si>
    <t>http://www.mup.hr/42.aspx</t>
  </si>
  <si>
    <t>State Admin Offices</t>
  </si>
  <si>
    <t>http://www.mup.hr</t>
  </si>
  <si>
    <t>Civil Registry and Migration Department</t>
  </si>
  <si>
    <t>http://www.moi.gov.cy</t>
  </si>
  <si>
    <t>Min of Economic Affairs and the Interior</t>
  </si>
  <si>
    <t>http://www.personregistrering.dk</t>
  </si>
  <si>
    <t>CZK 1000</t>
  </si>
  <si>
    <t>http://www.refworld.org/pdfid/5`4322142.pdf</t>
  </si>
  <si>
    <t>Civil Registry Offices</t>
  </si>
  <si>
    <t>Registry Department</t>
  </si>
  <si>
    <t>EC$ 5</t>
  </si>
  <si>
    <t>Office of Population, Min of Interior</t>
  </si>
  <si>
    <t>http://www.ciudadano.co.cu</t>
  </si>
  <si>
    <t>http://www.unicef.org/about/annualreport/files/Djibouti_COAR_2013.prf</t>
  </si>
  <si>
    <t>http://www.cso.gov.eg</t>
  </si>
  <si>
    <t>Civil Status Dept.</t>
  </si>
  <si>
    <t>7 Pounds</t>
  </si>
  <si>
    <t>Central Civil Registry, Min of Justice</t>
  </si>
  <si>
    <t>Public Registration Office, Min of Information + Min of Health</t>
  </si>
  <si>
    <t>http://www.refworld.org/docid/524970044.html</t>
  </si>
  <si>
    <t>http://www.egjustice.org</t>
  </si>
  <si>
    <t>0 - 15 y</t>
  </si>
  <si>
    <t>Migration and Citizenship Bureau</t>
  </si>
  <si>
    <t>http://www.politsei.ee</t>
  </si>
  <si>
    <t>City Hall, Municipality</t>
  </si>
  <si>
    <t>2 m</t>
  </si>
  <si>
    <t>Registrar of Births, Deaths and Marriages, Min of Justice, Attorneyt Gen</t>
  </si>
  <si>
    <t>http://www.africanchildforum.org/site/index.php/resource-center/perception-and-practice-a-review-of-birth-registration.html#.VB91HdogGSM</t>
  </si>
  <si>
    <t>Local Register Offices</t>
  </si>
  <si>
    <t>http://www.maistraatti.fi</t>
  </si>
  <si>
    <t>Registrar of Births and Deaths, Min of Health</t>
  </si>
  <si>
    <t>0 - 5 y</t>
  </si>
  <si>
    <t>http://www.moh.gov.gm</t>
  </si>
  <si>
    <t>Municipalities, Bureau de l'Etat-Civil</t>
  </si>
  <si>
    <t>1000 CAF</t>
  </si>
  <si>
    <t>Min of Health, Public Hygiene &amp; Promotion of the Family</t>
  </si>
  <si>
    <t>http://www.sante.gouv.ga</t>
  </si>
  <si>
    <t>https://mdel.mon.service-public.fr/acte-etat-civil.html</t>
  </si>
  <si>
    <t>Municipality or Registry Office of Community</t>
  </si>
  <si>
    <t>Departamento de Registro General (RGD), Ministerio del Salud</t>
  </si>
  <si>
    <t>http://www.eservices.gov.gh/BDR/SitePages/bdr-home.aspx</t>
  </si>
  <si>
    <t>Standesamt / Civil Reg Office, Municipality</t>
  </si>
  <si>
    <t>https://standesamtauskunft.de/default.aspx</t>
  </si>
  <si>
    <t>Min of Heallth, Births, Death and Marriage</t>
  </si>
  <si>
    <t>http://health.gov.gd</t>
  </si>
  <si>
    <t>http://www.e-gif.gov.gr/portal/page/portal/ermis/KepIndex</t>
  </si>
  <si>
    <t>3 d</t>
  </si>
  <si>
    <t>Registro Nacional de Personas (RENAP), Min of Interior</t>
  </si>
  <si>
    <t>http://www.refworld.org/docid/45f14739b.html</t>
  </si>
  <si>
    <t>15 / 30 d</t>
  </si>
  <si>
    <t xml:space="preserve">Municipality (périmètre communal) </t>
  </si>
  <si>
    <t>8 y</t>
  </si>
  <si>
    <t>http://novasdaguinebissau.blogspot.com/2013/08/registo-civil-gratis-faz-disparar.html</t>
  </si>
  <si>
    <t>42 d</t>
  </si>
  <si>
    <t>The Births and Deaths General Register Office + Hospitals</t>
  </si>
  <si>
    <t>Oficina de Estado Civil (OEC), Min of Justice</t>
  </si>
  <si>
    <t>http://www.refworld.org/docid/485ba863c.html</t>
  </si>
  <si>
    <t>2 y</t>
  </si>
  <si>
    <t>Registro Nacional de las Personas (RNP) + Municipal Registry</t>
  </si>
  <si>
    <t>http://www.gov.hk/en/residents/immigration/bdmreg/birth/birthreg/</t>
  </si>
  <si>
    <t>Municipality Registry Office</t>
  </si>
  <si>
    <t>2 d</t>
  </si>
  <si>
    <t>https://kozigazgatas.magyarorszag.hu/</t>
  </si>
  <si>
    <t>1900 KR</t>
  </si>
  <si>
    <t>National Registry of Iceland, Min of Interior</t>
  </si>
  <si>
    <t>State/UT Government</t>
  </si>
  <si>
    <t>http://india.gov.in/howdo/howdoi.php?service=1</t>
  </si>
  <si>
    <t>Dept of Population and Civil Registration Regional Service Office</t>
  </si>
  <si>
    <t>http://www.jakarta.go.id/web/news/2009/11/Akta-Kelahiran</t>
  </si>
  <si>
    <t>Birth Registration Organization of Iran</t>
  </si>
  <si>
    <t>20,000 IR</t>
  </si>
  <si>
    <t>http://www.sabteahval.ir</t>
  </si>
  <si>
    <t>http://www.egov.gov.iq/egov-iraq/index.jsp?sid=1&amp;id=344&amp;pid=343&amp;lng=en</t>
  </si>
  <si>
    <t>15-45 d</t>
  </si>
  <si>
    <t>http://www.welfare.ie/en/Pages/General-Register-Office.aspx</t>
  </si>
  <si>
    <t>Minister for Social Protection</t>
  </si>
  <si>
    <t>3 - 10 d</t>
  </si>
  <si>
    <t>Register of Births, Marriages and Deaths (Registro Communale dello Stato Civile), Min of Interior</t>
  </si>
  <si>
    <t>http://www.interno.gov.it/mininterno/export/sites/default/it/temi/servizi_demografici/scheda_003.html</t>
  </si>
  <si>
    <t>14 d-3m</t>
  </si>
  <si>
    <t>1 JOD</t>
  </si>
  <si>
    <t>Office of Civil Status and Passport</t>
  </si>
  <si>
    <t>http://www.cspd.gov.jo</t>
  </si>
  <si>
    <t>14-21 d</t>
  </si>
  <si>
    <t>Hospitals; Misrad Hapnim</t>
  </si>
  <si>
    <t>http://www.nbn.org.il</t>
  </si>
  <si>
    <t>http://www.tokyo-icc.jp</t>
  </si>
  <si>
    <t>Koseki; Municipal Office</t>
  </si>
  <si>
    <t>0 - 6 m</t>
  </si>
  <si>
    <t>Min of State for Immigration and Registration of Persons (MIRP)</t>
  </si>
  <si>
    <t>http://www.mirp.go.ke</t>
  </si>
  <si>
    <t>https://www.rks-gov.net/</t>
  </si>
  <si>
    <t>2 KD</t>
  </si>
  <si>
    <t>Public Authority for Civil Information</t>
  </si>
  <si>
    <t>http://www.paci.gov.kw/en/</t>
  </si>
  <si>
    <t>Registry Office (communal / cantonal / federal)</t>
  </si>
  <si>
    <t>0-12 y</t>
  </si>
  <si>
    <t>Min of Health &amp; Social Welfare</t>
  </si>
  <si>
    <t>8 LYD</t>
  </si>
  <si>
    <t>https://mepis.vrm.lt/kontaktai</t>
  </si>
  <si>
    <t>http://egov.kz/wps/portal/Content?contentPath=/egovcontent/_family/child_/article/childbirth&amp;lang=en</t>
  </si>
  <si>
    <t>Civil Registry Office, Min of Justice</t>
  </si>
  <si>
    <t>Civil Registry Offices, Min of Justice</t>
  </si>
  <si>
    <t>5 d</t>
  </si>
  <si>
    <t>Municipality, State Registrar</t>
  </si>
  <si>
    <t>http://www.guichet.public.lu/citoyens/fr/certificats/etat-civil-authentification/etat-civil/acte-naissance/index.html</t>
  </si>
  <si>
    <t>http://www.unicef.org/pacificislands/English_BIRTH_REGISLAYOUT.pdf</t>
  </si>
  <si>
    <t>Civil Registration Office, Min of Justice</t>
  </si>
  <si>
    <t>http://www.gwangjuguide.or.kr/2010/05/giving-birth-in-korea/?ckattempt=1</t>
  </si>
  <si>
    <t>Civil Registry Office, Mon of Justice</t>
  </si>
  <si>
    <t>Registrar General’s Department, Min of Local Gov &amp; Rural Dev &gt; MGV-Net based on OpenMRS</t>
  </si>
  <si>
    <t>http://www.searo.who.int/entity/child_adolescent/data/fs_dprk.pdf</t>
  </si>
  <si>
    <t>City Division (25 Wards), Family Census Register</t>
  </si>
  <si>
    <t>http://grs.gov.kg</t>
  </si>
  <si>
    <t>Korea, DPR</t>
  </si>
  <si>
    <t>Department of Civil Status Act Registration (DCSAR) / Zapis Aktov Grazhdanskogo Sostoyaniya (ZAGS)</t>
  </si>
  <si>
    <t>http://www.tm.gov.lv/lv/pakalpojumi/nozares-pakalpojumi-1/dzimsanas-fakta-registracija</t>
  </si>
  <si>
    <t>Min of Justice, Civil Registry Dept</t>
  </si>
  <si>
    <t>Min of Home Affairs</t>
  </si>
  <si>
    <t>http://www.moha.gov.la</t>
  </si>
  <si>
    <t>Municipalities &gt; Gen Dir of Civil Affairs / Ministry of Interior and Municipalities</t>
  </si>
  <si>
    <t>Min of Home affairs, National Identity Civil Registry (NICR)</t>
  </si>
  <si>
    <t>http://www.gov.ls/articles/2014/civil_registration_vital_development.php</t>
  </si>
  <si>
    <t>http://health.gov.ly/web/</t>
  </si>
  <si>
    <t>http://www.llv.li/#/1569/zivilstandsamt</t>
  </si>
  <si>
    <t>Civil Registry Office (ZSA)</t>
  </si>
  <si>
    <t>Identification Services Bureau (DSI)</t>
  </si>
  <si>
    <t>http://www.dsi.gov.mo/idcard03_e.jsp</t>
  </si>
  <si>
    <t>http://eudo-citizenship.eu/NationalDB/docs/MAC%20Law_Registers_Birth_eng.pdf</t>
  </si>
  <si>
    <t>Ministry of Internal Affairs</t>
  </si>
  <si>
    <t>12 d</t>
  </si>
  <si>
    <t>http://www.madagascar.gov.mg/</t>
  </si>
  <si>
    <t>National Registration Bureau, Registration Officer</t>
  </si>
  <si>
    <t>http://www.malawi.gov.mw/index.php?option=com_content&amp;view=article&amp;id=31&amp;Itemid=115</t>
  </si>
  <si>
    <t>http://www.jpn.gov.my/en/</t>
  </si>
  <si>
    <t>National Registration Dept, Min of Home Affairs</t>
  </si>
  <si>
    <t>RM 5</t>
  </si>
  <si>
    <t>RF 20</t>
  </si>
  <si>
    <t>https://citizen.egov.mv/G2CWeb/CMSPages/NCITG2C/Municipalty/English/RegisteringBirthOfAChildBornInMale_ENG_FNL.htm</t>
  </si>
  <si>
    <t>Male Municipality (Foolhumaa Form)</t>
  </si>
  <si>
    <t>Office of the Civil Registrar </t>
  </si>
  <si>
    <t>http://www.primature.gov.ml/index.php?option=com_content&amp;view=article&amp;id=10337&amp;Itemid=100013</t>
  </si>
  <si>
    <t>Min of Home Affairs and Natil Security</t>
  </si>
  <si>
    <t>https://secure2.gov.mt/certifikati/Birth.aspx</t>
  </si>
  <si>
    <t>Registrar of Civil Status</t>
  </si>
  <si>
    <t>http://csd.pmo.gov.mu/English/registration/Pages/birth.aspx</t>
  </si>
  <si>
    <t>http://www.justice.gov.mr</t>
  </si>
  <si>
    <t>http://iadb.libguides.com/registros_organizaciones</t>
  </si>
  <si>
    <t>Vital Records Office, Ministry of Internal Affairs</t>
  </si>
  <si>
    <t>http://adoption.com/wiki/Adopting_from_Marshall_Islands</t>
  </si>
  <si>
    <t>2 w</t>
  </si>
  <si>
    <t>http://www.fsmgov.org/birth.html</t>
  </si>
  <si>
    <t>State Supreme Court, Min of Justice of each island</t>
  </si>
  <si>
    <t>http://www.registru.md/rsp_en/</t>
  </si>
  <si>
    <t>Registru, under Ministry of Information Technology and Communication</t>
  </si>
  <si>
    <t>4 d</t>
  </si>
  <si>
    <t>http://www.mairie.mc/poles/pratique/declaration-de-naissance-ou-de-reconnaissance</t>
  </si>
  <si>
    <t>City Council, Monaco Municipality</t>
  </si>
  <si>
    <t>https://burtgel.gov.mn</t>
  </si>
  <si>
    <t>15-30 d</t>
  </si>
  <si>
    <t>General Authority for State Registration, Min of Justice</t>
  </si>
  <si>
    <t>Registrar, Min of Interior</t>
  </si>
  <si>
    <t>http://www.mup.gov.me/rubrike/izdavanje-dokumenata/85194/159611.html</t>
  </si>
  <si>
    <t>http://www.service-public.ma/en/web/guest/home?p_p_id=mmspservicepublicdiffusion_WAR_mmspservicepublicdiffusionportlet&amp;p_p_lifecycle=0&amp;p_p_state=normal&amp;p_p_mode=view&amp;p_p_col_id=column-1&amp;p_p_col_count=1&amp;_mmspservicepublicdiffusion_WAR_mmspservicepublicdiffusionportlet__spage=%2Fportlet_action%2Fprocedure%2Fprocedure%2Fview%3FrubriqueSelected.idRubrique%3D20313%26procedureSelected.idProcedure%3D5463&amp;_mmspservicepublicdiffusion_WAR_mmspservicepublicdiffusionportlet_rubriqueSelected.idRubrique=20313&amp;_mmspservicepublicdiffusion_WAR_mmspservicepublicdiffusionportlet_procedureSelected.idProcedure=5465</t>
  </si>
  <si>
    <t>http://www.portaldogoverno.gov.mz/</t>
  </si>
  <si>
    <t>http://www.portaldogoverno.gov.mz/Servicos/IdentCivil/bi/</t>
  </si>
  <si>
    <t>http://www.mip.gov.mm</t>
  </si>
  <si>
    <t>Min of Immigration and Population</t>
  </si>
  <si>
    <t>Ministry of Home Affairs and Immigration</t>
  </si>
  <si>
    <t>http://www.mha.gov.na</t>
  </si>
  <si>
    <t>Registrar of Births, Deaths &amp; Marriages</t>
  </si>
  <si>
    <t>http://www.refworld.org/docid/53284a9913.html</t>
  </si>
  <si>
    <t>Bw</t>
  </si>
  <si>
    <t>Nw</t>
  </si>
  <si>
    <t>Dw</t>
  </si>
  <si>
    <t>National ID Card Management Center</t>
  </si>
  <si>
    <t>http://www.nidmc.gov.np</t>
  </si>
  <si>
    <t>Municipality or Village Development Committee</t>
  </si>
  <si>
    <t>http://www.refworld.org/docid/4f4f3d4a2.html</t>
  </si>
  <si>
    <t>35 d</t>
  </si>
  <si>
    <t>8 NR</t>
  </si>
  <si>
    <t>http://www.dia.govt.nz/Births-deaths-and-marriages</t>
  </si>
  <si>
    <t>http://www.government.nl/issues/family-law/birth-of-a-child</t>
  </si>
  <si>
    <t>http://www.me.bf/Fr/creation-d-entreprise_7_219</t>
  </si>
  <si>
    <t>Births, Deaths and Marriages, Dept of Internal Affairs</t>
  </si>
  <si>
    <t>http://www.population.gov.ng</t>
  </si>
  <si>
    <t>National Popularion Commission (NPC)</t>
  </si>
  <si>
    <t>http://www.planusa.org/docs/reports/2014-Birth-Registration-in-Emergencies.pdf</t>
  </si>
  <si>
    <t>Department of Civil Status and Refugees (Direction de l’État civil et des Réfugiés), Ministry of Interior and Decentralisation</t>
  </si>
  <si>
    <t>Department of Medical Birth Registry (MBRN) at the Norwegian Institute of Public Health. Min of Health</t>
  </si>
  <si>
    <t>NOK 197.50</t>
  </si>
  <si>
    <t>http://www.fhi.no</t>
  </si>
  <si>
    <t>Norwegian Tax Administration is responsible for the National Population Register (National ID Numbers).</t>
  </si>
  <si>
    <t>2 RO</t>
  </si>
  <si>
    <t>http://www.civilstatus.gov.om/english/services_BirthEntry.asp</t>
  </si>
  <si>
    <t>Directorate General of Civil Status, Royal Oman Police</t>
  </si>
  <si>
    <t>RS 40</t>
  </si>
  <si>
    <t>NADRA + High Commission / Consulate General</t>
  </si>
  <si>
    <t>http://www.palausupremecourt.net/faq_main.cshtml</t>
  </si>
  <si>
    <t>Palau Supreme Court</t>
  </si>
  <si>
    <t>Registrar General, Office of Civil Registry, Dept for Community Development</t>
  </si>
  <si>
    <t>http://www.slq.qld.gov.au/resources/family-history/atsi/finding/birth,-death-and-marriage</t>
  </si>
  <si>
    <t>Registro Nacional de Identificación y Estado Civil (RENIEC)</t>
  </si>
  <si>
    <t>Civil Registrar General, National Statistics Office</t>
  </si>
  <si>
    <t>https://www.msw.gov.pl</t>
  </si>
  <si>
    <t>http://www.irn.mj.pt/IRN/sections/irn/a_registral/registo-civil/docs-do-civil/registo-de-nascimento/</t>
  </si>
  <si>
    <t>The Institute of Registries and Notaries, IP (IRN, IP)</t>
  </si>
  <si>
    <t>20 QR</t>
  </si>
  <si>
    <t>http://www.sch.gov.qa/births-n-deaths</t>
  </si>
  <si>
    <t>Supreme Council fo Health</t>
  </si>
  <si>
    <t>ZAGS (Zapis Aktov Grazhdanskogo Sostoyaniya / Управление записи актов гражданского состояния) + Offices of Vital Records (Civil Registry Offices):</t>
  </si>
  <si>
    <t>http://www.mos.ru/authority/zags/</t>
  </si>
  <si>
    <t>RWF 500</t>
  </si>
  <si>
    <t>Rwanda Directorate General of immigration and Emigration</t>
  </si>
  <si>
    <t>https://www.migration.gov.rw</t>
  </si>
  <si>
    <t>http://www.starecivila1.ro/inregistrare-nastere/</t>
  </si>
  <si>
    <t>Municipalities, Office of Vital Records</t>
  </si>
  <si>
    <t>District Registrar of Births and Deaths</t>
  </si>
  <si>
    <t>http://archive.stlucia.gov.lc/Government%20How%20To/how_to_register_a_birth.htm</t>
  </si>
  <si>
    <t>http://www.nia.gov.kn/index.php/ministries/health/registrar-general</t>
  </si>
  <si>
    <t>Registrar General, Min of Health</t>
  </si>
  <si>
    <t>18 y</t>
  </si>
  <si>
    <t>Registry Department, High Court</t>
  </si>
  <si>
    <t>http://www.judiciary.gov.vc/index.php?option=com_content&amp;view=article&amp;id=43&amp;Itemid=84</t>
  </si>
  <si>
    <t>BR Gov Entity</t>
  </si>
  <si>
    <t>BR Gov Entity URL</t>
  </si>
  <si>
    <t>Registrar of Births Deaths and Marriages, Justice Dept</t>
  </si>
  <si>
    <t>14-28 d</t>
  </si>
  <si>
    <t>http://www.mjca.gov.ws/</t>
  </si>
  <si>
    <t>BR Org</t>
  </si>
  <si>
    <t>BR M</t>
  </si>
  <si>
    <t>States &gt; BRs are maintained by indivudual states</t>
  </si>
  <si>
    <t>BR Dur</t>
  </si>
  <si>
    <t>BR Cost</t>
  </si>
  <si>
    <t>Office of Vital Statistics, Demographic and Electoral </t>
  </si>
  <si>
    <t>http://www.dipartimento.interni.sm/on-line/home.html</t>
  </si>
  <si>
    <t>Hospitals / Registry Office</t>
  </si>
  <si>
    <t>http://www.gov.st/content.php?intMenuID=16</t>
  </si>
  <si>
    <t>http://www.moi.gov.sa</t>
  </si>
  <si>
    <t>http://www.servicepublic.gouv.sn/index.php/demarche_administrative/demarche/1/324/4/56</t>
  </si>
  <si>
    <t>National Centre for Civil Registration</t>
  </si>
  <si>
    <t>http://www.ics.gov.sc/civil-status/birth-registration</t>
  </si>
  <si>
    <t>http://www.euprava.gov.rs/eusluge/opis_usluge?generatedServiceId=293&amp;title=Izdavan%D1%98e-li%C4%8Dnih-karata</t>
  </si>
  <si>
    <t>Dept of Immigration and Civil Status, Min of Home Affairs and Transport</t>
  </si>
  <si>
    <t>http://www.euprava.gov.rs/eusluge/opis_usluge?generatedServiceId=480&amp;title=Izvod-iz-mati%C4%8Dne-kn%D1%98ige-ro%C4%91enih</t>
  </si>
  <si>
    <t>City/Municipality, Registry Books</t>
  </si>
  <si>
    <t>National Office of Births and Deaths, Min of Health and Sanitation</t>
  </si>
  <si>
    <t>http://health.gov.sl/</t>
  </si>
  <si>
    <t>Births, Marriages &amp; Deaths (BMD) Registry, Min of Home Affairs (MOHA)</t>
  </si>
  <si>
    <t>Min of Justice, Bureau of Births and Deaths Registration</t>
  </si>
  <si>
    <t>S$18</t>
  </si>
  <si>
    <t>http://www.ica.gov.sg/page.aspx?pageid=144</t>
  </si>
  <si>
    <t>Registry of Births &amp; Deaths, Immigration &amp; Checkpoints Authoriy (ICA), Ministry of Home Affairs</t>
  </si>
  <si>
    <t>Civil Register Office, Min of Interior</t>
  </si>
  <si>
    <t>http://www.minv.sk</t>
  </si>
  <si>
    <t>http://www.mnz.gov.si/si/mnz_za_vas/maticni_register/rojstvo/</t>
  </si>
  <si>
    <t>http://www.companyhaus.gov.sb</t>
  </si>
  <si>
    <t>Civil Registration Dept., Min of Home Affairs</t>
  </si>
  <si>
    <t>http://www.commerce.gov.sb/Gov/PresentGov.html#home</t>
  </si>
  <si>
    <t>http://www.dha.gov.za/index.php/civic-services/birth-certificates</t>
  </si>
  <si>
    <t>Dept of Home Affairs</t>
  </si>
  <si>
    <t>http://www.refworld.org/docid/51e4fdd34.html</t>
  </si>
  <si>
    <t>http://www.registry.mojss.org/index.html</t>
  </si>
  <si>
    <t>No official BR</t>
  </si>
  <si>
    <t>http://www.mojss.org</t>
  </si>
  <si>
    <t>8 d</t>
  </si>
  <si>
    <t>http://www.mjusticia.gob.es/cs/Satellite/en/1200666550200/Tramite_C/1214483957117/Detalle.html</t>
  </si>
  <si>
    <t>http://www.rgdept.lk</t>
  </si>
  <si>
    <t>Dept of Registrar General, Min of Public Administration and Home Affairs</t>
  </si>
  <si>
    <t>MoJ   1</t>
  </si>
  <si>
    <t>MoH   3</t>
  </si>
  <si>
    <t>http://www.cbs.gov.sd</t>
  </si>
  <si>
    <t>http://www.gov.sr/sr/ministerie-van-biza/diensten/cbb/diensten-en-producten.aspx</t>
  </si>
  <si>
    <t>3-16 d</t>
  </si>
  <si>
    <t>http://www.gov.sz/index.php?option=com_content&amp;view=article&amp;catid=81%3Ahome-affairs&amp;id=1368%3Acivil-registration&amp;Itemid=304</t>
  </si>
  <si>
    <t>Swedish Tax Agency</t>
  </si>
  <si>
    <t>http://www.skatteverket.se/4.18e1b10334ebe8bc80001262.html</t>
  </si>
  <si>
    <t>https://www.ch.ch/en/register-birth/</t>
  </si>
  <si>
    <t xml:space="preserve">Civil Registration Office, Min of  Interior </t>
  </si>
  <si>
    <t>30-60 d</t>
  </si>
  <si>
    <t>http://www.syriamoi.gov.sy/</t>
  </si>
  <si>
    <t>Hospitals</t>
  </si>
  <si>
    <t>https://www.e-services.taipei.gov.tw/hypage.cgi?HYPAGE=form.htm&amp;s_uid=160011</t>
  </si>
  <si>
    <t>NT$20</t>
  </si>
  <si>
    <t>Civil Registration Office but it also involves the MoH and the State Committee for Statistics</t>
  </si>
  <si>
    <t>2.60 TJS</t>
  </si>
  <si>
    <t>90 d</t>
  </si>
  <si>
    <t>Registrar General, Registration Insolvency and Trusteeship Agency (RITA), Min of Justice and Constitutional Affairs</t>
  </si>
  <si>
    <t>http://www.rita.go.tz/page.php?pg=85&amp;lang=en</t>
  </si>
  <si>
    <t>http://www.moi.go.th/</t>
  </si>
  <si>
    <t xml:space="preserve">District Office (Amphoe) </t>
  </si>
  <si>
    <t>Division of Civil Registry and Notary, Min of Justice</t>
  </si>
  <si>
    <t>4 w</t>
  </si>
  <si>
    <t>http://www.mj.gov.tl</t>
  </si>
  <si>
    <t>http://www.togoleseministryofhealthlome.myewebsite.com/</t>
  </si>
  <si>
    <t>http://www.foi.gov.to/index.php/ministries/justice</t>
  </si>
  <si>
    <t>3 w</t>
  </si>
  <si>
    <t>Departamento de Registro General, Ministerio de Asuntos Legales</t>
  </si>
  <si>
    <t>http://www.legalaffairs.gov.tt/civil.html</t>
  </si>
  <si>
    <t>Municipalities, Min of Interior</t>
  </si>
  <si>
    <t>http://www.commune-tunis.gov.tn/publish/content/article.asp?ID=646</t>
  </si>
  <si>
    <t>General Directorate of Population and Citizenship, Min of Internal Affairs</t>
  </si>
  <si>
    <t>http://www.nvi.gov.tr/Hizmetler/Nufus,Dogumislem.html</t>
  </si>
  <si>
    <t>Civil Registration Offices (District Level)</t>
  </si>
  <si>
    <t>Rayon-level Civilian Registry Offices, Min of Justice</t>
  </si>
  <si>
    <t>Municipal Civil Status Office (MCSO), Min of Internal affairs</t>
  </si>
  <si>
    <t>http://cis-legislation.com/document.fwx?rgn=26669</t>
  </si>
  <si>
    <t>Births, Deaths and Marriages Registration, Prime Minister</t>
  </si>
  <si>
    <t>http://www.tuvaluislands.com/const_tuvalu.htm</t>
  </si>
  <si>
    <t>7500 US</t>
  </si>
  <si>
    <t>http://www.ursb.go.ug</t>
  </si>
  <si>
    <t>http://www.drsu.gov.ua</t>
  </si>
  <si>
    <t>50 AED</t>
  </si>
  <si>
    <t>http://www.government.ae/en/web/guest/having-a-new-baby-in-the-uae</t>
  </si>
  <si>
    <t>https://www.gov.uk/register-birth</t>
  </si>
  <si>
    <t>Counties in States / U.S. Public Health Service (for vital statistics) - Vital Records US</t>
  </si>
  <si>
    <t>http://www.cdc.gov/nchs/nvss.htm</t>
  </si>
  <si>
    <t>http://tramites.gub.uy/ampliados?id=99</t>
  </si>
  <si>
    <t>http://stat.uz/egrpo/egrpo_about/index.php</t>
  </si>
  <si>
    <t>http://www.gov.uz/ru/services/register/2137</t>
  </si>
  <si>
    <t>Civil Registration Dept (Civil Status Office), Min of Internal Affairs</t>
  </si>
  <si>
    <t>https://governmentofvanuatu.gov.vu/internal-affairs.html</t>
  </si>
  <si>
    <t>0-90 d</t>
  </si>
  <si>
    <t>People's Committees of communes, wards and towns (CPC)</t>
  </si>
  <si>
    <t>http://www.tracuuphapluat.info/2012/06/huong-dan-thu-tuc-ang-ky-lam-giay-khai.html</t>
  </si>
  <si>
    <t>Department of Civil Registration, Min of Interior</t>
  </si>
  <si>
    <t>http://unstats.un.org/unsd/vitalstatkb/Attachment327.aspx</t>
  </si>
  <si>
    <t>http://www.yemen.gov.ye/portal/moi/%D8%A7%D9%84%D8%B1%D8%A6%D9%8A%D8%B3%D9%8A%D8%A9/tabid/224/Default.aspx</t>
  </si>
  <si>
    <t>£20</t>
  </si>
  <si>
    <t>http://www.homeaffairs.gov.zm/?q=national_registration_passport_and_citizenship_department</t>
  </si>
  <si>
    <t>Registrar General of Births, Deaths &amp; Marriages, Min of Home Affairs</t>
  </si>
  <si>
    <t>http://www.rg.gov.zw/services/birth</t>
  </si>
  <si>
    <t>Registrar General's Department, Minister of Home Affairs</t>
  </si>
  <si>
    <t>Dirección General de Registro del Estado Civil (DGREC), Ministerio de Educacion y Cultura</t>
  </si>
  <si>
    <t>Rayon- and Oblast-level Registry Offices, records sent to State Statistics Dept</t>
  </si>
  <si>
    <t>Madania</t>
  </si>
  <si>
    <t>http://www.servicepublic.gouv.sn/index.php/demarche_administrative/demarche/1/30</t>
  </si>
  <si>
    <t>Priority</t>
  </si>
  <si>
    <t>Reg</t>
  </si>
  <si>
    <t>Business Registry</t>
  </si>
  <si>
    <t>http://www.oera.li/hrweb/ger/firmensuche_afj.htm</t>
  </si>
  <si>
    <t>Country Code (ISO 3166-1 alpha-3 code)</t>
  </si>
  <si>
    <t>AAA</t>
  </si>
  <si>
    <t>Percentage</t>
  </si>
  <si>
    <t>Val #5</t>
  </si>
  <si>
    <t>Value #5 Description</t>
  </si>
  <si>
    <t>SSO</t>
  </si>
  <si>
    <t>Poverty (other sources)</t>
  </si>
  <si>
    <t>ID4D Data Fields</t>
  </si>
  <si>
    <t>Country Code (ISO 3166-1 alpha-2 code)</t>
  </si>
  <si>
    <t>Country Code</t>
  </si>
  <si>
    <t>Web site containing info/doc about the government entity managing Birth Registration (BR)</t>
  </si>
  <si>
    <t>Name of the government entity managing the Birth Registration (BR)</t>
  </si>
  <si>
    <t>Ministry of Justice</t>
  </si>
  <si>
    <t>Ministry of Interior/Home Affairs</t>
  </si>
  <si>
    <t>Entity responsible for Electoral System</t>
  </si>
  <si>
    <t xml:space="preserve">Autonomous / Municipality / Town Hall </t>
  </si>
  <si>
    <t>Birth Registry is being maintained since (year)</t>
  </si>
  <si>
    <t>No BR yet</t>
  </si>
  <si>
    <t xml:space="preserve">BR exists, but registration is not mandatory at birth  </t>
  </si>
  <si>
    <t>BR exists, and registration is mandatory at birth</t>
  </si>
  <si>
    <t>Birth Registration / Requirements</t>
  </si>
  <si>
    <t>Days</t>
  </si>
  <si>
    <t>Weeks</t>
  </si>
  <si>
    <t>Months</t>
  </si>
  <si>
    <t>Z y</t>
  </si>
  <si>
    <t>Years</t>
  </si>
  <si>
    <t>W d</t>
  </si>
  <si>
    <t>X w</t>
  </si>
  <si>
    <t>Y m</t>
  </si>
  <si>
    <t>Fees applicable to birth registration process (local currency or USD)</t>
  </si>
  <si>
    <t>Name of gove entity issuing National ID</t>
  </si>
  <si>
    <t>Institution responsible for National ID</t>
  </si>
  <si>
    <t>Institution responsible for Birth Registration</t>
  </si>
  <si>
    <t>Birth Registration / Duration : Indicate the specific period (day / month / year) in which the registration should be completed by law</t>
  </si>
  <si>
    <t>Not compulsory / No ID card</t>
  </si>
  <si>
    <t>National ID is optional</t>
  </si>
  <si>
    <t>National ID is mandatory</t>
  </si>
  <si>
    <t>National ID policy</t>
  </si>
  <si>
    <t>National ID is being used since (year)</t>
  </si>
  <si>
    <t>Specific name of the National Identification document, if any</t>
  </si>
  <si>
    <t>National ID usage</t>
  </si>
  <si>
    <t>No National ID</t>
  </si>
  <si>
    <t xml:space="preserve">National ID exists, but not issued at birth  </t>
  </si>
  <si>
    <t>National ID exists, and issued at birth</t>
  </si>
  <si>
    <t>National ID: pecific year in which the ID should be obtained by law.</t>
  </si>
  <si>
    <t>Issued at birth</t>
  </si>
  <si>
    <t>age to obtain National ID</t>
  </si>
  <si>
    <t>Fees applicable to obtaining National ID</t>
  </si>
  <si>
    <t xml:space="preserve">No National ID </t>
  </si>
  <si>
    <t>National ID exists</t>
  </si>
  <si>
    <t>National ID mandatory?</t>
  </si>
  <si>
    <t>SPL Data Set</t>
  </si>
  <si>
    <t>Wiki page related to National ID</t>
  </si>
  <si>
    <t>Web site containing info/doc about the e-ID/Digital ID platform/usage (URL)</t>
  </si>
  <si>
    <t>e-ID is being used since (year)</t>
  </si>
  <si>
    <t>Digital ID / Electronic ID usage</t>
  </si>
  <si>
    <t>No e-ID solution yet</t>
  </si>
  <si>
    <t>Names of services supported by e-ID</t>
  </si>
  <si>
    <t>Biometric ID ?</t>
  </si>
  <si>
    <t xml:space="preserve">No Biometric ID </t>
  </si>
  <si>
    <t>Biometric ID exists</t>
  </si>
  <si>
    <t>Biometric ID mandatory?</t>
  </si>
  <si>
    <t>Website(s) containing info/doc about Business Registry (URL)</t>
  </si>
  <si>
    <t>Unique Business/Corporate ID (c-ID) usage</t>
  </si>
  <si>
    <t>No c-ID solution yet</t>
  </si>
  <si>
    <t xml:space="preserve">c-ID exists, but no evidence on usage in e-Services </t>
  </si>
  <si>
    <t>c-ID is used in e-Services</t>
  </si>
  <si>
    <t>Website(s) containing info/doc about the Unique Business/Corporate ID usage (URL)</t>
  </si>
  <si>
    <t>c-ID is being used since (year)</t>
  </si>
  <si>
    <t>Services linked to unique Business ID</t>
  </si>
  <si>
    <t>Usage of single sign-on for business services</t>
  </si>
  <si>
    <t>No single sign-on usage</t>
  </si>
  <si>
    <t>Single sign-on is used for business services</t>
  </si>
  <si>
    <t>Website(s) containing info/doc on usage of single sing-on for business services</t>
  </si>
  <si>
    <t>WBG Data</t>
  </si>
  <si>
    <t>0.0</t>
  </si>
  <si>
    <t>Official Language</t>
  </si>
  <si>
    <t>UNSTAT</t>
  </si>
  <si>
    <t>Literacy rate, adult total (% of people ages 15 and above) / WBG Data (2013)</t>
  </si>
  <si>
    <t>Registration rate of births (0-5 years) (% of population)</t>
  </si>
  <si>
    <t>Female birth registration rate (%)</t>
  </si>
  <si>
    <t>Male birth registration rate (%)</t>
  </si>
  <si>
    <t>Urban BR rate (%)</t>
  </si>
  <si>
    <t>Rural BR rate (%)</t>
  </si>
  <si>
    <t>BR rate data reference year</t>
  </si>
  <si>
    <t>Poverty headcount ratio at $1.25 a day (PPP) (% of population)</t>
  </si>
  <si>
    <t>Poverty reduction ratio was measured in (year)</t>
  </si>
  <si>
    <t>Population below poverty line in thousands (2011)</t>
  </si>
  <si>
    <t xml:space="preserve">Poverty headcount ratio at national poverty line (% of population) </t>
  </si>
  <si>
    <t>Poverty reduction ratio (national) was measured in (year)</t>
  </si>
  <si>
    <t>Population below national poverty line in thousands (2011)</t>
  </si>
  <si>
    <t>Poverty reduction ratio was measured in (year) / alternative source</t>
  </si>
  <si>
    <t>Priorities for IDS and ID4D activities</t>
  </si>
  <si>
    <t>High priority countries</t>
  </si>
  <si>
    <t>Medium priority</t>
  </si>
  <si>
    <t>Low priority</t>
  </si>
  <si>
    <t>No immediate action planned</t>
  </si>
  <si>
    <t>Category (CRVS readiness)</t>
  </si>
  <si>
    <t>Comprehensive assessment completed, strategic plan advanced, high level political commitment and coord established &amp; active.</t>
  </si>
  <si>
    <t>Comprehensive assessments underway, or commitment for comprehensive assessments in the immediate future.</t>
  </si>
  <si>
    <t>Countries which have not yet indicated that they are seeking a comprehensive assessment.</t>
  </si>
  <si>
    <t>No assessment</t>
  </si>
  <si>
    <t>Assessment completed</t>
  </si>
  <si>
    <t>CRVS Comprehensive Assessment</t>
  </si>
  <si>
    <t>CRVS Strategic Plan / Commitment</t>
  </si>
  <si>
    <t>CRVS Costed Investment Plan</t>
  </si>
  <si>
    <t>Political Commitment</t>
  </si>
  <si>
    <t>Birth Rate coverage (%)</t>
  </si>
  <si>
    <t>Death Rate coverage (%)</t>
  </si>
  <si>
    <t>Assessment planned</t>
  </si>
  <si>
    <t>Assessment in progress</t>
  </si>
  <si>
    <t>No investment plan</t>
  </si>
  <si>
    <t>WB Project ID(s) : Beneficiary Registries</t>
  </si>
  <si>
    <t>WB Project ID(s) : Taxpayer Registries</t>
  </si>
  <si>
    <t>WB Project ID(s) : Business Registries</t>
  </si>
  <si>
    <t>WB Project ID(s) : Civil Service Registries</t>
  </si>
  <si>
    <t>WB Project ID(s) : Other Registries</t>
  </si>
  <si>
    <t>HNP CRVS Database</t>
  </si>
  <si>
    <t>IADB LCR Database</t>
  </si>
  <si>
    <t>IADB data collection year</t>
  </si>
  <si>
    <t>Population of the country (LCR)</t>
  </si>
  <si>
    <t xml:space="preserve">Urban population as % of total </t>
  </si>
  <si>
    <t xml:space="preserve">Rural population as % of total </t>
  </si>
  <si>
    <t>Poverty rate (% of population)</t>
  </si>
  <si>
    <t>Percentage or number of indigenous population</t>
  </si>
  <si>
    <t>Literacy rate</t>
  </si>
  <si>
    <t>Official language(s)</t>
  </si>
  <si>
    <t>Birth Registration (0-5): Unregistered births % of total</t>
  </si>
  <si>
    <t>Unregistered population (% of total)</t>
  </si>
  <si>
    <t>Institutional responsibility for Civil Registry</t>
  </si>
  <si>
    <t>No CR org yet / Unknown</t>
  </si>
  <si>
    <t>Autonomous</t>
  </si>
  <si>
    <t>In case of mandatory Civil Registration: Indicate the specific period (day / month / year) in which the certificate should be obtained by law.</t>
  </si>
  <si>
    <t>Fees applicable to civil registration process</t>
  </si>
  <si>
    <t>Name of National ID document</t>
  </si>
  <si>
    <t>Unique Identification Number</t>
  </si>
  <si>
    <t>Unique ID exists</t>
  </si>
  <si>
    <t>No Unique ID</t>
  </si>
  <si>
    <t>Website providing info on e-ID from IADB DB</t>
  </si>
  <si>
    <t>Utilization of e-ID in Legal Registries</t>
  </si>
  <si>
    <t>Gelb / Clark Paper (2013)</t>
  </si>
  <si>
    <t>Source of info for legal registry</t>
  </si>
  <si>
    <t>Services using e-ID</t>
  </si>
  <si>
    <t>Utilization of e-ID in Elections</t>
  </si>
  <si>
    <t>Utilization of e-ID in Transfers</t>
  </si>
  <si>
    <t>Utilization of e-ID in Civil Service</t>
  </si>
  <si>
    <t>Utilization of e-ID in Haelth</t>
  </si>
  <si>
    <t>Utilization of e-ID in Financial Services</t>
  </si>
  <si>
    <t>Utilization of e-ID in Other Services</t>
  </si>
  <si>
    <t>Source of info for Election System</t>
  </si>
  <si>
    <t>Source of info for transfers</t>
  </si>
  <si>
    <t>Source of info for civil registry</t>
  </si>
  <si>
    <t>Source of info for Health services registry</t>
  </si>
  <si>
    <t>Source of info for Financial Services registry</t>
  </si>
  <si>
    <t>Wikiprocedure</t>
  </si>
  <si>
    <t>Application for National ID</t>
  </si>
  <si>
    <t>Application for e-ID</t>
  </si>
  <si>
    <t>Birth Registration process</t>
  </si>
  <si>
    <t>Yes (process described)</t>
  </si>
  <si>
    <t>No explanation in Wikiprocedures</t>
  </si>
  <si>
    <t>http://unstats.un.org/unsd/demographic/CRVS/GlobalCRVS.html</t>
  </si>
  <si>
    <t>http://unstats.un.org/unsd/demographic/CRVS/default.htm</t>
  </si>
  <si>
    <t>http://unstats.un.org/unsd/demographic/CRVS/VS_availability.htm</t>
  </si>
  <si>
    <t>BR Yr</t>
  </si>
  <si>
    <r>
      <t>NUIP (Número Único de Identidad Personal) / C</t>
    </r>
    <r>
      <rPr>
        <sz val="11"/>
        <rFont val="Calibri"/>
        <family val="2"/>
      </rPr>
      <t>é</t>
    </r>
    <r>
      <rPr>
        <sz val="11"/>
        <rFont val="Calibri"/>
        <family val="2"/>
        <scheme val="minor"/>
      </rPr>
      <t>dula de Identidad</t>
    </r>
  </si>
  <si>
    <r>
      <t>Código de Nacimiento / C</t>
    </r>
    <r>
      <rPr>
        <sz val="11"/>
        <rFont val="Calibri"/>
        <family val="2"/>
      </rPr>
      <t>é</t>
    </r>
    <r>
      <rPr>
        <sz val="11"/>
        <rFont val="Calibri"/>
        <family val="2"/>
        <scheme val="minor"/>
      </rPr>
      <t>dula de Identidad</t>
    </r>
  </si>
  <si>
    <t>NUI (Número Único de Identidad) / DUI (Documento Único de Identidad)</t>
  </si>
  <si>
    <t>CUI (Código Único de Identificación) / DPI (Documento Personal de Identidad)</t>
  </si>
  <si>
    <t>NUN (Número Único de Nacimiento) / Tarjeta de Identidad</t>
  </si>
  <si>
    <t>CUI (Código Único de Identificación) / DNI (Documento Nacional de Identidad)</t>
  </si>
  <si>
    <t>Letërnjoftimi / Albanian Identity Card</t>
  </si>
  <si>
    <t>Identity Card / Лична карта</t>
  </si>
  <si>
    <t>Unique Identification Authority of India / Register General of Citizens Registration</t>
  </si>
  <si>
    <t>BReg Yr</t>
  </si>
  <si>
    <t>SSO Services URL</t>
  </si>
  <si>
    <t>Unique Bus ID URL</t>
  </si>
  <si>
    <t>NID Card Name</t>
  </si>
  <si>
    <t>NID Cost</t>
  </si>
  <si>
    <t>NID_B</t>
  </si>
  <si>
    <t>NID_M</t>
  </si>
  <si>
    <t>NID Org</t>
  </si>
  <si>
    <t>Wiki NID</t>
  </si>
  <si>
    <t>Business Registry is being used since (year)</t>
  </si>
  <si>
    <t>Tazkira / eNID</t>
  </si>
  <si>
    <t>200 PKR</t>
  </si>
  <si>
    <t>C, E, F, H, S, V</t>
  </si>
  <si>
    <t>C, H, R, S, V</t>
  </si>
  <si>
    <t>C, H, S</t>
  </si>
  <si>
    <t>C, R</t>
  </si>
  <si>
    <t>http://www.cartaodecidadao.pt/index.php%3Foption=com_content&amp;task=view&amp;id=17&amp;Itemid=26&amp;lang=pt.html</t>
  </si>
  <si>
    <t>https://www.gi-de.com/en/products_and_solutions/products/national_id_cards/National-ID-cards-for-secure-identification-6530.jsp</t>
  </si>
  <si>
    <t>http://www.gemalto.com/govt/identity</t>
  </si>
  <si>
    <t>http://www.gemalto.com/govt/customer-cases/belgium</t>
  </si>
  <si>
    <t>http://www.oberthur.com/otsolutions/digital-identity/?lang=en</t>
  </si>
  <si>
    <t>http://www.morpho.com/references/?lang=en</t>
  </si>
  <si>
    <t>http://www.zetes.com/en/people-id-solutions/secure-smartcard-and-id-document-production</t>
  </si>
  <si>
    <t>www.aleat.al</t>
  </si>
  <si>
    <t>C, R, S</t>
  </si>
  <si>
    <t>http://www.irisid.com/nationalidentity</t>
  </si>
  <si>
    <t>http://www.morpho.com/references/identity/aadhaar-biometrics-sparks-economic-and-social-revolution?lang=en</t>
  </si>
  <si>
    <t>http://www.morpho.com/references/identity/new-id-for-albania?lang=en</t>
  </si>
  <si>
    <t>http://www.morpho.com/references/identity/mauritania-a-single-integrated-system?lang=en</t>
  </si>
  <si>
    <t>http://www.morpho.com/references/identity/the-nina-card-a-technological-challenge-an-industrial-success?lang=en</t>
  </si>
  <si>
    <t>http://www.morpho.com/references/identity/identity-management-a-leading-edge-device-for-the-united-arab-emirates?lang=en</t>
  </si>
  <si>
    <t>Biometric ID Card Solution Provider</t>
  </si>
  <si>
    <t>GEMALTO (NL)</t>
  </si>
  <si>
    <t>SAFRAN / Morpho (FR)</t>
  </si>
  <si>
    <t>Giesecke &amp; Devrient (DE)</t>
  </si>
  <si>
    <t>Website(s) providing info on e-ID technology platform</t>
  </si>
  <si>
    <t>http://www.iris.com.my/Trusted_ID/projects.html</t>
  </si>
  <si>
    <t>http://www.gemalto.com/govt/customer-cases/finland</t>
  </si>
  <si>
    <t>http://www.gemalto.com/govt/customer-cases/france-bio-eresidence-card</t>
  </si>
  <si>
    <t>http://www.gemalto.com/govt/customer-cases/gabon-dig-civil-reg</t>
  </si>
  <si>
    <t>http://www.gemalto.com/govt/customer-cases/hongkong</t>
  </si>
  <si>
    <t>http://www.gemalto.com/govt/customer-cases/bahrain</t>
  </si>
  <si>
    <t>http://www.gemalto.com/govt/customer-cases/kuwait</t>
  </si>
  <si>
    <t>http://www.gemalto.com/govt/customer-cases/lithuania</t>
  </si>
  <si>
    <t>http://www.gemalto.com/govt/customer-cases/mongolia</t>
  </si>
  <si>
    <t>http://www.gemalto.com/govt/customer-cases/czech-id</t>
  </si>
  <si>
    <t>http://www.gemalto.com/govt/customer-cases/portugal-id</t>
  </si>
  <si>
    <t>http://www.gemalto.com/govt/customer-cases/saudi-arabia</t>
  </si>
  <si>
    <t>http://www.gemalto.com/govt/customer-cases/south-africa</t>
  </si>
  <si>
    <t>http://www.gemalto.com/govt/customer-cases/qatar-id</t>
  </si>
  <si>
    <t>http://www.gemalto.com/govt/customer-cases/oman-new-infrastructure</t>
  </si>
  <si>
    <t>C, E, H, S, T</t>
  </si>
  <si>
    <t>C, H, R, S</t>
  </si>
  <si>
    <t>C, E, H, R, S, T</t>
  </si>
  <si>
    <t>C, R, T</t>
  </si>
  <si>
    <t>C, V</t>
  </si>
  <si>
    <t>C, R, V</t>
  </si>
  <si>
    <t>C, S, T</t>
  </si>
  <si>
    <t>http://www.gemalto.com/govt/customer-cases/sweden</t>
  </si>
  <si>
    <t>http://www.buergerkarte.at/en/functions-card.html</t>
  </si>
  <si>
    <t>20 Yuan</t>
  </si>
  <si>
    <t>http://en.wikipedia.org/wiki/Resident_Identity_Card</t>
  </si>
  <si>
    <t>http://www.identity-cards.net/record/china</t>
  </si>
  <si>
    <t>Identity and Voting Document / Cédula de Identidad y Electoral</t>
  </si>
  <si>
    <t>RENAP - Registron Nacional de las Personas / National Population Registry</t>
  </si>
  <si>
    <t>Ministry of Interior</t>
  </si>
  <si>
    <t>General Directorate of Civil Status, MoI</t>
  </si>
  <si>
    <t>http://74.208.70.104/blog48631/7u7r597z2148631/national-identification-document-enid-2/</t>
  </si>
  <si>
    <t>https://www.datacard.com/knowledge-center/case-studies</t>
  </si>
  <si>
    <t>C, F, R, S</t>
  </si>
  <si>
    <t>https://www.datacard.com/case-study/guinea-bissau</t>
  </si>
  <si>
    <t>https://www.datacard.com/</t>
  </si>
  <si>
    <t>Registro Civil / Local registrar's office</t>
  </si>
  <si>
    <t>C, T, V</t>
  </si>
  <si>
    <t>C, E, F, V</t>
  </si>
  <si>
    <t>http://www.jpn.gov.my/</t>
  </si>
  <si>
    <t>http://banglanews24.com/en/fullnews/bn/89683.html</t>
  </si>
  <si>
    <t>http://www.prnewswire.com/news-releases/unisys-awarded-contract-to-provide-advanced-biometric-citizen-identification-solution-to-government-of-mexico-83495832.html</t>
  </si>
  <si>
    <t>http://www.planetbiometrics.com/civil-id/</t>
  </si>
  <si>
    <t>http://www.maticatech.com/markets/</t>
  </si>
  <si>
    <t>http://www.smartcardalliance.org/digital-identification-solutions-was-chosen-as-the-personalization-solution-provider-for-the-angola-national-id-card-program/</t>
  </si>
  <si>
    <t>http://www.unisys.com/search/unisys?k=UnisysAssetType:Case%20Studies</t>
  </si>
  <si>
    <t>http://www.lumidigm.com/civil-id/</t>
  </si>
  <si>
    <t>http://www.arjo-identity.com/en/e_id_cards_solutions_system_integration.php</t>
  </si>
  <si>
    <t>Soln</t>
  </si>
  <si>
    <t>Technology URL</t>
  </si>
  <si>
    <t>Natl ID Org URL</t>
  </si>
  <si>
    <t>Natl ID Org</t>
  </si>
  <si>
    <t>Web site containing info/doc about the National ID organization and platform/usage (URL)</t>
  </si>
  <si>
    <t>National Citizen Register, Ministry of the Interior</t>
  </si>
  <si>
    <t>DNI (Documento Nacional de Identidad) / SIBIOS (Sistema Federal de Identificación Biométrica para la Seguridad)</t>
  </si>
  <si>
    <t>http://www.habeasdata.org/</t>
  </si>
  <si>
    <t>https://www.eff.org/issues/national-ids</t>
  </si>
  <si>
    <t>http://tiempo.infonews.com/nota/133789/como-funciona-sibios-el-archivo-que-almacenara-todos-los-datos-personales</t>
  </si>
  <si>
    <t>Registraduria Nacional del Estado Civil / Organizacion Electoral</t>
  </si>
  <si>
    <t>http://www.registraduria.gov.co/-El-parche-del-regi-.html</t>
  </si>
  <si>
    <t>http://www.morpho.com/IMG/pdf/Morpho_Civis.pdf</t>
  </si>
  <si>
    <t>C, E, H, R, S</t>
  </si>
  <si>
    <t>C, E, H, S, R</t>
  </si>
  <si>
    <t>http://www.secureidnews.com/news-item/armenia-picks-pwpw-s-a-for-biometric-passports-e-ids/</t>
  </si>
  <si>
    <t>http://www.biometricupdate.com/service-directory/civil-id</t>
  </si>
  <si>
    <t>http://www.identity-cards.net/record/australia-2</t>
  </si>
  <si>
    <t>https://www.help.gv.at/Portal.Node/hlpd/public/content/54/Seite.540600.html</t>
  </si>
  <si>
    <t>State Police, Ministry of Interior</t>
  </si>
  <si>
    <t>http://www.worldbank.org/content/dam/Worldbank/Event/social-protection/Building_Robust_Identification_Systems_Session_Packet.pdf</t>
  </si>
  <si>
    <t>c-ID S</t>
  </si>
  <si>
    <t>http://www.interieur.gov.dz/</t>
  </si>
  <si>
    <t>Ministry of the Interior and Local Governments</t>
  </si>
  <si>
    <t>Carte Nationale d'Identité</t>
  </si>
  <si>
    <t>National Directorate of Archives of Civil and Criminal</t>
  </si>
  <si>
    <t>15 kwanza</t>
  </si>
  <si>
    <t>Civil Registry and Identification</t>
  </si>
  <si>
    <t>1,400 NIS</t>
  </si>
  <si>
    <t>Ministry of Internal Affairs and Communications</t>
  </si>
  <si>
    <t>2 JOD</t>
  </si>
  <si>
    <t>CON Registration Office</t>
  </si>
  <si>
    <t>ID Card</t>
  </si>
  <si>
    <t>KZT 282</t>
  </si>
  <si>
    <t>Civil Registration Department</t>
  </si>
  <si>
    <t>National ID card</t>
  </si>
  <si>
    <t>http://www.vdtat.lt/new/index.php?menu=27</t>
  </si>
  <si>
    <t>Carte de Identite (identity Card)</t>
  </si>
  <si>
    <t>Identification Services Bureau</t>
  </si>
  <si>
    <t>Bilhete de Identidade</t>
  </si>
  <si>
    <t>190 D</t>
  </si>
  <si>
    <t>http://www.dnr.gov.mv/index.html</t>
  </si>
  <si>
    <t>Department of National Registration</t>
  </si>
  <si>
    <t>http://en.service-public-particuliers.gouv.mc/Nationality-and-residency/Monegasque-nationality/Identity-documents/Monaco-national-identity-card</t>
  </si>
  <si>
    <t>Town Hall Nationality Office</t>
  </si>
  <si>
    <t>Department of Interior</t>
  </si>
  <si>
    <t>75 Dhs</t>
  </si>
  <si>
    <t>http://www.gov.na/identity-documents</t>
  </si>
  <si>
    <t>Hospitality Association of New Zealand</t>
  </si>
  <si>
    <t>18+ Card</t>
  </si>
  <si>
    <t>https://www.nimc.gov.ng/</t>
  </si>
  <si>
    <t>http://pki.gov.kz/index.php/en/udostoverenie-lichnosti</t>
  </si>
  <si>
    <t>C, E, F, H, S, T, O</t>
  </si>
  <si>
    <t>http://www.pki.gov.kz/index.php/en/udostoverenie-lichnosti</t>
  </si>
  <si>
    <t>http://www.guichet.public.lu/citoyens/fr/demarches-internet/index.html</t>
  </si>
  <si>
    <t>C, E, F, H, R, S, T</t>
  </si>
  <si>
    <t>https://mygov.mt/portal/(ew0zyiaaeqnoy2eiezhzkj45)/webforms/howdoigetaccesstomygov.aspx</t>
  </si>
  <si>
    <t>C, E, F, R, S, O</t>
  </si>
  <si>
    <t>http://www.gemalto.com/brochures-site/download-site/Documents/gov-ID-programs.pdf</t>
  </si>
  <si>
    <t>Unreg Pop</t>
  </si>
  <si>
    <t>http://www.innovatrics.com/references/civil-identification</t>
  </si>
  <si>
    <t>http://www.semlex.com/en/references/references-clients.html</t>
  </si>
  <si>
    <t>http://www.spyghana.com/world-bank-provides-us29-15m-build-robust-national-identification-system/</t>
  </si>
  <si>
    <t>http://findbiometrics.com/the-role-of-biometrics-in-containing-ebola/</t>
  </si>
  <si>
    <t>http://www.humanipo.com/news/7303/mauritius-government-to-issue-smart-id-cards/</t>
  </si>
  <si>
    <t>http://www.cto.int/media/events/pst-ev/2013/e-Gove/Matthias%20K.%20Kohler.pdf</t>
  </si>
  <si>
    <t>http://www.gambis.gm</t>
  </si>
  <si>
    <t>http://www.securitydocumentworld.com/article-details/i/11860/</t>
  </si>
  <si>
    <t>http://www.securitydocumentworld.com/article-details/i/11853/</t>
  </si>
  <si>
    <t>http://vi.wikipedia.org/wiki/Ch%E1%BB%A9ng_minh_nh%C3%A2n_d%C3%A2n</t>
  </si>
  <si>
    <t>http://www.apsca.org/members/member.php</t>
  </si>
  <si>
    <t>http://www.cnie.ma/sinformer/Pages/ProceduresObtentionCNIE.aspx</t>
  </si>
  <si>
    <t>NIEC / National Identification Card</t>
  </si>
  <si>
    <t>http://www.acuity-mi.com/GNeID_2014_Intro_Preview.pdf</t>
  </si>
  <si>
    <t>http://www.planetbiometrics.com/article-details/i/2057/</t>
  </si>
  <si>
    <t>Carte Nationale D'identite</t>
  </si>
  <si>
    <t>http://www.reniec.gob.pe/portal/homeDepartamento.htm</t>
  </si>
  <si>
    <t>Ministry of Administration and Interior</t>
  </si>
  <si>
    <t>ID card</t>
  </si>
  <si>
    <t>http://www.cra.gov.ye/indexen.php?sub=ID_new</t>
  </si>
  <si>
    <t>Civil Registration Authority</t>
  </si>
  <si>
    <t>1300 RY</t>
  </si>
  <si>
    <t>C, F, O</t>
  </si>
  <si>
    <t>http://registru.md/id_kart/</t>
  </si>
  <si>
    <t>http://unstats.un.org/unsd/demographic/CRVS/Technical%20report%20SADC%20final%20v2.pdf</t>
  </si>
  <si>
    <t>Department of Civil and National Registration (under the Ministry of Labour and Home Affairs)</t>
  </si>
  <si>
    <t>National Registration Bureau (under the Office of the President and Cabinet)</t>
  </si>
  <si>
    <t xml:space="preserve">Central Civil Status Office (under the Office of the Prime Minister) </t>
  </si>
  <si>
    <t>Directory of Civil National Identity, Min of interior</t>
  </si>
  <si>
    <t>http://www.jornalnoticias.co.mz/index.php/primeiro-plano/5760-domingos-jofane-director-nacional-de-identificacao-civil-bi-nao-esta-a-venda</t>
  </si>
  <si>
    <t>14d</t>
  </si>
  <si>
    <t>Department of Civil Affairs under the Ministry of Home Affairs and Immigration (MHAI)</t>
  </si>
  <si>
    <t>http://www.dha.gov.za/index.php/civic-services/identity-documents</t>
  </si>
  <si>
    <t>http://en.wikipedia.org/wiki/Biometrics_use_by_the_South_African_government</t>
  </si>
  <si>
    <t>http://www.gov.sz/index.php?option=com_content&amp;view=article&amp;id=311&amp;Itemid=441</t>
  </si>
  <si>
    <t>National Identification Authority, Ministry of Home Affairs</t>
  </si>
  <si>
    <t>NID / National ID Card</t>
  </si>
  <si>
    <t>Department of National Registration, Passport and Citizenship (under the Ministry of Home Affairs)</t>
  </si>
  <si>
    <t>C, E, H, F, R</t>
  </si>
  <si>
    <t>http://www.biometricupdate.com/201303/zambian-government-to-issue-biometric-registration-cards</t>
  </si>
  <si>
    <t>C, E, V</t>
  </si>
  <si>
    <t>http://www.zambia.gov.zm/</t>
  </si>
  <si>
    <t>Registrar General’s Department (under the Ministry of Home Affairs)</t>
  </si>
  <si>
    <t>http://nip-global.com/advanced-technological-systems-and-solution-provider</t>
  </si>
  <si>
    <t>http://lestimes.com/ministry-stops-issuing-passports-ids/</t>
  </si>
  <si>
    <t>http://www.rg.gov.zw/</t>
  </si>
  <si>
    <t>http://www.rg.gov.zw/services/national</t>
  </si>
  <si>
    <t>http://tuoitrenews.vn/society/18288/vietnam-to-replace-household-registers-with-identity-cards</t>
  </si>
  <si>
    <t>http://tuoitrenews.vn/society/10504/id-numbers-to-replace-personal-papers</t>
  </si>
  <si>
    <t>http://www.mps.gov.vn/web/guest/english</t>
  </si>
  <si>
    <t>Ministry of Public Security</t>
  </si>
  <si>
    <t>1 Brr</t>
  </si>
  <si>
    <t>Civil Registrar, Ministry of Justice</t>
  </si>
  <si>
    <t>Ghanacard</t>
  </si>
  <si>
    <t>http://www.sdw2014.com/creo_files/logos/sdw2014_event_guide_min_web.pdf</t>
  </si>
  <si>
    <t>http://www.moj.gov.et/Default.aspx</t>
  </si>
  <si>
    <t>NIA (National Identification Authority)</t>
  </si>
  <si>
    <t>http://nia.gov.gh</t>
  </si>
  <si>
    <t>C, E, H, F, R, T</t>
  </si>
  <si>
    <t>http://www.businessdailyafrica.com/Rollout-of-digital-IDs-starts-in-Feb/-/539546/2497388/-/ujohpp/-/index.html</t>
  </si>
  <si>
    <t>http://www.freerepublic.com/focus/news/2307076/posts</t>
  </si>
  <si>
    <t>C, H, F, R</t>
  </si>
  <si>
    <t>NIDA (National Identification Agency)</t>
  </si>
  <si>
    <t>C, H, F, R, S</t>
  </si>
  <si>
    <t>C, H, F, R, S, V</t>
  </si>
  <si>
    <t>500 Rwf</t>
  </si>
  <si>
    <t>http://www.nid.gov.rw</t>
  </si>
  <si>
    <t>http://www.tunisie.gov.tn/index.php?option=com_content&amp;task=view&amp;id=1578&amp;Itemid=538&amp;lang=french</t>
  </si>
  <si>
    <t>http://www.interieur.gov.tn/</t>
  </si>
  <si>
    <t>https://www.thalesgroup.com/en/content/morocco-more-2-million-biometric-national-id-cards-issued</t>
  </si>
  <si>
    <t>http://fr.allafrica.com/stories/201408182536.html</t>
  </si>
  <si>
    <t>Ministry of Interior and Public Security</t>
  </si>
  <si>
    <t>http://www.gouvernementdutchad.org/fr/</t>
  </si>
  <si>
    <t>https://www.youtube.com/watch?v=uCQS_J4lh0Q</t>
  </si>
  <si>
    <t>http://www.trueb.ch/fr/communiques-aux-medias/la-guinee-introduit-nouvelle-carte-didentite-en-polycarbonate</t>
  </si>
  <si>
    <t>http://www.lexpressguinee.com/fichiers/blog16-999.php?pseudo=rub2&amp;code=calb4317&amp;langue=fr</t>
  </si>
  <si>
    <t>http://www.presidence.gov.gn/</t>
  </si>
  <si>
    <t>Police, Ministry of Interior</t>
  </si>
  <si>
    <t>UMID (Unified Multi-Purpose ID Card)</t>
  </si>
  <si>
    <t>https://www.ecensus.com.ph/Default.aspx</t>
  </si>
  <si>
    <t>http://www.muhlbauer.com/29593/Solutions-Products/Solutions/ID-documents/index.aspx</t>
  </si>
  <si>
    <t>http://www.registrargeneral.gov.mw/cms/drg/?id=11</t>
  </si>
  <si>
    <t>Ministry of Immigration and Population (MIP)</t>
  </si>
  <si>
    <t>http://www.hanz18plus.org.nz</t>
  </si>
  <si>
    <t>http://depabd.mai.gov.ro/documente_necesare.html</t>
  </si>
  <si>
    <t>http://www.statewatch.org/analyses/no-107-national-ID-cards-questionnaire.pdf</t>
  </si>
  <si>
    <t>http://www.antena3.ro/en/romania/identity-documents-will-be-changed-romanians-will-have-biometric-identity-cards-204963.html</t>
  </si>
  <si>
    <t>C, H, S, R</t>
  </si>
  <si>
    <t>http://www.riserid.eu/fileadmin/user_upload/Datei/5_konferenz/S5_13_Electronic_ID_Card_Romania_Balasa.pdf</t>
  </si>
  <si>
    <t>http://documents.worldbank.org/curated/en/2011/04/14089715/bangladesh-identification-system-enhancing-access-services-idea-project</t>
  </si>
  <si>
    <t>http://www.immigration.go.ug</t>
  </si>
  <si>
    <t>Directorate of Citizenship and Immigration Control, Min of Interior Affairs</t>
  </si>
  <si>
    <t>Carteria de Identidade / Civil Identity Registry (RIC)</t>
  </si>
  <si>
    <t>Ministry of Justice, Federal Police</t>
  </si>
  <si>
    <t>http://justica.gov.br/</t>
  </si>
  <si>
    <t>http://www.soumu.go.jp/english/lab/index.html</t>
  </si>
  <si>
    <t>C, E, H, R, S, V</t>
  </si>
  <si>
    <t>http://en.wikipedia.org/wiki/Koseki</t>
  </si>
  <si>
    <t>http://juki-card.com/</t>
  </si>
  <si>
    <t>http://juki-card.com/about/index.html</t>
  </si>
  <si>
    <t>Juki Net / Basic Resident Registration Network System</t>
  </si>
  <si>
    <t>Federal Migration Service</t>
  </si>
  <si>
    <t>http://www.fms.gov.ru/government_services/passport/</t>
  </si>
  <si>
    <t>UEC / Universal Electronic Card ( Универсальная электронная карта) &gt; replacing Internal Passport from 2013-2015</t>
  </si>
  <si>
    <t>http://survincity.com/2012/02/started-the-production-of-the-passport-with-the/</t>
  </si>
  <si>
    <t>http://www.uecard.ru/for-citizens/what-is-uec/</t>
  </si>
  <si>
    <t>Social Security Number / New Green Card</t>
  </si>
  <si>
    <t>http://www.hidglobal.com/government/citizen-id/united-states</t>
  </si>
  <si>
    <t>http://www.hidglobal.com/sites/hidglobal.com/files/resource_files/hid-gov-id-usa-cs-en.pdf</t>
  </si>
  <si>
    <t>http://www.minjusdh.gov.ao/VerPrestadorServico.aspx?id=228</t>
  </si>
  <si>
    <t>http://www.passportvisa.am/biometric/</t>
  </si>
  <si>
    <t>Police Department</t>
  </si>
  <si>
    <t>http://www.mia.gov.az/index.php?/en/content/171/</t>
  </si>
  <si>
    <t>Ministry of International Affairs</t>
  </si>
  <si>
    <t>http://www.cio.gov.bh/CIO_ENG/SubDetailed.aspx?subcatid=29</t>
  </si>
  <si>
    <t>Central Informatics Organization</t>
  </si>
  <si>
    <t>http://www.gouv.bj/demarches-administratives/demande-de-carte-didentit</t>
  </si>
  <si>
    <t>Prefecture of Mayor</t>
  </si>
  <si>
    <t>Carte d'identitade</t>
  </si>
  <si>
    <t>2400 F</t>
  </si>
  <si>
    <t>Minister of Legal Affairs</t>
  </si>
  <si>
    <t>http://www.bahamas.gov.bs/wps/portal/public/!ut/p/b1/04_Sj9CPykssy0xPLMnMz0vMAfGjzOKNDdx9HR1NLHzdQ8IMDDwNDRyDgg0DDfyNDYEKIoEKDHAARwNC-sP1o_ArMYIqwGOFn0d-bqp-QW6EQZaJoyIA1iL9zQ!!/dl4/d5/L2dBISEvZ0FBIS9nQSEh/</t>
  </si>
  <si>
    <t>Certificate of Registration </t>
  </si>
  <si>
    <t>National Identification Registry, Ministry of Internal Affairs</t>
  </si>
  <si>
    <t>http://www.mia.gov.lr/</t>
  </si>
  <si>
    <t>National Registration Secretariat, Ministry of Internal Affairs</t>
  </si>
  <si>
    <t>http://www.idea.int/vt/countryview.cfm?id=127</t>
  </si>
  <si>
    <t>https://www.segip.gob.bo/index.php/requisitos-para-obtener-la-cedula-de-identidad</t>
  </si>
  <si>
    <t>Servicio General de Identificacion Personal</t>
  </si>
  <si>
    <t>http://mup.ks.gov.ba/node/35</t>
  </si>
  <si>
    <t>National Identification Office</t>
  </si>
  <si>
    <t>500 F</t>
  </si>
  <si>
    <t>6000 F</t>
  </si>
  <si>
    <t>http://www.interior.gov.kh/</t>
  </si>
  <si>
    <t>http://www.oni.ci/</t>
  </si>
  <si>
    <t>Carte Nationale D'Identite</t>
  </si>
  <si>
    <t>http://www.chileatiende.cl/</t>
  </si>
  <si>
    <t>C, E, F, H, R, S, O</t>
  </si>
  <si>
    <t>http://www.morpho.com/actualites-et-evenements/presse/morpho-chosen-to-supply-chile-s-new-id-documents</t>
  </si>
  <si>
    <t>http://www.mvcr.cz/clanek/informace-k-pouzivani-elektronickeho-podpisu.aspx</t>
  </si>
  <si>
    <t>Ch</t>
  </si>
  <si>
    <t>Bürgerkarte / Personalausweis / Austrian Citizen Card</t>
  </si>
  <si>
    <t>https://www.buergerkarte.at</t>
  </si>
  <si>
    <t>BelPIC / Identiteitskaart / Carte d’Identité / Personalausweis (Identity Card)</t>
  </si>
  <si>
    <t>http://eid.belgium.be</t>
  </si>
  <si>
    <t>C, E, F, H, R, T</t>
  </si>
  <si>
    <t>1, 2</t>
  </si>
  <si>
    <t xml:space="preserve">National Health Insurance Card &gt; Civil Registration System (Det Centrale Personregister) </t>
  </si>
  <si>
    <t>Det Centrale Personregister</t>
  </si>
  <si>
    <t>http://www.id.ee</t>
  </si>
  <si>
    <t>http://www.politsei.ee/et/teenused/isikut-toendavad-dokumendid/id-kaart/</t>
  </si>
  <si>
    <t>C, E, F, H, R, S, T, V</t>
  </si>
  <si>
    <t>http://www.id.ee/index.php?id=30651</t>
  </si>
  <si>
    <t>FINEID / Identification Card (Henkilökortti / Identitetskort)</t>
  </si>
  <si>
    <t>http://www.poliisi.fi/poliisi/home.nsf/pages/F082D8AB29097DB5C2256C29002BA66C?opendocument</t>
  </si>
  <si>
    <t>http://vrk.fi/default.aspx?id=21</t>
  </si>
  <si>
    <t>http://www.sesam-vitale.fr</t>
  </si>
  <si>
    <t>http://www.personalausweisportal.de/</t>
  </si>
  <si>
    <t>http://www.interieur.gouv.fr/A-votre-service/Mes-demarches/Papiers-Citoyennete/Etat-civil-Identite-Authentification</t>
  </si>
  <si>
    <t>http://www.mp-i.hu/en/about-us</t>
  </si>
  <si>
    <t>https://www.skra.is/english/english/</t>
  </si>
  <si>
    <t>National Register of Persons ("Þjóðskrá"), Ministry of Interior</t>
  </si>
  <si>
    <t>http://piba.gov.il/Subject/RegistryAndPassports/IdentityCard/Pages/TzRishona.aspx</t>
  </si>
  <si>
    <t>http://972mag.com/pilot-for-israels-national-biometric-database-program-begins/75330/</t>
  </si>
  <si>
    <t>http://www.progettocns.it</t>
  </si>
  <si>
    <t>http://www.interno.gov.it</t>
  </si>
  <si>
    <t>http://www.guichet.public.lu/citoyens/fr/citoyennete/papiers-identite/carte-identite/nouv-carte-identite-adulte/index.html</t>
  </si>
  <si>
    <t>Local Administrative Office, Ministry of Interior</t>
  </si>
  <si>
    <t>www.digid.nl</t>
  </si>
  <si>
    <t>http://www.rijksoverheid.nl/onderwerpen/paspoort-en-identificatie/biometrie-gezichtsopname-en-vingerafdrukken</t>
  </si>
  <si>
    <t>http://www.rijksoverheid.nl/onderwerpen/paspoort-en-identificatie/paspoort-en-identiteitskaart</t>
  </si>
  <si>
    <t>http://www.dnielectronico.es</t>
  </si>
  <si>
    <t>http://www.policia.es/documentacion/docu_esp/oficinas.html</t>
  </si>
  <si>
    <t>http://www.dnie.es/Asi_es_el_dni_electronico/index.html</t>
  </si>
  <si>
    <t>www.suisseid.ch</t>
  </si>
  <si>
    <t>1.1 Man</t>
  </si>
  <si>
    <t>http://www.secureidnews.com/news-item/trub-ag-deploys-national-e-id-solution-in-the-republic-of-azerbaijan/</t>
  </si>
  <si>
    <t>National ID card / Azərbaycan Respublikası vətəndaşının şəxsiyyət vəsiqəsi</t>
  </si>
  <si>
    <t>C, F, H, S, R</t>
  </si>
  <si>
    <t>http://www.trueb.ee/services-and-products/documents/id-cards</t>
  </si>
  <si>
    <t>Barbados Electoral and Boundaries Commission</t>
  </si>
  <si>
    <t>National Identification Card</t>
  </si>
  <si>
    <t>http://www.electoral.barbados.gov.bb/nationalregqualifications.html</t>
  </si>
  <si>
    <t>http://mvd.gov.by/ru/main.aspx?guid=12611</t>
  </si>
  <si>
    <t>http://mvd.gov.by/ru/main.aspx?guid=152273</t>
  </si>
  <si>
    <t>National Passport</t>
  </si>
  <si>
    <t>Registration Office of Elections and Boundaries Department</t>
  </si>
  <si>
    <t>http://www.elections.gov.bz/modules/article_publish/?tac=Requirements_For_Registration</t>
  </si>
  <si>
    <t>http://www.theodora.com/wfb/</t>
  </si>
  <si>
    <t>http://www.nationmaster.com/</t>
  </si>
  <si>
    <t>https://www.citizenservices.gov.bt/web/guest/issuance-new-cid</t>
  </si>
  <si>
    <t>Department of Civil Registration and Census</t>
  </si>
  <si>
    <t>Citizenship Identity Card</t>
  </si>
  <si>
    <t>Nu. 100</t>
  </si>
  <si>
    <t>Immigration and National Registration Department</t>
  </si>
  <si>
    <t>National Registration Identity card</t>
  </si>
  <si>
    <t>C, E, F, H, T, O</t>
  </si>
  <si>
    <t>C, E, R, T, S, O</t>
  </si>
  <si>
    <t>LKR 13</t>
  </si>
  <si>
    <t xml:space="preserve">http://www.refworld.org/docid/52cea1d24.html </t>
  </si>
  <si>
    <t xml:space="preserve">http://www.gov.sr/sr/ministerie-van-biza/diensten/cbb/diensten-en-producten.aspx </t>
  </si>
  <si>
    <t>The Central Bureau of Civil Affairs (CBB)</t>
  </si>
  <si>
    <t>National registration card</t>
  </si>
  <si>
    <t>http://www.polisen.se/Service/Pass-och-id-kort/</t>
  </si>
  <si>
    <t xml:space="preserve">http://www.schweizerpass.admin.ch/pass/de/home.html </t>
  </si>
  <si>
    <t xml:space="preserve">http://www.refworld.org/docid/469cd6993b3.html </t>
  </si>
  <si>
    <t>Local Administrations (town or village municipality)</t>
  </si>
  <si>
    <t>http://www.ris.gov.tw</t>
  </si>
  <si>
    <t>Department of Household Registration</t>
  </si>
  <si>
    <t xml:space="preserve">http://www.planetbiometrics.com/article-details/i/2146 </t>
  </si>
  <si>
    <t xml:space="preserve">http://www.secureidnews.com/news-item/sudan-launching-national-biometric-registry </t>
  </si>
  <si>
    <t>C, E, F, T</t>
  </si>
  <si>
    <t>C, F, R, T</t>
  </si>
  <si>
    <t>Public Registration Office</t>
  </si>
  <si>
    <t>http://www.shabait.com/news/local-news/6991-immigration-and-nationality-branch-in-northern-red-sea-region-strives-to-render-efficient-service</t>
  </si>
  <si>
    <t>http://www.shabait.com/articles/q-a-a/3558-public-registration-office-and-the-public-mutual-cooperation-for-efficient-services-</t>
  </si>
  <si>
    <t>http://aceproject.org/main/english/em/emx_b025.htm</t>
  </si>
  <si>
    <t>Public Service Bureau</t>
  </si>
  <si>
    <t>http://psh.gov.ge/index.php?lang_id=ENG&amp;sec_id=286</t>
  </si>
  <si>
    <t>http://psh.gov.ge/index.php?lang_id=ENG&amp;sec_id=282</t>
  </si>
  <si>
    <t>Reviewers/ Calculated</t>
  </si>
  <si>
    <t>eID Implementation Challenges</t>
  </si>
  <si>
    <t>No major complication</t>
  </si>
  <si>
    <t>Implementation cancelled</t>
  </si>
  <si>
    <t>Unexpected unterruption</t>
  </si>
  <si>
    <t>Privacy concerns</t>
  </si>
  <si>
    <t>Info security issues</t>
  </si>
  <si>
    <t>Unique Business/Corporate ID (c-ID)</t>
  </si>
  <si>
    <t>Unique c-ID exists</t>
  </si>
  <si>
    <t>Existing Taxpayer or other unique ID is used</t>
  </si>
  <si>
    <t>http://www.moj.am/services/civil_registry/item/518</t>
  </si>
  <si>
    <t>C, E, F, H, S, R</t>
  </si>
  <si>
    <t>https://www.help.gv.at/Portal.Node/hlpd/public/content/8/Seite.080100.html</t>
  </si>
  <si>
    <t>ID Card / Passport</t>
  </si>
  <si>
    <t>http://www.barbadosadvocate.com/newsitem.asp?more=&amp;NewsID=22375</t>
  </si>
  <si>
    <t>C, F, V</t>
  </si>
  <si>
    <t>http://dominicanewsonline.com/news/homepage/news/politics/roller-coaster-ride-national-id-cards/</t>
  </si>
  <si>
    <t>http://dominica.gov.dm/services/how-do-i-obtain-a-birth-death-or-marriage-certificate</t>
  </si>
  <si>
    <t>Electoral Office</t>
  </si>
  <si>
    <t>C, E, H, S, R, V</t>
  </si>
  <si>
    <t>http://siteresources.worldbank.org/EXTABCDE/Resources/7455676-1315933592317/8143947-1335963402037/8622235-1336401589879/Yanez-Pagans-PPT.pdf</t>
  </si>
  <si>
    <t>http://imigresen.gov.bn/IM%20WSS/KPP1.html</t>
  </si>
  <si>
    <t>http://www.baliprocess.net/files/ConferenceDocumentation/2004/IdentityManagementWorkshop/BALI%20II%20Matrix.pdf</t>
  </si>
  <si>
    <t>http://www.matds.gov.bf/index.php/le-ministere/les-services-centraux/dgmec</t>
  </si>
  <si>
    <t>http://www.iwacu-burundi.org/blogs/english/the-new-national-biometric-identity-card-soon-in-place/</t>
  </si>
  <si>
    <t>C, S, V</t>
  </si>
  <si>
    <t>http://www.burundi-gov.bi/Composition-du-Gouvernement-de-la</t>
  </si>
  <si>
    <t>http://www.biometricupdate.com/201312/cambodia-introducing-eids</t>
  </si>
  <si>
    <t>C, E, H, S</t>
  </si>
  <si>
    <t>https://www.thalesgroup.com/en/worldwide/security/id-management</t>
  </si>
  <si>
    <t>http://www.spm.gov.cm/administrations-publiques/administrations-publiques/article/delivrance-de-la-carte-nationale-didentite-le-chef-de-letat-prescrit-des-mesures-de-facilitation.html</t>
  </si>
  <si>
    <t>http://www.cameroon-info.net/stories/0,61787,@,cameroun-carte-nationale-d-identite-penurie-de-materiel-dans-les-commissariats.html</t>
  </si>
  <si>
    <t>Ministry of National Security and Defence</t>
  </si>
  <si>
    <t>https://portoncv.gov.cv/portal/page?_pageid=118,188596&amp;_dad=portal&amp;_schema=PORTAL&amp;p_dominio=45&amp;p_menu=61&amp;p_item=196&amp;p_ent_det=1397</t>
  </si>
  <si>
    <t>http://www.mj.gov.cv/index.php/estrutura-mtie/2012-02-14-13-02-17</t>
  </si>
  <si>
    <t>Directorate General of Registries and Notaries Identification. Mon of Justice</t>
  </si>
  <si>
    <t>RUN (Rol Único de Identidad) / Cédula de Identidad</t>
  </si>
  <si>
    <t>550 ECV</t>
  </si>
  <si>
    <t>http://www.slideshare.net/alkhouri/critical-insights-from-a-practitioner-mindset-volume-3</t>
  </si>
  <si>
    <t>http://www.journal-des-elections.net/docs/code_electoral_definitif_2011.pdf</t>
  </si>
  <si>
    <t>Ministry of Public Security, Immigration and Emigration</t>
  </si>
  <si>
    <t>http://comoros.eregulations.org/show-step.asp?l=fr&amp;mid=3&amp;rid=4&amp;sno=29</t>
  </si>
  <si>
    <t>http://www.jocomores.gouv.km/spip.php?article942</t>
  </si>
  <si>
    <t>http://www.beit-salam.km/rubrique.php3?id_rubrique=5</t>
  </si>
  <si>
    <t>C, H, S, V</t>
  </si>
  <si>
    <t>http://www.presidence.cg/accueil/</t>
  </si>
  <si>
    <t>AND</t>
  </si>
  <si>
    <t>COD</t>
  </si>
  <si>
    <t>ROU</t>
  </si>
  <si>
    <t>TLS</t>
  </si>
  <si>
    <t>ONIP / National Identification Population Office / Ministry of Interior</t>
  </si>
  <si>
    <t>http://www.presidentrdc.cd/spip.php?article630</t>
  </si>
  <si>
    <t>http://www.lesoftonline.net/articles/lumanu-recherche-un-demi-milliard-de-dollars-pour-l%E2%80%99onip</t>
  </si>
  <si>
    <t>http://www.tse.go.cr/servicios.htm</t>
  </si>
  <si>
    <t>http://www.tse.go.cr/devolucion_inscripciones.htm</t>
  </si>
  <si>
    <t xml:space="preserve">Municipality </t>
  </si>
  <si>
    <t>http://www.safran-group.com/videos/cat.php?cat=3&amp;sig=b77ec425d50s</t>
  </si>
  <si>
    <t>Ministry of the Interior, Police Dept.</t>
  </si>
  <si>
    <t>http://mup.hr/42.aspx</t>
  </si>
  <si>
    <t>DIIE / Department of Identification, Immigration and Nationality</t>
  </si>
  <si>
    <t>http://www.datys.cu</t>
  </si>
  <si>
    <t>http://www.moi.gov.cy/moi/crmd/crmd.nsf/index_gr/index_gr?OpenDocument</t>
  </si>
  <si>
    <t>http://en.wikipedia.org/wiki/Cypriot_identity_card</t>
  </si>
  <si>
    <t>http://www.mvcr.cz/mvcren/article/issuing-documents-from-the-register-of-vital-records-certificates-of-birth-marriage-and-or-death.aspx</t>
  </si>
  <si>
    <t>Register of Vital Records, Min of Interior</t>
  </si>
  <si>
    <t>http://waaberiproject.org/news-articles/biometric-identification-cards-for-somalis/</t>
  </si>
  <si>
    <t>http://www.presidence.dj/</t>
  </si>
  <si>
    <t>Directorate of Population, Ministry of Interior</t>
  </si>
  <si>
    <t>http://electoraloffice.gov.dm</t>
  </si>
  <si>
    <t>http://www.jce.gob.do/Dependencias/Cedulaci%C3%B3n/ServiciosyRequisitos.aspx#LiveTooltip[InscripcionesMayores]</t>
  </si>
  <si>
    <t>http://www.biometria.gov.ar/noticias/2011/10/10/datos-biometricos-en-republica-dominicana.aspx</t>
  </si>
  <si>
    <t>C, S, R, V</t>
  </si>
  <si>
    <t>http://www.registrocivil.gob.ec/?p=1674</t>
  </si>
  <si>
    <t>http://www.registrocivil.gob.ec/?p=1654</t>
  </si>
  <si>
    <t>https://verificatusdatos.registrocivil.gob.ec/identidad/(S(vfb0qcg0zl0t3jl4py10qzwt))/default.aspx</t>
  </si>
  <si>
    <t>15 Pounds</t>
  </si>
  <si>
    <t>http://www.cso.gov.eg/index.aspx?lid=9</t>
  </si>
  <si>
    <t>http://es.wikipedia.org/wiki/Documento_%C3%9Anico_de_Identidad</t>
  </si>
  <si>
    <t>http://www.dui-sv.com/</t>
  </si>
  <si>
    <t>http://www.rnpn.gob.sv/rnpn/</t>
  </si>
  <si>
    <t>RNPN / Registro Nacional de las Personas Naturales, Tribunal Supremo Electoral</t>
  </si>
  <si>
    <t>http://www.guineaecuatorialpress.com/noticia.php?id=126&amp;lang=fr</t>
  </si>
  <si>
    <t>http://www.bdm.gov.fj/births.htm</t>
  </si>
  <si>
    <t>http://www.frca.org.fj/quick-links/frca-fnpf-joint-card/</t>
  </si>
  <si>
    <t>Joint ID Card</t>
  </si>
  <si>
    <t>Fiji Islands Revenue and Customs Authority</t>
  </si>
  <si>
    <t>http://www.fiji.gov.fj/Media-Center/Press-Releases/PM-RECEIVES-HIS-JOINT-ID-CARD.aspx</t>
  </si>
  <si>
    <t>C, F, H, R, S</t>
  </si>
  <si>
    <t>http://www.interieur.gouv.ga/4-services-aux-usagers/216-la-carte-nationale-d-identite/</t>
  </si>
  <si>
    <t>Omang (National ID Card)</t>
  </si>
  <si>
    <t>French National ID Card</t>
  </si>
  <si>
    <t>Nafnskírteini (National ID Card)</t>
  </si>
  <si>
    <t>Aadhaar / MNIC (Multi Purpose National ID Card)</t>
  </si>
  <si>
    <t>CNIC (Computerized National ID Card) &gt; SNIC (Smart National ID Card)</t>
  </si>
  <si>
    <t>C, E, F, H, R, S</t>
  </si>
  <si>
    <t>http://www.bmi.bund.de/EN/Topics/Administrative-Reform/Passports-Identity-Cards/national-identity-card/national-identity-card_node.html;jsessionid=365DC13AF36A7B693DE614DFD5CE0E62.2_cid364</t>
  </si>
  <si>
    <t>http://www.astynomia.gr/index.php?option=ozo_content&amp;perform=view&amp;id=139&amp;Itemid=132&amp;lang</t>
  </si>
  <si>
    <t>Ministry of Interior, Police Dept.</t>
  </si>
  <si>
    <t xml:space="preserve">National Identity Card . Αστυνομική Ταυτότητα </t>
  </si>
  <si>
    <t>Multi-Purpose Identification Card (MPID)</t>
  </si>
  <si>
    <t>http://thenewtoday.gd/local-news/2014/11/27/mpid-to-serve-as-national-id/</t>
  </si>
  <si>
    <t>http://www.gov.gd/egov/news/2014/feb14/26_02_14/item_7/government_lauches_mpid.html</t>
  </si>
  <si>
    <t>http://www.gov.gd/ministries/works.html</t>
  </si>
  <si>
    <t>Ministry of Communications, Works, Physical Development, Public Utilities &amp; ICT</t>
  </si>
  <si>
    <t>Q 85</t>
  </si>
  <si>
    <t>C, F, H, S</t>
  </si>
  <si>
    <t>http://www.gbissau.com/?p=5574</t>
  </si>
  <si>
    <t>Min of Justice, National ID Services</t>
  </si>
  <si>
    <t>http://www.gecom.org.gy/nat_registration.html</t>
  </si>
  <si>
    <t>GECOM / Guyana Elections Commission</t>
  </si>
  <si>
    <t>CIN / National Identification Card</t>
  </si>
  <si>
    <t>ONI / National Identification Office, Minister of Justice and Public Security</t>
  </si>
  <si>
    <t>http://www.oni.gouv.ht/index.php?option=com_content&amp;view=article&amp;id=52&amp;Itemid=55</t>
  </si>
  <si>
    <t>C, F, H, R, S, V</t>
  </si>
  <si>
    <t>http://www.haitilibre.com/en/news-1152-haiti-elections-the-national-identification-office-deploys-its-mobile-units.html</t>
  </si>
  <si>
    <t>Registro Nacional de las Personas</t>
  </si>
  <si>
    <t>http://www.hondurasnews.com/honduras-planning-to-renovate-id-cards/</t>
  </si>
  <si>
    <t>http://www.gov.hk/en/residents/immigration/idcard/hkic/smartid.htm</t>
  </si>
  <si>
    <t>http://www.immd.gov.hk/en/services/hkid.html</t>
  </si>
  <si>
    <t>Registration of Persons Offices</t>
  </si>
  <si>
    <t>Office of Immigration and Nationality, Min of Interior</t>
  </si>
  <si>
    <t>http://www.bmbah.hu/jomla/index.php?option=com_k2&amp;view=item&amp;layout=item&amp;id=390&amp;Itemid=459&amp;lang=hu</t>
  </si>
  <si>
    <t>https://ugyintezes.magyarorszag.hu/ugyek/410010/Szemelyi_okmanyok20091202.html?ugy=szemazig.html#topicissue</t>
  </si>
  <si>
    <t xml:space="preserve">Ministry of Home Affairs, Department of Population and Civil Registration </t>
  </si>
  <si>
    <t>http://www.dukcapil.kemendagri.go.id/detail/program-penerapan-kartu-tanda-penduduk-elektronik</t>
  </si>
  <si>
    <t>http://www.moi.ir/</t>
  </si>
  <si>
    <t>http://irfamily.com/iranian-national-identity-card/</t>
  </si>
  <si>
    <t>General Directorate of Nationality, Ministry of Interior</t>
  </si>
  <si>
    <t>http://iraqinationality.gov.iq/about_ar.htm</t>
  </si>
  <si>
    <t>http://www.iraqinationality.gov.iq/national_id_en.htm</t>
  </si>
  <si>
    <t>http://www.gi-de.com/en/about_g_d/press/press_releases/Giesecke-%26-Devrient-Wins-Another-Major-Contract-from-Iraq-g28224.jsp</t>
  </si>
  <si>
    <t>http://www.nbn.org.il/aliyahpedia/government-services/post-aliyah-government-processing/biometric-smart-ids/</t>
  </si>
  <si>
    <t>NIDS / National Identification System</t>
  </si>
  <si>
    <t>http://opm.gov.jm/opm-programmes/national-identification-system/</t>
  </si>
  <si>
    <t>http://www.rgd.gov.jm</t>
  </si>
  <si>
    <t>Registrar General's Department</t>
  </si>
  <si>
    <t>http://www.egovja.com/content/national-identification-system-nids</t>
  </si>
  <si>
    <t>http://www.jordan.gov.jo/wps/portal/!ut/p/b1/jZFRT4MwFIV_iz_A9JYitI_AsC2DRmHtRl8WzBYyxsAHohu_Xlx8UOM279tNvnNyTg6yqMSMMkpcwly0Qrar3nZ1Nez6rmo_f-utDZtTM-cYIJYRyDDNfUEd7CQwAeV3gApOQSbgeJkfEnC9_-kjHgjXTwFoyh9ABkLn7JkQCMgt_RKV4ZcJXLgAbpkU224ysj8xbiatDAvFPM0dashv4I-uZ-BamTNwJWg5Af7lqBgt0ArcddGcXuW4H_MGjqpojMwaSbCGUTUzrfQeFON4iI8pnun3Aga1aGyWjRKrQTxtTK7DYLaRsipRgmzd9i_T1MsIKdEftuhg28f0dJ_EOcWU1HcfJfn-Ag!!/dl4/d5/L2dBISEvZ0FBIS9nQSEh/</t>
  </si>
  <si>
    <t>http://www.cspd.gov.jo/SubDefault.aspx?PageId=186&amp;MenuId=111</t>
  </si>
  <si>
    <t>Department of Civil Status and Passports</t>
  </si>
  <si>
    <t>http://en.ammonnews.net/article.aspx?articleno=6991#.VKBU1YcOA</t>
  </si>
  <si>
    <t>C, S</t>
  </si>
  <si>
    <t>http://egov.kz/wps/portal/Content?contentPath=/egovcontent/citizen_migration/passport_id_card/article/iin_info&amp;lang=en</t>
  </si>
  <si>
    <t>http://www.president.gov.ki/ministry-of-internal-affairs/</t>
  </si>
  <si>
    <t>http://www.korea-dpr.com/citizen.html</t>
  </si>
  <si>
    <t>http://www.dailynk.com/english/read.php?cataId=nk01500&amp;num=6087</t>
  </si>
  <si>
    <t>http://www.g-pin.go.kr/center/main/index.gpin</t>
  </si>
  <si>
    <t>Identity Card / Resident Registration Number</t>
  </si>
  <si>
    <t>http://www.koreabang.com/2014/stories/korean-government-reorganizes-resident-registration-number-system.html</t>
  </si>
  <si>
    <t>Ministry of Government administration and Home Affairs</t>
  </si>
  <si>
    <t>http://www.mogaha.go.kr/eng/a01/engMain.do</t>
  </si>
  <si>
    <t>http://www.mpb-ks.org/</t>
  </si>
  <si>
    <t>Civil Registration Agency, Ministry of Internal Affairs</t>
  </si>
  <si>
    <t>http://www.rks-gov.net/sq-AL/Qytetaret/Shtetesia/Pages/Leternjoftimi.aspx#l1</t>
  </si>
  <si>
    <t>http://m.gi-de.com/are/en/about_g_d/press/press_releases/Republic-of-Kosovo-Introduces-Contactless-ID-Card-%E2%80%93-G%26D-Supplies-End-To-End-Solution-g27008.jsp</t>
  </si>
  <si>
    <t>http://e.gov.kw/PACI_en/Pages/ServiceContent/521KuRegistrationForTheFirstTime.aspx#</t>
  </si>
  <si>
    <t>PACI / Public Authority for Civil Information</t>
  </si>
  <si>
    <t>State Registration Service</t>
  </si>
  <si>
    <t>http://biometrika.srs.kg</t>
  </si>
  <si>
    <t>http://unpan1.un.org/intradoc/groups/public/documents/un-dpadm/unpan040847.pdf</t>
  </si>
  <si>
    <t>Office of Citizenship and Migration Affairs, Ministry of Interior</t>
  </si>
  <si>
    <t>http://www.pmlp.gov.lv/en/home/about-ocma/</t>
  </si>
  <si>
    <t>http://www.pmlp.gov.lv/en/home/services/personal-certificates-(eid)/</t>
  </si>
  <si>
    <t>http://www.moim.gov.lb</t>
  </si>
  <si>
    <t>http://en.wikipedia.org/wiki/Lebanese_identity_card</t>
  </si>
  <si>
    <t>National ID Card / Tazkarat Al Hawiya</t>
  </si>
  <si>
    <t>http://www.isf.gov.lb/ar/article/97/%D8%A7%D9%84%D8%AD%D8%B5%D9%88%D9%84-%D8%B9%D9%84%D9%89-%D8%A7%D9%84%D8%A8%D8%B5%D9%85%D8%A7%D8%AA</t>
  </si>
  <si>
    <t>Registrar of Births and Deaths, Ministry of Local Government</t>
  </si>
  <si>
    <t>http://www.cra.gov.ly</t>
  </si>
  <si>
    <t>http://www.llv.li/#/1460</t>
  </si>
  <si>
    <t>Immigration and Passport Office</t>
  </si>
  <si>
    <t>http://www.eid.lt/lt/apie-atk/bendra-informacija.html</t>
  </si>
  <si>
    <t>http://portal.gov.mo/web/guest/info_detail?infoid=252978</t>
  </si>
  <si>
    <t>National ID Card / Лична карта</t>
  </si>
  <si>
    <t>http://www.mvr.gov.mk/DesktopDefault.aspx?tabindex=5&amp;tabid=187&amp;parent=100</t>
  </si>
  <si>
    <t>http://www.jpn.gov.my/en/perkhidmatan/kanak-kanak-bawah-12-tahun/</t>
  </si>
  <si>
    <t>NINA / Numéro d’Identification National </t>
  </si>
  <si>
    <t>3, 4</t>
  </si>
  <si>
    <t>http://www.matcl.gov.ml/</t>
  </si>
  <si>
    <t>Ministry fo Interior and Security</t>
  </si>
  <si>
    <t>http://homeaffairs.gov.mt/en/MHAS-Departments/Land%20Public%20Registry/Pages/ID-MO.aspx</t>
  </si>
  <si>
    <t>http://www.identitymalta.com/id-cards/</t>
  </si>
  <si>
    <t>http://www.rmimissa.org/ssidcard.html</t>
  </si>
  <si>
    <t>National Agency for Population Registry</t>
  </si>
  <si>
    <t>http://www.maurice-info.mu/wp-content/uploads/2013/09/new-id-card.pdf</t>
  </si>
  <si>
    <t>http://www.ine.mx/es/web/portal/inicio?</t>
  </si>
  <si>
    <t>http://renapo.gob.mx/swb/swb/RENAPO/home</t>
  </si>
  <si>
    <r>
      <t xml:space="preserve">CIME / Carte d'Identité Monégasque </t>
    </r>
    <r>
      <rPr>
        <sz val="11"/>
        <rFont val="Calibri"/>
        <family val="2"/>
      </rPr>
      <t>É</t>
    </r>
    <r>
      <rPr>
        <sz val="11"/>
        <rFont val="Calibri"/>
        <family val="2"/>
        <scheme val="minor"/>
      </rPr>
      <t>lectronique</t>
    </r>
  </si>
  <si>
    <t>http://www.mairie.mc/poles/pratique/documents-de-la-nationalite</t>
  </si>
  <si>
    <t>http://www.secureidnews.com/news-item/monaco-deploying-e-ids/?tag=government</t>
  </si>
  <si>
    <t>https://burtgel.gov.mn/index.php?option=com_content&amp;view=article&amp;id=112&amp;Itemid=141</t>
  </si>
  <si>
    <t>https://burtgel.gov.mn/</t>
  </si>
  <si>
    <t>C, R, S, T</t>
  </si>
  <si>
    <t>http://www.service-public.ma/web/guest/home?p_p_id=mmspservicepublicdiffusion_WAR_mmspservicepublicdiffusionportlet&amp;p_p_lifecycle=0&amp;p_p_state=normal&amp;p_p_mode=view&amp;p_p_col_id=column-1&amp;p_p_col_count=1&amp;_mmspservicepublicdiffusion_WAR_mmspservicepublicdiffusionportlet__spage=%2Fportlet_action%2Fprocedure%2Fprocedure%2Fview%3FrubriqueSelected.idRubrique%3D20308%26procedureSelected.idProcedure%3D5327&amp;_mmspservicepublicdiffusion_WAR_mmspservicepublicdiffusionportlet_rubriqueSelected.idRubrique=20308&amp;_mmspservicepublicdiffusion_WAR_mmspservicepublicdiffusionportlet_procedureSelected.idProcedure=5327</t>
  </si>
  <si>
    <t>http://www.mha.gov.na/web/guest/iddocs</t>
  </si>
  <si>
    <t>http://en.wikipedia.org/wiki/List_of_smart_cards</t>
  </si>
  <si>
    <t>http://www.karobardaily.com/news/2013/12/bidding-process-of-electronic-id-to-be-revoked</t>
  </si>
  <si>
    <t>http://www.cse.gob.ni</t>
  </si>
  <si>
    <t>http://www.managua.gob.ni/index.php?s=3050</t>
  </si>
  <si>
    <t>http://www.refworld.org/docid/3ae6ad5624.html</t>
  </si>
  <si>
    <t>NIMC / National Identity Management Commission</t>
  </si>
  <si>
    <t>http://newsroom.mastercard.com/press-releases/mastercard-to-power-nigerian-identity-card-program/</t>
  </si>
  <si>
    <t>http://www.nrk.no/norge/lover-nasjonalt-id-kort-i-2015-1.8264549</t>
  </si>
  <si>
    <t>C, R, S, V, T</t>
  </si>
  <si>
    <t>http://www.civilstatus.gov.om/english/services_IDCard.asp</t>
  </si>
  <si>
    <t>http://es.wikipedia.org/wiki/Documento_de_identidad#Panam.C3.A1</t>
  </si>
  <si>
    <t>http://www.panamatramita.gob.pa/tramite/c%C3%A9dula-de-identidad-personal</t>
  </si>
  <si>
    <t>National Identity Document Office, Electoral Tribunal</t>
  </si>
  <si>
    <t>http://www.tribunal-electoral.gob.pa/html/index.php?id=8</t>
  </si>
  <si>
    <t>C, E, H, R, S, T, V</t>
  </si>
  <si>
    <t>http://www.prosecurityzone.com/News_Detail_Multi-biometric_national_id_system_for_panama_2455.asp#axzz3NJqOloEG</t>
  </si>
  <si>
    <t>http://www.nri.org.pg/news/drspeachcompletetext_020914.htm</t>
  </si>
  <si>
    <t>http://www.policianacional.gov.py</t>
  </si>
  <si>
    <t>National Police, Ministry of Interior /  Departamento de Identificaciones - Policia Nacional del Parguay</t>
  </si>
  <si>
    <t>http://www.tramitesparaguay.gov.py/cedula-de-identidad-connacionales-naturalizados/</t>
  </si>
  <si>
    <t>GS 12.90</t>
  </si>
  <si>
    <t>http://www.prosecurityzone.com/News_Detail_Paraguay_national_id_card_system_to_be_supplied_by_l-1_6584.asp#axzz3NJqOloEG</t>
  </si>
  <si>
    <t>http://www.reniec.gob.pe/portal/pdf/01_dnie.pdf</t>
  </si>
  <si>
    <t>https://msw.gov.pl/pl/sprawy-obywatelskie/ewidencja-ludnosci-dowo/dowody-osobiste/4532,Informacje-ogolne.html</t>
  </si>
  <si>
    <t>Civil Assistance Center (Loja do Cidadão), Director General of Registries and Notaries</t>
  </si>
  <si>
    <t>QR 100</t>
  </si>
  <si>
    <t>http://www.moi.gov.qa/site/Arabic/index.html</t>
  </si>
  <si>
    <t>http://stlucianic.org/news/10/96/National-Insurance-Registration-Card/d,nic_news/</t>
  </si>
  <si>
    <t>Electoral Department</t>
  </si>
  <si>
    <t>EC$50</t>
  </si>
  <si>
    <t>http://www.oas.org/en/spa/depm/puica/proyectos.asp</t>
  </si>
  <si>
    <t>High Court Office</t>
  </si>
  <si>
    <t>EC$15</t>
  </si>
  <si>
    <t>http://www.gov.vc/index.php?option=com_content&amp;view=article&amp;id=289&amp;Itemid=209</t>
  </si>
  <si>
    <t>C, T</t>
  </si>
  <si>
    <t>http://www.sanmarino.sm/on-line/home/canali-tematici/pubblica-amministrazione.html</t>
  </si>
  <si>
    <t>Ministerial Agency of Civil Affairs</t>
  </si>
  <si>
    <t>Police Station</t>
  </si>
  <si>
    <t>928.80 D</t>
  </si>
  <si>
    <t>http://www.euprava.gov.rs/</t>
  </si>
  <si>
    <t>http://www.zin.rs/en/poslovanje/index.html</t>
  </si>
  <si>
    <t>http://www.egov.sc/MyCitizen/ApplyIDCard.aspx</t>
  </si>
  <si>
    <t>ID Card Office</t>
  </si>
  <si>
    <t>SR 50</t>
  </si>
  <si>
    <t>https://eservice.egov.sc/eGateway/public/GatewayConcept.aspx#concept</t>
  </si>
  <si>
    <t>http://www.ica.gov.sg/page.aspx?pageid=138</t>
  </si>
  <si>
    <t>Citizen Services IC Unit</t>
  </si>
  <si>
    <t>http://www.egov.gov.sg/</t>
  </si>
  <si>
    <t>C, E, F, R, T</t>
  </si>
  <si>
    <t>http://www.minv.sk/?obcianske-preukazy</t>
  </si>
  <si>
    <t>http://www.morpho.com/news-events-348/press/morpho-selected-by-slovakia-for-its-national-electronic-identity-card-program</t>
  </si>
  <si>
    <t>http://www.mnz.gov.si/si/mnz_za_vas/osebni_dokumenti_in_prebivalisce/</t>
  </si>
  <si>
    <t>http://www.cetis.si/?viewPage=71</t>
  </si>
  <si>
    <t>Government ID Solutions</t>
  </si>
  <si>
    <t>http://www.hidglobal.com/press-releases/somalia-introduces-new-secure-national-id-and-e-passport-hid-global-and-their</t>
  </si>
  <si>
    <t>http://www.goss.org/index.php/ministries/interior</t>
  </si>
  <si>
    <t>Directorate of Nationality, Passport and Immigrations</t>
  </si>
  <si>
    <t>30 SSP</t>
  </si>
  <si>
    <t>http://www.saime.gob.ve/historia/</t>
  </si>
  <si>
    <t>SAIME</t>
  </si>
  <si>
    <t>SDG 60</t>
  </si>
  <si>
    <t>NT$50</t>
  </si>
  <si>
    <t xml:space="preserve">http://centralasiaonline.com/en_GB/articles/caii/features/main/2014/02/05/feature-01 </t>
  </si>
  <si>
    <t xml:space="preserve">Ministry of Interior </t>
  </si>
  <si>
    <t xml:space="preserve">TJS 28.9 / TJS 33.7 </t>
  </si>
  <si>
    <t>Baht 20</t>
  </si>
  <si>
    <t xml:space="preserve">http://www.academia.edu/288876/Smart_ID_Card_In_Thailand_From_a_Buddhist_Perspective </t>
  </si>
  <si>
    <t xml:space="preserve">http://www.secureidnews.com/news-item/thailand-introduces-national-id-with-biometric-technology </t>
  </si>
  <si>
    <t xml:space="preserve">http://www.jornal.gov.tl/lawsTL/RDTL-Law/RDTL-Decree-Laws/Decree-Law-2004-2.pdf </t>
  </si>
  <si>
    <t xml:space="preserve">National Directorate of Registries </t>
  </si>
  <si>
    <t xml:space="preserve">http://mediaf.org/?p=1262 </t>
  </si>
  <si>
    <t>Ministry of Territorial Administration, Decentralization and Local</t>
  </si>
  <si>
    <t xml:space="preserve">http://www.mic.gov.to/palace-office/1834-tonga-to-distribute-first-ever-national-id-card </t>
  </si>
  <si>
    <t>National Identity Card Office</t>
  </si>
  <si>
    <t>http://www.ttconnect.gov.tt/gortt/portal/ttconnect/Non-sidentDetail/?WCM_GLOBAL_CONTEXT=/gortt/wcm/connect/GorTT%20Web%20Content/ttconnect/citizen/topic/governmentandpolitics/documents+and+policies/obtaining+a+national+identification+card</t>
  </si>
  <si>
    <t xml:space="preserve">http://www.unpan.org/PublicAdministrationNews/tabid/117/mctl/ArticleView/ModuleID/1471/articleId/23273/default.aspx </t>
  </si>
  <si>
    <t xml:space="preserve">http://www.icisleri.gov.tr </t>
  </si>
  <si>
    <t>C, F, S</t>
  </si>
  <si>
    <t xml:space="preserve">http://edem.todaie.gov.tr/egovshare/presentations/egovshare2009_11_12_2009/CC1/egovshare2009_mmutlugun.pdf </t>
  </si>
  <si>
    <t>http://www.odessatalk.com/2012/10/biometric-passports-and-id-cards-ukraine</t>
  </si>
  <si>
    <t xml:space="preserve">http://www.edaps.com/en/news/n1273 </t>
  </si>
  <si>
    <t xml:space="preserve">http://www.id.gov.ae/en/home.aspx </t>
  </si>
  <si>
    <t>Emirates ID card</t>
  </si>
  <si>
    <t>AED 30</t>
  </si>
  <si>
    <t xml:space="preserve">http://www.id.gov.ae/en/emirates-id/about-emirates-id.aspx </t>
  </si>
  <si>
    <t xml:space="preserve">https://www.minterior.gub.uy/webs/dnic </t>
  </si>
  <si>
    <t>http://uruguay.isigmaglobal.com/2011/04/18/hola-mundo/</t>
  </si>
  <si>
    <t>http://uruguay.isigmaglobal.com/2011/04/18/hola-mundo</t>
  </si>
  <si>
    <t xml:space="preserve">http://www.landinfo.no/asset/2380/1/2380_1.pdf </t>
  </si>
  <si>
    <t xml:space="preserve">Department of the Interior and local authorities </t>
  </si>
  <si>
    <t xml:space="preserve">http://www.businesswire.com/news/home/20130513005913/en/Oberthur-Technologies-Successfully-Delivered-End-to-End-ePassport-Solution#.VKHMYmowAA </t>
  </si>
  <si>
    <t xml:space="preserve">http://www.radioaustralia.net.au/international/2005-10-17/vanuatu-mp-proposes-plans-for-a-national-identity-card/756152 </t>
  </si>
  <si>
    <t>http://www.newelectoralframework.gov.kn/default.asp?ContentType=References</t>
  </si>
  <si>
    <t>http://www.stlucianewsonline.com/elections-commission-resumes-issuing-national-id-cards/</t>
  </si>
  <si>
    <t>http://www.govt.lc/services/apply-for-certificate-of-identity</t>
  </si>
  <si>
    <t>http://www.dipartimento.interni.sm/on-line/home/uffici/ufficio-di-stato-civile-servizi-demografici-ed-elettorali.html</t>
  </si>
  <si>
    <t>Office of Vital Statistics, Demographic and Electoral</t>
  </si>
  <si>
    <t>https://www.pa.sm</t>
  </si>
  <si>
    <t>http://af.reuters.com/article/topNews/idAFJOE6450D020100506</t>
  </si>
  <si>
    <t>http://www.mia.gov.sl</t>
  </si>
  <si>
    <t>https://www.crc4d.com/downloads/2014-04-establishing-21st-century-identity-management-sierra-Leone.pdf</t>
  </si>
  <si>
    <t>http://www.sl.undp.org/content/sierraleone/en/home/presscenter/articles/2014/02/21/civil-registration-to-benefit-citizens-and-improve-service-delivery/</t>
  </si>
  <si>
    <t>Sshs 1000</t>
  </si>
  <si>
    <t>http://www.somaligov.net/</t>
  </si>
  <si>
    <t>National Registration Service</t>
  </si>
  <si>
    <t>http://www.icao.int/meetings/mrtd-tashkent-2014/documents/session3_3-manuchehr.pdf</t>
  </si>
  <si>
    <t>DOPA / Dept of Prov</t>
  </si>
  <si>
    <t>http://www.biometricupdate.com/tag/smart-cards/page/2</t>
  </si>
  <si>
    <t>http://www.iom.int/seguridad-fronteriza/lit/cr/cr-results-2010.pdf</t>
  </si>
  <si>
    <t>http://cnsnews.com/news/article/un-will-fund-biometric-voter-id-yemen</t>
  </si>
  <si>
    <t>http://www.moi.gov.ps/En/</t>
  </si>
  <si>
    <t>Palestinian National Authority, Ministry of Interior</t>
  </si>
  <si>
    <t>http://findbiometrics.com/archive/new-citizenship-id-cards-in-bhutan/</t>
  </si>
  <si>
    <t>MoIA   2</t>
  </si>
  <si>
    <t>http://es.wikipedia.org/wiki/Documento_de_identidad#Venezuela</t>
  </si>
  <si>
    <t>http://www.unicef.org/mena/MENA-Birth_Registration_report_low_res-01.pdf</t>
  </si>
  <si>
    <t>A note on the Data:</t>
  </si>
  <si>
    <t>birth was reported as registered with civil authorities at the time of the survey.</t>
  </si>
  <si>
    <t xml:space="preserve">The percentage of children under age five (0 to 59 months) with a birth certificate or whose </t>
  </si>
  <si>
    <t>Birth Registration Rate:</t>
  </si>
  <si>
    <t>Unreg 0-4</t>
  </si>
  <si>
    <t>Poverty headcount ratio below poverty line (% of population)</t>
  </si>
  <si>
    <t>PovL (%p)</t>
  </si>
  <si>
    <t>http://www.prb.org/Publications/Articles/2014/wpds-2014-extreme-poverty.aspx</t>
  </si>
  <si>
    <t>http://en.wikipedia.org/wiki/List_of_countries_by_percentage_of_population_living_in_poverty</t>
  </si>
  <si>
    <t>Unregistered population</t>
  </si>
  <si>
    <t>Mapping to the World Bank regions (abbreviation)</t>
  </si>
  <si>
    <t>XXX</t>
  </si>
  <si>
    <t>AFR / EAP / ECA / LCR / MNA / SAR</t>
  </si>
  <si>
    <t>ID4D</t>
  </si>
  <si>
    <t>prev</t>
  </si>
  <si>
    <t>FS</t>
  </si>
  <si>
    <t>civil</t>
  </si>
  <si>
    <t>common</t>
  </si>
  <si>
    <t>religious</t>
  </si>
  <si>
    <t>customary</t>
  </si>
  <si>
    <t>Legal Code</t>
  </si>
  <si>
    <t>Legal Codes</t>
  </si>
  <si>
    <t>civil + religious</t>
  </si>
  <si>
    <t>civil + common</t>
  </si>
  <si>
    <t>common + religious</t>
  </si>
  <si>
    <t>common + customary</t>
  </si>
  <si>
    <t>civil + customary</t>
  </si>
  <si>
    <t>civil + customary + religious</t>
  </si>
  <si>
    <t>common + customary + religious</t>
  </si>
  <si>
    <t>common + civil + religious</t>
  </si>
  <si>
    <t>FIW 2014</t>
  </si>
  <si>
    <t>Law</t>
  </si>
  <si>
    <t>Status</t>
  </si>
  <si>
    <t>FOTN 2014</t>
  </si>
  <si>
    <t>Score</t>
  </si>
  <si>
    <t>FOTP 2014</t>
  </si>
  <si>
    <t>https://www.freedomhouse.org</t>
  </si>
  <si>
    <t>Polity</t>
  </si>
  <si>
    <t>Pol IV</t>
  </si>
  <si>
    <t>WGI 2013</t>
  </si>
  <si>
    <t>http://data.worldbank.org/data-catalog/worldwide-governance-indicators</t>
  </si>
  <si>
    <t>V&amp;A</t>
  </si>
  <si>
    <t>WBG</t>
  </si>
  <si>
    <t>RQ</t>
  </si>
  <si>
    <t>RoL</t>
  </si>
  <si>
    <t>CoC</t>
  </si>
  <si>
    <t>Project ID</t>
  </si>
  <si>
    <t>Approv Date</t>
  </si>
  <si>
    <t>Closing Date</t>
  </si>
  <si>
    <t>CivReg</t>
  </si>
  <si>
    <t>NatID</t>
  </si>
  <si>
    <t>Benefic</t>
  </si>
  <si>
    <t>TxPayer</t>
  </si>
  <si>
    <t>Busin</t>
  </si>
  <si>
    <t>P124015</t>
  </si>
  <si>
    <t>Social Safety Net Project</t>
  </si>
  <si>
    <t>SPL</t>
  </si>
  <si>
    <t>Active</t>
  </si>
  <si>
    <t>P133021</t>
  </si>
  <si>
    <t xml:space="preserve"> Value Chain Support Project</t>
  </si>
  <si>
    <t>T&amp;C</t>
  </si>
  <si>
    <t>P104041</t>
  </si>
  <si>
    <t>Enhancing Governance Capacity</t>
  </si>
  <si>
    <t>GGP</t>
  </si>
  <si>
    <t>P122229</t>
  </si>
  <si>
    <t>Public Service Reform and Rejuvenation Project</t>
  </si>
  <si>
    <t>P145965</t>
  </si>
  <si>
    <t>DRC Human Development Systems Strengthening</t>
  </si>
  <si>
    <t>HNP</t>
  </si>
  <si>
    <t>P082817</t>
  </si>
  <si>
    <t>Post Conflict Assistance Project - AF</t>
  </si>
  <si>
    <t>Cote d'Ivoire</t>
  </si>
  <si>
    <t>SURR</t>
  </si>
  <si>
    <t>P130328</t>
  </si>
  <si>
    <t>DJ Crisis Response - Social Safety Net Project</t>
  </si>
  <si>
    <t>P132881</t>
  </si>
  <si>
    <t>GM-Integrated Financial Management and Information System Project-Additional Financing</t>
  </si>
  <si>
    <t>P115247</t>
  </si>
  <si>
    <t>Ghana---Social Opportunities Project</t>
  </si>
  <si>
    <t>P144140</t>
  </si>
  <si>
    <t>eTransform Ghana</t>
  </si>
  <si>
    <t>T&amp;ICT</t>
  </si>
  <si>
    <t>P125890</t>
  </si>
  <si>
    <t>Economic Governance Project</t>
  </si>
  <si>
    <t>P123900</t>
  </si>
  <si>
    <t>Productive Social Safety Net Project</t>
  </si>
  <si>
    <t>P094103</t>
  </si>
  <si>
    <t>Regional Communications Infrastructure Project</t>
  </si>
  <si>
    <t>Kenya, Burundi, Madagascar</t>
  </si>
  <si>
    <t>P131305</t>
  </si>
  <si>
    <t>National Safety Net Program for Results</t>
  </si>
  <si>
    <t>P107248</t>
  </si>
  <si>
    <t>Economic Governance &amp; Institutional Reform</t>
  </si>
  <si>
    <t>P143064</t>
  </si>
  <si>
    <t>Public Sector Modernization Project</t>
  </si>
  <si>
    <t>P133620</t>
  </si>
  <si>
    <t>Strengthening Safety Nets Systems - MASAF IV</t>
  </si>
  <si>
    <t>P129524</t>
  </si>
  <si>
    <t>Social Protection Project</t>
  </si>
  <si>
    <t>P149095</t>
  </si>
  <si>
    <t>Rwanda Public Sector Governance Program For Results</t>
  </si>
  <si>
    <t>P143588</t>
  </si>
  <si>
    <t>Sierra Leone Safety Nets Project</t>
  </si>
  <si>
    <t>P143915</t>
  </si>
  <si>
    <t>Safety Net and Skills Development</t>
  </si>
  <si>
    <t>P124045</t>
  </si>
  <si>
    <t>Tanzania Productive Social Safety Net</t>
  </si>
  <si>
    <t>P130471</t>
  </si>
  <si>
    <t>Competitiveness and Enterprise Development Project (CEDP)</t>
  </si>
  <si>
    <t>P074027</t>
  </si>
  <si>
    <t>Health Services Improvement Project</t>
  </si>
  <si>
    <t>Lao, PDR</t>
  </si>
  <si>
    <t>P144952</t>
  </si>
  <si>
    <t>Modernization of Public Finance Management</t>
  </si>
  <si>
    <t>P145534</t>
  </si>
  <si>
    <t>MM: Telecommunications Sector Reform</t>
  </si>
  <si>
    <t>P114042</t>
  </si>
  <si>
    <t>Urban Youth Employment Project</t>
  </si>
  <si>
    <t>P099376</t>
  </si>
  <si>
    <t>Tax Administration Modernization Project</t>
  </si>
  <si>
    <t>P132776</t>
  </si>
  <si>
    <t xml:space="preserve">Programmatic Social Protection AAA </t>
  </si>
  <si>
    <t>P131359</t>
  </si>
  <si>
    <t>Study on e-ID Infrastructure to Improve Public Services Delivery</t>
  </si>
  <si>
    <t>P096418</t>
  </si>
  <si>
    <t>Land Administration Project</t>
  </si>
  <si>
    <t>P123960</t>
  </si>
  <si>
    <t>Social Assistance System Strengthening Project</t>
  </si>
  <si>
    <t>P122233</t>
  </si>
  <si>
    <t>Social Assistance Modernization Project</t>
  </si>
  <si>
    <t>P129332</t>
  </si>
  <si>
    <t>Second MDTF for Capacity Building Support to Implement the IPS (IPS 2)</t>
  </si>
  <si>
    <t>P111942</t>
  </si>
  <si>
    <t>P115647</t>
  </si>
  <si>
    <t>E-Society and Innovation for Competitiveness (EIC) Project</t>
  </si>
  <si>
    <t>P102778</t>
  </si>
  <si>
    <t>Revenue Administration Modernization Project</t>
  </si>
  <si>
    <t>P116696</t>
  </si>
  <si>
    <t>Tax Administration Reform Project (JERP) </t>
  </si>
  <si>
    <t>P143274</t>
  </si>
  <si>
    <t>Justice Sector Institutional Strengthening Project</t>
  </si>
  <si>
    <t>P130202</t>
  </si>
  <si>
    <t>P121231</t>
  </si>
  <si>
    <t>Governance e-Transformation Project</t>
  </si>
  <si>
    <t>P093050</t>
  </si>
  <si>
    <t>Registration Project</t>
  </si>
  <si>
    <t>P127807</t>
  </si>
  <si>
    <t>P130091</t>
  </si>
  <si>
    <t>Private Sector Competitiveness</t>
  </si>
  <si>
    <t>P101504</t>
  </si>
  <si>
    <t>Second Bolsa Familia</t>
  </si>
  <si>
    <t>P106628</t>
  </si>
  <si>
    <t>Improving Public Management Project</t>
  </si>
  <si>
    <t>P126791</t>
  </si>
  <si>
    <t>Public and Social Sector Transformation Project (PSST)</t>
  </si>
  <si>
    <t>P090010</t>
  </si>
  <si>
    <t>Social Sectors Investment Program</t>
  </si>
  <si>
    <t>P095314</t>
  </si>
  <si>
    <t>Fiscal Management and Public Sector Performance TA Loan</t>
  </si>
  <si>
    <t>P147212</t>
  </si>
  <si>
    <t>MX Social Protection System</t>
  </si>
  <si>
    <t>P111795</t>
  </si>
  <si>
    <t>Public Financial Management Modernization Project</t>
  </si>
  <si>
    <t>P131029</t>
  </si>
  <si>
    <t>PE Social Inclusion TAL</t>
  </si>
  <si>
    <t>P097604</t>
  </si>
  <si>
    <t>Institutions Building TAL Country</t>
  </si>
  <si>
    <t>P125799</t>
  </si>
  <si>
    <t>Judicial Performance Enhancement for Service to Citizen Project ("Mahkamati")</t>
  </si>
  <si>
    <t>P144674</t>
  </si>
  <si>
    <t>DTF Social Protection Reforms Support</t>
  </si>
  <si>
    <t>P151923</t>
  </si>
  <si>
    <t>Emergency Support to Social Protection Project</t>
  </si>
  <si>
    <t>P121528</t>
  </si>
  <si>
    <t>Identification System for Enhancing Access to Services (IDEA) Project</t>
  </si>
  <si>
    <t>P129770</t>
  </si>
  <si>
    <t>Revenue Mobilization Program for Results: VAT Improvement Program (VIP)</t>
  </si>
  <si>
    <t>P132634</t>
  </si>
  <si>
    <t>Safety Net Systems for the Poorest Project</t>
  </si>
  <si>
    <t>P118826</t>
  </si>
  <si>
    <t>India: Bihar Integrated Social Protection Strengthening Project</t>
  </si>
  <si>
    <t>P121731</t>
  </si>
  <si>
    <t>India: ICDS Systems Strengthening &amp; Nutrition Improvement Program (ISSNIP)</t>
  </si>
  <si>
    <t>P132234</t>
  </si>
  <si>
    <t>Pakistan: Punjab Public Management Reform Program</t>
  </si>
  <si>
    <t>P103160</t>
  </si>
  <si>
    <t>P151432</t>
  </si>
  <si>
    <t>Ethiopia Equitable Basic Services</t>
  </si>
  <si>
    <t>Pipeline</t>
  </si>
  <si>
    <t>P150922</t>
  </si>
  <si>
    <t>Ethiopia PFM Project</t>
  </si>
  <si>
    <t>P148447</t>
  </si>
  <si>
    <t>Ethiopia: Financial Sector Development Project</t>
  </si>
  <si>
    <t>F&amp;M</t>
  </si>
  <si>
    <t>P149323</t>
  </si>
  <si>
    <t>P146804</t>
  </si>
  <si>
    <t>Governance Enhancement Project</t>
  </si>
  <si>
    <t>Mauritania Public Sector Efficiency program</t>
  </si>
  <si>
    <t>P150430</t>
  </si>
  <si>
    <t>Mauritania Social Safety Net System</t>
  </si>
  <si>
    <t>P151488</t>
  </si>
  <si>
    <t>P147555</t>
  </si>
  <si>
    <t>Health System Strengthening for Better Maternal and Child Health Results Project (PDSS)</t>
  </si>
  <si>
    <t>P151425</t>
  </si>
  <si>
    <t>Lao PDR Health and Nutrition Program</t>
  </si>
  <si>
    <t>P153113</t>
  </si>
  <si>
    <t>National Community Driven Development Project</t>
  </si>
  <si>
    <t>P153446</t>
  </si>
  <si>
    <t>Philippines Cross-Sectoral Public Health Enhancement Project</t>
  </si>
  <si>
    <t>X ?</t>
  </si>
  <si>
    <t>P153744</t>
  </si>
  <si>
    <t>Philippines Social Welfare Development and Reform Project II</t>
  </si>
  <si>
    <t>P151972</t>
  </si>
  <si>
    <t>Citizen-centered public services</t>
  </si>
  <si>
    <t>P127734</t>
  </si>
  <si>
    <t>Strengthening PFM and Tax Administration</t>
  </si>
  <si>
    <t>P149743</t>
  </si>
  <si>
    <t>Revenue Administration Reform</t>
  </si>
  <si>
    <t>P148435</t>
  </si>
  <si>
    <t>National Health Insurance System</t>
  </si>
  <si>
    <t>P146520</t>
  </si>
  <si>
    <t>Income Support Program for the Poor</t>
  </si>
  <si>
    <t>P149182</t>
  </si>
  <si>
    <t>IN: Citizen Access to Responsive Services SERV SEWA Project</t>
  </si>
  <si>
    <t>P150308</t>
  </si>
  <si>
    <t>IN: Citizen-Centric Service Delivery Reform</t>
  </si>
  <si>
    <t>P150288</t>
  </si>
  <si>
    <t>IN: Karnataka Panchayat Strengthening II</t>
  </si>
  <si>
    <t>P144075</t>
  </si>
  <si>
    <t>National Identification Project</t>
  </si>
  <si>
    <t>P128182</t>
  </si>
  <si>
    <t>Revenue Mobilization DLI</t>
  </si>
  <si>
    <t>POV</t>
  </si>
  <si>
    <t>P000301</t>
  </si>
  <si>
    <t>Public Institutional Development Project</t>
  </si>
  <si>
    <t>Closed</t>
  </si>
  <si>
    <t>P078627</t>
  </si>
  <si>
    <t>Economic Management Support Project</t>
  </si>
  <si>
    <t>P108809</t>
  </si>
  <si>
    <t>Support to the safeguard and modernization of civil registry</t>
  </si>
  <si>
    <t>P074020</t>
  </si>
  <si>
    <t>Public Sector Capacity Building Program Support Project</t>
  </si>
  <si>
    <t>P057995</t>
  </si>
  <si>
    <t>Capacity Building for Economic Management Prj</t>
  </si>
  <si>
    <t>P045588</t>
  </si>
  <si>
    <t>Public Financial Management Technical Assistance Project</t>
  </si>
  <si>
    <t>P066490</t>
  </si>
  <si>
    <t>Public Sector Management Technical Assistance Project</t>
  </si>
  <si>
    <t>P090567</t>
  </si>
  <si>
    <t>Institutional Reform and Capacity Building Technical Assistance Project</t>
  </si>
  <si>
    <t>P109775</t>
  </si>
  <si>
    <t>Public Financial Management - IFMIS</t>
  </si>
  <si>
    <t>P082888</t>
  </si>
  <si>
    <t>Public Sector Capacity Building Project</t>
  </si>
  <si>
    <t>P001657</t>
  </si>
  <si>
    <t>Institutional Development Project (2)</t>
  </si>
  <si>
    <t>P078408</t>
  </si>
  <si>
    <t>Financial Mgmt, Transparency and Accountability Prj (FIMTAP)</t>
  </si>
  <si>
    <t>P074447</t>
  </si>
  <si>
    <t>State Governance and Capacity Building Project</t>
  </si>
  <si>
    <t>P088150</t>
  </si>
  <si>
    <t>Federal Government Economic Reform and Governance Project</t>
  </si>
  <si>
    <t>P082452</t>
  </si>
  <si>
    <t>Public Sector Management Program Support Project</t>
  </si>
  <si>
    <t>P036041</t>
  </si>
  <si>
    <t>Fiscal Technical Assistance Project</t>
  </si>
  <si>
    <t>P077778</t>
  </si>
  <si>
    <t>Economic Capacity Building TA (ECTAP)</t>
  </si>
  <si>
    <t>P101964</t>
  </si>
  <si>
    <t>National Program Support for Tax Administration Reform</t>
  </si>
  <si>
    <t>P092484</t>
  </si>
  <si>
    <t>Planning and Financial Management Capacity Building Program</t>
  </si>
  <si>
    <t>P105143</t>
  </si>
  <si>
    <t>MDTF for Capacity Building &amp; Support to Implement the Integrated Planning System</t>
  </si>
  <si>
    <t>P107382</t>
  </si>
  <si>
    <t>Social Service Delivery Project AF</t>
  </si>
  <si>
    <t>P096263</t>
  </si>
  <si>
    <t>Land Administration and Management Project (LAMP)</t>
  </si>
  <si>
    <t>P063081</t>
  </si>
  <si>
    <t>Public Sector Financial Management Reform Support</t>
  </si>
  <si>
    <t>P105602</t>
  </si>
  <si>
    <t>GOVERNMENT`S CENTRAL PUBLIC ADMINISTRATION REFORM (CPAR)</t>
  </si>
  <si>
    <t>P035759</t>
  </si>
  <si>
    <t>Public Finance Management Project</t>
  </si>
  <si>
    <t>P006029</t>
  </si>
  <si>
    <t>Public Sector Reform Technical Assistance Project</t>
  </si>
  <si>
    <t>P070448</t>
  </si>
  <si>
    <t>Sub national Government Public Sector Modernization Program</t>
  </si>
  <si>
    <t>P101171</t>
  </si>
  <si>
    <t>Social &amp; Fiscal National ID System II</t>
  </si>
  <si>
    <t>P006160</t>
  </si>
  <si>
    <t>Public Financial Management Project</t>
  </si>
  <si>
    <t>P006669</t>
  </si>
  <si>
    <t>Public Sector Management Project (2)</t>
  </si>
  <si>
    <t>P069259</t>
  </si>
  <si>
    <t>Public Expenditure Management Project</t>
  </si>
  <si>
    <t>P006889</t>
  </si>
  <si>
    <t>P040109</t>
  </si>
  <si>
    <t>Public Financial Management Project (02)</t>
  </si>
  <si>
    <t>P094869</t>
  </si>
  <si>
    <t>Growth and Social Protection TA Credit</t>
  </si>
  <si>
    <t>P076802</t>
  </si>
  <si>
    <t>Health Reform Support (APL)</t>
  </si>
  <si>
    <t>P007136</t>
  </si>
  <si>
    <t>Modernization of the State Technical Assistance Project</t>
  </si>
  <si>
    <t>P007164</t>
  </si>
  <si>
    <t>Public Sector Modernization Technical Assistance Project</t>
  </si>
  <si>
    <t>P066175</t>
  </si>
  <si>
    <t>Integrated Financial Management III - TA Prj</t>
  </si>
  <si>
    <t>P034607</t>
  </si>
  <si>
    <t>Public Sector Modernization Technical Assistance Credit</t>
  </si>
  <si>
    <t>P007457</t>
  </si>
  <si>
    <t>Financial and Program Management Improvement Project</t>
  </si>
  <si>
    <t>P007490</t>
  </si>
  <si>
    <t>P100635</t>
  </si>
  <si>
    <t>OECS E-Government for Regional Integration Program (APL)</t>
  </si>
  <si>
    <t>OECS Countries</t>
  </si>
  <si>
    <t>P057601</t>
  </si>
  <si>
    <t>Public Expenditure Management Reform Project</t>
  </si>
  <si>
    <t>P050706</t>
  </si>
  <si>
    <t>Civil Service Modernization Project</t>
  </si>
  <si>
    <t>P101453</t>
  </si>
  <si>
    <t>Institutional Reform Development Policy Grant</t>
  </si>
  <si>
    <t>P104946</t>
  </si>
  <si>
    <t>Safe Motherhood Voucher Program</t>
  </si>
  <si>
    <t>P082610</t>
  </si>
  <si>
    <t>Emergency Public Administration Project II</t>
  </si>
  <si>
    <t>P099980</t>
  </si>
  <si>
    <t>Public Financial Management Reform Project</t>
  </si>
  <si>
    <t>P108258</t>
  </si>
  <si>
    <t>e-delivery of Public Services</t>
  </si>
  <si>
    <t>P036015</t>
  </si>
  <si>
    <t>Improvement to Financial Reporting and Auditing Project</t>
  </si>
  <si>
    <t>P077306</t>
  </si>
  <si>
    <t>Pakistan Tax Administration Reforms Project</t>
  </si>
  <si>
    <t>P150580</t>
  </si>
  <si>
    <t>Civil registration vital statistics plan</t>
  </si>
  <si>
    <t>World</t>
  </si>
  <si>
    <t>P114598</t>
  </si>
  <si>
    <t>e-Id - How Secure Identification Technologies Contribute to Development</t>
  </si>
  <si>
    <t>P117087</t>
  </si>
  <si>
    <t>OECS E-Government for Regional Integration - St. Vincent &amp; the Grenadines (APL 2)</t>
  </si>
  <si>
    <t>P124015 (A)</t>
  </si>
  <si>
    <t>P133021 (A)</t>
  </si>
  <si>
    <t>P104041 (A)</t>
  </si>
  <si>
    <t>P122229 (A)</t>
  </si>
  <si>
    <t>P145965 (A)</t>
  </si>
  <si>
    <t>P082817 (A)</t>
  </si>
  <si>
    <t>P130328 (A)</t>
  </si>
  <si>
    <t>P132881 (A)</t>
  </si>
  <si>
    <t>P115247 (A)</t>
  </si>
  <si>
    <t>P144140 (A)</t>
  </si>
  <si>
    <t>P125890 (A)</t>
  </si>
  <si>
    <t>P123900 (A)</t>
  </si>
  <si>
    <t>P094103 (A)</t>
  </si>
  <si>
    <t>P131305 (A)</t>
  </si>
  <si>
    <t>P107248 (A)</t>
  </si>
  <si>
    <t>P143064 (A)</t>
  </si>
  <si>
    <t>P133620 (A)</t>
  </si>
  <si>
    <t>P129524 (A)</t>
  </si>
  <si>
    <t>P149095 (A)</t>
  </si>
  <si>
    <t>P143588 (A)</t>
  </si>
  <si>
    <t>P143915 (A)</t>
  </si>
  <si>
    <t>P124045 (A)</t>
  </si>
  <si>
    <t>P130471 (A)</t>
  </si>
  <si>
    <t>P074027 (A)</t>
  </si>
  <si>
    <t>P144952 (A)</t>
  </si>
  <si>
    <t>P145534 (A)</t>
  </si>
  <si>
    <t>P114042 (A)</t>
  </si>
  <si>
    <t>P099376 (A)</t>
  </si>
  <si>
    <t>P132776 (A)</t>
  </si>
  <si>
    <t>P131359 (A)</t>
  </si>
  <si>
    <t>P096418 (A)</t>
  </si>
  <si>
    <t>P123960 (A)</t>
  </si>
  <si>
    <t>P122233 (A)</t>
  </si>
  <si>
    <t>P129332 (A)</t>
  </si>
  <si>
    <t>P111942 (A)</t>
  </si>
  <si>
    <t>P115647 (A)</t>
  </si>
  <si>
    <t>P102778 (A)</t>
  </si>
  <si>
    <t>P116696 (A)</t>
  </si>
  <si>
    <t>P143274 (A)</t>
  </si>
  <si>
    <t>P130202 (A)</t>
  </si>
  <si>
    <t>P121231 (A)</t>
  </si>
  <si>
    <t>P093050 (A)</t>
  </si>
  <si>
    <t>P127807 (A)</t>
  </si>
  <si>
    <t>P130091 (A)</t>
  </si>
  <si>
    <t>P101504 (A)</t>
  </si>
  <si>
    <t>P106628 (A)</t>
  </si>
  <si>
    <t>P126791 (A)</t>
  </si>
  <si>
    <t>P090010 (A)</t>
  </si>
  <si>
    <t>P095314 (A)</t>
  </si>
  <si>
    <t>P147212 (A)</t>
  </si>
  <si>
    <t>P111795 (A)</t>
  </si>
  <si>
    <t>P131029 (A)</t>
  </si>
  <si>
    <t>P097604 (A)</t>
  </si>
  <si>
    <t>P125799 (A)</t>
  </si>
  <si>
    <t>P144674 (A)</t>
  </si>
  <si>
    <t>P151923 (A)</t>
  </si>
  <si>
    <t>P121528 (A)</t>
  </si>
  <si>
    <t>P129770 (A)</t>
  </si>
  <si>
    <t>P132634 (A)</t>
  </si>
  <si>
    <t>P118826 (A)</t>
  </si>
  <si>
    <t>P121731 (A)</t>
  </si>
  <si>
    <t>P132234 (A)</t>
  </si>
  <si>
    <t>P103160 (A)</t>
  </si>
  <si>
    <t>P151432 (P)</t>
  </si>
  <si>
    <t>P150922 (P)</t>
  </si>
  <si>
    <t>P148447 (P)</t>
  </si>
  <si>
    <t>P149323 (P)</t>
  </si>
  <si>
    <t>P146804 (P)</t>
  </si>
  <si>
    <t>P150430 (P)</t>
  </si>
  <si>
    <t>P151488 (P)</t>
  </si>
  <si>
    <t>P147555 (P)</t>
  </si>
  <si>
    <t>P151425 (P)</t>
  </si>
  <si>
    <t>P153113 (P)</t>
  </si>
  <si>
    <t>P153446 (P)</t>
  </si>
  <si>
    <t>P153744 (P)</t>
  </si>
  <si>
    <t>P151972 (P)</t>
  </si>
  <si>
    <t>P127734 (P)</t>
  </si>
  <si>
    <t>P149743 (P)</t>
  </si>
  <si>
    <t>P148435 (P)</t>
  </si>
  <si>
    <t>P146520 (P)</t>
  </si>
  <si>
    <t>P149182 (P)</t>
  </si>
  <si>
    <t>P150308 (P)</t>
  </si>
  <si>
    <t>P150288 (P)</t>
  </si>
  <si>
    <t>P144075 (P)</t>
  </si>
  <si>
    <t>P128182 (P)</t>
  </si>
  <si>
    <t>P000301 (C)</t>
  </si>
  <si>
    <t>P078627 (C)</t>
  </si>
  <si>
    <t>P108809 (C)</t>
  </si>
  <si>
    <t>P074020 (C)</t>
  </si>
  <si>
    <t>P057995 (C)</t>
  </si>
  <si>
    <t>P045588 (C)</t>
  </si>
  <si>
    <t>P066490 (C)</t>
  </si>
  <si>
    <t>P090567 (C)</t>
  </si>
  <si>
    <t>P109775 (C)</t>
  </si>
  <si>
    <t>P082888 (C)</t>
  </si>
  <si>
    <t>P001657 (C)</t>
  </si>
  <si>
    <t>P078408 (C)</t>
  </si>
  <si>
    <t>P074447 (C)</t>
  </si>
  <si>
    <t>P088150 (C)</t>
  </si>
  <si>
    <t>P082452 (C)</t>
  </si>
  <si>
    <t>P036041 (C)</t>
  </si>
  <si>
    <t>P077778 (C)</t>
  </si>
  <si>
    <t>P101964 (C)</t>
  </si>
  <si>
    <t>P092484 (C)</t>
  </si>
  <si>
    <t>P105143 (C)</t>
  </si>
  <si>
    <t>P107382 (C)</t>
  </si>
  <si>
    <t>P096263 (C)</t>
  </si>
  <si>
    <t>P063081 (C)</t>
  </si>
  <si>
    <t>P105602 (C)</t>
  </si>
  <si>
    <t>P035759 (C)</t>
  </si>
  <si>
    <t>P006029 (C)</t>
  </si>
  <si>
    <t>P070448 (C)</t>
  </si>
  <si>
    <t>P101171 (C)</t>
  </si>
  <si>
    <t>P006160 (C)</t>
  </si>
  <si>
    <t>P006669 (C)</t>
  </si>
  <si>
    <t>P069259 (C)</t>
  </si>
  <si>
    <t>P006889 (C)</t>
  </si>
  <si>
    <t>P040109 (C)</t>
  </si>
  <si>
    <t>P094869 (C)</t>
  </si>
  <si>
    <t>P076802 (C)</t>
  </si>
  <si>
    <t>P007136 (C)</t>
  </si>
  <si>
    <t>P007164 (C)</t>
  </si>
  <si>
    <t>P066175 (C)</t>
  </si>
  <si>
    <t>P034607 (C)</t>
  </si>
  <si>
    <t>P007457 (C)</t>
  </si>
  <si>
    <t>P007490 (C)</t>
  </si>
  <si>
    <t>P100635 (C)</t>
  </si>
  <si>
    <t>P057601 (C)</t>
  </si>
  <si>
    <t>P050706 (C)</t>
  </si>
  <si>
    <t>P101453 (C)</t>
  </si>
  <si>
    <t>P104946 (C)</t>
  </si>
  <si>
    <t>P082610 (C)</t>
  </si>
  <si>
    <t>P099980 (C)</t>
  </si>
  <si>
    <t>P108258 (C)</t>
  </si>
  <si>
    <t>P036015 (C)</t>
  </si>
  <si>
    <t>P077306 (C)</t>
  </si>
  <si>
    <t>P150580 (C)</t>
  </si>
  <si>
    <t>P114598 (C)</t>
  </si>
  <si>
    <t>P117087 (C)</t>
  </si>
  <si>
    <t>Projects</t>
  </si>
  <si>
    <t>Project Name</t>
  </si>
  <si>
    <t>WB Project ID(s) : Civil Registries + Natl ID</t>
  </si>
  <si>
    <t>#Prj</t>
  </si>
  <si>
    <t>00</t>
  </si>
  <si>
    <t>Total number of WB projects in ID4D domain</t>
  </si>
  <si>
    <t>P082610 (C); P099980 (C)</t>
  </si>
  <si>
    <t>P107382 (C); P122233 (A)</t>
  </si>
  <si>
    <t>P105143 (C); P129332 (A)</t>
  </si>
  <si>
    <t>P096263 (C); P151972 (P)</t>
  </si>
  <si>
    <t>P070448 (C); P101171 (C)</t>
  </si>
  <si>
    <t>P132634 (A); P146520 (P)</t>
  </si>
  <si>
    <t>countries</t>
  </si>
  <si>
    <t>projects</t>
  </si>
  <si>
    <t>P006029 (C); P070448 (C)</t>
  </si>
  <si>
    <t>P006889 (C); P040109 (C); P106628 (A)</t>
  </si>
  <si>
    <t>P104041 (A); P122229 (A)</t>
  </si>
  <si>
    <t>P145965 (A); P147555 (P)</t>
  </si>
  <si>
    <t>P082817 (A); P108809 (C)</t>
  </si>
  <si>
    <t>P076802 (C); P090010 (A)</t>
  </si>
  <si>
    <t>P007164 (C); P095314 (A)</t>
  </si>
  <si>
    <t>P148447 (P); P151432 (P)</t>
  </si>
  <si>
    <t>P007136 (C); P007164 (C); P095314 (A)</t>
  </si>
  <si>
    <t>P118826 (A); P121731 (A): P150288 (P): P150308 (P)</t>
  </si>
  <si>
    <t>P108258 (C); P118826 (A); P121731 (A): P149182 (P); P150288 (P): P150308 (P)</t>
  </si>
  <si>
    <t>P007457 (C); P007490 (C)</t>
  </si>
  <si>
    <t>P066490 (C); P066490 (C); P090567 (C)</t>
  </si>
  <si>
    <t>P107248 (A); P109775 (C); P143064 (A)</t>
  </si>
  <si>
    <t>P001657 (C); P078408 (C)</t>
  </si>
  <si>
    <t>P082888 (C); P146804 (P)</t>
  </si>
  <si>
    <t>P082888 (C); P146804 (P); P150430 (P)</t>
  </si>
  <si>
    <t>P144952 (A); P145534 (A)</t>
  </si>
  <si>
    <t>P074447 (C); P088150 (C)</t>
  </si>
  <si>
    <t>P077306 (C); P128182 (P)</t>
  </si>
  <si>
    <t>P036015 (C); P036015 (C)</t>
  </si>
  <si>
    <t>P153446 (P); P153744 (P)</t>
  </si>
  <si>
    <t>P123960 (A); P132776 (A)</t>
  </si>
  <si>
    <t>P114598 (C); P150580 (C)</t>
  </si>
  <si>
    <t>P104946 (C); P151923 (A)</t>
  </si>
  <si>
    <t>P050706 (C); P101453 (C)</t>
  </si>
  <si>
    <t>Prj</t>
  </si>
  <si>
    <t>http://www.globalcause.net/</t>
  </si>
  <si>
    <t>http://www.privacyinternational.org/</t>
  </si>
  <si>
    <t>eGov14</t>
  </si>
  <si>
    <t>eGov</t>
  </si>
  <si>
    <t>ePart</t>
  </si>
  <si>
    <t>eOS</t>
  </si>
  <si>
    <t>eTI</t>
  </si>
  <si>
    <t>eHC</t>
  </si>
  <si>
    <t>Access</t>
  </si>
  <si>
    <t>Use</t>
  </si>
  <si>
    <t>Skills</t>
  </si>
  <si>
    <t>IDI Index</t>
  </si>
  <si>
    <t>UN e-Gov Indices 2014</t>
  </si>
  <si>
    <t>ICT Development Index (IDI) 2014</t>
  </si>
  <si>
    <t>IDI-14</t>
  </si>
  <si>
    <t xml:space="preserve">http://www.fornecedores.minfin.gv.ao </t>
  </si>
  <si>
    <t xml:space="preserve">https://abr.gov.au </t>
  </si>
  <si>
    <t>https://abr.gov.au/AUSkey/AUSkey-explained</t>
  </si>
  <si>
    <t xml:space="preserve">https://www.e-taxes.gov.az/ebyn/commersialChecker.jsp </t>
  </si>
  <si>
    <t xml:space="preserve">http://me3con.com/?p=264 </t>
  </si>
  <si>
    <t>https://www.verksamt.se/</t>
  </si>
  <si>
    <t>https://gcis.nat.gov.tw/pub/cmpy/cmpyInfoListAction.do</t>
  </si>
  <si>
    <t>http://andoz.tj/index.php/ru/elektronnye-uslugi/informatsiya-po-gosudarstvennomu-reestru/reestr-yuridicheskikh-lits</t>
  </si>
  <si>
    <t>http://www.brela-tz.org/company.php?srch=1</t>
  </si>
  <si>
    <t>http://www.serve.gov.tl/?q=pt/node/11/</t>
  </si>
  <si>
    <t>http://www.ccit.tg/index.php?option=com_content&amp;view=article&amp;id=55&amp;Itemid=100</t>
  </si>
  <si>
    <t>http://www.businessregistries.gov.to/</t>
  </si>
  <si>
    <t>https://www.ttbizlink.gov.tt/tntcmn/faces/pnu/PnuIndex.jsf</t>
  </si>
  <si>
    <t>http://www.ttconnect.gov.tt/gortt/portal/ttconnect/Business</t>
  </si>
  <si>
    <t>http://www.registre-commerce.tn/search/RCCSearch.do?action=getPage&amp;rg_type=PM&amp;search_mode=NORMAL</t>
  </si>
  <si>
    <t>http://mersis.gumrukticaret.gov.tr/Login/tabid/110/Default.aspx?returnurl=%2f</t>
  </si>
  <si>
    <t>http://www.ticaretsicil.gov.tr/</t>
  </si>
  <si>
    <t>https://www.turkiye.gov.tr/</t>
  </si>
  <si>
    <t>http://www.ursb.go.ug/</t>
  </si>
  <si>
    <t>https://www.gov.uk/register-a-company-online</t>
  </si>
  <si>
    <t>https://ewf.companieshouse.gov.uk//runpage?page=welcome</t>
  </si>
  <si>
    <t>http://webarchive.nationalarchives.gov.uk/20140711134921/http://www.companieshouse.gov.uk/links/usaLink.shtml</t>
  </si>
  <si>
    <t>http://empresas.gub.uy/</t>
  </si>
  <si>
    <t>http://agesic.gub.uy/</t>
  </si>
  <si>
    <t>https://www.id.uz/info/13</t>
  </si>
  <si>
    <t>https://www.id.uz/</t>
  </si>
  <si>
    <t>http://vfsc.vu/index.php/services/forming-a-company</t>
  </si>
  <si>
    <t>http://contribuyente.seniat.gob.ve/portal/page/portal/PORTAL_SENIAT</t>
  </si>
  <si>
    <t>http://dangkykinhdoanh.gov.vn/AboutUs/tabid/171/CategoryID/140/language/en-GB/Default.aspx</t>
  </si>
  <si>
    <t>https://dichvuthongtin.dkkd.gov.vn/auth/Public/LogOn.aspx?ReturnUrl=%2fauth%2fdefault.aspx</t>
  </si>
  <si>
    <t>http://www.moit.gov.ye/moit/node/438</t>
  </si>
  <si>
    <t>From</t>
  </si>
  <si>
    <t>Latest</t>
  </si>
  <si>
    <t>DPA URL</t>
  </si>
  <si>
    <t>Sec</t>
  </si>
  <si>
    <t>DPA</t>
  </si>
  <si>
    <t>DPAA</t>
  </si>
  <si>
    <t>Key Act / Bill</t>
  </si>
  <si>
    <t>Act/Bill URL</t>
  </si>
  <si>
    <t>Act on the Protection of Personal Data</t>
  </si>
  <si>
    <t>Both</t>
  </si>
  <si>
    <t>Office for Personal Data Protection</t>
  </si>
  <si>
    <t>Law on the protection of personal data</t>
  </si>
  <si>
    <t>Data Protection Agency</t>
  </si>
  <si>
    <t>ICDPPC; EDPA (O); RedIPD; AFAPDP</t>
  </si>
  <si>
    <t>Lei da Protecção de Dados Pessoais</t>
  </si>
  <si>
    <t>Data Protection Act</t>
  </si>
  <si>
    <t>Personal Data Protection Act</t>
  </si>
  <si>
    <t>National Direction for Personal Data Protection</t>
  </si>
  <si>
    <t>ICDPPC; RedIPD</t>
  </si>
  <si>
    <t>Law on Personal Data</t>
  </si>
  <si>
    <t>Privacy Act 1988</t>
  </si>
  <si>
    <t>Information Commissioner</t>
  </si>
  <si>
    <t>ICDPPC; APPA; GPEN; APEC CPEA</t>
  </si>
  <si>
    <t>Datenschutzgesetz</t>
  </si>
  <si>
    <t>Data Protection Commissioner</t>
  </si>
  <si>
    <t>ICDPPC; EDPA; A29WP</t>
  </si>
  <si>
    <t>Law on Personal Data 2010 (replaces 1998 Act)</t>
  </si>
  <si>
    <t>Data Protection (Privacy of Information) Act</t>
  </si>
  <si>
    <t>Data Protection Bill</t>
  </si>
  <si>
    <t>Law on Privacy Protection in relation to the Processing of Personal Data</t>
  </si>
  <si>
    <t>Privacy Commission</t>
  </si>
  <si>
    <t>ICDPPC; EDPA; A29WP; GPEN; AFADP</t>
  </si>
  <si>
    <t>Loi Portant Protection des données à Caractère Personnel</t>
  </si>
  <si>
    <t>Commission nationale de l’informatique et des libertés</t>
  </si>
  <si>
    <t>AFAPDP</t>
  </si>
  <si>
    <t>Personal Data Protection Agency</t>
  </si>
  <si>
    <t>ICDPPC; EDPA; CEEDPA</t>
  </si>
  <si>
    <t>Protection of Personal Data Bill</t>
  </si>
  <si>
    <t>Law for Protection of Personal Data</t>
  </si>
  <si>
    <t>Commission for Personal Data Protection</t>
  </si>
  <si>
    <t>ICDPPC; EDPA; A29WP; CEEDPA; GPEN</t>
  </si>
  <si>
    <t>Loi Portant Protection des Données à Caractère Personnel</t>
  </si>
  <si>
    <t>Commission for Informatics and Liberties</t>
  </si>
  <si>
    <t>ICDPPC; AFAPDP</t>
  </si>
  <si>
    <t>Personal Information Protection and Electronic Documents Act</t>
  </si>
  <si>
    <t>Privacy Commissioner</t>
  </si>
  <si>
    <t>ICDPPC; APPA; GPEN; APEC CPEA; AFAPDP</t>
  </si>
  <si>
    <t>Regime Jurídico Geral de Protecção de Dados Pessoais a Pessoas Singulares</t>
  </si>
  <si>
    <t>Privacy Law</t>
  </si>
  <si>
    <t>Data Protection Law</t>
  </si>
  <si>
    <t>Superintendence of Industry and Commerce</t>
  </si>
  <si>
    <t>ICDPPC; RedIPD; APPA</t>
  </si>
  <si>
    <t>Protección de la Persona frente al tratamiento de sus datos personales</t>
  </si>
  <si>
    <t>Agency for the Protection of Personal Data of Inhabitants</t>
  </si>
  <si>
    <t>Act on Personal Data Protection</t>
  </si>
  <si>
    <t>ICDPPC; EDPA; A29WP; CEEDPA</t>
  </si>
  <si>
    <t>The Processing of Personal Data (Protection of the Individual) Law</t>
  </si>
  <si>
    <t>Personal Data Protection Commissioner</t>
  </si>
  <si>
    <t>ICDPPC; EDPA; A29WP; BIIDPA</t>
  </si>
  <si>
    <t>Office for Personal Data</t>
  </si>
  <si>
    <t>ICDPPC; EDPA; A29WP; CEEDPA; AFAPDP</t>
  </si>
  <si>
    <t>Act on Processing of Personal Data</t>
  </si>
  <si>
    <t>ICDPPC; EDPA; A29WP, NDPA</t>
  </si>
  <si>
    <t>Privacy and Data Protection Bill</t>
  </si>
  <si>
    <t>Law on Protection of Personal Data</t>
  </si>
  <si>
    <t>Data Protection Inspectorate</t>
  </si>
  <si>
    <t>ICDPPC; EDPA; A29WP; GPEN</t>
  </si>
  <si>
    <t>Personal Data Act</t>
  </si>
  <si>
    <t>Data Protection Ombudsman</t>
  </si>
  <si>
    <t>Law relating to the protection of individuals against the processing of personal data</t>
  </si>
  <si>
    <t>National Commission for Informatics and Liberties</t>
  </si>
  <si>
    <t>ICDPPC; EDPA; A29WP; GPEN; AFAPDP</t>
  </si>
  <si>
    <t>Law related to personal data</t>
  </si>
  <si>
    <t>Commissariat à la protection des données personnelles</t>
  </si>
  <si>
    <t>Law on Personal Data Protection</t>
  </si>
  <si>
    <t>Federal Data Protection Act</t>
  </si>
  <si>
    <t>Federal Data Protection Commission</t>
  </si>
  <si>
    <t>Commission on Human Rights and Administrative Justice</t>
  </si>
  <si>
    <t>Law on the Protection of individuals with regard to the processing of personal data</t>
  </si>
  <si>
    <t>Data Protection Authority</t>
  </si>
  <si>
    <t>ICDPPC; EDPA; A29WP; AFAPDP</t>
  </si>
  <si>
    <t>Personal Data (Privacy) Ordinance</t>
  </si>
  <si>
    <t>Privacy Commissioner for Personal Data</t>
  </si>
  <si>
    <t>ICDPPC; APPA; APEC CPEA</t>
  </si>
  <si>
    <t>Act on Informational Self-Determination and Freedom of Information</t>
  </si>
  <si>
    <t>National Authority for Data Protection and Freedom of Information</t>
  </si>
  <si>
    <t>Law on the Protection and Processing of Personal Data</t>
  </si>
  <si>
    <t>ICDPPC; EDPA</t>
  </si>
  <si>
    <t>Rules under s43A (2008 Amendt), Information Technology Act 2000</t>
  </si>
  <si>
    <t>Pri</t>
  </si>
  <si>
    <t>ICDPPC; EDPA; A29WP; GPEN; BIIDPA</t>
  </si>
  <si>
    <t>Privacy Protection Act 1981</t>
  </si>
  <si>
    <t>Law, Information and Technology Authority</t>
  </si>
  <si>
    <t>ICDPPC; GPEN</t>
  </si>
  <si>
    <t>Consolidation Act regarding the Protection of Personal Data</t>
  </si>
  <si>
    <t>Act on the Protection of Personal Information</t>
  </si>
  <si>
    <t>Personal Information Protection Commission &amp; Korea Information Security Agency</t>
  </si>
  <si>
    <t>Law on the Protection of Personal Data</t>
  </si>
  <si>
    <t>National Agency for the Protection of Personal Data</t>
  </si>
  <si>
    <t>EDPA (O)</t>
  </si>
  <si>
    <t>Law on Protection of Personal Data of Natural Persons</t>
  </si>
  <si>
    <t>State Data Protection Inspectorate</t>
  </si>
  <si>
    <t>Gesetz über die Abänderung des Datenschutzgesetzes (2002)</t>
  </si>
  <si>
    <t>Law on Legal Protection of Personal Data</t>
  </si>
  <si>
    <t>National Data Protection Commission</t>
  </si>
  <si>
    <t>APPA; GPEN</t>
  </si>
  <si>
    <t>Directorate of Personal Data Protection</t>
  </si>
  <si>
    <t>Federal Law on the Protection of Personal Data Held by Private Parties</t>
  </si>
  <si>
    <t>Federal Institute for Access to Information and Data Protection</t>
  </si>
  <si>
    <t>ICDPPC; APPA; GPEN; APEC CPEA; RedIPD</t>
  </si>
  <si>
    <t>National Center for Personal Data Protection</t>
  </si>
  <si>
    <t>ICDPPC; EDPA; AFAPDP; CEEDPA</t>
  </si>
  <si>
    <t>Act controlling personal data processing</t>
  </si>
  <si>
    <t>Supervisory Commission for Personal Information</t>
  </si>
  <si>
    <t>Agencija za zaštitu ličnih podataka i slobodan pristup informacija</t>
  </si>
  <si>
    <t>EDPA; CEEDPA</t>
  </si>
  <si>
    <t>Loi relative à la protection des personnes physiques à l'égard du traitement des données à caractère personnel</t>
  </si>
  <si>
    <t>National Commission for the Control and the Protection of Personal Data</t>
  </si>
  <si>
    <t>Right to Information Act</t>
  </si>
  <si>
    <t>Pub</t>
  </si>
  <si>
    <t>National Information Commission</t>
  </si>
  <si>
    <t>Privacy Act 1993</t>
  </si>
  <si>
    <t>ICDPPC; GPEN; APPA; APEC CPEA</t>
  </si>
  <si>
    <t>Directorate for the Protection of Personal Information RedIPD</t>
  </si>
  <si>
    <t>Law to establish a DPA (to complement ECOWAS treaty on data protection)</t>
  </si>
  <si>
    <t>Data Inspectorate</t>
  </si>
  <si>
    <t>ICDPPC; EDPA; GPEN, NPDA</t>
  </si>
  <si>
    <t>Law 1682 on Information of a Private Nature</t>
  </si>
  <si>
    <t>National Authority for Data Protection</t>
  </si>
  <si>
    <t>Data Privacy Act</t>
  </si>
  <si>
    <t>National Privacy Commission</t>
  </si>
  <si>
    <t>Inspector General for Personal Data Protection</t>
  </si>
  <si>
    <t>Lei da proteçao de dados pessoais</t>
  </si>
  <si>
    <t>ICDPPC; A29WP; EDPA; RedIPD</t>
  </si>
  <si>
    <t>Personal Information Privacy Protection Law</t>
  </si>
  <si>
    <t>Law on the protection of individuals with regard to the processing of personal data</t>
  </si>
  <si>
    <t>National Supervisory Authority for Personal Data Protection</t>
  </si>
  <si>
    <t>Federal Law Regarding Personal Data</t>
  </si>
  <si>
    <t>Federal Service for Supervision of Communications, Information Technologies and Mass Media (Roskomnadzor)</t>
  </si>
  <si>
    <t>CEEDPA</t>
  </si>
  <si>
    <t>Privacy Act</t>
  </si>
  <si>
    <t>Guarantor for the Protection of Confidential and Personal Data</t>
  </si>
  <si>
    <t>Loi sur la Protection des données à Caractère Personnel</t>
  </si>
  <si>
    <t>Commission des données personnelles</t>
  </si>
  <si>
    <t>Commissioner for Information of Public Importance and Personal Data Protection</t>
  </si>
  <si>
    <t>ASEAN Personal Data Protection Commission</t>
  </si>
  <si>
    <t>Inspection Unit for the Protection of Personal Data</t>
  </si>
  <si>
    <t>Ley Orgánica de Protección de Datos de Carácter Personal</t>
  </si>
  <si>
    <t>ICDPPC; EDPA; A29WP; GPEN; RedIPD</t>
  </si>
  <si>
    <t>Data Inspection Board</t>
  </si>
  <si>
    <t>ICDPPC; EDPA; GPEN; AFAPDP</t>
  </si>
  <si>
    <t>Official Information Act 1997</t>
  </si>
  <si>
    <t>Official Information Commission</t>
  </si>
  <si>
    <t>Loi portant sur la protection des données à caractère personnel</t>
  </si>
  <si>
    <t>National Authority for the Protection of Personal Data</t>
  </si>
  <si>
    <t>The State Service on Personal Data Protection</t>
  </si>
  <si>
    <t>Data Protection Act 1998</t>
  </si>
  <si>
    <t>Privacy Act of 1974</t>
  </si>
  <si>
    <t>Federal Trade Commission</t>
  </si>
  <si>
    <t>Regulatory and Control Unit of Personal Data</t>
  </si>
  <si>
    <t>Law on Protection of Consumers’ Rights</t>
  </si>
  <si>
    <t>Law of the Right of Access to Information</t>
  </si>
  <si>
    <t>Commissioner-General of the Information</t>
  </si>
  <si>
    <t>Access to Information and Protection of Privacy Act</t>
  </si>
  <si>
    <t>Media and Information Commission</t>
  </si>
  <si>
    <t>Data Protection Laws / Data Privacy Bills (2013)</t>
  </si>
  <si>
    <t>COUNTRY</t>
  </si>
  <si>
    <t>Date</t>
  </si>
  <si>
    <t>Right of Access</t>
  </si>
  <si>
    <t>Scope</t>
  </si>
  <si>
    <t>Requesting Procedures</t>
  </si>
  <si>
    <t>Exceptions &amp; Refusals</t>
  </si>
  <si>
    <t>Appeals</t>
  </si>
  <si>
    <t>Sanctions &amp; Protections</t>
  </si>
  <si>
    <t>Promotional measures</t>
  </si>
  <si>
    <t>TOTAL</t>
  </si>
  <si>
    <t>Ranking</t>
  </si>
  <si>
    <t>http://www.rti-rating.org/country_data.php</t>
  </si>
  <si>
    <t>Rank</t>
  </si>
  <si>
    <t>RoA</t>
  </si>
  <si>
    <t>RTI Yr</t>
  </si>
  <si>
    <t>ReqP</t>
  </si>
  <si>
    <t>ExcR</t>
  </si>
  <si>
    <t>Appeal</t>
  </si>
  <si>
    <t>SancP</t>
  </si>
  <si>
    <t>ProM</t>
  </si>
  <si>
    <t>http://www.rti-rating.org/files/pdf/Tajikistan.pdf</t>
  </si>
  <si>
    <t>http://www.rti-rating.org/files/pdf/Liechtenstein.pdf</t>
  </si>
  <si>
    <t>Law URL</t>
  </si>
  <si>
    <t>http://www.rti-rating.org/files/pdf/Albania.pdf</t>
  </si>
  <si>
    <t>http://www.rti-rating.org/files/pdf/Angola.pdf</t>
  </si>
  <si>
    <t>http://www.rti-rating.org/files/pdf/Antigua.pdf</t>
  </si>
  <si>
    <t>http://www.rti-rating.org/files/pdf/Argentina.pdf</t>
  </si>
  <si>
    <t>http://www.rti-rating.org/files/pdf/Armenia.pdf</t>
  </si>
  <si>
    <t>http://www.rti-rating.org/files/pdf/Australia.pdf</t>
  </si>
  <si>
    <t>http://www.rti-rating.org/files/pdf/Austria.pdf</t>
  </si>
  <si>
    <t>http://www.rti-rating.org/files/pdf/Azerbaijan.pdf</t>
  </si>
  <si>
    <t>http://www.rti-rating.org/files/pdf/Bangladesh.pdf</t>
  </si>
  <si>
    <t>http://www.rti-rating.org/files/pdf/Belgium.pdf</t>
  </si>
  <si>
    <t>http://www.rti-rating.org/files/pdf/Belize.pdf</t>
  </si>
  <si>
    <t>http://www.rti-rating.org/files/pdf/Bosnia%20and%20Herzegovina.pdf</t>
  </si>
  <si>
    <t>http://www.rti-rating.org/files/pdf/Brazil.pdf</t>
  </si>
  <si>
    <t>http://www.rti-rating.org/files/pdf/Bulgaria.pdf</t>
  </si>
  <si>
    <t>http://www.rti-rating.org/files/pdf/Canada.pdf</t>
  </si>
  <si>
    <t>http://www.rti-rating.org/files/pdf/Chile.pdf</t>
  </si>
  <si>
    <t>http://www.rti-rating.org/files/pdf/China.pdf</t>
  </si>
  <si>
    <t>http://www.rti-rating.org/files/pdf/Colombia.pdf</t>
  </si>
  <si>
    <t>Global Right to Information</t>
  </si>
  <si>
    <t>http://www.rti-rating.org/files/pdf/Croatia.pdf</t>
  </si>
  <si>
    <t>http://www.rti-rating.org/files/pdf/Czech%20Republic.pdf</t>
  </si>
  <si>
    <t>http://www.rti-rating.org/files/pdf/Denmark.pdf</t>
  </si>
  <si>
    <t>http://www.rti-rating.org/files/pdf/Dominican%20Republic.pdf</t>
  </si>
  <si>
    <t>http://www.rti-rating.org/files/pdf/Ecuador.pdf</t>
  </si>
  <si>
    <t>http://www.rti-rating.org/files/pdf/El%20Salvador.pdf</t>
  </si>
  <si>
    <t>http://www.rti-rating.org/files/pdf/Estonia.pdf</t>
  </si>
  <si>
    <t>http://www.rti-rating.org/files/pdf/Ethiopia.pdf</t>
  </si>
  <si>
    <t>http://www.rti-rating.org/files/pdf/Finland.pdf</t>
  </si>
  <si>
    <t>http://www.rti-rating.org/files/pdf/France.pdf</t>
  </si>
  <si>
    <t>http://www.rti-rating.org/files/pdf/Georgia.pdf</t>
  </si>
  <si>
    <t>http://www.rti-rating.org/files/pdf/Germany.pdf</t>
  </si>
  <si>
    <t>http://www.rti-rating.org/files/pdf/Greece.pdf</t>
  </si>
  <si>
    <t>http://www.rti-rating.org/files/pdf/Guatemala.pdf</t>
  </si>
  <si>
    <t>http://www.rti-rating.org/files/pdf/Guinea.pdf</t>
  </si>
  <si>
    <t>http://www.rti-rating.org/files/pdf/Guyana.pdf</t>
  </si>
  <si>
    <t>http://www.rti-rating.org/files/pdf/Honduras.pdf</t>
  </si>
  <si>
    <t>http://www.rti-rating.org/files/pdf/Hungary.pdf</t>
  </si>
  <si>
    <t>http://www.rti-rating.org/files/pdf/Iceland.pdf</t>
  </si>
  <si>
    <t>http://www.rti-rating.org/files/pdf/India.pdf</t>
  </si>
  <si>
    <t>http://www.rti-rating.org/files/pdf/Indonesia.pdf</t>
  </si>
  <si>
    <t>http://www.rti-rating.org/files/pdf/Ireland.pdf</t>
  </si>
  <si>
    <t>http://www.rti-rating.org/files/pdf/Israel.pdf</t>
  </si>
  <si>
    <t>http://www.rti-rating.org/files/pdf/Italy.pdf</t>
  </si>
  <si>
    <t>http://www.rti-rating.org/files/pdf/Ivory%20Coast.pdf</t>
  </si>
  <si>
    <t>http://www.rti-rating.org/files/pdf/Jamaica.pdf</t>
  </si>
  <si>
    <t>http://www.rti-rating.org/files/pdf/Japan.pdf</t>
  </si>
  <si>
    <t>http://www.rti-rating.org/files/pdf/Jordan.pdf</t>
  </si>
  <si>
    <t>http://www.rti-rating.org/files/pdf/Kosovo.pdf</t>
  </si>
  <si>
    <t>http://www.rti-rating.org/files/pdf/Kyrgyzstan.pdf</t>
  </si>
  <si>
    <t>http://www.rti-rating.org/files/pdf/Latvia.pdf</t>
  </si>
  <si>
    <t>http://www.rti-rating.org/files/pdf/Liberia.pdf</t>
  </si>
  <si>
    <t>http://www.rti-rating.org/files/pdf/Lithuania.pdf</t>
  </si>
  <si>
    <t>http://www.rti-rating.org/files/pdf/Macedonia.pdf</t>
  </si>
  <si>
    <t>http://www.rti-rating.org/files/pdf/Maldives.pdf</t>
  </si>
  <si>
    <t>http://www.rti-rating.org/files/pdf/Malta.pdf</t>
  </si>
  <si>
    <t>http://www.rti-rating.org/files/pdf/Mexico.pdf</t>
  </si>
  <si>
    <t>http://www.rti-rating.org/files/pdf/Moldova.pdf</t>
  </si>
  <si>
    <t>http://www.rti-rating.org/files/pdf/Mongolia.pdf</t>
  </si>
  <si>
    <t>http://www.rti-rating.org/files/pdf/Montenegro.pdf</t>
  </si>
  <si>
    <t>http://www.rti-rating.org/files/pdf/Nepal.pdf</t>
  </si>
  <si>
    <t>http://www.rti-rating.org/files/pdf/New%20Zealand.pdf</t>
  </si>
  <si>
    <t>http://www.rti-rating.org/files/pdf/Nicaragua.pdf</t>
  </si>
  <si>
    <t>http://www.rti-rating.org/files/pdf/Niger.pdf</t>
  </si>
  <si>
    <t>http://www.rti-rating.org/files/pdf/Nigeria.pdf</t>
  </si>
  <si>
    <t>http://www.rti-rating.org/files/pdf/Norway.pdf</t>
  </si>
  <si>
    <t>http://www.rti-rating.org/files/pdf/Pakistan.pdf</t>
  </si>
  <si>
    <t>http://www.rti-rating.org/files/pdf/Panama.pdf</t>
  </si>
  <si>
    <t>http://www.rti-rating.org/files/pdf/Paraguay.pdf</t>
  </si>
  <si>
    <t>http://www.rti-rating.org/files/pdf/Peru.pdf</t>
  </si>
  <si>
    <t>http://www.rti-rating.org/files/pdf/Poland.pdf</t>
  </si>
  <si>
    <t>http://www.rti-rating.org/files/pdf/Portugal.pdf</t>
  </si>
  <si>
    <t>http://www.rti-rating.org/files/pdf/Romania.pdf</t>
  </si>
  <si>
    <t>http://www.rti-rating.org/files/pdf/Russia.pdf</t>
  </si>
  <si>
    <t>http://www.rti-rating.org/files/pdf/Rwanda.pdf</t>
  </si>
  <si>
    <t>http://www.rti-rating.org/files/pdf/Saint%20Vincent%20and%20the%20Grenadines.pdf</t>
  </si>
  <si>
    <t>http://www.rti-rating.org/files/pdf/Serbia.pdf</t>
  </si>
  <si>
    <t>http://www.rti-rating.org/files/pdf/Sierra%20Leone.pdf</t>
  </si>
  <si>
    <t>http://www.rti-rating.org/files/pdf/Slovakia.pdf</t>
  </si>
  <si>
    <t>http://www.rti-rating.org/files/pdf/Slovenia.pdf</t>
  </si>
  <si>
    <t>http://www.rti-rating.org/files/pdf/South%20Africa.pdf</t>
  </si>
  <si>
    <t>http://www.rti-rating.org/files/pdf/South%20Korea.pdf</t>
  </si>
  <si>
    <t>http://www.rti-rating.org/files/pdf/Spain.pdf</t>
  </si>
  <si>
    <t>http://www.rti-rating.org/files/pdf/Sweden.pdf</t>
  </si>
  <si>
    <t>http://www.rti-rating.org/files/pdf/Switzerland.pdf</t>
  </si>
  <si>
    <t>http://www.rti-rating.org/files/pdf/Taiwan.pdf</t>
  </si>
  <si>
    <t>http://www.rti-rating.org/files/pdf/Thailand.pdf</t>
  </si>
  <si>
    <t>http://www.rti-rating.org/files/pdf/Tunisia.pdf</t>
  </si>
  <si>
    <t>http://www.rti-rating.org/files/pdf/Turkey.pdf</t>
  </si>
  <si>
    <t>http://www.rti-rating.org/files/pdf/Uganda.pdf</t>
  </si>
  <si>
    <t>http://www.rti-rating.org/files/pdf/Ukraine.pdf</t>
  </si>
  <si>
    <t>http://www.rti-rating.org/files/pdf/United%20States%20of%20America.pdf</t>
  </si>
  <si>
    <t>http://www.rti-rating.org/files/pdf/Uruguay.pdf</t>
  </si>
  <si>
    <t>http://www.rti-rating.org/files/pdf/Yemen.pdf</t>
  </si>
  <si>
    <t>http://www.rti-rating.org/files/pdf/Zimbabwe.pdf</t>
  </si>
  <si>
    <t>http://www.right2info.org/access-to-information-laws/access-to-information-laws</t>
  </si>
  <si>
    <t>http://www.legislationline.org/documents/action/popup/id/6395</t>
  </si>
  <si>
    <t>http://www.legislationline.org/documents/action/popup/id/5342</t>
  </si>
  <si>
    <t>http://www.right2info.org/laws/constitutional-provisions-laws-and-regulations</t>
  </si>
  <si>
    <t>http://www.foia.gov.tt/</t>
  </si>
  <si>
    <t>http://www.legislation.gov.uk/ukpga/2000/36/contents</t>
  </si>
  <si>
    <t>http://www.medialaw.ru/exussrlaw/l/uz/dostup.htm</t>
  </si>
  <si>
    <t>http://www.afghan-web.com/politics/storage/law_on_mass_media.pdf</t>
  </si>
  <si>
    <t>http://www.legislationline.org/documents/action/popup/id/6493</t>
  </si>
  <si>
    <t>Card</t>
  </si>
  <si>
    <t>http://www.coe.int/t/dghl/standardsetting/dataprotection/Default_en.asp</t>
  </si>
  <si>
    <t>http://www.coe.int/t/dghl/standardsetting/dataprotection/National%20laws/National_laws_en.asp</t>
  </si>
  <si>
    <t>http://www.oecd.org/internet/ieconomy/oecdguidelinesontheprotectionofprivacyandtransborderflowsofpersonaldata.htm</t>
  </si>
  <si>
    <t>2B</t>
  </si>
  <si>
    <t>3B</t>
  </si>
  <si>
    <t>http://www.companies.gov.ws/</t>
  </si>
  <si>
    <t>https://registroimprese.cc.sm/</t>
  </si>
  <si>
    <t>http://www.gue-stp.net/spip.php?article11</t>
  </si>
  <si>
    <t>http://www.mci.gov.sa/en/ServicesDirectory/Pages/Services.aspx?Category=Commercial%20register</t>
  </si>
  <si>
    <t>https://eservice.egov.sc/BizRegistration/WebSearchBusiness.aspx</t>
  </si>
  <si>
    <t>http://www.oarg.gov.sl/Business%20Registry.html</t>
  </si>
  <si>
    <t>https://www.psi.gov.sg/NASApp/tmf/TMFServlet?app=RCB-BIZFILE-LOGIN-1B</t>
  </si>
  <si>
    <t>http://www.iras.gov.sg/irashome/page.aspx?id=7854</t>
  </si>
  <si>
    <t>https://www.acra.gov.sg/home/</t>
  </si>
  <si>
    <t>http://www.orsr.sk/search_subjekt.asp?lan=en</t>
  </si>
  <si>
    <t>http://www.ajpes.eu/O_AJPES/Predstavitev/Javne_storitve</t>
  </si>
  <si>
    <t>http://evem.gov.si/info/e-postopki/</t>
  </si>
  <si>
    <t>https://www.registradores.org/en/servicios_mercantil.jsp</t>
  </si>
  <si>
    <t>http://www.surinamechamber.com/index.php/welcome/index/16</t>
  </si>
  <si>
    <t>http://egrul.nalog.ru/</t>
  </si>
  <si>
    <t>http://org.rdb.rw/inf/Public/Products/NameSearch.aspx?AspxAutoDetectCookieSupport=1</t>
  </si>
  <si>
    <t>http://www.fsrc.kn/</t>
  </si>
  <si>
    <t>http://www.rocip.gov.lc/stlucia/default.aspx</t>
  </si>
  <si>
    <t>ED</t>
  </si>
  <si>
    <t>Type od e-ID Card</t>
  </si>
  <si>
    <t>Barcode Cards</t>
  </si>
  <si>
    <t>Mag-strip cards</t>
  </si>
  <si>
    <t>Smart cards</t>
  </si>
  <si>
    <t xml:space="preserve">http://www.afip.gob.ar/english/taxInformation.asp </t>
  </si>
  <si>
    <t xml:space="preserve">http://www.parliament.am/law_docs/301210HO246eng.pdf </t>
  </si>
  <si>
    <t xml:space="preserve">https://ec.europa.eu/taxation_customs/tin/pdf/en/TIN_-_country_sheet_AT_en.pdf </t>
  </si>
  <si>
    <t xml:space="preserve">http://apps.who.int/fctc/reporting/party_reports/azerbaijan_annex2_tax_code_of_azerbaijan_2010_eng.pdf </t>
  </si>
  <si>
    <t>http://www.roc.gov.bd/</t>
  </si>
  <si>
    <t xml:space="preserve">http://www.ccibenin.org/index.php/repertoire-entreprises.html </t>
  </si>
  <si>
    <t xml:space="preserve">http://www.moea.gov.bt/departments/department.php?id=2 </t>
  </si>
  <si>
    <t>http://www.fundempresa.org.bo/</t>
  </si>
  <si>
    <t>http://www.doingbusiness.org/data/exploreeconomies/bolivia/starting-a-business/</t>
  </si>
  <si>
    <t>http://bizreg.pravosudje.ba/</t>
  </si>
  <si>
    <t>http://www.fipa.gov.ba/publikacije_materijali/zakoni/10%20FBiH%20Law%20on%20Registartion%20of%20Business%20Entities.pdf</t>
  </si>
  <si>
    <t>http://www.mti.gov.bw/businessregistration</t>
  </si>
  <si>
    <t>http://thebrazilbusiness.com/article/company-register-in-brazil</t>
  </si>
  <si>
    <t xml:space="preserve">http://www.eregistry.agc.gov.bn/WorkAreaBusiness/WorkFunctionSearch/WebViewSearch/DoRcbNumberSearch.aspx </t>
  </si>
  <si>
    <t xml:space="preserve">http://www.eregistry.agc.gov.bn/WorkAreaSecurity/WorkFunctionSecurity/WebViewSecurity/loginPage.aspx?ReturnUrl=%2fWorkAreaTrademark%2fWorkFunctionFiling%2fWebViewFiling%2fDoTrademarkFiling.aspx </t>
  </si>
  <si>
    <t>https://public.brra.bg/CheckUps/Default.ra?</t>
  </si>
  <si>
    <t xml:space="preserve">http://www.doingbusiness.org/data/exploreeconomies/burkina-faso/starting-a-business/ </t>
  </si>
  <si>
    <t>http://www.investburundi.com/en/</t>
  </si>
  <si>
    <t>http://www.moc.gov.kh/Company/Default.aspx?MenuID=18</t>
  </si>
  <si>
    <t>http://www.cfce.cm/nos-prestations</t>
  </si>
  <si>
    <t>http://www.cra-arc.gc.ca/bn/</t>
  </si>
  <si>
    <t xml:space="preserve">http://www.novascotia.ca/sns/access/business.asp </t>
  </si>
  <si>
    <t xml:space="preserve">http://www.mj.gov.cv/index.php/estrutura-mtie/2012-02-14-13-02-17 </t>
  </si>
  <si>
    <t xml:space="preserve">http://www.sozoala.com/palabre/reflexions/r20100318001.htm </t>
  </si>
  <si>
    <t xml:space="preserve">http://www.doingbusiness.org/data/exploreeconomies/central-african-republic/starting-a-business/ </t>
  </si>
  <si>
    <t xml:space="preserve">https://www.tuempresaenundia.cl/ </t>
  </si>
  <si>
    <t xml:space="preserve">http://www.doingbusiness.org/data/exploreeconomies/chile/starting-a-business/ </t>
  </si>
  <si>
    <t xml:space="preserve">https://www.tuempresaenundia.cl/Default.aspx# </t>
  </si>
  <si>
    <t>http://gsxt.saic.gov.cn/</t>
  </si>
  <si>
    <t xml:space="preserve">http://qyj.saic.gov.cn/index.html </t>
  </si>
  <si>
    <t>Digital Signature on e-ID Card</t>
  </si>
  <si>
    <t>Not used</t>
  </si>
  <si>
    <t>Embedded in e-ID</t>
  </si>
  <si>
    <t>Produced</t>
  </si>
  <si>
    <t>EF</t>
  </si>
  <si>
    <t>Total number of e-ID cards produced</t>
  </si>
  <si>
    <t>National ID / Voter Registration Card</t>
  </si>
  <si>
    <t>R Use</t>
  </si>
  <si>
    <t>D Sign</t>
  </si>
  <si>
    <t>Remote use of e-ID card</t>
  </si>
  <si>
    <t>Remote online transactions possible</t>
  </si>
  <si>
    <t>http://www.doingbusiness.org/data/exploreeconomies/colombia/starting-a-business</t>
  </si>
  <si>
    <t xml:space="preserve">http://www.ohada-rdc.cd/rccm.html </t>
  </si>
  <si>
    <t xml:space="preserve">https://www.rnpdigital.com/personas_juridicas/index.htm </t>
  </si>
  <si>
    <t>http://www.costaricalaw.com/Corporate-Law/the-costa-rican-corporation-sa.html</t>
  </si>
  <si>
    <t xml:space="preserve">https://www.rnpdigital.com/shopping/login.jspx </t>
  </si>
  <si>
    <t xml:space="preserve">http://www.cepici.gouv.ci/secteur_cle.php?id=1&amp;lang= </t>
  </si>
  <si>
    <t xml:space="preserve">http://www.one.cu/nomencladores.htm </t>
  </si>
  <si>
    <t>http://www.lexology.com/library/detail.aspx?g=7e5977f3-409e-48b1-ba89-543f54468493</t>
  </si>
  <si>
    <t>http://www.dst.dk/pukora/epub/upload/2285/5_2_en.pdf</t>
  </si>
  <si>
    <t>http://www.odpic.info/registre-du-commerce/</t>
  </si>
  <si>
    <t xml:space="preserve">http://www.cipo.gov.dm/dominica/default.aspx </t>
  </si>
  <si>
    <t>http://www.onapi.gov.do/</t>
  </si>
  <si>
    <t xml:space="preserve">http://www.supercias.gob.ec/portal/ </t>
  </si>
  <si>
    <t xml:space="preserve">http://www.doingbusiness.org/data/exploreeconomies/ecuador/starting-a-business/ </t>
  </si>
  <si>
    <t xml:space="preserve">http://www.tpegypt.gov.eg/Eng/EgyDirectory.aspx </t>
  </si>
  <si>
    <t xml:space="preserve">http://www.cnr.gob.sv/index.php?option=com_content&amp;view=article&amp;id=88:matriculas&amp;catid=78:tema-1&amp;Itemid=140 </t>
  </si>
  <si>
    <t xml:space="preserve">http://www.shabait.com/haddas-ertra </t>
  </si>
  <si>
    <t>http://www.rik.ee/en</t>
  </si>
  <si>
    <t xml:space="preserve">https://ettevotjaportaal.rik.ee/ </t>
  </si>
  <si>
    <t>http://www.ethiopia.gov.et/</t>
  </si>
  <si>
    <t xml:space="preserve">http://www.doingbusiness.org/data/exploreeconomies/ethiopia/starting-a-business </t>
  </si>
  <si>
    <t xml:space="preserve">https://www.egov.gov.fj/g2b/Commerce/default.aspx </t>
  </si>
  <si>
    <t xml:space="preserve">https://www.egov.gov.fj/pages/Authentication/FIJIlogin.aspx?ReturnUrl=%2fg2b%2fJustice%2frcbs%2fdefault.aspx </t>
  </si>
  <si>
    <t>http://www.prh.fi/en/kaupparekisteri/rekisterointipalvelut/rekisterin_tietosisalto.html</t>
  </si>
  <si>
    <t xml:space="preserve">https://www.ytj.fi/english/ </t>
  </si>
  <si>
    <t>http://www.french-property.com/guides/france/working-in-france/starting-a-business/registration/</t>
  </si>
  <si>
    <t xml:space="preserve">https://www.infogreffe.fr/societes/services-infogreffe.html </t>
  </si>
  <si>
    <t>C, F, P, R, O</t>
  </si>
  <si>
    <t>C, P, R</t>
  </si>
  <si>
    <t>http://www.business.govt.nz/companies/learn-about/nzbn</t>
  </si>
  <si>
    <t>http://www.business.govt.nz/companies/</t>
  </si>
  <si>
    <t>http://www.mific.gob.ni/PORTAL/DIRECTORIOEMPRESARIAL/tabid/590/language/es-NI/Default.aspx</t>
  </si>
  <si>
    <t>http://www.dgi.gob.ni/interna.php?sec=32</t>
  </si>
  <si>
    <t>http://www.stat-niger.org/statistique/pages/repentreprise/entreprise_list.php?pagesize=500</t>
  </si>
  <si>
    <t>http://www.doingbusiness.org/data/exploreeconomies/lagos/starting-a-business</t>
  </si>
  <si>
    <t>http://www.brreg.no/english/number/</t>
  </si>
  <si>
    <t>http://www.norge.no/en/sok/Business/alle/#nationalservices</t>
  </si>
  <si>
    <t>https://www.business.gov.om/wps/portal/ecr/services/browseallservices/!ut/p/a1/04_Sj9CPykssy0xPLMnMz0vMAfGjzOK9HU2dDZ1NDL39LcPMDRyNjF283Rz9DQxczIEKIvEo8DcgpD9cPwqvEpAJeBUYmEEVGOAAjgb6BbkRBpmejooAPqPgCg!!/dl5/d5/L2dBISEvZ0FBIS9nQSEh/</t>
  </si>
  <si>
    <t>http://www.secp.gov.pk/ns/index.asp</t>
  </si>
  <si>
    <t>http://www.secp.gov.pk/notification/pdf/2009/Cos_85.pdf</t>
  </si>
  <si>
    <t>http://www.doingbusiness.org/data/exploreeconomies/palau/starting-a-business</t>
  </si>
  <si>
    <t>http://www.ipa.gov.pg/business-registration-regulation-and-certification/</t>
  </si>
  <si>
    <t>http://www.mic.gov.py/mic/site/inicio.php</t>
  </si>
  <si>
    <t>https://www.sunarp.gob.pe/qsomos.asp</t>
  </si>
  <si>
    <t>http://iregister.sec.gov.ph/MainServlet?param=search</t>
  </si>
  <si>
    <t>http://ms.gov.pl/en/national-registers/national-court-register/general-information-on-the-national-court-register/</t>
  </si>
  <si>
    <t>http://www.irn.mj.pt/sections/empresas</t>
  </si>
  <si>
    <t>http://qatarchamber.com/site/</t>
  </si>
  <si>
    <t>http://www.doingbusiness.org/data/exploreeconomies/qatar/starting-a-business/</t>
  </si>
  <si>
    <t>https://portal.onrc.ro/ONRCPortalWeb/ONRCPortal.portal</t>
  </si>
  <si>
    <t>http://www.cipo.gov.vc/index.php?option=com_content&amp;view=article&amp;id=27&amp;Itemid=30</t>
  </si>
  <si>
    <t>http://www.bfs.admin.ch/bfs/portal/en/index/themen/00/05.html</t>
  </si>
  <si>
    <t>https://difcportal.force.com/customers/signin</t>
  </si>
  <si>
    <t>http://www.irs.gov/Businesses/Small-Businesses-&amp;-Self-Employed/Employer-ID-Numbers-EINs</t>
  </si>
  <si>
    <t>http://contribuyente.seniat.gob.ve/BuscaRif/BuscaRif.jsp</t>
  </si>
  <si>
    <t>C, P</t>
  </si>
  <si>
    <t>C, F, P, O</t>
  </si>
  <si>
    <t>C, F, P</t>
  </si>
  <si>
    <t>C, F, P, R</t>
  </si>
  <si>
    <t xml:space="preserve">http://ard.gov.af/index.php/2012-06-04-16-53-00/2013-07-20-04-50-44/standard-issue-of-tin </t>
  </si>
  <si>
    <t>http://www.mfdgi.gov.dz/index.php/component/content/article/8-contenu-en-francais/actualites/431-procedure-de-demande-d-immatriculation-en-matiere-du-numero-d-identification-fiscale-nif</t>
  </si>
  <si>
    <t>https://www.bahamas.gov.bs/wps/portal/public/business%20registry/!ut/p/b1/vVbbsqI4FP2W_gAOCSQEHlGUm9xFwRdLLg1yUQQE5OtHZ7pqes5Un37pc7KfUnsla6-1s6tCH-iAPlxOwzk79efr5VS99gfuyMqW4SwRb_AcEoAKt6YqrWxWxvAJCF8AIBui-ATIGHBA9e2NaBOFsRD45_wv0gqh93SghNNC6tRstdoP6BpWtVOe81OgnKRYDn3XkBe3TOtxCvqAbGYBd8Zqn1pzIZ0G0a8o21dKR0Jr3BWKCXeqX1sNeyrqAQur2aeowD1fWBCg0SC9vdYvl0lP14osm1rVAqbL15b3HcaV7V19u0ki51br_W55U8L5COz2Zi1q59u3HzrBL5b4W50f-_QE_MbnPX34kOLl9N-Aj0r88AaJ0OETQH4CbHfgWQUQXQ86ADksvaUDgI5e8WjUuZzdYnY3XmsBU4pZOPvAW7Vb0y-BmezM7UYHUNqZXhGOhqTZRrQwtqZtJzvXX4jSo-XG6j2hxWxfspeQ030Mli7-bEIZW_zTArK1RcwA-WniFxMyX2qpbFufTvju0XDojxNq9OEc1W9jXL-BNwIxZiHACCKehQTTuyJEZMlr4krdHr3m2idRygAkMl4pdmF-w5Pk44fEoP3RRsKEXP3BdIfhENWLsuOTm0aJwAHS2TpBJkpSwwCyy8lozcdKmt0nteqYNJuqKtdh1h9ytct8sj42p6N1WFjyebwkVIkskuXBPsJEw-4eca7PzLnlFW7fQV-4r8W7M6RaTA71rku0eBIp87gs0-FqjbgJr1cHeokAW3gfxFZ_FsiXNVeR2MypUxc_KOFB1O-FkPk9aSaLNpVrnb5vA89pr77rlr4RdNZR_j9KYJw8sho9yZnA7LNdu_XN7Yo1Ex2aGxGAFQBe9MwX4dwX4sPopR9tEOuFcQk-nl1PJ59N-E6hgL6aEH6ppbKkwa9W-Od7-J_Z5QgvMJBhOQB4hFjyml0gPL8Co6Tuh_Guu1NhRNYYX4Od5DU1U2oq7gDxWI1rw71WpBeMKICHy61q7pm6hPDMIagyvmjHfjeK-yarxq5uob7AY6OP1G2qrI4bGtG1zZbhbVlrHkLHTqBBm8hj6pjVhmVSbwIzG5yDY_MTJaTnpBKSecx3eR_ZDWOE87or4TmvNTiEIV9S1VEO1oSV-NE02jPd1P6gbzhXmYOfIpWH-t_4C-EhBTk!/dl4/d5/L2dBISEvZ0FBIS9nQSEh/</t>
  </si>
  <si>
    <t>http://economie.fgov.be/fr/entreprises/bce/#.VK6nazLGV8E</t>
  </si>
  <si>
    <t>http://business.belgium.be/en/managing_your_business/setting_up_your_business/main_steps/company_number/</t>
  </si>
  <si>
    <t>http://www.investburundi.com/official-launch-of-doing-business-report-by-the-2nd-vice-president-of-burundi</t>
  </si>
  <si>
    <t>http://www.vdb-loi.com/analysis/value-added-tax-vat-in-cambodia/</t>
  </si>
  <si>
    <t>http://www.businessincyprus.gov.cy/mcit/psc/psc.nsf/0/749FC411823BDD31C225785600375018?OpenDocument</t>
  </si>
  <si>
    <t>http://www.uhy.com/wp-content/uploads/Doing-Business-in-Dominican-Republic.pdf</t>
  </si>
  <si>
    <t xml:space="preserve">http://www.icommerceregistry.com/ </t>
  </si>
  <si>
    <t>http://www.icommerceregistry.com/index.htm#tabs1-2</t>
  </si>
  <si>
    <t>http://psh.gov.ge/index.php?lang_id=ENG&amp;sec_id=20</t>
  </si>
  <si>
    <t>http://www.worldbank.org/en/news/press-release/2011/10/20/georgia-number-one-worldwide-in-registering-property-according-to-doing-business-2012</t>
  </si>
  <si>
    <t>http://www.learn4good.com/settingup-business/germany-registering-a-company.htm</t>
  </si>
  <si>
    <t>http://www.worldbank.org/en/news/press-release/2014/03/11/world-bank-helps-gabon-diversify-economy-create-new-jobs-women-youth</t>
  </si>
  <si>
    <t>http://www.gov.gd/departments/supreme_court_registry.html</t>
  </si>
  <si>
    <t>http://www.rgd.gov.gh</t>
  </si>
  <si>
    <t>http://www.gq.undp.org/content/dam/equatorial_guinea/Reduccion%20de%20la%20Pobreza/Investment%20Climate%20Report%20EG%20English.%20Version%20Final..pdf</t>
  </si>
  <si>
    <t>http://comoros.eregulations.org/show-step.asp?l=fr&amp;mid=37&amp;rid=37&amp;sno=185</t>
  </si>
  <si>
    <t>http://www.moea.gov.bt/departments/department.php?id=2</t>
  </si>
  <si>
    <t>http://base.spinform.ru/show_doc.fwx?rgn=57789</t>
  </si>
  <si>
    <t>http://www.tra.go.tz/publications/Taxpayer%20Identification%20Number.pdf</t>
  </si>
  <si>
    <t>http://www.dbd.go.th/Applications/cds/</t>
  </si>
  <si>
    <t>http://www.doingbusiness.org/data/exploreeconomies/thailand/starting-a-business</t>
  </si>
  <si>
    <t>http://serve.gov.tl/sites/default/files/files/3_Decreto-Lei_7-2006%20-%20C%C3%B3digo_de_Regist_Comercial.pdf</t>
  </si>
  <si>
    <t>http://www.cfetogo.org/presentation</t>
  </si>
  <si>
    <t>http://www.revenue.gov.to/Article.aspx?ID=448</t>
  </si>
  <si>
    <t>http://www.doingbusiness.org/data/exploreeconomies/tunisia/</t>
  </si>
  <si>
    <t>https://www.ura.go.ug/xlsUpdRegistrationAction.do#</t>
  </si>
  <si>
    <t>http://irc.gov.ua/en/reestr_edr</t>
  </si>
  <si>
    <t>http://en.wikipedia.org/wiki/VAT_identification_number</t>
  </si>
  <si>
    <t>http://www.dnrd.gov.ae/en/Rules_Reg/Pages/RuleDetails.aspx?RuleId=45</t>
  </si>
  <si>
    <t>http://www.pipa.gov.ps/search_db.asp</t>
  </si>
  <si>
    <t>http://www.doingbusiness.org/data/exploreeconomies/st-lucia/starting-a-business</t>
  </si>
  <si>
    <t>http://www.revenue.gov.ws/images/VAGST_Register_Fact_Sheet_English.pdf</t>
  </si>
  <si>
    <t>http://www.mci.gov.sa/en/LawsRegulations/SystemsAndRegulations/CommercialRegistrationSystem/Pages/14-3.aspx</t>
  </si>
  <si>
    <t>http://www.paragraf.rs/propisi/zakon_o_poreskom_postupku_i_poreskoj_administraciji.html</t>
  </si>
  <si>
    <t>http://www.src.gov.sc/pages/pressreleases/2012/TINAccrossSRC.aspx</t>
  </si>
  <si>
    <t>http://www.oarg.gov.sl/Mapping%20a%20Procedure.html</t>
  </si>
  <si>
    <t>http://www.durs.gov.si/si/storitve/vpis_v_davcni_register_in_davcna_stevilka/vpis_v_davcni_register_in_davcna_stevilka_pojasnila/davcna_stevilka_splosno/</t>
  </si>
  <si>
    <t>http://www.doingbusiness.org/data/exploreeconomies/south-africa/starting-a-business</t>
  </si>
  <si>
    <t>http://es.wikipedia.org/wiki/C%C3%B3digo_de_identificaci%C3%B3n_fiscal</t>
  </si>
  <si>
    <t>http://www.gov.sz/index.php?option=com_content&amp;id=377&amp;Itemid=141</t>
  </si>
  <si>
    <t>http://www.bolagsverket.se/mg/blivande/starta/organisationsnummer-1.7902</t>
  </si>
  <si>
    <t>http://www.mintorg.gov.by/index.php?option=com_content&amp;task=view&amp;id=73&amp;Itemid=80</t>
  </si>
  <si>
    <t>http://www.frca.org.fj/tax-identification-number-tin-system-2/</t>
  </si>
  <si>
    <t>http://zh.wikipedia.org/wiki/%E7%B5%B1%E4%B8%80%E7%99%BC%E7%A5%A8_(%E8%87%BA%E7%81%A3)</t>
  </si>
  <si>
    <t>http://dica.gov.mm.x-aas.net/</t>
  </si>
  <si>
    <t>http://dica.gov.mm.x-aas.net/UploadFiles/CLEAN-CONSULTATION-DRAFT-PART-II.pdf</t>
  </si>
  <si>
    <t>http://www.ncci.org.na/directory/</t>
  </si>
  <si>
    <t>http://www.doingbusiness.org/data/exploreeconomies/namibia/starting-a-business</t>
  </si>
  <si>
    <t>http://www.ocr.gov.np/index.php/en/</t>
  </si>
  <si>
    <t>http://www.doingbusiness.org/data/exploreeconomies/niger/starting-a-business</t>
  </si>
  <si>
    <t>https://www.business.gov.om/wps/portal/ecr/services/findbusinessinformation/searchcompanylisting</t>
  </si>
  <si>
    <t>http://omanlawblog.curtis.com/2008/06/oman-law-digest-2008-commercial.html</t>
  </si>
  <si>
    <t>http://www.panadata.net/sociedades</t>
  </si>
  <si>
    <t>https://www.dgi.gob.pa/noticias/reso_201-1194.pdf</t>
  </si>
  <si>
    <t>http://www.irc.gov.pg/PDF_files/2014-11-08%20-%20TIN1%20-%20Registration.pdf</t>
  </si>
  <si>
    <t>http://www.pol.una.py/cie/sites/default/files/files/reg_unico_contribuyente.pdf</t>
  </si>
  <si>
    <t>http://www.sunat.gob.pe/legislacion/ruc/</t>
  </si>
  <si>
    <t>http://www.bir.gov.ph/index.php/tax-code.html</t>
  </si>
  <si>
    <t>http://pl.wikipedia.org/wiki/NIP</t>
  </si>
  <si>
    <t>http://pt.wikipedia.org/wiki/N%C3%BAmero_de_identifica%C3%A7%C3%A3o_fiscal</t>
  </si>
  <si>
    <t>http://ro.wikipedia.org/wiki/Cod_de_Identificare_Fiscal%C4%83</t>
  </si>
  <si>
    <t>https://www.sknird.com/UserFiles/TaxLib/130325053859.pdf</t>
  </si>
  <si>
    <t>http://www.rci.gouv.mc/rc/</t>
  </si>
  <si>
    <t>https://www.burtgel.gov.mn/index.php?option=com_content&amp;view=category&amp;id=191&amp;Itemid=412</t>
  </si>
  <si>
    <t>http://www.privrednakomora.me/centralni-registar-preduzeca/spisak?title=</t>
  </si>
  <si>
    <t>http://www.ompic.org.ma/index_en.htm</t>
  </si>
  <si>
    <t>http://www.doingbusiness.org/data/exploreeconomies/morocco/starting-a-business</t>
  </si>
  <si>
    <t>http://www.portaldogoverno.gov.mz/Servicos/NegInvestiment/reg/sociedades/</t>
  </si>
  <si>
    <t>http://www.at.gov.mz/eng/Internacional-Trade/FAQ-s/NUIT</t>
  </si>
  <si>
    <t>Avg</t>
  </si>
  <si>
    <t>Total</t>
  </si>
  <si>
    <t>Income Level</t>
  </si>
  <si>
    <t>http://www.porezna-uprava.hr/HR_OIB/Stranice/sto_je_OIB.aspx</t>
  </si>
  <si>
    <t>https://minegocio.gt/</t>
  </si>
  <si>
    <t xml:space="preserve">http://www.doingbusiness.org/data/exploreeconomies/guatemala/starting-a-business/ </t>
  </si>
  <si>
    <t xml:space="preserve">http://apiguinee.gov.gn/ </t>
  </si>
  <si>
    <t xml:space="preserve">http://www.doingbusiness.org/data/exploreeconomies/guinea/starting-a-business/ </t>
  </si>
  <si>
    <t xml:space="preserve">https://www.wbginvestmentclimate.org/publications/upload/Guinea-Bissau.pdf </t>
  </si>
  <si>
    <t xml:space="preserve">http://www.doingbusiness.org/data/exploreeconomies/guinea-bissau/starting-a-business </t>
  </si>
  <si>
    <t xml:space="preserve">http://legalaffairs.gov.gy/deeds-registry/registry-overview </t>
  </si>
  <si>
    <t xml:space="preserve">http://www.doingbusiness.org/data/exploreeconomies/guyana/starting-a-business </t>
  </si>
  <si>
    <t xml:space="preserve">http://registre.mci.gouv.ht/index.php </t>
  </si>
  <si>
    <t xml:space="preserve">http://www.refworld.org/docid/4804c0dd23.html </t>
  </si>
  <si>
    <t xml:space="preserve">http://190.5.103.114/clienteremoto/rm_busquedas.aspx </t>
  </si>
  <si>
    <t xml:space="preserve">http://www.dei.gob.hn/website/?cat=1443 </t>
  </si>
  <si>
    <t>https://www.eregistry.gov.hk/icris-ext/apps/por01a/menu?filename=Pam24C_Mar%202014.pdf</t>
  </si>
  <si>
    <t xml:space="preserve">https://www.eregistry.gov.hk/icris-ext/apps/por01a/index?locale=zh_CN </t>
  </si>
  <si>
    <t xml:space="preserve">http://e-beszamolo.kim.gov.hu/kereses-Default.aspx </t>
  </si>
  <si>
    <t>https://www.rsk.is/fyrirtaekjaskra/</t>
  </si>
  <si>
    <t>http://www.doingbusiness.org/data/exploreeconomies/iceland/starting-a-business/</t>
  </si>
  <si>
    <t>http://www.corporate-cases.com/2012/01/Corporate-Identity-Number.html</t>
  </si>
  <si>
    <t xml:space="preserve">http://portal.ahu.web.id/ </t>
  </si>
  <si>
    <t xml:space="preserve">http://cekindo.com/how-to-register-foreign-company-as-pt-pma-in-indonesia.html </t>
  </si>
  <si>
    <t xml:space="preserve">http://www.gazette.ir/Archive/Index.asp </t>
  </si>
  <si>
    <t xml:space="preserve">http://bsr-mot.com/English/search.htm </t>
  </si>
  <si>
    <t xml:space="preserve">http://www.doingbusiness.org/data/exploreeconomies/iraq/starting-a-business </t>
  </si>
  <si>
    <t>http://www.doingbusiness.org/data/exploreeconomies/ireland/starting-a-business</t>
  </si>
  <si>
    <t xml:space="preserve">https://core.cro.ie/Main/index.jsp </t>
  </si>
  <si>
    <t>http://www.welcomeoffice.fvg.it/trieste/dailylife/tax-identification-code.aspx</t>
  </si>
  <si>
    <t xml:space="preserve">https://www.orcjamaica.com/profile/ </t>
  </si>
  <si>
    <t xml:space="preserve">http://www.jamaicatax.gov.jm/index.php/2012-05-11-17-40-29/taxpayer-registration-number-trn </t>
  </si>
  <si>
    <t xml:space="preserve">http://www1.touki.or.jp/gateway.html </t>
  </si>
  <si>
    <t>https://www.companies.org.ls/lesotho-companies-br/viewInstance/view.html?id=13c857736aeecb0a09b5d94dcd0806b170c5668ce9c7d06a7134cf9abc5fa084&amp;_timestamp=2130401047677064</t>
  </si>
  <si>
    <t>http://www.obfc.org.ls/legislation/COMPANIES%20REGS%202012%20PRINTING%2024.4.2012%20FINAL.pdf</t>
  </si>
  <si>
    <t>http://www.liscr.com/liscr/</t>
  </si>
  <si>
    <t>http://www.doingbusiness.org/data/exploreeconomies/liberia/starting-a-business</t>
  </si>
  <si>
    <t>http://www.lihk.li/CFDOCS/cmsout/admin/index.cfm?GroupID=20&amp;MandID=1&amp;meID=74&amp;</t>
  </si>
  <si>
    <t>http://www.registrucentras.lt/jar_p_en/</t>
  </si>
  <si>
    <t>http://www.litlex.lt/Litlex/Eng/Frames/Laws/Documents/119.HTM</t>
  </si>
  <si>
    <t>http://www.legilux.public.lu/entr/search/index.php</t>
  </si>
  <si>
    <t>http://www.legilux.public.lu/leg/textescoordonnes/codes/#code_commerce</t>
  </si>
  <si>
    <t>http://www.ipim.gov.mo/ipim_service_detail.php?tid=2615</t>
  </si>
  <si>
    <t>http://www.bnlawmacau.com/fotos/gca/business_macau_1236222439.pdf</t>
  </si>
  <si>
    <t>http://www.crm.com.mk/DS/default.aspx?MainId=12</t>
  </si>
  <si>
    <t>http://www.doingbusiness.org/data/exploreeconomies/macedonia-fyr/starting-a-business</t>
  </si>
  <si>
    <t>https://e-submit.crm.com.mk/sso/login.aspx?ReturnUrl=https%3a%2f%2fwww.crm.com.mk%3a443%2fDS%2fusers%2fPaContent.aspx</t>
  </si>
  <si>
    <t>http://www.edbm.gov.mg/</t>
  </si>
  <si>
    <t>http://www.edbm.gov.mg/One-Stop-Shop/Company-creation</t>
  </si>
  <si>
    <t>http://www.rgd.gov.gh/en/services/searches.php</t>
  </si>
  <si>
    <t>http://www.doingbusiness.org/data/exploreeconomies/malawi/starting-a-business</t>
  </si>
  <si>
    <t>http://www.ssm.com.my/en/product-services/mycoid</t>
  </si>
  <si>
    <t>http://ww2.ssm-mycoid.com.my/omni/omni</t>
  </si>
  <si>
    <t>http://trade.gov.mv/</t>
  </si>
  <si>
    <t>http://www.doingbusiness.org/data/exploreeconomies/maldives/starting-a-business</t>
  </si>
  <si>
    <t>http://www.apimali.gov.ml/api/en/index.php?page=starting-a-business#How_9</t>
  </si>
  <si>
    <t>http://www.apimali.gov.ml/api/en/index.php?page=start-a-business</t>
  </si>
  <si>
    <t>http://rocsupport.mfsa.com.mt/pages/SearchCompanyInformation.aspx</t>
  </si>
  <si>
    <t>http://www.doingbusiness.org/data/exploreeconomies/malta/starting-a-business</t>
  </si>
  <si>
    <t>https://www.register-iri.com/miCorporate/index.cfm/Corporate/search</t>
  </si>
  <si>
    <t>http://www.doingbusiness.org/data/exploreeconomies/marshall-islands/starting-a-business</t>
  </si>
  <si>
    <t>http://www.doingbusiness.org/data/exploreeconomies/mauritania/starting-a-business</t>
  </si>
  <si>
    <t>https://portalmns.mu/cbris-name-search/MASTActionServlet?do=ViewList&amp;id=ViewListCBRIS.xml</t>
  </si>
  <si>
    <t>http://companies.govmu.org/English/About%20CBRD/Pages/What-we-do.aspx</t>
  </si>
  <si>
    <t>http://www.siem.gob.mx/siem/portal/consultas/ligas.asp?Tem=1</t>
  </si>
  <si>
    <t>http://www.siem.gob.mx/siem/ayuda/preguntasfrecuentes.asp</t>
  </si>
  <si>
    <t>http://www.fsmroc.fm/corps.php</t>
  </si>
  <si>
    <t>http://www.mtic.gov.md/WebPublic/index.php?action=company&amp;lang=en</t>
  </si>
  <si>
    <t>http://www.doingbusiness.org/data/exploreeconomies/moldova/starting-a-business/</t>
  </si>
  <si>
    <t>https://servicii.gov.md/CategoryDetails.aspx?cid=59d2ed3d-abaa-45ea-8b3e-cec1dc20ff7c</t>
  </si>
  <si>
    <t>http://www.monacostatistics.mc/Procedures-and-services/NIS-registration</t>
  </si>
  <si>
    <t>https://en.service-public-entreprises.gouv.mc/user/login</t>
  </si>
  <si>
    <t>http://www.ccd.gov.jo/e-services/home/search-by-company-name</t>
  </si>
  <si>
    <t>http://www.doingbusiness.org/data/exploreeconomies/jordan/starting-a-business</t>
  </si>
  <si>
    <t>http://www.salyk.kz/ru/Pages/findtaxpayers.aspx</t>
  </si>
  <si>
    <t>http://egov.kz/wps/portal/Content?contentPath=/egovcontent/bus_business/for_businessmen/article/business_identification_number&amp;lang=en</t>
  </si>
  <si>
    <t>http://egov.kz/wps/portal/index</t>
  </si>
  <si>
    <t>http://www.ecitizen.go.ke/service.html</t>
  </si>
  <si>
    <t>http://www.doingbusiness.org/data/exploreeconomies/kenya/starting-a-business</t>
  </si>
  <si>
    <t>http://www.mcic.gov.ki/?page_id=34</t>
  </si>
  <si>
    <t>http://www.paclii.org/ki/legis/consol_act/co160/</t>
  </si>
  <si>
    <t>http://www.arbk.org/en/Home</t>
  </si>
  <si>
    <t>http://www.doingbusiness.org/data/exploreeconomies/kosovo/starting-a-business</t>
  </si>
  <si>
    <t>http://www.kuwaitchamber.org.kw/echamber/website/index.jsp</t>
  </si>
  <si>
    <t>http://www.e.gov.kw/sites/kgoenglish/portal/pages/visitors/DoingBusinessInKuwait/GoverningBody_OverView.aspx</t>
  </si>
  <si>
    <t>https://register.minjust.gov.kg/register/SearchAction.seam</t>
  </si>
  <si>
    <t>http://www.doingbusiness.org/data/exploreeconomies/kyrgyz-republic/starting-a-business</t>
  </si>
  <si>
    <t>http://www.doingbusiness.org/data/exploreeconomies/lao-pdr/starting-a-business/</t>
  </si>
  <si>
    <t>http://www.lursoft.lv/en/data-bases-of-companies</t>
  </si>
  <si>
    <t>http://likumi.lv/doc.php?id=253451</t>
  </si>
  <si>
    <t>http://www.databank.com.lb/default.asp</t>
  </si>
  <si>
    <t>Income level distribution</t>
  </si>
  <si>
    <t>Regional distribution</t>
  </si>
  <si>
    <t>Sum</t>
  </si>
  <si>
    <t>FMIS &amp; OBD data set (198 economies)</t>
  </si>
  <si>
    <t>FMIS &amp; OBD data set (Regions)</t>
  </si>
  <si>
    <t xml:space="preserve"># of Economies by Indicators </t>
  </si>
  <si>
    <t xml:space="preserve"># of Countries by Indicators </t>
  </si>
  <si>
    <t>ref</t>
  </si>
  <si>
    <t>quest</t>
  </si>
  <si>
    <t xml:space="preserve">Indicator &gt; </t>
  </si>
  <si>
    <t>Indicator</t>
  </si>
  <si>
    <t>Birth registration is mandatory?</t>
  </si>
  <si>
    <t>National ID is given at birth?</t>
  </si>
  <si>
    <t>National ID is mandatory?</t>
  </si>
  <si>
    <t>e-ID is used in e-services?</t>
  </si>
  <si>
    <t>Unique business ID exists?</t>
  </si>
  <si>
    <t>Unique business ID is used in e-services?</t>
  </si>
  <si>
    <t xml:space="preserve">https://www.wbginvestmentclimate.org/publications/upload/Chad_A4-2.pdf </t>
  </si>
  <si>
    <t xml:space="preserve">http://www.japantimes.co.jp/news/2015/01/07/national/ready-for-your-my-number-id-many-japanese-firms-arent/#.VLVCEyKzHMs </t>
  </si>
  <si>
    <t xml:space="preserve">www.startbiz.go.kr </t>
  </si>
  <si>
    <t xml:space="preserve">http://www.nts.go.kr/eng/about/about_01.asp?top_code=A001&amp;sub_code=AS01&amp;ssub_code=ASA1 </t>
  </si>
  <si>
    <t xml:space="preserve">https://www.startbiz.go.kr/EP/web/portal/jsp/EP_Default_new.jsp </t>
  </si>
  <si>
    <t xml:space="preserve">http://www.moic.gov.la/ </t>
  </si>
  <si>
    <t>http://www.commerce.gov.mr/Commerce/Home</t>
  </si>
  <si>
    <t xml:space="preserve">http://www.naurugov.nr/government/departments/department-of-justice-and-border-control/secretariat.aspx </t>
  </si>
  <si>
    <t xml:space="preserve">http://palaugov.org/office-of-the-attorney-general/ </t>
  </si>
  <si>
    <t>http://www.servicepublic.gouv.sn/index.php/demarche_administrative/demarche/1/196</t>
  </si>
  <si>
    <t xml:space="preserve">http://www.servicepublic.gouv.sn/index.php/demarche_administrative/demarche/1/112 </t>
  </si>
  <si>
    <t>http://cci.gov.tm/tpp/zakony-turkmenistana</t>
  </si>
  <si>
    <t>http://www.somalichamber.so/</t>
  </si>
  <si>
    <t>http://www.tpsudan.gov.sd/index.php/ar/financial_guide/</t>
  </si>
  <si>
    <t>http://www.egov.sy</t>
  </si>
  <si>
    <t>https://ru.wikipedia.org</t>
  </si>
  <si>
    <t>http://www.egov.sy/law/ar</t>
  </si>
  <si>
    <t>http://www.ttconnect.gov.tt/</t>
  </si>
  <si>
    <t>http://www.saudi.gov.sa</t>
  </si>
  <si>
    <t>http://www.chamber-commerce.net/dir/4424/Tuvalu-National-Chamber-of-Commerce-in-Vaiaku</t>
  </si>
  <si>
    <t>BR a</t>
  </si>
  <si>
    <t>http://www.gra.gov.gh/docs/info/tin_act.pdf</t>
  </si>
  <si>
    <t>http://www.doingbusiness.org/data/exploreeconomies/swaziland/starting-a-business</t>
  </si>
  <si>
    <t>http://www.doingbusiness.org/data/exploreeconomies/zimbabwe/starting-a-business</t>
  </si>
  <si>
    <t>http://www.ocr.gov.np/images/pdf/the-companies-act%202006-english.pdf</t>
  </si>
  <si>
    <t>Business Registration automated?</t>
  </si>
  <si>
    <t>No automation yet</t>
  </si>
  <si>
    <t>BR is automated</t>
  </si>
  <si>
    <t>http://portal.www.gov.qa/</t>
  </si>
  <si>
    <t>e-ID is used for identification only</t>
  </si>
  <si>
    <t>e-ID is used in several e-Services</t>
  </si>
  <si>
    <t>Multi-purpose e-ID used in most e-Services</t>
  </si>
  <si>
    <t>C, F, P, R, S, O</t>
  </si>
  <si>
    <t>C, P, S, O</t>
  </si>
  <si>
    <t>B Reg</t>
  </si>
  <si>
    <t>eID Yr</t>
  </si>
  <si>
    <t>Bus R</t>
  </si>
  <si>
    <t>cID Yr</t>
  </si>
  <si>
    <t>eID</t>
  </si>
  <si>
    <t>BusR</t>
  </si>
  <si>
    <t>cID</t>
  </si>
  <si>
    <t>UBI Yr</t>
  </si>
  <si>
    <t>UBI</t>
  </si>
  <si>
    <t>No civil registry institution</t>
  </si>
  <si>
    <t>Ministry of Justice (Legal Affairs)</t>
  </si>
  <si>
    <t>Ministry of Interior (Home Affairs)</t>
  </si>
  <si>
    <t>Inst responsible for Electoral System</t>
  </si>
  <si>
    <t>Municipalities / Autonomous Inst / Town Halls</t>
  </si>
  <si>
    <t>Other institutions</t>
  </si>
  <si>
    <t>http://www.gov.bw/en/Ministries--Authorities/Ministries/Ministry-of-Labour--Home-Affairs-MLHA/Department--Units/Civil-and-National-Registration/</t>
  </si>
  <si>
    <t>C, F, R</t>
  </si>
  <si>
    <t>C, E, F, H, T</t>
  </si>
  <si>
    <t>C, H, R, T, O</t>
  </si>
  <si>
    <t>C, H, R, V</t>
  </si>
  <si>
    <t>eIDs</t>
  </si>
  <si>
    <t>Grand Total</t>
  </si>
  <si>
    <t>Pop 0-4</t>
  </si>
  <si>
    <t>Pop 5-9</t>
  </si>
  <si>
    <t>Pop 10-14</t>
  </si>
  <si>
    <t>Birth and Death Registration, Local Government Division</t>
  </si>
  <si>
    <t>C, E, F, H, S</t>
  </si>
  <si>
    <t>Biometric</t>
  </si>
  <si>
    <t>In use</t>
  </si>
  <si>
    <t>In progress</t>
  </si>
  <si>
    <t>Trueb (CH)</t>
  </si>
  <si>
    <t>http://zpd.gov.ua/dszpd/en/publish/article/39178</t>
  </si>
  <si>
    <t>http://zpd.gov.ua/dszpd/en/publish/article/39559</t>
  </si>
  <si>
    <t>http://www.legislation.gov.uk/ukpga/1998/29/contents</t>
  </si>
  <si>
    <t>https://ico.org.uk/about-the-ico/</t>
  </si>
  <si>
    <t>http://www.gpo.gov/fdsys/pkg/USCODE-2012-title5/pdf/USCODE-2012-title5-partI-chap5-subchapII-sec552a.pdf</t>
  </si>
  <si>
    <t>http://www.ftc.gov/about-ftc</t>
  </si>
  <si>
    <t>http://www.parlamento.gub.uy/leyes/AccesoTextoLey.asp?Ley=18381&amp;Anchor=</t>
  </si>
  <si>
    <t>http://datospersonales.gub.uy/inicio/institucional/que-es-la-urcdp/</t>
  </si>
  <si>
    <t>http://lawfirm.vn/?a=doc&amp;id=1936</t>
  </si>
  <si>
    <t>http://www.right2info.org/resources/publications/laws-1/laws_yemen</t>
  </si>
  <si>
    <t>http://archive.kubatana.net/docs/legisl/aippa_amd_act_080111.pdf</t>
  </si>
  <si>
    <t>http://www.mediacommission.co.zw/</t>
  </si>
  <si>
    <t xml:space="preserve">https://www.apda.ad/system/files/2-%20(FR)%20Decret%20Reglament%20Ag%C3%A8ncia%20Andorrana%20Protecci%C3%B3%20Dades%20.pdf </t>
  </si>
  <si>
    <t xml:space="preserve">http://www.right2info.org/resources/publications/Angola-%20Access%20to%20Adm%20doc.doc </t>
  </si>
  <si>
    <t xml:space="preserve">http://www.laws.gov.ag/acts/2004/a2004-19.pdf </t>
  </si>
  <si>
    <t xml:space="preserve">http://www.protecciondedatos.com.ar/law25326.htm </t>
  </si>
  <si>
    <t xml:space="preserve">http://www.legislationline.org/download/action/download/id/5317/file/Armenia_Law_on_personal_data_2002_am2012_en.pdf </t>
  </si>
  <si>
    <t xml:space="preserve">http://www.oaic.gov.au/privacy/privacy-act/the-privacy-act </t>
  </si>
  <si>
    <t xml:space="preserve">https://www.ris.bka.gv.at/GeltendeFassung.wxe?Abfrage=bundesnormen&amp;Gesetzesnummer=10001597 </t>
  </si>
  <si>
    <t xml:space="preserve">http://www.coe.int/t/dghl/standardsetting/dataprotection/National%20laws/AZERBAIJAN_DP_LAW.pdf </t>
  </si>
  <si>
    <t xml:space="preserve">http://www.lexbahamas.com/Data%20Protection%202003.pdf </t>
  </si>
  <si>
    <t xml:space="preserve">http://unpan1.un.org/intradoc/groups/public/documents/TASF/UNPAN024631.pdf </t>
  </si>
  <si>
    <t xml:space="preserve">http://www.legislationline.org/download/action/download/id/5514/file/Belgium_Privacy_Act_1992_as_of_2014_en.pdf   </t>
  </si>
  <si>
    <t xml:space="preserve">http://www.afapdp.org/wp-content/uploads/2012/01/B%C3%A9nin-LOI-SUR-PROTECTION-DES-DONNEES-A-CARACTERE-PERSONNEL-20092.pdf </t>
  </si>
  <si>
    <t xml:space="preserve">http://www.coe.int/t/dghl/standardsetting/dataprotection/National%20laws/BiH_DP_LAW.pdf </t>
  </si>
  <si>
    <t xml:space="preserve">http://www.right2info.org/resources/publications/laws_brazil-ati-bill-2011 </t>
  </si>
  <si>
    <t>http://store.aip-bg.org/laws/PDPA.pdf</t>
  </si>
  <si>
    <t xml:space="preserve">http://www.afapdp.org/wp-content/uploads/2012/01/Burkina-Faso-Loi-portant-protection-des-donn%C3%A9es-%C3%A0-caract%C3%A8re-personnel-20042.pdf </t>
  </si>
  <si>
    <t xml:space="preserve">http://laws-lois.justice.gc.ca/eng/acts/p-8.6/ </t>
  </si>
  <si>
    <t xml:space="preserve">http://www.afapdp.org/wp-content/uploads/2012/01/Cap-vert-Lei-n%C2%B0133-V-2001-do-22-janeiro-20011.pdf </t>
  </si>
  <si>
    <t xml:space="preserve">http://www.leychile.cl/Navegar?idNorma=141599 </t>
  </si>
  <si>
    <t>Type of e-ID Card</t>
  </si>
  <si>
    <t>Remote use of e-ID for transactions?</t>
  </si>
  <si>
    <t>Digital signatue on e-ID?</t>
  </si>
  <si>
    <t>C, E, F, H, S, R, T</t>
  </si>
  <si>
    <t>e-Services</t>
  </si>
  <si>
    <t>Multi-purpose</t>
  </si>
  <si>
    <t>e-ID in use</t>
  </si>
  <si>
    <t>http://www.kmdp.al</t>
  </si>
  <si>
    <t>ICDPPC; EDPA; AFAPDP, CEEDPA</t>
  </si>
  <si>
    <t>https://www.apda.ad</t>
  </si>
  <si>
    <t xml:space="preserve">http://www.jus.gob.ar/datos-personales.aspx </t>
  </si>
  <si>
    <t xml:space="preserve">http://www.oaic.gov.au/. </t>
  </si>
  <si>
    <t>http://www.bka.gv.at</t>
  </si>
  <si>
    <t>The Data Protection Commissioner</t>
  </si>
  <si>
    <t xml:space="preserve">www.privacycommission.be </t>
  </si>
  <si>
    <t xml:space="preserve">http://cnilbenin.bj/ </t>
  </si>
  <si>
    <t>http://www.azlp.gov.ba</t>
  </si>
  <si>
    <t>Ministério da Justiça, Acesso à Informação</t>
  </si>
  <si>
    <t>http://portal.mj.gov.br</t>
  </si>
  <si>
    <t>RedIPD</t>
  </si>
  <si>
    <t xml:space="preserve">www.cpdp.bg </t>
  </si>
  <si>
    <t>http://www.cil.bf</t>
  </si>
  <si>
    <t xml:space="preserve">https://www.priv.gc.ca </t>
  </si>
  <si>
    <t xml:space="preserve">http://wsp.presidencia.gov.co/Normativa/Leyes/Documents/LEY%201581%20DEL%2017%20DE%20OCTUBRE%20DE%202012.pdf </t>
  </si>
  <si>
    <t>http://www.sic.gov.co</t>
  </si>
  <si>
    <t xml:space="preserve">http://www.tse.go.cr/pdf/normativa/leydeprotecciondelapersona.pdf </t>
  </si>
  <si>
    <t xml:space="preserve">Protection of Personal Data  </t>
  </si>
  <si>
    <t xml:space="preserve">http://www.artci.ci/images/stories/pdf/lois/loi_2013_450.pdf </t>
  </si>
  <si>
    <t xml:space="preserve">http://www.right2info.org/resources/publications/laws-1/croatia-personal-data-protection-act/at_download/file </t>
  </si>
  <si>
    <t>http://www.azop.hr</t>
  </si>
  <si>
    <t xml:space="preserve">http://www.dataprotection.gov.cy/dataprotection/dataprotection.nsf/697e70c0046f7759c2256e8c004a0a49/f8e24ef90a27f34fc2256eb4002854e7/$FILE/138%28I%29-2001_en.pdf </t>
  </si>
  <si>
    <t>www.dataprotection.gov.cy</t>
  </si>
  <si>
    <t>http://ec.europa.eu/justice/policies/privacy/docs/implementation/czech_republic_act _101_en.pdf</t>
  </si>
  <si>
    <t>www.uoou.cz</t>
  </si>
  <si>
    <t>http://www.datatilsynet.dk/english/the-act-on-processing-of-personal-data/read-the-act-on-processing-of-personal-data/compiled-version-of-the-act-on-processing-of-personal-data/</t>
  </si>
  <si>
    <t>http://www.datatilsynet.dk</t>
  </si>
  <si>
    <t xml:space="preserve">http://www.datacredito1.com/s_ley_buro.asp </t>
  </si>
  <si>
    <t>http://www.dataprotection.eu/pmwiki/pmwiki.php?n=Main.EE</t>
  </si>
  <si>
    <t>http://www.aki.ee</t>
  </si>
  <si>
    <t xml:space="preserve">http://www.tietosuoja.fi/fi/index/lait/Henkilotietolaki.html </t>
  </si>
  <si>
    <t>http://www.tietosuoja.fi</t>
  </si>
  <si>
    <t xml:space="preserve">http://www.cnil.fr/fileadmin/documents/en/Act78-17VA.pdf </t>
  </si>
  <si>
    <t>http://www.cnil.fr</t>
  </si>
  <si>
    <t>http://www.afapdp.org/wp-content/uploads/2012/01/Gabon-Loi-relative-%C3%A0-la-protection-des-donn%C3%A9es-personnelles-du-4-mai-20112.pdf</t>
  </si>
  <si>
    <t xml:space="preserve">http://www.afapdp.org/archives/1319 </t>
  </si>
  <si>
    <t xml:space="preserve">http://www.coe.int/t/dghl/standardsetting/dataprotection/National%20laws/Georgia%20(Law%20of...)%20on%20Personal%20Data%20Protection%20as%20amended%2014%2005%202013.pdf </t>
  </si>
  <si>
    <t xml:space="preserve">http://personaldata.ge/en/home </t>
  </si>
  <si>
    <t xml:space="preserve">http://www.iuscomp.org/gla/statutes/BDSG.htm </t>
  </si>
  <si>
    <t>www.datenschutz.bremen.de</t>
  </si>
  <si>
    <t xml:space="preserve">http://media.mofo.com/files/PrivacyLibrary/3981/GHANAbill.pdf </t>
  </si>
  <si>
    <t xml:space="preserve">http://www.moc.gov.gh/e-ghana-project/116-about-us/259-dpc.html </t>
  </si>
  <si>
    <t xml:space="preserve">http://www.dpa.gr/pls/portal/docs/PAGE/APDPX/ENGLISH_INDEX/LEGAL%20FRAMEWORK/LAW%202472-97-APRIL010-EN%20_2_.PDF </t>
  </si>
  <si>
    <t>http://www.dpa.gr</t>
  </si>
  <si>
    <t xml:space="preserve">http://www.wipo.int/wipolex/en/text.jsp?file_id=187035 </t>
  </si>
  <si>
    <t>http://www.pcpd.org.hk</t>
  </si>
  <si>
    <t xml:space="preserve">http://www.naih.hu/files/Privacy_Act-CXII-of-2011_EN_201310.pdf </t>
  </si>
  <si>
    <t>www.naih.hu</t>
  </si>
  <si>
    <t xml:space="preserve">http://www.personuvernd.is/information-in-english/greinar/nr/438 </t>
  </si>
  <si>
    <t>http://www.personuvernd.is</t>
  </si>
  <si>
    <t xml:space="preserve">http://deity.gov.in/sites/upload_files/dit/files/downloads/itact2000/itbill2000.pdf </t>
  </si>
  <si>
    <t xml:space="preserve">http://www.irishstatutebook.ie/1988/en/act/pub/0025/index.html </t>
  </si>
  <si>
    <t>http://www.dataprotection.ie</t>
  </si>
  <si>
    <t xml:space="preserve">http://www.justice.gov.il/NR/rdonlyres/C5205E15-3FE9-4037-BA0F-62212B40773A/18334/ProtectionofPrivacyLaw57411981unofficialtranslatio.pdf </t>
  </si>
  <si>
    <t>http://www.justice.gov.il</t>
  </si>
  <si>
    <t xml:space="preserve">http://www.garanteprivacy.it/web/guest/home/docweb/-/docweb-display/docweb/28335 </t>
  </si>
  <si>
    <t>http://www.garanteprivacy.it</t>
  </si>
  <si>
    <t xml:space="preserve">http://www.cas.go.jp/jp/seisaku/hourei/data/APPI.pdf </t>
  </si>
  <si>
    <t>Ministries of Internal Affairs and Communications</t>
  </si>
  <si>
    <t xml:space="preserve">http://www.soumu.go.jp/ </t>
  </si>
  <si>
    <t xml:space="preserve">http://www.cickenya.org/index.php/legislation/item/download/298_d79313b69240bf9c9403613edacc41b1 </t>
  </si>
  <si>
    <t xml:space="preserve">http://koreanlii.or.kr/w/images/0/0e/KoreanDPAct2011.pdf </t>
  </si>
  <si>
    <t xml:space="preserve">http://www.kisa.kr/eng/main.jsp </t>
  </si>
  <si>
    <t xml:space="preserve">http://www.kuvendikosoves.org/common/docs/ligjet/2010-172-eng.pdf </t>
  </si>
  <si>
    <t xml:space="preserve">http://www.amdp-rks.org/ </t>
  </si>
  <si>
    <t xml:space="preserve">http://www.legislationline.org/download/action/download/id/4220/file/Kyrgyz_Law_personal_data_2008_EN.pdf </t>
  </si>
  <si>
    <t>http://www.dvi.gov.lv/en/legal-acts/personal-data-protection-law</t>
  </si>
  <si>
    <t>http://www.dvi.gov.lv</t>
  </si>
  <si>
    <t>http://law.moj.gov.tw/Eng/LawClass/LawAll.aspx?PCode=I0050021</t>
  </si>
  <si>
    <t>http://sw.radiovaticana.va/doc/RASIMU_final.pdf</t>
  </si>
  <si>
    <t>http://www.asianlii.org/th/legis/consol_act/oia1997197/</t>
  </si>
  <si>
    <t>http://www.oic.go.th/</t>
  </si>
  <si>
    <t>http://timor-leste.gov.tl/wp-content/uploads/2010/03/Constituicao_RDTL_PT.pdf</t>
  </si>
  <si>
    <t>http://www.ttparliament.org/legislations/a2011-13.pdf</t>
  </si>
  <si>
    <t>http://www.tunisie.gov.tn/SYNC_1615697015.pdf</t>
  </si>
  <si>
    <t>http://www.inpdp.nat.tn/version-francaise/accueil.html</t>
  </si>
  <si>
    <t>Regulation of Electronic Commerce Law</t>
  </si>
  <si>
    <t>http://www.resmigazete.gov.tr/eskiler/2014/11/20141105-1.htm</t>
  </si>
  <si>
    <t>Customs and Trade Ministry</t>
  </si>
  <si>
    <t>http://www.gtb.gov.tr/</t>
  </si>
  <si>
    <t>Data Protection and Privacy Bill</t>
  </si>
  <si>
    <t>http://www.nita.go.ug/sites/default/files/publications/Draft%20Data%20Protection%20and%20PrivacyBill%20-%20Revised%20PDF.pdf</t>
  </si>
  <si>
    <t>Electronic Transactions act</t>
  </si>
  <si>
    <t>http://www.paclii.org/vu/legis/consol_act/eta256/</t>
  </si>
  <si>
    <t>http://www.consultant.ru/document/cons_doc_LAW_166051/</t>
  </si>
  <si>
    <t>http://rkn.gov.ru/eng/</t>
  </si>
  <si>
    <t>http://www.wipo.int/edocs/lexdocs/laws/en/kn/kn001en.pdf</t>
  </si>
  <si>
    <t>http://www.govt.lc/media.govt.lc/www/legislation/FreedomOfInformation.pdf</t>
  </si>
  <si>
    <t>http://www.gov.vc/pmoffice/images/stories/HIPCAR/privacy%20act%202003.pdf</t>
  </si>
  <si>
    <t>http://www.wipo.int/edocs/lexdocs/laws/fr/sn/sn009fr.pdf</t>
  </si>
  <si>
    <t>http://www.cdp.sn/</t>
  </si>
  <si>
    <t>http://www.refworld.org/pdfid/4b5718f52.pdf</t>
  </si>
  <si>
    <t>http://www.poverenik.rs/en.html</t>
  </si>
  <si>
    <t>http://greybook.seylii.org/se/2003-9</t>
  </si>
  <si>
    <t>Personal Data Protection within ECOWAS</t>
  </si>
  <si>
    <t>http://www.statewatch.org/news/2013/mar/ecowas-dp-act.pdf</t>
  </si>
  <si>
    <t>http://statutes.agc.gov.sg/aol/search/display/view.w3p;page=0;query=DocId%3A1b065f8f-0d31-4bca-b622-6b1a3c769d66%20Depth%3A0%20Status%3Ainforce;rec=0</t>
  </si>
  <si>
    <t>http://www.pdpc.gov.sg/</t>
  </si>
  <si>
    <t>http://ec.europa.eu/justice/policies/privacy/docs/implementation/slovakia_428_02_en.pdf</t>
  </si>
  <si>
    <t>https://dataprotection.gov.sk/uoou/en</t>
  </si>
  <si>
    <t>http://www.legislationline.org/documents/action/popup/id/3828</t>
  </si>
  <si>
    <t>https://www.ip-rs.si/?id=195</t>
  </si>
  <si>
    <t>Protection of Personal Information Act</t>
  </si>
  <si>
    <t>http://www.issafrica.org/uploads/SA-POPI-Act-2013.pdf</t>
  </si>
  <si>
    <t>http://www.icnl.org/research/library/files/South%20Sudan/RightAccessInformationBill.pdf</t>
  </si>
  <si>
    <t>http://www.wipo.int/edocs/lexdocs/laws/en/sd/sd001en.pdf</t>
  </si>
  <si>
    <t>Agencia Espanola De Proteccion De Datos</t>
  </si>
  <si>
    <t>https://www.agpd.es/portalwebAGPD/index-ides-idphp.php</t>
  </si>
  <si>
    <t>The Copyright and Neighbouring Rights Protection Act</t>
  </si>
  <si>
    <t>Minister of Culture and Information</t>
  </si>
  <si>
    <t>Cybercrime, Data Protection, Information, and Internet</t>
  </si>
  <si>
    <t>http://www.legislationline.org/topics/country/1/topic/3</t>
  </si>
  <si>
    <t>http://www.datainspektionen.se/in-english/</t>
  </si>
  <si>
    <t>http://www.admin.ch/ch/e/rs/2/235.11.en.pdf</t>
  </si>
  <si>
    <t>http://www.edoeb.admin.ch/index.html?lang=en</t>
  </si>
  <si>
    <t>http://datepersonale.md/en/legi/</t>
  </si>
  <si>
    <t>http://www.datepersonale.md/</t>
  </si>
  <si>
    <t>http://www.ccin.mc/legislation/lois/act-1-165-on-the-protection-of-personal-data.pdf</t>
  </si>
  <si>
    <t>http://www.afapdp.org/wp-content/uploads/2012/01/Mont%C3%A9n%C3%A9gro-Personal-Data-Protection-Law-79-08-and-70-09.pdf</t>
  </si>
  <si>
    <t>http://www.azlp.me/index.php/me/</t>
  </si>
  <si>
    <t>http://www.adk-media.org/wp-content/uploads/2013/11/loi-09-08.pdf</t>
  </si>
  <si>
    <t>http://www.right2info.org/resources/publications/nepal-rti</t>
  </si>
  <si>
    <t>http://nic.gov.np/</t>
  </si>
  <si>
    <t>https://cbpweb.nl/en</t>
  </si>
  <si>
    <t>http://www.legislation.govt.nz/act/public/1993/0028/latest/DLM296639.html</t>
  </si>
  <si>
    <t>https://www.privacy.org.nz/</t>
  </si>
  <si>
    <t>http://legislacion.asamblea.gob.ni/normaweb.nsf/9e314815a08d4a6206257265005d21f9/e5d37e9b4827fc06062579ed0076ce1d?OpenDocument</t>
  </si>
  <si>
    <t>https://www.google.com/url?sa=t&amp;rct=j&amp;q=&amp;esrc=s&amp;source=web&amp;cd=2&amp;ved=0CCYQFjAB&amp;url=http%3A%2F%2Fwww.nassnig.org%2Fnass2%2Flegislation.php%3Fid%3D410&amp;ei=trbCVPKsI8GkgwTy-IGwDA&amp;usg=AFQjCNGUeDUXsvsvqBpCu-dF0cMNYY0o4Q&amp;sig2=bnCBHGsBK0xh7S9E3pKmKg&amp;bvm=bv.84349003,d.eXY&amp;cad=rja</t>
  </si>
  <si>
    <t>Cyber Security and Information Protection Agency</t>
  </si>
  <si>
    <t>http://www.coe.int/t/dghl/standardsetting/dataprotection/National%20laws/NORWAY_DPACT2000.pdf</t>
  </si>
  <si>
    <t>http://www.datatilsynet.no/English/</t>
  </si>
  <si>
    <t>http://www.redipd.org/legislacion/common/legislacion/paraguay/Ley_1682_de_2001.pdf</t>
  </si>
  <si>
    <t>https://www.huntonprivacyblog.com/uploads/file/Peru%20Data%20Protection%20Law%20July%2028_EN%20_2_.pdf</t>
  </si>
  <si>
    <t>http://www.minjus.gob.pe/proteccion-de-datos-personales/</t>
  </si>
  <si>
    <t>http://www.gov.ph/2012/08/15/republic-act-no-10173/</t>
  </si>
  <si>
    <t>http://www.congress.gov.ph/download/basic_16/HB00019.pdf</t>
  </si>
  <si>
    <t>http://www.giodo.gov.pl/144/id_art/171/j/en/</t>
  </si>
  <si>
    <t>http://www.cnpd.pt/</t>
  </si>
  <si>
    <t>http://www.cnpd.pt/bin/legis/nacional/lei_6798.htm</t>
  </si>
  <si>
    <t>http://www.complinet.com/net_file_store/new_rulebooks/q/f/QFCRA_2845_VER1.pdf</t>
  </si>
  <si>
    <t>Qatar Financial Centre Regulatory Authority</t>
  </si>
  <si>
    <t>http://www.qfcra.com/en-us/SitePages/Home.aspx</t>
  </si>
  <si>
    <t>http://ec.europa.eu/justice/policies/privacy/docs/implementation/ro_law_677_2001_en_unofficial.pdf</t>
  </si>
  <si>
    <t>http://www.dataprotection.ro/</t>
  </si>
  <si>
    <t>http://ec.europa.eu/justice/policies/privacy/docs/implementation/liechstenstein_gesetz_11_12_2008_de.pdf</t>
  </si>
  <si>
    <t>https://ada.lt/go.php/lit/English</t>
  </si>
  <si>
    <t>http://www3.lrs.lt/pls/inter3/dokpaieska.showdoc_l?p_id=435305&amp;p_query=&amp;p_tr2=2</t>
  </si>
  <si>
    <t>http://www.right2info.org/resources/publications/laws-1/J-1999-O-0486.pdf</t>
  </si>
  <si>
    <t>http://www.cnpd.public.lu/fr/index.html</t>
  </si>
  <si>
    <t>http://www.gpdp.gov.mo/uploadfile/2013/1217/20131217120421182.pdf</t>
  </si>
  <si>
    <t>http://www.gpdp.gov.mo/paw2014/index_en.html</t>
  </si>
  <si>
    <t>http://www.ceecprivacy.org/pdf/Law%20on%20Personal%20Data%20Protection.pdf</t>
  </si>
  <si>
    <t>http://privacy.mk/en/node/46</t>
  </si>
  <si>
    <t>http://www.pdp.gov.my/images/LAWS_OF_MALAYSIA_PDPA.pdf</t>
  </si>
  <si>
    <t>http://ec.europa.eu/justice/policies/privacy/docs/implementation/malta_en.pdf</t>
  </si>
  <si>
    <t>http://idpc.gov.mt/</t>
  </si>
  <si>
    <t>https://www.icta.mu/documents/laws/dpa.pdf</t>
  </si>
  <si>
    <t>http://inicio.ifai.org.mx/English/1%20Data%20Protection%20Law.pdf</t>
  </si>
  <si>
    <t>http://inicio.ifai.org.mx/SitePages/English_Section.aspx</t>
  </si>
  <si>
    <t>FCS</t>
  </si>
  <si>
    <t>NRR</t>
  </si>
  <si>
    <t>Select</t>
  </si>
  <si>
    <t>Country characteristics</t>
  </si>
  <si>
    <t>civ + com</t>
  </si>
  <si>
    <t>civ + cus</t>
  </si>
  <si>
    <t>com + cus</t>
  </si>
  <si>
    <t>civ + rel</t>
  </si>
  <si>
    <t>com + rel</t>
  </si>
  <si>
    <t>civ + cus + rel</t>
  </si>
  <si>
    <t>com + cus + rel</t>
  </si>
  <si>
    <t>com + civ + rel</t>
  </si>
  <si>
    <t>http://www.afapdp.org/wp-content/uploads/2015/01/Madagascar-L-2014-038-du-09-01-15-sur-la-protection-des-donn%C3%A9es-%C3%A0-caract%C3%A8re-personnel.pdf</t>
  </si>
  <si>
    <t>Minister of Justice</t>
  </si>
  <si>
    <t>http://www.justice.gov.mg/</t>
  </si>
  <si>
    <t>http://www.justice.gouv.ml/documentation/Code_des_Personnes_et_de_la_Famille.pdf</t>
  </si>
  <si>
    <t>http://dataprotection.govmu.org/English/Pages/default.aspx</t>
  </si>
  <si>
    <t>http://www.cndp.ma/</t>
  </si>
  <si>
    <t>http://www.edrm.net/resources/data-privacy-protection/data-protection-laws-2013/philippines</t>
  </si>
  <si>
    <t>Freedom of Information Act</t>
  </si>
  <si>
    <t>http://legalaffairs.govt.lc/</t>
  </si>
  <si>
    <t>Act on Collection, Elaboration and Use of Computerised Personal Data</t>
  </si>
  <si>
    <t>http://www.culturalpolicies.net/web/sanmarino.php?aid=518</t>
  </si>
  <si>
    <t>http://www.coe.int/t/dghl/standardsetting/dataprotection/National%20laws/san_marino_en.asp</t>
  </si>
  <si>
    <t>http://www.unesco.org/culture/natlaws/media/pdf/suriname/sur_archiveact_06_dutorof.pdf</t>
  </si>
  <si>
    <t>Minister Responsible for the Care of the Archives</t>
  </si>
  <si>
    <t>https://translate.googleusercontent.com/translate_f</t>
  </si>
  <si>
    <t>http://www.mondaq.com/x/231644/data+protection/Data+Protection+Laws+of+the+World+Handbook+Second+Edition+Trinidad+And+Tobago</t>
  </si>
  <si>
    <t>Ministry Responsible of Telecommunications and Electronic Commerce</t>
  </si>
  <si>
    <t>http://www.trr.vu/index.php/en/</t>
  </si>
  <si>
    <t>http://www.ypwatch.org/page.php?id=1045</t>
  </si>
  <si>
    <t>http://www.inide.gob.ni</t>
  </si>
  <si>
    <t>http://fmi.gov.ng</t>
  </si>
  <si>
    <t xml:space="preserve">http://www.humanrightsinitiative.org/programs/ai/rti/international/laws_&amp;_papers.htm#12 </t>
  </si>
  <si>
    <t>http://www.commerce.gov.bb</t>
  </si>
  <si>
    <t xml:space="preserve">http://www.humanrightsinitiative.org/programs/ai/rti/international/laws_papers/barbados/barbados_foi_act_2008.pdf </t>
  </si>
  <si>
    <t>consejo para la Transparencia</t>
  </si>
  <si>
    <t xml:space="preserve">http://www.consejotransparencia.cl/consejo/site/edic/base/port/inicio.html </t>
  </si>
  <si>
    <t xml:space="preserve">http://www.humanrightsinitiative.org/programs/ai/rti/international/laws_papers/fiji/foi_draft_bill_2004.pdf </t>
  </si>
  <si>
    <t xml:space="preserve">http://www.humanrightsinitiative.org/programs/ai/rti/international/laws_papers/ghana/ghana_rti_bill_2009.pdf </t>
  </si>
  <si>
    <t xml:space="preserve">http://www.itu.int/ITU-D/projects/ITU_EC_ACP/hipcar/in-country_assistance/Grenada/HIPCAR-Grenada_Cybercrime_Report_Final_Draft_April2012.pdf </t>
  </si>
  <si>
    <t xml:space="preserve">http://www.humanrightsinitiative.org/programs/ai/rti/international/laws_papers/kenya/draft_foi-bill_2005.pdf </t>
  </si>
  <si>
    <t xml:space="preserve">http://www.humanrightsinitiative.org/programs/ai/rti/international/laws_&amp;_papers.htm#17 </t>
  </si>
  <si>
    <t xml:space="preserve">http://www.humanrightsinitiative.org/programs/ai/rti/international/laws_papers/lesotho/ari_bill_2000.pdf </t>
  </si>
  <si>
    <t>http://www.thestkittsnevisobserver.com/2013/04/26/privacy-bill.html</t>
  </si>
  <si>
    <t>CR Gov Entity URL</t>
  </si>
  <si>
    <t>CR Gov Entity</t>
  </si>
  <si>
    <t>CR Yr</t>
  </si>
  <si>
    <t>http://www.servat.unibe.ch/icl/ma00000_.html</t>
  </si>
  <si>
    <t>http://www.sdnp.org.mw/constitut/chapter4.html#37</t>
  </si>
  <si>
    <t>http://dai-transparencymaroc.com/wp-content/uploads/2013/06/Le-droit-dacc%C3%A8s-%C3%A0-linformation-%C3%A9tat-des-lieux-et-perspectives-%C3%A0-la-lumi%C3%A8re-de-la-nouvelle-constitution.pdf</t>
  </si>
  <si>
    <t>http://www.article19.org/resources.php/resource/37655/en/mozambique:-draft-right-to-information-law</t>
  </si>
  <si>
    <t>http://www.right2info.org/resources/publications/laws-1/niger-law-on-access-to-public-documents</t>
  </si>
  <si>
    <t>Privacy and Personal Data Protection Bil</t>
  </si>
  <si>
    <t>e-Passport</t>
  </si>
  <si>
    <t>e-Pass Org URL</t>
  </si>
  <si>
    <t>e-Pass Org</t>
  </si>
  <si>
    <t>e-P Org</t>
  </si>
  <si>
    <t>e-P Yr</t>
  </si>
  <si>
    <t>Link</t>
  </si>
  <si>
    <t>Web site containing info/doc about the e-Passport organization and platform/usage (URL)</t>
  </si>
  <si>
    <t>Name of gove entity issuing e-Passport</t>
  </si>
  <si>
    <t>Institution responsible for e-Passport</t>
  </si>
  <si>
    <t>e-Passport is being used since (year)</t>
  </si>
  <si>
    <t>e-Passport and e-ID linkages</t>
  </si>
  <si>
    <t>No e-Passport/e-ID solution / status unknown</t>
  </si>
  <si>
    <t xml:space="preserve">e-ID is not linked to e-Passport </t>
  </si>
  <si>
    <t>e-ID can be used as e-Passport (for cross border travel, trade, etc.)</t>
  </si>
  <si>
    <t>EI</t>
  </si>
  <si>
    <t>EJ</t>
  </si>
  <si>
    <t>EK</t>
  </si>
  <si>
    <t>EL</t>
  </si>
  <si>
    <t>EM</t>
  </si>
  <si>
    <t>http://www.rnpdigital.com/personas_juridicas/personas_juridicas_trasladoTomos.htm</t>
  </si>
  <si>
    <t>https://www.google.com/url?sa=t&amp;rct=j&amp;q=&amp;esrc=s&amp;source=web&amp;cd=3&amp;ved=0CCkQFjAC&amp;url=http%3A%2F%2Fwww.canto.org%2F27agm%2Findex.php%3Foption%3Dcom_docman%26task%3Ddoc_download%26gid%3D27%26Itemid%3D29&amp;ei=srbHVK6zCOPesATazIKACg&amp;usg=AFQjCNF8I9oYn98-9ZLcR8AZrm5MTEND_w&amp;sig2=aZ0fH3mCaxBwku_LPKRcKA&amp;bvm=bv.84349003,d.cWc&amp;cad=rja</t>
  </si>
  <si>
    <t>http://jis.gov.jm/data-protection-law-to-be-promulgated-this-year</t>
  </si>
  <si>
    <t>National ID exists?</t>
  </si>
  <si>
    <t>HIPC</t>
  </si>
  <si>
    <t>Cabo Verde</t>
  </si>
  <si>
    <t>..</t>
  </si>
  <si>
    <t>IDA</t>
  </si>
  <si>
    <t>IBRD</t>
  </si>
  <si>
    <t>Blend</t>
  </si>
  <si>
    <t>Len Cat</t>
  </si>
  <si>
    <t>EMU</t>
  </si>
  <si>
    <t/>
  </si>
  <si>
    <t>http://mfa.gov.af/en</t>
  </si>
  <si>
    <t>Afghan Ministry of Foreign Affairs</t>
  </si>
  <si>
    <t>http://www.moi.gov.al/</t>
  </si>
  <si>
    <t>http://www.tramits.ad/documentacio-personal/141-peticio-de-documents-del-servei-de-passaports</t>
  </si>
  <si>
    <t>The General Administration</t>
  </si>
  <si>
    <t>http://www.mininterior.gov.ar/</t>
  </si>
  <si>
    <t>http://www.mfa.am/en/passport/</t>
  </si>
  <si>
    <t>Ministry of Foreign Affairs</t>
  </si>
  <si>
    <t>http://www.dfat.gov.au/</t>
  </si>
  <si>
    <t>Department of Foreign Affairs and Trade</t>
  </si>
  <si>
    <t>http://www.bmeia.gv.at/</t>
  </si>
  <si>
    <t>Federal Ministry Republic of Austria</t>
  </si>
  <si>
    <t>http://www.mia.gov.az/</t>
  </si>
  <si>
    <t xml:space="preserve">Ministry of Internal Affairs </t>
  </si>
  <si>
    <t>http://www.bahamas.gov.bs/</t>
  </si>
  <si>
    <t>Ministry of Foreign Affairs and Immigration</t>
  </si>
  <si>
    <t>http://mfa.gov.by/</t>
  </si>
  <si>
    <t>Ministry of Internal Affairs and Ministry of Foreign Affairs</t>
  </si>
  <si>
    <t>http://diplomatie.belgium.be/en/</t>
  </si>
  <si>
    <t>Federal Public Service Foreign Affairs</t>
  </si>
  <si>
    <t>http://www.mfa.gov.bz/</t>
  </si>
  <si>
    <t>http://www.fmup.ba/</t>
  </si>
  <si>
    <t>http://www.gov.bw/en/Ministries--Authorities/Ministries/Ministry-of-Labour--Home-Affairs-MLHA/</t>
  </si>
  <si>
    <t>Deprtment of Immigration and Citizenship</t>
  </si>
  <si>
    <t>http://www.dpf.gov.br/</t>
  </si>
  <si>
    <t>Federal Police Department</t>
  </si>
  <si>
    <t>http://www.immigration.gov.bn/</t>
  </si>
  <si>
    <t>Department of Immigration and National Registration</t>
  </si>
  <si>
    <t>http://www.mvr.bg/</t>
  </si>
  <si>
    <t>Ministry of Interior Affairs</t>
  </si>
  <si>
    <t>http://www.burundi-gov.bi/</t>
  </si>
  <si>
    <t>Minister of Interior and Public Security</t>
  </si>
  <si>
    <t>http://www.diplocam.cm/</t>
  </si>
  <si>
    <t xml:space="preserve">http://www.passport.gc.ca </t>
  </si>
  <si>
    <t>Passport Canada</t>
  </si>
  <si>
    <t>http://def.policianacional.cv/</t>
  </si>
  <si>
    <t>Directorate of Immigration and Borders</t>
  </si>
  <si>
    <t>https://www.registrocivil.cl/</t>
  </si>
  <si>
    <t>Registro Civil e Identificación</t>
  </si>
  <si>
    <t>http://www.mps.gov.cn/n16/n84147/</t>
  </si>
  <si>
    <t>Bureau of Exit and Entry Administration of the Ministry of Public Security</t>
  </si>
  <si>
    <t>http://www.cancilleria.gov.co/</t>
  </si>
  <si>
    <t>http://www.beit-salam.km/</t>
  </si>
  <si>
    <t>http://www.congo-site.com/</t>
  </si>
  <si>
    <t>Directorate of Immigration and Emigration</t>
  </si>
  <si>
    <t>http://www.minaffecirdc.cd</t>
  </si>
  <si>
    <t>Ministry of Foreign Affairs and International Cooperation</t>
  </si>
  <si>
    <t>http://www.diplomatie.gouv.ci/</t>
  </si>
  <si>
    <t>Mnistry of Foreign Affairs</t>
  </si>
  <si>
    <t>http://www.mup.hr/</t>
  </si>
  <si>
    <t>http://www.moi.gov.cy/</t>
  </si>
  <si>
    <t>http://www.mvcr.cz/</t>
  </si>
  <si>
    <t>Ministerstvo vnitra</t>
  </si>
  <si>
    <t>https://www.nyidanmark.dk/en-us/authorities/the_danish_immigration_service/</t>
  </si>
  <si>
    <t>The Danish Immigration Service</t>
  </si>
  <si>
    <t>http://www.mup.gov.rs/cms_lat/dokumenta.nsf/putne-isprave.h</t>
  </si>
  <si>
    <t>http://www.ica.gov.sg/page.aspx?pageid=125#fees</t>
  </si>
  <si>
    <t>Immigration and Checkpoints Authority</t>
  </si>
  <si>
    <t>http://www.minv.sk/?cestovne-pasy</t>
  </si>
  <si>
    <t>http://www.mnz.gov.si/si/mnz_za_vas/osebni_dokumenti_in_prebivalisce/potni_list/</t>
  </si>
  <si>
    <t>Immigration and Nationality Department</t>
  </si>
  <si>
    <t>http://www.policia.es/documentacion/docu_esp/pasaporte/concepto_pas.html</t>
  </si>
  <si>
    <t>http://passport.gov.sd/newpas.html</t>
  </si>
  <si>
    <t>Passport Citizenship and Immigration Department</t>
  </si>
  <si>
    <t>https://polisen.se/en/Languages/Service/Passport-and-national-ID-card/</t>
  </si>
  <si>
    <t>http://www.schweizerpass.admin.ch/pass/de/home.html</t>
  </si>
  <si>
    <t>Passport Office</t>
  </si>
  <si>
    <t>http://www.boca.gov.tw/ct.asp?xItem=1298&amp;CtNode=763&amp;mp=2</t>
  </si>
  <si>
    <t>http://mfa.tj/tj/zaminahoi-hukuki-konsuli/qoidahoi-dodani-shinosnomahoi-khoriji.html</t>
  </si>
  <si>
    <t>http://www.mfa.go.th/main/en/services/16263-Thai-Passport.html</t>
  </si>
  <si>
    <t>http://www.togoleseembassy.com/documents.cfm?category=applications</t>
  </si>
  <si>
    <t>http://pasaport.iem.gov.tr/</t>
  </si>
  <si>
    <t>http://www.migration.gov.tm/ru/pages/67</t>
  </si>
  <si>
    <t>State Migration Service of Turkmenistan</t>
  </si>
  <si>
    <t>http://dmsu.gov.ua/posluhy/pasport-gromadyanina-ukrajini</t>
  </si>
  <si>
    <t>State Migration Service of Ukraine</t>
  </si>
  <si>
    <t>https://www.moieserv.ae/website/index-en.html</t>
  </si>
  <si>
    <t>https://www.gov.uk/government/organisations/hm-passport-office</t>
  </si>
  <si>
    <t>HM Passport Office</t>
  </si>
  <si>
    <t>http://travel.state.gov/content/passports/english.html/</t>
  </si>
  <si>
    <t>Bureau of Consular Affairs</t>
  </si>
  <si>
    <t>http://www.saime.gob.ve/servicios/expedicion-de-pasaporte-de-emergencia-adultos/</t>
  </si>
  <si>
    <t>http://www.interieur.gov.dz/Dynamics/frmItem.aspx?html=57&amp;s=2</t>
  </si>
  <si>
    <t>Issuing Entity</t>
  </si>
  <si>
    <t>ePassport</t>
  </si>
  <si>
    <t>Start Date</t>
  </si>
  <si>
    <t>ePass bio</t>
  </si>
  <si>
    <t>Est Issued</t>
  </si>
  <si>
    <t>Valid</t>
  </si>
  <si>
    <t>ICAO PKD</t>
  </si>
  <si>
    <t>ePass Bord</t>
  </si>
  <si>
    <t>ePPT/Bio</t>
  </si>
  <si>
    <t>SCA</t>
  </si>
  <si>
    <t>EUR</t>
  </si>
  <si>
    <t>2009.6</t>
  </si>
  <si>
    <t>NEA</t>
  </si>
  <si>
    <t>2010</t>
  </si>
  <si>
    <t>Face</t>
  </si>
  <si>
    <t>2006.9.1</t>
  </si>
  <si>
    <t>WHA</t>
  </si>
  <si>
    <t>Pending</t>
  </si>
  <si>
    <t>2011.09</t>
  </si>
  <si>
    <t>2005.10.24</t>
  </si>
  <si>
    <t>Yes/FR</t>
  </si>
  <si>
    <t>2006.6.16</t>
  </si>
  <si>
    <t>2007.12.5</t>
  </si>
  <si>
    <t>2004.11.24</t>
  </si>
  <si>
    <t>2009.10.15</t>
  </si>
  <si>
    <t>2010.3</t>
  </si>
  <si>
    <t>2010.1</t>
  </si>
  <si>
    <t>2007.2.17</t>
  </si>
  <si>
    <t>Yes/FP</t>
  </si>
  <si>
    <t>2008.11.11</t>
  </si>
  <si>
    <t>2009.1</t>
  </si>
  <si>
    <t>2009.12</t>
  </si>
  <si>
    <t>2011</t>
  </si>
  <si>
    <t>2009.4.1</t>
  </si>
  <si>
    <t>2008.7.30</t>
  </si>
  <si>
    <t>2009.7</t>
  </si>
  <si>
    <t>2010.12.13</t>
  </si>
  <si>
    <t>2006.8.1</t>
  </si>
  <si>
    <t>2004.5.1</t>
  </si>
  <si>
    <t>2007.5.22</t>
  </si>
  <si>
    <t>2006.8.21</t>
  </si>
  <si>
    <t>2006.4.12</t>
  </si>
  <si>
    <t>2009.1.20</t>
  </si>
  <si>
    <t>2010.6</t>
  </si>
  <si>
    <t>2005.11.1</t>
  </si>
  <si>
    <t>2006.8.26</t>
  </si>
  <si>
    <t>2007.2.5</t>
  </si>
  <si>
    <t>2006.8.29</t>
  </si>
  <si>
    <t>2006.5.23</t>
  </si>
  <si>
    <t>2007.7.1</t>
  </si>
  <si>
    <t>2009</t>
  </si>
  <si>
    <t>2006.10.16</t>
  </si>
  <si>
    <t>2006.10.26</t>
  </si>
  <si>
    <t>2006.3.20</t>
  </si>
  <si>
    <t>Yes/FR, FP</t>
  </si>
  <si>
    <t>2008.3.11</t>
  </si>
  <si>
    <t>2007.11.20</t>
  </si>
  <si>
    <t>2006.8.28</t>
  </si>
  <si>
    <t>2009.9</t>
  </si>
  <si>
    <t>2007.4.2</t>
  </si>
  <si>
    <t>2007.7.26</t>
  </si>
  <si>
    <t>2008.10.8</t>
  </si>
  <si>
    <t>2008.1</t>
  </si>
  <si>
    <t>2005.7.18</t>
  </si>
  <si>
    <t>2008.5</t>
  </si>
  <si>
    <t>Pending/FR</t>
  </si>
  <si>
    <t>2005.11.4</t>
  </si>
  <si>
    <t>2007.8.17</t>
  </si>
  <si>
    <t>2005.10.3</t>
  </si>
  <si>
    <t>Face,Finger</t>
  </si>
  <si>
    <t>2004.10.25</t>
  </si>
  <si>
    <t>2012</t>
  </si>
  <si>
    <t>2008.8</t>
  </si>
  <si>
    <t>2006.7.31</t>
  </si>
  <si>
    <t>2008.4.20</t>
  </si>
  <si>
    <t>2006.10.12</t>
  </si>
  <si>
    <t>2007.12</t>
  </si>
  <si>
    <t>2008.7.7</t>
  </si>
  <si>
    <t>2006.4.29</t>
  </si>
  <si>
    <t>2008.1.15</t>
  </si>
  <si>
    <t>2007.1.21</t>
  </si>
  <si>
    <t>2006.8.14</t>
  </si>
  <si>
    <t>2009.5</t>
  </si>
  <si>
    <t>YES/FR</t>
  </si>
  <si>
    <t>2008.12.29</t>
  </si>
  <si>
    <t>2010.2.15</t>
  </si>
  <si>
    <t>2005.5.26</t>
  </si>
  <si>
    <t>2009.8</t>
  </si>
  <si>
    <t>2008.7.10</t>
  </si>
  <si>
    <t>2013</t>
  </si>
  <si>
    <t>Yes?</t>
  </si>
  <si>
    <t>2006.3.6</t>
  </si>
  <si>
    <t>2008.6</t>
  </si>
  <si>
    <t>Vatican City</t>
  </si>
  <si>
    <t>Face, Finger</t>
  </si>
  <si>
    <t>Planned 2011</t>
  </si>
  <si>
    <t>Face, Finger planned 2010</t>
  </si>
  <si>
    <t>see UK</t>
  </si>
  <si>
    <t>Face, (Finger ?)</t>
  </si>
  <si>
    <t>Yes, limited</t>
  </si>
  <si>
    <t>(Reporting of CEMAC ePassport Planned 2011)</t>
  </si>
  <si>
    <t>Face/Finger planned 2010</t>
  </si>
  <si>
    <t>2008.6.25 (2011)</t>
  </si>
  <si>
    <t>Yes (Not ICAO compliant)</t>
  </si>
  <si>
    <t>Face (Finger ?)</t>
  </si>
  <si>
    <t>Planned 2012</t>
  </si>
  <si>
    <t>1998.3.1 (ICAO Compliant 2010.3)</t>
  </si>
  <si>
    <t>Planned 2011-2013</t>
  </si>
  <si>
    <t>BMU</t>
  </si>
  <si>
    <t>VAT</t>
  </si>
  <si>
    <t>Deadline:</t>
  </si>
  <si>
    <t>FR, FP</t>
  </si>
  <si>
    <t>FP</t>
  </si>
  <si>
    <t>Iris</t>
  </si>
  <si>
    <t>FR, FP, Iris</t>
  </si>
  <si>
    <t>FR,FP</t>
  </si>
  <si>
    <t>FR, Iris</t>
  </si>
  <si>
    <t>ICAO Implementation and Capacity Building workgroup (ICBWG) Study, additional assorted literature, Interviews</t>
  </si>
  <si>
    <t>2011 P</t>
  </si>
  <si>
    <t>2012 P</t>
  </si>
  <si>
    <t>Planned 2010-2011</t>
  </si>
  <si>
    <t>2013 P</t>
  </si>
  <si>
    <t>TECHNICAL ADVISORY GROUP ON MACHINE READABLE</t>
  </si>
  <si>
    <t>TRAVEL DOCUMENTS (TAG/MRTD)</t>
  </si>
  <si>
    <t>TWENTIETH MEETING</t>
  </si>
  <si>
    <t>Montréal, 7 to 9 September 2011</t>
  </si>
  <si>
    <r>
      <rPr>
        <b/>
        <sz val="11"/>
        <color theme="1"/>
        <rFont val="Calibri"/>
        <family val="2"/>
        <scheme val="minor"/>
      </rPr>
      <t>Sources:</t>
    </r>
    <r>
      <rPr>
        <sz val="11"/>
        <color theme="1"/>
        <rFont val="Calibri"/>
        <family val="2"/>
        <scheme val="minor"/>
      </rPr>
      <t xml:space="preserve"> ICAO MRTD Web, ICAO PKD web, Keesings Journal of Documents &amp; Identity, Keesings Identity Checker, International Forum for Travel Documents (IF4TD), Security Document World, G8 Study,</t>
    </r>
  </si>
  <si>
    <t>MRTD: Machine Readable Travel Document</t>
  </si>
  <si>
    <t>Annual Issued</t>
  </si>
  <si>
    <t>Est Circulation</t>
  </si>
  <si>
    <t>PKDuse</t>
  </si>
  <si>
    <t>Cote d’Ivoire</t>
  </si>
  <si>
    <t>n/a</t>
  </si>
  <si>
    <t>Annual Issuance</t>
  </si>
  <si>
    <t>Issued to Date</t>
  </si>
  <si>
    <t>Reading ePassports</t>
  </si>
  <si>
    <t>http://www.secureidnews.com/news-item/e-passports-spread-to-half-the-globe/</t>
  </si>
  <si>
    <t>24 Nov 2015</t>
  </si>
  <si>
    <t>Bio at Primary*</t>
  </si>
  <si>
    <t>* Some countries do use FR in connection with surveillance systems at airports, however FR is not used for entry purposes</t>
  </si>
  <si>
    <t>Elect   4</t>
  </si>
  <si>
    <t>Munic   5</t>
  </si>
  <si>
    <t>Other   6</t>
  </si>
  <si>
    <t>http://www.moia.somaligov.net/index.html</t>
  </si>
  <si>
    <t>http://www.goss.org/index.php/ministries/foreign-affairs</t>
  </si>
  <si>
    <t>EN</t>
  </si>
  <si>
    <t>EO</t>
  </si>
  <si>
    <t>e-Passport validity (year)</t>
  </si>
  <si>
    <t>Standard</t>
  </si>
  <si>
    <t>`</t>
  </si>
  <si>
    <t>1  MoJ</t>
  </si>
  <si>
    <t>e-P</t>
  </si>
  <si>
    <t>2  MoIA</t>
  </si>
  <si>
    <t>3  MoFA</t>
  </si>
  <si>
    <t>4  Elect</t>
  </si>
  <si>
    <t>5  Munic</t>
  </si>
  <si>
    <t>6  Other</t>
  </si>
  <si>
    <t>EP</t>
  </si>
  <si>
    <t>e-Passport exists?</t>
  </si>
  <si>
    <t>Estimated number of e-Passports issued [x1000]</t>
  </si>
  <si>
    <t>Ukrainian National Passport</t>
  </si>
  <si>
    <t>4B</t>
  </si>
  <si>
    <t>1   Standard</t>
  </si>
  <si>
    <t>2   Barcode</t>
  </si>
  <si>
    <t>3   Mag stripe</t>
  </si>
  <si>
    <t>4   Smart card</t>
  </si>
  <si>
    <t>0   No NID</t>
  </si>
  <si>
    <t>NID m</t>
  </si>
  <si>
    <t>NID v</t>
  </si>
  <si>
    <t>e-ID m</t>
  </si>
  <si>
    <t>e-ID v</t>
  </si>
  <si>
    <t>e-ID B m</t>
  </si>
  <si>
    <t>e-ID B v</t>
  </si>
  <si>
    <t>No NID</t>
  </si>
  <si>
    <t>Biometric e-ID</t>
  </si>
  <si>
    <t>Free</t>
  </si>
  <si>
    <t>Partially Free</t>
  </si>
  <si>
    <t>Not Free</t>
  </si>
  <si>
    <t>Leg Sys</t>
  </si>
  <si>
    <t>Legal system</t>
  </si>
  <si>
    <t>Civil</t>
  </si>
  <si>
    <t>Common</t>
  </si>
  <si>
    <t>Religious</t>
  </si>
  <si>
    <t>Freedom in the World</t>
  </si>
  <si>
    <t>Freedom of the Net</t>
  </si>
  <si>
    <t>Freedom of the Press</t>
  </si>
  <si>
    <t>Tot Pts</t>
  </si>
  <si>
    <t>x</t>
  </si>
  <si>
    <t xml:space="preserve"> &lt; Avg Score</t>
  </si>
  <si>
    <t>EU</t>
  </si>
  <si>
    <t>OECD</t>
  </si>
  <si>
    <t>Fragile</t>
  </si>
  <si>
    <t>APEC</t>
  </si>
  <si>
    <t>Highly Visible</t>
  </si>
  <si>
    <t>Visible</t>
  </si>
  <si>
    <t>Limited Visibility</t>
  </si>
  <si>
    <t>Minimal Visibility</t>
  </si>
  <si>
    <t>Government practices for Identification for Development</t>
  </si>
  <si>
    <t>Zone</t>
  </si>
  <si>
    <t>PAC</t>
  </si>
  <si>
    <t>AME</t>
  </si>
  <si>
    <t>OTH</t>
  </si>
  <si>
    <t>Good Practices &gt; ID4D</t>
  </si>
  <si>
    <t>Data Protection/Privacy Laws</t>
  </si>
  <si>
    <t>Right to Information</t>
  </si>
  <si>
    <t>http://www.pasaportes.gob.do/</t>
  </si>
  <si>
    <t>The Directorate General of Passports</t>
  </si>
  <si>
    <t>http://www.mfa.gov.eg/</t>
  </si>
  <si>
    <t>http://vm.ee/en</t>
  </si>
  <si>
    <t>http://www.mfa.gov.et/</t>
  </si>
  <si>
    <t>https://www.poliisi.fi/poliisi/home.nsf/pages/6B2C6A31B6EBCF53C225780D003F7427?opendocument</t>
  </si>
  <si>
    <t>Police of Finland</t>
  </si>
  <si>
    <t>http://www.interieur.gouv.fr/</t>
  </si>
  <si>
    <t>http://www.interieur.gouv.ga/</t>
  </si>
  <si>
    <t>Ministry of Interior, Public Security, Immigration and Decentralization</t>
  </si>
  <si>
    <t>http://www.moi.gov.gm/</t>
  </si>
  <si>
    <t>http://psh.gov.ge/index.php?lang_id=ENG&amp;sec_id=299</t>
  </si>
  <si>
    <t>Public Service Hall</t>
  </si>
  <si>
    <t>http://www.bmi.bund.de/</t>
  </si>
  <si>
    <t>http://www.ghanaimmigration.org/</t>
  </si>
  <si>
    <t>Ghana Immigration Service</t>
  </si>
  <si>
    <t>http://www.passport.gov.gr/en/</t>
  </si>
  <si>
    <t>National Passport Center</t>
  </si>
  <si>
    <t>Ministry of Security</t>
  </si>
  <si>
    <t>http://www.mict.gouv.ht/</t>
  </si>
  <si>
    <t>Directorate of Immigration and Emigration </t>
  </si>
  <si>
    <t>http://www.immd.gov.hk/</t>
  </si>
  <si>
    <t>Immigration Department</t>
  </si>
  <si>
    <t>http://www.mfa.gov.hu/</t>
  </si>
  <si>
    <t>http://www.mfa.is/</t>
  </si>
  <si>
    <t>http://passportindia.gov.in/AppOnlineProject/welcomeLink</t>
  </si>
  <si>
    <t>http://www.imigrasi.go.id/index.php/en/contact-us/immigration-offices</t>
  </si>
  <si>
    <t>Directorate General of Immigration</t>
  </si>
  <si>
    <t>http://moi.gov.iq/</t>
  </si>
  <si>
    <t xml:space="preserve">https://www.dfa.ie/passports-citizenship/ </t>
  </si>
  <si>
    <t>http://www.moin.gov.il/</t>
  </si>
  <si>
    <t>http://www.esteri.it/mae/en</t>
  </si>
  <si>
    <t>http://www.seikatubunka.metro.tokyo.jp/index.html</t>
  </si>
  <si>
    <t>Bureau of citizens and cultural affairs</t>
  </si>
  <si>
    <t>http://www.immigration.go.kr/</t>
  </si>
  <si>
    <t>Korea immigration service</t>
  </si>
  <si>
    <t>The Office of Citizenship and Migration Affairs</t>
  </si>
  <si>
    <t>https://my.gov.uz/en/service/166</t>
  </si>
  <si>
    <t>http://mofa.gov.lr/public2/2content.php?sub=182&amp;related=24&amp;third=182&amp;pg=sp&amp;pt=Passports</t>
  </si>
  <si>
    <t>http://www.foreign.gov.ly/ar/index.php</t>
  </si>
  <si>
    <t>http://www.llv.li/#/11359/auslander-und-passamt</t>
  </si>
  <si>
    <t>http://www.dokumentai.lt/viewpage.php?page_id=81</t>
  </si>
  <si>
    <t>http://www.mae.lu/en/Site-MAE/Passeports</t>
  </si>
  <si>
    <t>http://www.dsi.gov.mo/passport_e.jsp</t>
  </si>
  <si>
    <t>Identification Services</t>
  </si>
  <si>
    <t>http://www.mvr.gov.mk/DesktopDefault.aspx?tabindex=5&amp;tabid=184&amp;parent=100</t>
  </si>
  <si>
    <t>http://www.policenationale.gov.mg/?page_id=93</t>
  </si>
  <si>
    <t>http://www.imi.gov.my/index.php/en/main-services/pasport/malaysian-international-passport</t>
  </si>
  <si>
    <t>Immigration Department of Malaysia</t>
  </si>
  <si>
    <t>http://www.immigration.gov.mv/</t>
  </si>
  <si>
    <t>Department of Immigration</t>
  </si>
  <si>
    <t>https://homeaffairs.gov.mt/mt/MHAS-Departments/The%20Passport%20Office/Pages/The-Passport-Office.aspx</t>
  </si>
  <si>
    <t>Ministry of Home Affairs</t>
  </si>
  <si>
    <t>http://www.justice.gov.mr/</t>
  </si>
  <si>
    <t>http://www.registru.md/pa/</t>
  </si>
  <si>
    <t>State Information Resources Center</t>
  </si>
  <si>
    <t>http://en.service-public-particuliers.gouv.mc/Nationality-and-residency/Monegasque-nationality/Identity-documents/How-to-obtain-a-passport</t>
  </si>
  <si>
    <t>General Secretariat of the State Department</t>
  </si>
  <si>
    <t>http://www.mup.gov.me/rubrike/izdavanje-dokumenata/85195/159612.html</t>
  </si>
  <si>
    <t>https://www.passeport.ma/</t>
  </si>
  <si>
    <t>Passport Authority</t>
  </si>
  <si>
    <t>http://www.portaldogoverno.gov.mz/Servicos/migracao/passaporte-biometrico-1/?searchterm=passaporte</t>
  </si>
  <si>
    <t>National Migration Service</t>
  </si>
  <si>
    <t>http://www.government.nl/issues/identification-documents/passports-identity-cards-and-dutch-nationality-certificates</t>
  </si>
  <si>
    <t>http://www.passports.govt.nz/New-adult-passport---form</t>
  </si>
  <si>
    <t>Department of Internal Affairs</t>
  </si>
  <si>
    <t>https://portal.immigration.gov.ng/pages/passportguidelines</t>
  </si>
  <si>
    <t>Nigeria Immigration Service</t>
  </si>
  <si>
    <t>https://www.politi.no/tjenester/pass/soknad_om_%20pass/</t>
  </si>
  <si>
    <t>http://www.dgip.gov.pk/</t>
  </si>
  <si>
    <t>Directorate General of Immigration and Passports</t>
  </si>
  <si>
    <t>http://apap.gob.pa/</t>
  </si>
  <si>
    <t>National Directorate of Passports</t>
  </si>
  <si>
    <t>http://passport.com.ph/</t>
  </si>
  <si>
    <t>http://www.paszporty.mswia.gov.pl/portal/</t>
  </si>
  <si>
    <t>http://www.pep.pt/</t>
  </si>
  <si>
    <t>PEP</t>
  </si>
  <si>
    <t>http://portal.www.gov.qa/wps/portal/services/inviduallandingpages/passport/apply%20for%20new%20passport/!ut/p/a1/vVE9b4MwEP0r7sAY2WBozEijtgoKzZBKCV4qAwbcgu2AQ5r--hqlVScSZelNvjvd-_CDFO4glWwQFTNCSdaMPb1_C9dk4RKCnterR4yWm2j58JI8uegVwy2kkObSaFPDtD58KNUKcOQZyJU0XBoH_Qwd1PNuEDnvHSRkIQZRHFgDGmbfsgKaVeNGs77XqrNnTOvmBErVAcmP4Hc-sulcFDAtMoIDHyHf9ZkXBCEjmJfEx2GOy2xeYis9tdLRREXomrMNl2d3l1FSSzOfxMEW5wbNl8Fi7yaw-JpD-0Pifb-nkU1wTOvTwN0_RGhpvS5ZJJV1wkw9E7JUcPe3njjTbUvwaRYThAM9fK34Nrr7Bv5UoUE!/dl5/d5/L2dBISEvZ0FBIS9nQSEh/</t>
  </si>
  <si>
    <t>Nationality and Travel Documents Department</t>
  </si>
  <si>
    <t>http://www.pasapoarte.mai.gov.ro/indexActe1.html</t>
  </si>
  <si>
    <t>General Directorate of Passports</t>
  </si>
  <si>
    <t>http://www.gosuslugi.ru/pgu/service/10001970310_5.html#!_description</t>
  </si>
  <si>
    <t>http://sknis.info/reissuance-of-st-kitts-nevis-e-passports/</t>
  </si>
  <si>
    <t>http://www.esteri.sm/on-line/home.html</t>
  </si>
  <si>
    <t>ePass</t>
  </si>
  <si>
    <t>eP</t>
  </si>
  <si>
    <t>http://centrafrique-presse.over-blog.com/article-centrafrique-les-passeports-biometriques-cemac-bientot-en-circulation-53594820.html</t>
  </si>
  <si>
    <t>Ministry of Security, Immigration and Law and Order</t>
  </si>
  <si>
    <t>http://www.pasport.kg/</t>
  </si>
  <si>
    <t>Department of passport and visa and registration work</t>
  </si>
  <si>
    <t>http://www.servicepublic.gouv.sn/index.php/demarche_administrative/demarche/1/1187</t>
  </si>
  <si>
    <t>http://en.wikipedia.org/wiki/Biometric_passport</t>
  </si>
  <si>
    <t>http://fr.wikipedia.org/wiki/Passeport</t>
  </si>
  <si>
    <t>http://www.moi.gov.sa/</t>
  </si>
  <si>
    <t>http://www.dha.gov.za/index.php/civic-services/travel-documents</t>
  </si>
  <si>
    <t>Department of Home Affairs</t>
  </si>
  <si>
    <t>LIC (11/34)</t>
  </si>
  <si>
    <t>LMIC (21/50)</t>
  </si>
  <si>
    <t>UMIC (31/55)</t>
  </si>
  <si>
    <t>HIC (52/59)</t>
  </si>
  <si>
    <t>http://www.minint.gov.ao/</t>
  </si>
  <si>
    <t>http://www.passport.gov.bd/</t>
  </si>
  <si>
    <t>http://www.mfa.gov.bt/passport/notifications</t>
  </si>
  <si>
    <t>http://www.cancilleria.bo/</t>
  </si>
  <si>
    <t>http://www.rree.go.cr/</t>
  </si>
  <si>
    <t>Ministry of Foreign Service</t>
  </si>
  <si>
    <t>http://pasaportes.gov.do/</t>
  </si>
  <si>
    <t>http://www.ericon.org.au/</t>
  </si>
  <si>
    <t>https://e-estonia.com/component/e-business-register/</t>
  </si>
  <si>
    <t>http://www.migraciones.gob.pe/</t>
  </si>
  <si>
    <t>Migration Department</t>
  </si>
  <si>
    <t>https://www.migration.gov.rw/index.php?id=82</t>
  </si>
  <si>
    <t>Directorate General of Immigration and Emigration</t>
  </si>
  <si>
    <t>http://www.security.gov.vc/index.php?option=com_content&amp;view=article&amp;id=55&amp;Itemid=107</t>
  </si>
  <si>
    <t>Ministry of National Security Air and Sea Port Development</t>
  </si>
  <si>
    <t>http://foreignaffairs.gov.sl/</t>
  </si>
  <si>
    <t>http://www.immigration.gov.lk/web/index.php?option=com_content&amp;view=article&amp;id=142&amp;Itemid=191&amp;lang=en#di</t>
  </si>
  <si>
    <t>Department of Immigration and Emigration</t>
  </si>
  <si>
    <t>http://immigration.go.tz/module1.php?id=13</t>
  </si>
  <si>
    <t>Immigration Services Department</t>
  </si>
  <si>
    <t>http://www.immigration.gov.tt/Services/Passport/MachineReadable.aspx</t>
  </si>
  <si>
    <t>Immigration Division</t>
  </si>
  <si>
    <t>http://www.tunisie.gov.tn/index.php?option=com_content&amp;task=view&amp;id=1859&amp;Itemid=538</t>
  </si>
  <si>
    <t>http://www.immigration.go.ug/page/uganda-travel-document</t>
  </si>
  <si>
    <t>Directorate of Citizenship and Immigration Control</t>
  </si>
  <si>
    <t>http://tramites.gub.uy/ampliados?id=605</t>
  </si>
  <si>
    <t>DNIC</t>
  </si>
  <si>
    <t>http://xnc.congan.com.vn/thutuc-xnc-vietnam/huongdan-khaihoso/mldocument.2008-05-20.7636895294/view</t>
  </si>
  <si>
    <t>Office of the Immigration Police</t>
  </si>
  <si>
    <t>http://www.zambiaembassy.org/page/passport-application</t>
  </si>
  <si>
    <t>http://www.rg.gov.zw/forms/passport</t>
  </si>
  <si>
    <t>Registrar General</t>
  </si>
  <si>
    <t>http://www.crps.me/images/documents/propisiObrasci/zakon_o_privrednim_drustvima.pdf</t>
  </si>
  <si>
    <t>http://stevenschuit.com/docs/corporate_law_and_practice_of_the_netherlands.pdf</t>
  </si>
  <si>
    <t>http://www.drc.gov.lk/app/comreg.nsf/200392d5acdb66c246256b76001be7d8/$FILE/Act%207%20of%202007%20(English).pdf</t>
  </si>
  <si>
    <t>http://www.vfsc.vu/Download/laws/international_companies_act.pdf</t>
  </si>
  <si>
    <t>Identification</t>
  </si>
  <si>
    <t>Civil Registration</t>
  </si>
  <si>
    <t>http://foreignaffairs.gov.ag/</t>
  </si>
  <si>
    <t>http://www.mofa.gov.bh/</t>
  </si>
  <si>
    <t>Passport Service</t>
  </si>
  <si>
    <t>http://www.immigration.gov.bb/pages/Passport.aspx</t>
  </si>
  <si>
    <t>http://www.gouv.bj/demarches-administratives/pas</t>
  </si>
  <si>
    <t>Ministry of Interior &amp; Public Security</t>
  </si>
  <si>
    <t>http://www.oni.bf/</t>
  </si>
  <si>
    <t>http://www.tchaddiplomatie.com/services/</t>
  </si>
  <si>
    <t>http://www.cubaminrex.cu/es/portada</t>
  </si>
  <si>
    <t>http://www.djibdiplomatie.dj/</t>
  </si>
  <si>
    <t>http://cancilleria.gob.ec/</t>
  </si>
  <si>
    <t>http://www.rree.gob.sv/</t>
  </si>
  <si>
    <t>http://www.mae-ge.org/index.php/en</t>
  </si>
  <si>
    <t>http://www.immigration.gov.fj/</t>
  </si>
  <si>
    <t>http://www.gov.gd/ministries/foreign_affairs.html</t>
  </si>
  <si>
    <t>Ministry of Foreign Affairs &amp; International Business</t>
  </si>
  <si>
    <t>http://www.migracion.gob.gt/index.php/root1/tramites/documentos-internacionales/pasaportes-ordinarios.html</t>
  </si>
  <si>
    <t>http://www.emigrants.gov.lb/</t>
  </si>
  <si>
    <t>http://www.mps.gov.ls/</t>
  </si>
  <si>
    <t>Ministry of the Public Service</t>
  </si>
  <si>
    <t>http://www.jornal.gov.tl/lawsTL/RDTL-Law/RDTL-Decree-Laws/Decree-Law%2044-2008.pdf</t>
  </si>
  <si>
    <t>http://www.tongaconsul.com/home/paasipooti</t>
  </si>
  <si>
    <t>http://tuvalu-legislation.tv/cms/images/LEGISLATION/PRINCIPAL/1979/1979-0001/PassportsAct_1.pdf</t>
  </si>
  <si>
    <t>Passport office</t>
  </si>
  <si>
    <t>https://parliament.gov.vu/Acts/Official%20Gazettes/Extra%20Ordinary%20Gazettes/2009%20-%20Extraordinary%20Gazettes/Extraordinary%20Gazette%20Numero%20Special%20No.%2011%20of%202009%20(dated%2017%20August%202009).pdf</t>
  </si>
  <si>
    <t>Principal Passport Officer</t>
  </si>
  <si>
    <t>http://www.govt.lc/services/apply-for-a-saint-lucia-passport</t>
  </si>
  <si>
    <t>http://www.samoaimmigration.gov.ws/ApplicationForms/tabid/6851/language/en-US/Default.aspx</t>
  </si>
  <si>
    <t>Immigration Office</t>
  </si>
  <si>
    <t>http://www.emb-saotomeprincipe.pt/passaporte.html</t>
  </si>
  <si>
    <t>http://www.egov.sc/MyCitizen/Passport.aspx</t>
  </si>
  <si>
    <t>http://www.gov.sr/media/779677/het_caricompaspoort.pdf</t>
  </si>
  <si>
    <t>http://www.gov.sz/</t>
  </si>
  <si>
    <t>http://www.syrianembassy.us/#Sy</t>
  </si>
  <si>
    <t>http://mongolianembassy.us/%D0%B3%D0%B0%D0%B4%D0%B0%D0%B0%D0%B4-%D0%BF%D0%B0%D1%81%D0%BF%D0%BE%D1%80%D1%82-%D1%88%D0%B8%D0%BD%D1%8D%D1%8D%D1%80-%D0%BE%D0%BB%D0%B3%D0%BE%D1%85/#.VNPop9JdVKA</t>
  </si>
  <si>
    <t>http://www.mip.gov.mm/</t>
  </si>
  <si>
    <t>http://www.gov.na/passports</t>
  </si>
  <si>
    <t>http://dopmofa.gov.np/</t>
  </si>
  <si>
    <t>http://www.migob.gob.ni/migracion/requisitos-para-tramite-de-pasaportes/</t>
  </si>
  <si>
    <t>Office of Migration and Immigration</t>
  </si>
  <si>
    <t>http://www.gouv.ne/</t>
  </si>
  <si>
    <t>Directorate of Territorial Supervision</t>
  </si>
  <si>
    <t>http://www.rop.gov.om/english/dg_pr.asp</t>
  </si>
  <si>
    <t>http://palaugov.org/passport-office/</t>
  </si>
  <si>
    <t>http://www.immigration.gov.pg/passport.html</t>
  </si>
  <si>
    <t>Immigration and Citizenship Service Authority</t>
  </si>
  <si>
    <t>http://www.tramitesparaguay.gov.py/pasaporte-policial-a-mayores-de-edad-por-primera-vez/#institucion</t>
  </si>
  <si>
    <t>http://www.immigration.gov.mw/index.html</t>
  </si>
  <si>
    <t>http://www.diplomatie.gouv.ml/</t>
  </si>
  <si>
    <t>http://www.rmiembassyus.org/Official%20Forms.htm</t>
  </si>
  <si>
    <t>Office of the Attorney General</t>
  </si>
  <si>
    <t>http://passport.gov.mu/English/Mauritius%20Passport/Pages/How-to-apply.aspx</t>
  </si>
  <si>
    <t>Passport and Immigration Office</t>
  </si>
  <si>
    <t>http://www.sre.gob.mx/index.php/primera-vez/252</t>
  </si>
  <si>
    <t>http://www.fsmgov.org/forms.html</t>
  </si>
  <si>
    <t>Division of Immigration and Labor</t>
  </si>
  <si>
    <t>MRTD</t>
  </si>
  <si>
    <t>Office National d'Identification, Min of Territorial Administration and Security</t>
  </si>
  <si>
    <t>http://www.guinebissaurepublic.com/</t>
  </si>
  <si>
    <t>http://www.moha.gov.gy/</t>
  </si>
  <si>
    <t>http://www.sre.gob.hn/</t>
  </si>
  <si>
    <t>https://www.mns.gov.jm/</t>
  </si>
  <si>
    <t>Ministry of National Security</t>
  </si>
  <si>
    <t>www.cspd.gov.jo</t>
  </si>
  <si>
    <t>Civil Status and Passports Department</t>
  </si>
  <si>
    <t>http://www.immigration.go.ke/Information.html</t>
  </si>
  <si>
    <t>http://www.mfa.gov.ki/</t>
  </si>
  <si>
    <t>http://www.e.gov.kw/sites/KGOEnglish/portal/Pages/PortalMain.aspx#</t>
  </si>
  <si>
    <t>http://www.mofa.gov.la/</t>
  </si>
  <si>
    <t>http://209.88.21.36/opencms/opencms/grnnet/MHAI/services/Passports.html</t>
  </si>
  <si>
    <t>http://www.commerce.gov.sb/Divisions/Immigration/Forms/new%20passport.pdf</t>
  </si>
  <si>
    <t>Director of Immigration</t>
  </si>
  <si>
    <t>http://www.moi.gov.ps/Page.aspx?page=Procedures_Guide&amp;Dept_ID=593</t>
  </si>
  <si>
    <t>Directorate General of Passports</t>
  </si>
  <si>
    <t>http://www.yemenembassy.org/consulate/Passport.htm</t>
  </si>
  <si>
    <t>http://en.wikipedia.org/wiki/Government_of_North_Korea</t>
  </si>
  <si>
    <t>Type of passport issued</t>
  </si>
  <si>
    <t>http://www.statewatch.org/news/2005/aug/mrtd-list-2004.pdf</t>
  </si>
  <si>
    <t>C, H, F, S</t>
  </si>
  <si>
    <t>1, 5</t>
  </si>
  <si>
    <t>4, 5</t>
  </si>
  <si>
    <t>http://www.nvi.gov.tr/Haberler,Bolu_Pilot.html</t>
  </si>
  <si>
    <t xml:space="preserve">   0</t>
  </si>
  <si>
    <t xml:space="preserve">   1</t>
  </si>
  <si>
    <t xml:space="preserve">   2</t>
  </si>
  <si>
    <t xml:space="preserve">   3</t>
  </si>
  <si>
    <t xml:space="preserve">   4</t>
  </si>
  <si>
    <t xml:space="preserve">   5</t>
  </si>
  <si>
    <t xml:space="preserve">   6</t>
  </si>
  <si>
    <t xml:space="preserve">   7</t>
  </si>
  <si>
    <t xml:space="preserve">   8</t>
  </si>
  <si>
    <t xml:space="preserve">   9</t>
  </si>
  <si>
    <t xml:space="preserve">   10…19</t>
  </si>
  <si>
    <t>ID only</t>
  </si>
  <si>
    <t>DPL</t>
  </si>
  <si>
    <t>RTI</t>
  </si>
  <si>
    <t>EQ</t>
  </si>
  <si>
    <t>Data Protection Law / Data Privacy Bill</t>
  </si>
  <si>
    <t>No data protection/privacy law yet</t>
  </si>
  <si>
    <t>Draft law / bill is prepared but not enacted yet</t>
  </si>
  <si>
    <t xml:space="preserve">Data protection law is approved (no data protection agency yet). </t>
  </si>
  <si>
    <t>Data protection law is approved and dats protection agency is in place.</t>
  </si>
  <si>
    <t>Right to Information Legislation</t>
  </si>
  <si>
    <t>No RTI Law yet</t>
  </si>
  <si>
    <t>RTI Law is approved</t>
  </si>
  <si>
    <t>DPLaw</t>
  </si>
  <si>
    <t>R2I</t>
  </si>
  <si>
    <t>Data protection/privacy laws</t>
  </si>
  <si>
    <t>Right to information laws</t>
  </si>
  <si>
    <t>LIC (16/34)</t>
  </si>
  <si>
    <t>LMIC (27/50)</t>
  </si>
  <si>
    <t>HIC (44/59)</t>
  </si>
  <si>
    <t>Office of the Registrar, Min of Public Administration</t>
  </si>
  <si>
    <t>UMIC (33/55)</t>
  </si>
  <si>
    <t>Risks</t>
  </si>
  <si>
    <t>Pop F%</t>
  </si>
  <si>
    <t>BR F%</t>
  </si>
  <si>
    <t>BR M%</t>
  </si>
  <si>
    <t>U0-4 F%</t>
  </si>
  <si>
    <t>BR% F (0-4)</t>
  </si>
  <si>
    <t>BR% M (0-4)</t>
  </si>
  <si>
    <t>StatN</t>
  </si>
  <si>
    <t>StatP</t>
  </si>
  <si>
    <t>Female % in total population (2013)</t>
  </si>
  <si>
    <t>EV</t>
  </si>
  <si>
    <t>EW</t>
  </si>
  <si>
    <t>EX</t>
  </si>
  <si>
    <t>EY</t>
  </si>
  <si>
    <t>EZ</t>
  </si>
  <si>
    <t>FA</t>
  </si>
  <si>
    <t>FB</t>
  </si>
  <si>
    <t>FC</t>
  </si>
  <si>
    <t>FD</t>
  </si>
  <si>
    <t>FE</t>
  </si>
  <si>
    <t>FF</t>
  </si>
  <si>
    <t>FG</t>
  </si>
  <si>
    <t>FH</t>
  </si>
  <si>
    <t>FL</t>
  </si>
  <si>
    <t>FN</t>
  </si>
  <si>
    <t>FQ</t>
  </si>
  <si>
    <t>FT</t>
  </si>
  <si>
    <t>FU</t>
  </si>
  <si>
    <t>FV</t>
  </si>
  <si>
    <t>FW</t>
  </si>
  <si>
    <t>FY</t>
  </si>
  <si>
    <t>FZ</t>
  </si>
  <si>
    <t>GC</t>
  </si>
  <si>
    <t>GG</t>
  </si>
  <si>
    <t>GJ</t>
  </si>
  <si>
    <t>GK</t>
  </si>
  <si>
    <t>GO</t>
  </si>
  <si>
    <t>GV</t>
  </si>
  <si>
    <t>GX</t>
  </si>
  <si>
    <t>GZ</t>
  </si>
  <si>
    <t>HA</t>
  </si>
  <si>
    <t>HB</t>
  </si>
  <si>
    <t>HC</t>
  </si>
  <si>
    <t>HD</t>
  </si>
  <si>
    <t>HE</t>
  </si>
  <si>
    <t>HF</t>
  </si>
  <si>
    <t>Legal System</t>
  </si>
  <si>
    <t>Legal code</t>
  </si>
  <si>
    <t>Freedom in the World (2014)</t>
  </si>
  <si>
    <t>Free (0-30)</t>
  </si>
  <si>
    <t>Partially Free (31-60)</t>
  </si>
  <si>
    <t>Not Free (61-100)</t>
  </si>
  <si>
    <t>Freedom House</t>
  </si>
  <si>
    <t>FIW - Political Rights (1-7)</t>
  </si>
  <si>
    <t>FIW - Civil Liberties (1-7)</t>
  </si>
  <si>
    <t>Freedom on the Net (2014)</t>
  </si>
  <si>
    <t>B. Limits on content (0-35)</t>
  </si>
  <si>
    <t>A. Obstacled to Access (0-25)</t>
  </si>
  <si>
    <t>C. Violations of User Rights (0-40)</t>
  </si>
  <si>
    <t>Freedom of the Press (2014)</t>
  </si>
  <si>
    <t>ScoreN</t>
  </si>
  <si>
    <t>ScoreP</t>
  </si>
  <si>
    <t>A. Laws and regulations (0-30)</t>
  </si>
  <si>
    <t>B. Political pressures and controls (0-40)</t>
  </si>
  <si>
    <t>C= Economic influences over media content (0-30)</t>
  </si>
  <si>
    <t>Identification for Development (ID4D)</t>
  </si>
  <si>
    <t>Contents</t>
  </si>
  <si>
    <t>Metadata</t>
  </si>
  <si>
    <t>Document History</t>
  </si>
  <si>
    <t>Version</t>
  </si>
  <si>
    <t>Author(s)</t>
  </si>
  <si>
    <t>Action</t>
  </si>
  <si>
    <t>Cem Dener
Irene Zhang 
Doruk Yarin Kiroglu</t>
  </si>
  <si>
    <t>Creation</t>
  </si>
  <si>
    <t>Cem Dener</t>
  </si>
  <si>
    <t>Update</t>
  </si>
  <si>
    <t>URL &gt;</t>
  </si>
  <si>
    <t xml:space="preserve">External:  </t>
  </si>
  <si>
    <t>Identification for Development (ID4D) Global Dataset</t>
  </si>
  <si>
    <t>Status of Civil Registration and Identification Practices and Systems in 198 economies</t>
  </si>
  <si>
    <t>ID4D Stats</t>
  </si>
  <si>
    <t>Explanation of the database fields (column headers) in "ID4D" worksheet</t>
  </si>
  <si>
    <t>First release of theID4D global dataset</t>
  </si>
  <si>
    <t>Updates on weblinks and e-ID solutions</t>
  </si>
  <si>
    <t>Status of civil registration and identification systems and e-ID enabled eservices based on key indicators (including links to related websites)</t>
  </si>
  <si>
    <t>Statistics on regional and income level distributions + global trends in CR and CI systems and eServices</t>
  </si>
  <si>
    <t>Relevant indicators and data (ICAO ePassport + CRVS agenda + UN gov websites + RTI index + WB funded ID4D projects)</t>
  </si>
  <si>
    <t>http://www.worldbank.org/en/topic/governance/brief/identification-for-development</t>
  </si>
  <si>
    <t>Row Labels</t>
  </si>
  <si>
    <t>Cnt</t>
  </si>
  <si>
    <t>Big</t>
  </si>
  <si>
    <t>VoID</t>
  </si>
  <si>
    <t>(All)</t>
  </si>
  <si>
    <t>(Multiple Items)</t>
  </si>
  <si>
    <t>Unreg 15+</t>
  </si>
  <si>
    <t>U15+ F%</t>
  </si>
  <si>
    <t>Totals</t>
  </si>
  <si>
    <t>Regions</t>
  </si>
  <si>
    <t>Note:</t>
  </si>
  <si>
    <t>Initial estimates on unregistered population are based on a number of assumptions,</t>
  </si>
  <si>
    <t>due to the lack of reliable data in government websites and reports.</t>
  </si>
  <si>
    <t>Above figures should be used with caution (especially for most of the G20 countries)</t>
  </si>
  <si>
    <t>since some fo these countries don't have national ID systems (or it is not mandatory)</t>
  </si>
  <si>
    <t>and use other forms of identification systems for various services.</t>
  </si>
  <si>
    <t>Palestine</t>
  </si>
  <si>
    <t>2010-2011</t>
  </si>
  <si>
    <t>MICS</t>
  </si>
  <si>
    <t>2008-2009</t>
  </si>
  <si>
    <t>DHS</t>
  </si>
  <si>
    <t xml:space="preserve">UNSD </t>
  </si>
  <si>
    <t>2011-2012</t>
  </si>
  <si>
    <t>UNSD</t>
  </si>
  <si>
    <t xml:space="preserve">Vital registration </t>
  </si>
  <si>
    <t>DHS (prelim)</t>
  </si>
  <si>
    <t>2007-2008</t>
  </si>
  <si>
    <t>BFHS</t>
  </si>
  <si>
    <t>IBGE</t>
  </si>
  <si>
    <t>Vital registration</t>
  </si>
  <si>
    <t>DHS/MICS</t>
  </si>
  <si>
    <t>Censo</t>
  </si>
  <si>
    <t>Estadísticas vitales</t>
  </si>
  <si>
    <t>National Health Statistics</t>
  </si>
  <si>
    <t>ENHOGAR</t>
  </si>
  <si>
    <t>ENNA</t>
  </si>
  <si>
    <t>FESAL</t>
  </si>
  <si>
    <t>WMS (prelim)</t>
  </si>
  <si>
    <t>ENSMI</t>
  </si>
  <si>
    <t>MICS/RHS</t>
  </si>
  <si>
    <t>MIDHS</t>
  </si>
  <si>
    <t>JSLC</t>
  </si>
  <si>
    <t>2012-2013</t>
  </si>
  <si>
    <t>ENSOMD</t>
  </si>
  <si>
    <t>WMS</t>
  </si>
  <si>
    <t>2005-2006</t>
  </si>
  <si>
    <t>ENPSF</t>
  </si>
  <si>
    <t>2009-2010</t>
  </si>
  <si>
    <t>Census</t>
  </si>
  <si>
    <t>2011/2012</t>
  </si>
  <si>
    <t>ENDESA</t>
  </si>
  <si>
    <t>EPH</t>
  </si>
  <si>
    <t>ENDES (prelim)</t>
  </si>
  <si>
    <t>Continuous DHS</t>
  </si>
  <si>
    <t>SHHS-2</t>
  </si>
  <si>
    <t>2006-2007</t>
  </si>
  <si>
    <t>UNSD d</t>
  </si>
  <si>
    <t>National Bureaux of Statistics</t>
  </si>
  <si>
    <t>INE</t>
  </si>
  <si>
    <t>NSPMS</t>
  </si>
  <si>
    <t>UNICEF 2014 Birth Registration</t>
  </si>
  <si>
    <t>UN 2015 Population</t>
  </si>
  <si>
    <t>Pop 0-4 M</t>
  </si>
  <si>
    <t>Pop 5-9 M</t>
  </si>
  <si>
    <t>Pop 10-14 M</t>
  </si>
  <si>
    <t>Pop 0-4 F</t>
  </si>
  <si>
    <t>Pop 5-9 F</t>
  </si>
  <si>
    <t>Pop 10-14 F</t>
  </si>
  <si>
    <t>Chinese Taipei</t>
  </si>
  <si>
    <t>http://www.misdac-rdc.net</t>
  </si>
  <si>
    <t xml:space="preserve">Ministère de l’Intérieur, Sécurité, Décentralisation et Affaires Coutumières </t>
  </si>
  <si>
    <t>Pop M</t>
  </si>
  <si>
    <t>Pop F</t>
  </si>
  <si>
    <t>BR Source</t>
  </si>
  <si>
    <t>Pop Source</t>
  </si>
  <si>
    <t>http://esa.un.org/unpd/wpp/Download/Standard/Population/</t>
  </si>
  <si>
    <t>http://www.estadistica.ad</t>
  </si>
  <si>
    <t>http://www.livepopulation.com/country/dominica.html</t>
  </si>
  <si>
    <t>Total Registration</t>
  </si>
  <si>
    <t>Registration Source</t>
  </si>
  <si>
    <t>http://www.estadistica.ad/serveiestudis/web/banc_dades4.asp?lang=4&amp;codi_tema=2&amp;codi_divisio=1006&amp;codi_subtemes=140</t>
  </si>
  <si>
    <t>http://www.electoral.barbados.gov.bb/electoralreginfo.html</t>
  </si>
  <si>
    <t>http://www.elections.gov.bz/modules/wfdownloads/singlefile.php?cid=234&amp;lid=934</t>
  </si>
  <si>
    <t>http://www.ekloges.gov.cy/</t>
  </si>
  <si>
    <t>http://www.mvcr.cz/clanek/statistiky-pocty-obyvatel-v-obcich.aspx?q=Y2hudW09Mg%3d%3d</t>
  </si>
  <si>
    <t>http://transparencia.jce.gob.do/DesktopModules/Bring2mind/DMX/Download.aspx?EntryId=1849&amp;Command=Core_Download&amp;language=es-ES&amp;PortalId=1&amp;TabId=190</t>
  </si>
  <si>
    <t>http://publica.gobiernoabierto.gob.sv/institutions/registro-nacional-de-las-personas-naturales/information_standards/estadisticas?page=1</t>
  </si>
  <si>
    <t>http://rk2015.vvk.ee/detailed.html</t>
  </si>
  <si>
    <t>http://pxnet2.stat.fi/PXWeb/pxweb/en/StatFin/StatFin__vaa__evaa__evaa_2015/120_evaa_tau_102.px/table/tableViewLayout1/?rxid=8da6b9e4-327f-4bb5-a0bd-5fe25a63180f</t>
  </si>
  <si>
    <t>http://www.insee.fr/fr/themes/document.asp?ref_id=if23</t>
  </si>
  <si>
    <t>https://www.destatis.de/EN/FactsFigures/SocietyState/Population/CurrentPopulation/Tables/Census_SexAndCitizenship.html</t>
  </si>
  <si>
    <t>http://www.statice.is/publications/publication-detail?id=55767</t>
  </si>
  <si>
    <t>http://www.nec.go.kr/engvote_2013/05_resourcecenter/07_02.jsp?num=304&amp;pg=1&amp;col=&amp;sw=</t>
  </si>
  <si>
    <t>http://www.llv.li/files/as/zivilstandsstatistik-2014.pdf</t>
  </si>
  <si>
    <t>http://www.registru.md/date-statistice/referitor-la-persoanele-domiciliate-in-rm-prin-prisma-cetateniei</t>
  </si>
  <si>
    <t>http://www.biometricupdate.com/201307/nepalese-biometric-voter-registry-reaches-12-1-million</t>
  </si>
  <si>
    <t>http://www.cbs.nl/en-GB/menu/themas/bevolking/cijfers/extra/bevolkingsteller.htm</t>
  </si>
  <si>
    <t>http://www.stats.govt.nz/browse_for_stats/population/census_counts/2013CensusUsuallyResidentPopulationCounts_HOTP2013Census.aspx</t>
  </si>
  <si>
    <t>http://www.ssb.no/196608/storting-elections.persons-entitled-to-vote-and-votes-cast-by-county-sy-3</t>
  </si>
  <si>
    <t>http://prezydent2015.pkw.gov.pl/aktualnosci/7_Statystyka</t>
  </si>
  <si>
    <t>https://www.ine.pt/xportal/xmain?xpid=INE&amp;xpgid=ine_indicadores&amp;indOcorrCod=0006030&amp;contexto=bd&amp;selTab=tab2</t>
  </si>
  <si>
    <t>http://www.siec.gov.sb/index.php/journalist/18-siec-releases-provisional-voters-list</t>
  </si>
  <si>
    <t>http://www.ysk.gov.tr/ysk/faces/HaberDetay?training_id=YSKPWCN1_4444014427&amp;_afrLoop=2720659965463380&amp;_afrWindowMode=0&amp;_afrWindowId=frvn4vxj0_28#%40%3F_afrWindowId%3Dfrvn4vxj0_28%26_afrLoop%3D2720659965463380%26training_id%3DYSKPWCN1_4444014427%26_afrWindowMode%3D0%26_adf.ctrl-state%3Dfrvn4vxj0_53</t>
  </si>
  <si>
    <t>http://www.stat.gov.tm/content/activity/duzgunnama/</t>
  </si>
  <si>
    <t>http://www.electoralcommission.org.uk/our-work/our-research/electoral-data</t>
  </si>
  <si>
    <t>http://www.census.gov/hhes/www/socdemo/voting/publications/p20/2014/tables.html</t>
  </si>
  <si>
    <t>http://www.corteelectoral.gub.uy/gxpsites/page.aspx?3,26,294,O,S,0,</t>
  </si>
  <si>
    <t>https://www.elections.ps/tabid/938/language/en-US/Default.aspx?rid=2&amp;ep=6</t>
  </si>
  <si>
    <t>Check</t>
  </si>
  <si>
    <t>Verify</t>
  </si>
  <si>
    <t>Registered Population</t>
  </si>
  <si>
    <t>Pop Rf Year</t>
  </si>
  <si>
    <t>Reg Rf Year</t>
  </si>
  <si>
    <t>Unreg 5-14</t>
  </si>
  <si>
    <t>U5-14 F%</t>
  </si>
  <si>
    <t>Unreg M 15+</t>
  </si>
  <si>
    <t>Unreg F 15+</t>
  </si>
  <si>
    <t>Unreg M 5-14</t>
  </si>
  <si>
    <t>Unreg F 5-14</t>
  </si>
  <si>
    <t>Unregist Population</t>
  </si>
  <si>
    <t>Unreg F%</t>
  </si>
  <si>
    <t>Unreg M</t>
  </si>
  <si>
    <t>Unreg F</t>
  </si>
  <si>
    <t>UM / TotM</t>
  </si>
  <si>
    <t>UF / TotF</t>
  </si>
  <si>
    <t>Unreg F     0-4</t>
  </si>
  <si>
    <t>Unreg M    0-4</t>
  </si>
  <si>
    <t>http://www.idea.int/resources/databases.cfm#vt</t>
  </si>
  <si>
    <t>http://www.nidw.gov.bd/</t>
  </si>
  <si>
    <t>https://ask.rks-gov.net/eng/</t>
  </si>
  <si>
    <t>http://www.indexmundi.com/liechtenstein/age_structure.html</t>
  </si>
  <si>
    <t>http://www.indexmundi.com/marshall_islands/population.html</t>
  </si>
  <si>
    <t>http://www.monacostatistics.mc/Population-and-employment</t>
  </si>
  <si>
    <t>http://www.indexmundi.com/nauru/age_structure.html</t>
  </si>
  <si>
    <t>http://www.indexmundi.com/palau/population.html</t>
  </si>
  <si>
    <t>http://www.indexmundi.com/saint_kitts_and_nevis/population.html</t>
  </si>
  <si>
    <t>http://www.indexmundi.com/san_marino/population.html</t>
  </si>
  <si>
    <t>http://www.indexmundi.com/taiwan/population.html</t>
  </si>
  <si>
    <t>http://www.indexmundi.com/tuvalu/population.html</t>
  </si>
  <si>
    <t>http://www.unicef.org/esaro/5440_angola_eight-citizens.html</t>
  </si>
  <si>
    <t>http://www.unicef.org/infobycountry/antiguabarbuda_statistics.html</t>
  </si>
  <si>
    <t>http://www.unicef.org/infobycountry/bahamas.html#121</t>
  </si>
  <si>
    <t>http://unstats.un.org/unsd/vitalstatkb/Attachment26.aspx</t>
  </si>
  <si>
    <t>http://www.unicef.org/infobycountry/barbados_statistics.html#121</t>
  </si>
  <si>
    <t>http://www.depd.gov.bn/SitePages/Vital%20Statistics.aspx</t>
  </si>
  <si>
    <t>http://www.unicef.cn/en/uploadfile/2014/1110/20141110052120900.pdf</t>
  </si>
  <si>
    <t>Registered Male</t>
  </si>
  <si>
    <t>Registered Female</t>
  </si>
  <si>
    <t>http://www.dzs.hr/Eng/censuses/census2011/censuslogo.htm</t>
  </si>
  <si>
    <t>http://www.dominica.gov.dm/images/documents/2011_census_report.pdf</t>
  </si>
  <si>
    <t>https://www.ecoi.net/file_upload/1788_1322492169_eritrea-statistical-factsheet.pdf</t>
  </si>
  <si>
    <t>http://www.unicef.org/infobycountry/fiji_statistics.html#121</t>
  </si>
  <si>
    <t>http://www.unicef.org/infobycountry/grenada_statistics.html#121</t>
  </si>
  <si>
    <t>http://www.gov.hk/en/about/abouthk/factsheets/docs/population.pdf</t>
  </si>
  <si>
    <t>http://www.unicef.org/gambia/Every_childs_birth_right_-_inequities_and_trends_in_birth_registration_-_2013_report.pdf</t>
  </si>
  <si>
    <t>http://www.unicef.org/kosovoprogramme/UNICEF_Birth_Registration_2009_English.pdf</t>
  </si>
  <si>
    <t>http://www.sesrtcic.org/files/article/506.pdf</t>
  </si>
  <si>
    <t>http://www.lip.gov.ly/portal/page?_pageid=854,2038572&amp;service=2&amp;_dad=portal&amp;_schema=PORTAL</t>
  </si>
  <si>
    <t>Macau SAR, China</t>
  </si>
  <si>
    <t>http://www.dsec.gov.mo</t>
  </si>
  <si>
    <t>http://www.unicef.org/about/annualreport/files/Malaysia_Annual_Report_2014.pdf</t>
  </si>
  <si>
    <t>http://www.unicef.org/esaro/Technical_paper_low_res_.pdf</t>
  </si>
  <si>
    <t>http://www.spc.int/prism/images/CRVS_Posters/FSM_FINAL_print.pdf</t>
  </si>
  <si>
    <t>http://unstats.un.org/unsd/demographic/meetings/wshops/Civil_Registration_Dec07_Cairo/docs/Oman_Ministry_of_Health.pdf</t>
  </si>
  <si>
    <t>http://unstats.un.org/unsd/demographic/CRVS/CR_coverage.htm</t>
  </si>
  <si>
    <t>http://www.unicef.org/protection/files/UNICEF_Birth_Registration_Handbook.pdf</t>
  </si>
  <si>
    <t>http://www.unicef.org/pacificislands/Solomon_Islands_Birth_Registration_.pdf</t>
  </si>
  <si>
    <t>http://eng.stat.gov.tw/lp.asp?ctNode=2265&amp;CtUnit=1072&amp;BaseDSD=36&amp;mp=5</t>
  </si>
  <si>
    <t>Pop 15+</t>
  </si>
  <si>
    <t>Pop 15+ M</t>
  </si>
  <si>
    <t>Pop 15+ F</t>
  </si>
  <si>
    <t>Reg Pop %</t>
  </si>
  <si>
    <t>http://www.morpho.com/en/country/morpho-albania</t>
  </si>
  <si>
    <t>http://www.interieur.gov.dz/PublishingFiles/VAC_Cloture_Fr_17-04-14.pdf</t>
  </si>
  <si>
    <t>http://www.electionguide.org/countries/id/10/</t>
  </si>
  <si>
    <t>http://www.opemam.org/node/182?language=en</t>
  </si>
  <si>
    <t>http://aceproject.org/</t>
  </si>
  <si>
    <t>http://www.electionguide.org/countries/id/7/</t>
  </si>
  <si>
    <t>http://www.electionguide.org/countries/id/12/</t>
  </si>
  <si>
    <t>http://www.aec.gov.au/Enrolling_to_vote/Enrolment_stats/elector_count/index.htm</t>
  </si>
  <si>
    <t>http://www.ipu.org/parline-e/reports/2371_B.htm</t>
  </si>
  <si>
    <t>V Age</t>
  </si>
  <si>
    <t>ID Age</t>
  </si>
  <si>
    <t>http://www.statistik.at/web_en/statistics/PeopleSociety/population/population_stock_and_population_change/total_population_annual_average/index.html</t>
  </si>
  <si>
    <t>https://www.infocenter.gov.az/content/?i=10&amp;title=statistika</t>
  </si>
  <si>
    <t>http://www.electionguide.org/countries/id/17/</t>
  </si>
  <si>
    <t>http://www.electionguide.org/countries/id/18/</t>
  </si>
  <si>
    <t>http://www.electionguide.org/countries/id/51/</t>
  </si>
  <si>
    <t>http://www.electionguide.org/countries/id/80/</t>
  </si>
  <si>
    <t>http://www.electionguide.org/countries/id/83/</t>
  </si>
  <si>
    <t>http://www.electionguide.org/countries/id/112/</t>
  </si>
  <si>
    <t>http://www.electionguide.org/countries/id/179/</t>
  </si>
  <si>
    <t>Control Group</t>
  </si>
  <si>
    <t>Cnt G</t>
  </si>
  <si>
    <t>http://www.electionguide.org/countries/id/21/</t>
  </si>
  <si>
    <t>http://www.electionguide.org/countries/id/22/</t>
  </si>
  <si>
    <t>http://www.electionguide.org/countries/id/24/</t>
  </si>
  <si>
    <t>http://www.electionguide.org/countries/id/26/</t>
  </si>
  <si>
    <t>LH</t>
  </si>
  <si>
    <t>http://www.electionguide.org/countries/id/36/</t>
  </si>
  <si>
    <t>http://www.electionguide.org/countries/id/37/</t>
  </si>
  <si>
    <t>http://www.electionguide.org/countries/id/38/</t>
  </si>
  <si>
    <t>http://www.electionguide.org/countries/id/43/</t>
  </si>
  <si>
    <t>http://www.electionguide.org/countries/id/35/</t>
  </si>
  <si>
    <t>http://www.electionguide.org/countries/id/42/</t>
  </si>
  <si>
    <t>http://www.electionguide.org/countries/id/28/</t>
  </si>
  <si>
    <t>http://www.electionguide.org/countries/id/29/</t>
  </si>
  <si>
    <t>http://www.electionguide.org/countries/id/31/</t>
  </si>
  <si>
    <t>http://www.electionguide.org/countries/id/54/</t>
  </si>
  <si>
    <t>http://www.electionguide.org/countries/id/64/</t>
  </si>
  <si>
    <t>http://www.electionguide.org/countries/id/70/</t>
  </si>
  <si>
    <t>AL2013</t>
  </si>
  <si>
    <t>AU2013</t>
  </si>
  <si>
    <t>AT2013</t>
  </si>
  <si>
    <t>BD2014</t>
  </si>
  <si>
    <t>BO2014</t>
  </si>
  <si>
    <t>http://www.depd.gov.bn/SitePages/Population.aspx</t>
  </si>
  <si>
    <t>http://www.electionguide.org/countries/id/34/</t>
  </si>
  <si>
    <t>http://www.electionguide.org/countries/id/39/</t>
  </si>
  <si>
    <t>http://www.ine.cvhttp://www.ine.cv/dadostats/dados.aspx?d=1</t>
  </si>
  <si>
    <t>http://www.electionguide.org/countries/id/44/</t>
  </si>
  <si>
    <t>CY2013</t>
  </si>
  <si>
    <t>http://www.dst.dk/en/Statistik/Publikationer/VisPub?cid=20195</t>
  </si>
  <si>
    <t>DO2012</t>
  </si>
  <si>
    <t>Voter Age</t>
  </si>
  <si>
    <t>FR2012</t>
  </si>
  <si>
    <t>DE2013</t>
  </si>
  <si>
    <t>https://www.renap.gob.gt/sites/default/files/ESTADISTICAS%20PROCESO%20DPI%20AL%202015-12-31.pdf</t>
  </si>
  <si>
    <t>HK2015</t>
  </si>
  <si>
    <t>https://www.ksh.hu/docs/eng/xstadat/xstadat_annual/i_wdsd009.html</t>
  </si>
  <si>
    <t>HU2014</t>
  </si>
  <si>
    <t>IS2013</t>
  </si>
  <si>
    <t>IN2014</t>
  </si>
  <si>
    <t>https://portal.uidai.gov.in/uidwebportal/dashboard.do</t>
  </si>
  <si>
    <t>http://www.electionguide.org/countries/id/102/</t>
  </si>
  <si>
    <t>http://www.cso.ie/en/media/csoie/census/documents/Prelim,complete.pdf</t>
  </si>
  <si>
    <t>IT2014</t>
  </si>
  <si>
    <t>http://www.idea.int/vt/countryview.cfm?id=110</t>
  </si>
  <si>
    <t>http://www.electionguide.org/countries/id/109/</t>
  </si>
  <si>
    <t>http://www.electionguide.org/countries/id/115/</t>
  </si>
  <si>
    <t>KP2014</t>
  </si>
  <si>
    <t>http://www.comelec.gov.ph/?r=Archives/RegularElections/2016NLE/Statistics/Philippine2016VotersProfile/ByAgeGroup</t>
  </si>
  <si>
    <t>PH2013</t>
  </si>
  <si>
    <t xml:space="preserve">https://www.paci.gov.kw/STAT/SubCategories/Index?CategoryId=8 </t>
  </si>
  <si>
    <t>KW2013</t>
  </si>
  <si>
    <t>LI2013</t>
  </si>
  <si>
    <t>LU2013</t>
  </si>
  <si>
    <t>http://www.electionguide.org/countries/id/126/</t>
  </si>
  <si>
    <t>https://www.secureidentityalliance.org/index.php/resources/preview?path=15-12-17-Civil-Registry-Consolidation-Digital-Identity-SIA-Final.pdf</t>
  </si>
  <si>
    <t>http://ecp.gov.pk/ER/VoterStatFER2012.aspx</t>
  </si>
  <si>
    <t>PK2013</t>
  </si>
  <si>
    <t>http://www.electionguide.org/countries/id/91/</t>
  </si>
  <si>
    <t>http://www.electionguide.org/countries/id/92/</t>
  </si>
  <si>
    <t>http://www.electionguide.org/countries/id/94/</t>
  </si>
  <si>
    <t>http://www.electionguide.org/countries/id/97/</t>
  </si>
  <si>
    <t>http://www.electionguide.org/countries/id/93/</t>
  </si>
  <si>
    <t>http://www.electionguide.org/countries/id/118/</t>
  </si>
  <si>
    <t>http://www.electionguide.org/countries/id/121/</t>
  </si>
  <si>
    <t>http://www.electionguide.org/countries/id/122/</t>
  </si>
  <si>
    <t>LR2011</t>
  </si>
  <si>
    <t>http://www.idea.int/vt/countryview.cfm?id=137</t>
  </si>
  <si>
    <t>http://www.electionguide.org/countries/id/130/</t>
  </si>
  <si>
    <t>http://www.electionguide.org/countries/id/129/</t>
  </si>
  <si>
    <t>http://www.electionguide.org/countries/id/133/</t>
  </si>
  <si>
    <t>http://www.electionguide.org/countries/id/146/</t>
  </si>
  <si>
    <t>http://www.electionguide.org/countries/id/147/</t>
  </si>
  <si>
    <t>http://www.idea.int/vt/countryview.cfm?id=146</t>
  </si>
  <si>
    <t>http://www.bbc.com/news/world-middle-east-35075702</t>
  </si>
  <si>
    <t>SA2015</t>
  </si>
  <si>
    <t>http://www.electionguide.org/countries/id/202/</t>
  </si>
  <si>
    <t>CN2014</t>
  </si>
  <si>
    <t>http://www.electionguide.org/countries/id/210/</t>
  </si>
  <si>
    <t>http://www.electionguide.org/countries/id/211/</t>
  </si>
  <si>
    <t xml:space="preserve">http://www.ine.gov.ve/index.php?option=com_content&amp;view=category&amp;id=95&amp;Itemid=9 </t>
  </si>
  <si>
    <t>http://www.registraduria.gov.co/32-795-962-colombianos-estan.html</t>
  </si>
  <si>
    <t>http://www.electionguide.org/countries/id/49/</t>
  </si>
  <si>
    <t>http://www.electionguide.org/countries/id/50/</t>
  </si>
  <si>
    <t>http://www.electionguide.org/countries/id/53/</t>
  </si>
  <si>
    <t>http://www.electionguide.org/countries/id/55/</t>
  </si>
  <si>
    <t>http://www.electionguide.org/countries/id/56/</t>
  </si>
  <si>
    <t>http://www.electionguide.org/countries/id/60/</t>
  </si>
  <si>
    <t>http://www.electionguide.org/countries/id/61/</t>
  </si>
  <si>
    <t>http://www.idea.int/vt/countryview.cfm?id=69</t>
  </si>
  <si>
    <t>GQ2009</t>
  </si>
  <si>
    <t>http://www.electionguide.org/countries/id/67/</t>
  </si>
  <si>
    <t>http://africanelections.tripod.com/er.html</t>
  </si>
  <si>
    <t>ER1993</t>
  </si>
  <si>
    <t>http://www.electionguide.org/countries/id/73/</t>
  </si>
  <si>
    <t>http://www.electionguide.org/countries/id/79/</t>
  </si>
  <si>
    <t>http://www.electionguide.org/countries/id/81/</t>
  </si>
  <si>
    <t>http://www.idea.int/vt/countryview.cfm?id=89</t>
  </si>
  <si>
    <t>Election Year</t>
  </si>
  <si>
    <t>Registered Voters</t>
  </si>
  <si>
    <t xml:space="preserve">Population </t>
  </si>
  <si>
    <t>http://www.electionguide.org/countries/id/87/</t>
  </si>
  <si>
    <t>http://www.electionguide.org/countries/id/103/</t>
  </si>
  <si>
    <t>http://www.electionguide.org/countries/id/104/</t>
  </si>
  <si>
    <t>http://www.electionguide.org/countries/id/106/</t>
  </si>
  <si>
    <t>AF2014</t>
  </si>
  <si>
    <t>DZ2014</t>
  </si>
  <si>
    <t>AD2015</t>
  </si>
  <si>
    <t>AO2012</t>
  </si>
  <si>
    <t>AG2014</t>
  </si>
  <si>
    <t>AR2015</t>
  </si>
  <si>
    <t>AM2013</t>
  </si>
  <si>
    <t>AZ2015</t>
  </si>
  <si>
    <t>BS2012</t>
  </si>
  <si>
    <t>BH2014</t>
  </si>
  <si>
    <t>BB2013</t>
  </si>
  <si>
    <t>BY2015</t>
  </si>
  <si>
    <t>BE2014</t>
  </si>
  <si>
    <t>BZ2015</t>
  </si>
  <si>
    <t>BJ2015</t>
  </si>
  <si>
    <t>BT2013</t>
  </si>
  <si>
    <t>BA2014</t>
  </si>
  <si>
    <t>BW2014</t>
  </si>
  <si>
    <t>BR2014</t>
  </si>
  <si>
    <t>BN2014</t>
  </si>
  <si>
    <t>BG2014</t>
  </si>
  <si>
    <t>BF2015</t>
  </si>
  <si>
    <t>BI2015</t>
  </si>
  <si>
    <t>KH2013</t>
  </si>
  <si>
    <t>CM2013</t>
  </si>
  <si>
    <t>CA2015</t>
  </si>
  <si>
    <t>CV2011</t>
  </si>
  <si>
    <t>CF2011</t>
  </si>
  <si>
    <t>TD2011</t>
  </si>
  <si>
    <t>CL2013</t>
  </si>
  <si>
    <t>CO2014</t>
  </si>
  <si>
    <t>KM2015</t>
  </si>
  <si>
    <t>CG2009</t>
  </si>
  <si>
    <t>CD2011</t>
  </si>
  <si>
    <t>CR2014</t>
  </si>
  <si>
    <t>CI2015</t>
  </si>
  <si>
    <t>HR2015</t>
  </si>
  <si>
    <t>CU2013</t>
  </si>
  <si>
    <t>CZ2013</t>
  </si>
  <si>
    <t>DK2015</t>
  </si>
  <si>
    <t>DJ2013</t>
  </si>
  <si>
    <t>DM2014</t>
  </si>
  <si>
    <t>EC2013</t>
  </si>
  <si>
    <t>EG2015</t>
  </si>
  <si>
    <t>SV2015</t>
  </si>
  <si>
    <t>EE2015</t>
  </si>
  <si>
    <t>ET2015</t>
  </si>
  <si>
    <t>FJ2014</t>
  </si>
  <si>
    <t>FI2015</t>
  </si>
  <si>
    <t>GA2011</t>
  </si>
  <si>
    <t>GM2011</t>
  </si>
  <si>
    <t>GE2013</t>
  </si>
  <si>
    <t>GH2012</t>
  </si>
  <si>
    <t>GR2015</t>
  </si>
  <si>
    <t>GD2013</t>
  </si>
  <si>
    <t>GT2015</t>
  </si>
  <si>
    <t>GN2015</t>
  </si>
  <si>
    <t>GW2014</t>
  </si>
  <si>
    <t>GY2015</t>
  </si>
  <si>
    <t>HT2015</t>
  </si>
  <si>
    <t>HN2013</t>
  </si>
  <si>
    <t>ID2014</t>
  </si>
  <si>
    <t>IR2013</t>
  </si>
  <si>
    <t>IQ2014</t>
  </si>
  <si>
    <t>IE2011</t>
  </si>
  <si>
    <t>IL2015</t>
  </si>
  <si>
    <t>http://www.electionguide.org/countries/id/108/</t>
  </si>
  <si>
    <t>http://www.electionguide.org/countries/id/110/</t>
  </si>
  <si>
    <t>http://www.electionguide.org/countries/id/111/</t>
  </si>
  <si>
    <t>http://www.electionguide.org/countries/id/113/</t>
  </si>
  <si>
    <t>http://www.electionguide.org/countries/id/253/</t>
  </si>
  <si>
    <t>KS2014</t>
  </si>
  <si>
    <t>https://data.srs.kg/data/</t>
  </si>
  <si>
    <t>http://www.electionguide.org/countries/id/119/</t>
  </si>
  <si>
    <t>http://www.idea.int/vt/countryview.cfm?id=128</t>
  </si>
  <si>
    <t>http://www.electionguide.org/countries/id/125/</t>
  </si>
  <si>
    <t>MO2013</t>
  </si>
  <si>
    <t>http://www.dsec.gov.mo/Statistic.aspx?NodeGuid=8d4d5779-c0d3-42f0-ae71-8b747bdc8d88</t>
  </si>
  <si>
    <t>http://www.electionguide.org/countries/id/128/</t>
  </si>
  <si>
    <t>http://www.electionguide.org/countries/id/131/</t>
  </si>
  <si>
    <t>http://www.electionguide.org/countries/id/132/</t>
  </si>
  <si>
    <t>MT2015</t>
  </si>
  <si>
    <t>http://www.electionguide.org/countries/id/134/</t>
  </si>
  <si>
    <t>LY2014</t>
  </si>
  <si>
    <t>LT2014</t>
  </si>
  <si>
    <t>MK2014</t>
  </si>
  <si>
    <t>MG2013</t>
  </si>
  <si>
    <t>MW2014</t>
  </si>
  <si>
    <t>MY2013</t>
  </si>
  <si>
    <t>MV2014</t>
  </si>
  <si>
    <t>ML2013</t>
  </si>
  <si>
    <t>http://www.idea.int/vt/countryview.cfm?id=143</t>
  </si>
  <si>
    <t>http://www.idea.int/vt/countryview.cfm?id=151</t>
  </si>
  <si>
    <t>http://www.electionguide.org/countries/id/138/</t>
  </si>
  <si>
    <t>http://www.ine.mx/archivos3/portal/historico/contenido/Estadisticas_Lista_Nominal_y_Padron_Electoral/</t>
  </si>
  <si>
    <t>MH2015</t>
  </si>
  <si>
    <t>MR2014</t>
  </si>
  <si>
    <t>MU2014</t>
  </si>
  <si>
    <t>MX2015</t>
  </si>
  <si>
    <t>http://www.idea.int/vt/countryview.cfm?id=51</t>
  </si>
  <si>
    <t>MD2014</t>
  </si>
  <si>
    <t>http://www.idea.int/vt/countryview.cfm?id=139</t>
  </si>
  <si>
    <t>http://www.idea.int/vt/countryview.cfm?id=147</t>
  </si>
  <si>
    <t>http://www.idea.int/vt/countryview.cfm?id=141</t>
  </si>
  <si>
    <t>FM2013</t>
  </si>
  <si>
    <t>MC2013</t>
  </si>
  <si>
    <t>MN2013</t>
  </si>
  <si>
    <t>ME2013</t>
  </si>
  <si>
    <t>MA2011</t>
  </si>
  <si>
    <t>MZ2014</t>
  </si>
  <si>
    <t>MM2015</t>
  </si>
  <si>
    <t>http://www.electionwatch.org.na/?q=node/488</t>
  </si>
  <si>
    <t>http://www.idea.int/vt/countryview.cfm?id=167</t>
  </si>
  <si>
    <t>NP2013</t>
  </si>
  <si>
    <t>NL2014</t>
  </si>
  <si>
    <t>Voting Age Population</t>
  </si>
  <si>
    <t>http://www.idea.int/vt/countryview.cfm?id=169</t>
  </si>
  <si>
    <t>http://www.idea.int/vt/countryview.cfm?id=162</t>
  </si>
  <si>
    <t>http://www.idea.int/vt/countryview.cfm?id=168</t>
  </si>
  <si>
    <t>NA2014</t>
  </si>
  <si>
    <t>NR2013</t>
  </si>
  <si>
    <t>NZ2014</t>
  </si>
  <si>
    <t>NI2011</t>
  </si>
  <si>
    <t>NE2011</t>
  </si>
  <si>
    <t>NG2015</t>
  </si>
  <si>
    <t>NO2013</t>
  </si>
  <si>
    <t>OM2015</t>
  </si>
  <si>
    <t>http://www.idea.int/vt/countryview.cfm?id=185</t>
  </si>
  <si>
    <t>http://www.idea.int/vt/countryview.cfm?id=173</t>
  </si>
  <si>
    <t>http://www.idea.int/vt/countryview.cfm?id=176</t>
  </si>
  <si>
    <t>http://www.idea.int/vt/countryview.cfm?id=186</t>
  </si>
  <si>
    <t>http://www.idea.int/vt/countryview.cfm?id=174</t>
  </si>
  <si>
    <t>http://www.mdps.gov.qa/portal/page/portal/GSDP_AR/statistics_ar/monthly_preliminary_figures_on_population_ar</t>
  </si>
  <si>
    <t>PW2012</t>
  </si>
  <si>
    <t>PA2014</t>
  </si>
  <si>
    <t>PG2012</t>
  </si>
  <si>
    <t>PY2013</t>
  </si>
  <si>
    <t>PE2011</t>
  </si>
  <si>
    <t>PL2015</t>
  </si>
  <si>
    <t>PT2015</t>
  </si>
  <si>
    <t>QA2015</t>
  </si>
  <si>
    <t>http://www.idea.int/vt/countryview.cfm?id=189</t>
  </si>
  <si>
    <t>RO2014</t>
  </si>
  <si>
    <t>RU2012</t>
  </si>
  <si>
    <t>http://thecommonwealth.org/sites/default/files/project/documents/Rwanda_Elections_2013_Commonwealth_Expert_Team_Report.pdf</t>
  </si>
  <si>
    <t>http://www.idea.int/vt/countryview.cfm?id=120</t>
  </si>
  <si>
    <t>http://www.idea.int/vt/countryview.cfm?id=129</t>
  </si>
  <si>
    <t>http://www.idea.int/vt/countryview.cfm?id=235</t>
  </si>
  <si>
    <t>RW2013</t>
  </si>
  <si>
    <t>KN2015</t>
  </si>
  <si>
    <t>LC2011</t>
  </si>
  <si>
    <t>VC2010</t>
  </si>
  <si>
    <t>http://www.idea.int/vt/countryview.cfm?id=242</t>
  </si>
  <si>
    <t>http://www.idea.int/vt/countryview.cfm?id=204</t>
  </si>
  <si>
    <t>http://www.idea.int/vt/countryview.cfm?id=205</t>
  </si>
  <si>
    <t>http://www.idea.int/vt/countryview.cfm?id=190</t>
  </si>
  <si>
    <t>WS2011</t>
  </si>
  <si>
    <t>SM2012</t>
  </si>
  <si>
    <t>ST2011</t>
  </si>
  <si>
    <t>SN2012</t>
  </si>
  <si>
    <t>RS2014</t>
  </si>
  <si>
    <t>SC2015</t>
  </si>
  <si>
    <t>http://www.idea.int/vt/countryview.cfm?id=203</t>
  </si>
  <si>
    <t>http://population.sg/population-in-brief/files/population-in-brief-2015.pdf</t>
  </si>
  <si>
    <t>http://www.idea.int/vt/countryview.cfm?id=202</t>
  </si>
  <si>
    <t>http://www.idea.int/vt/countryview.cfm?id=200</t>
  </si>
  <si>
    <t>SL2012</t>
  </si>
  <si>
    <t>SG2015</t>
  </si>
  <si>
    <t>SK2014</t>
  </si>
  <si>
    <t>SI2014</t>
  </si>
  <si>
    <t>SB2014</t>
  </si>
  <si>
    <t>http://www.idea.int/vt/countryview.cfm?id=206</t>
  </si>
  <si>
    <t>http://www.idea.int/vt/countryview.cfm?id=246</t>
  </si>
  <si>
    <t>http://necsouthsudan.org/</t>
  </si>
  <si>
    <t>SS2011</t>
  </si>
  <si>
    <t>http://www.idea.int/vt/countryview.cfm?id=72</t>
  </si>
  <si>
    <t>http://www.idea.int/vt/countryview.cfm?id=131</t>
  </si>
  <si>
    <t>http://www.idea.int/vt/countryview.cfm?id=207</t>
  </si>
  <si>
    <t>SZ2013</t>
  </si>
  <si>
    <t>http://www.electionguide.org/countries/id/205/</t>
  </si>
  <si>
    <t>http://www.idea.int/vt/countryview.cfm?id=197</t>
  </si>
  <si>
    <t>http://www.idea.int/vt/countryview.cfm?id=42</t>
  </si>
  <si>
    <t>http://www.idea.int/vt/countryview.cfm?id=210</t>
  </si>
  <si>
    <t>SO1984</t>
  </si>
  <si>
    <t>ZA2014</t>
  </si>
  <si>
    <t>ES2015</t>
  </si>
  <si>
    <t>LK2015</t>
  </si>
  <si>
    <t>SD2015</t>
  </si>
  <si>
    <t>SR2015</t>
  </si>
  <si>
    <t>SE2014</t>
  </si>
  <si>
    <t>CH2015</t>
  </si>
  <si>
    <t>SY2014</t>
  </si>
  <si>
    <t>http://www.electionguide.org/countries/id/209/</t>
  </si>
  <si>
    <t>TW2012</t>
  </si>
  <si>
    <t>TJ2015</t>
  </si>
  <si>
    <t>TZ2015</t>
  </si>
  <si>
    <t>http://www.idea.int/vt/countryview.cfm?id=216</t>
  </si>
  <si>
    <t>http://www.idea.int/vt/countryview.cfm?id=222</t>
  </si>
  <si>
    <t>http://www.idea.int/vt/countryview.cfm?id=215</t>
  </si>
  <si>
    <t>http://www.idea.int/vt/countryview.cfm?id=221</t>
  </si>
  <si>
    <t>http://www.idea.int/vt/countryview.cfm?id=224</t>
  </si>
  <si>
    <t>http://www.idea.int/vt/countryview.cfm?id=220</t>
  </si>
  <si>
    <t>http://www.idea.int/vt/countryview.cfm?id=229</t>
  </si>
  <si>
    <t>http://www.idea.int/vt/countryview.cfm?id=228</t>
  </si>
  <si>
    <t>AE2015</t>
  </si>
  <si>
    <t>http://dataportal.fcsa.gov.ae/en</t>
  </si>
  <si>
    <t>US2014</t>
  </si>
  <si>
    <t>http://www.idea.int/vt/countryview.cfm?id=233</t>
  </si>
  <si>
    <t>http://www.idea.int/vt/countryview.cfm?id=240</t>
  </si>
  <si>
    <t>http://www.idea.int/vt/countryview.cfm?id=239</t>
  </si>
  <si>
    <t>PS2006</t>
  </si>
  <si>
    <t>http://www.idea.int/vt/countryview.cfm?id=243</t>
  </si>
  <si>
    <t>http://www.idea.int/vt/countryview.cfm?id=247</t>
  </si>
  <si>
    <t>http://www.idea.int/vt/countryview.cfm?id=248</t>
  </si>
  <si>
    <t>TH2014</t>
  </si>
  <si>
    <t>TL2012</t>
  </si>
  <si>
    <t>TG2015</t>
  </si>
  <si>
    <t>TO2014</t>
  </si>
  <si>
    <t>TT2015</t>
  </si>
  <si>
    <t>TN2014</t>
  </si>
  <si>
    <t>TR2015</t>
  </si>
  <si>
    <t>TM2013</t>
  </si>
  <si>
    <t>TV2015</t>
  </si>
  <si>
    <t>UG2011</t>
  </si>
  <si>
    <t>UA2014</t>
  </si>
  <si>
    <t>GB2015</t>
  </si>
  <si>
    <t>UY2014</t>
  </si>
  <si>
    <t>UZ2015</t>
  </si>
  <si>
    <t>VU2012</t>
  </si>
  <si>
    <t>VE2015</t>
  </si>
  <si>
    <t>VN2011</t>
  </si>
  <si>
    <t>YE2012</t>
  </si>
  <si>
    <t>ZM2015</t>
  </si>
  <si>
    <t>ZW2013</t>
  </si>
  <si>
    <t>JM2011</t>
  </si>
  <si>
    <t>JP2014</t>
  </si>
  <si>
    <t>JO2013</t>
  </si>
  <si>
    <t>KZ2015</t>
  </si>
  <si>
    <t>KE2013</t>
  </si>
  <si>
    <t>KI2012</t>
  </si>
  <si>
    <t>KR2012</t>
  </si>
  <si>
    <t>KG2015</t>
  </si>
  <si>
    <t>LA2011</t>
  </si>
  <si>
    <t>LV2014</t>
  </si>
  <si>
    <t>LB2009</t>
  </si>
  <si>
    <t>LS2015</t>
  </si>
  <si>
    <t>http://www.unicef.org/zambia/5109_8455.html</t>
  </si>
  <si>
    <t>Unreg P%</t>
  </si>
  <si>
    <t>Categ</t>
  </si>
  <si>
    <t>http://iec.org.af/2012-05-31-16-45-49/voter-registration</t>
  </si>
  <si>
    <t>P 0-4 F%</t>
  </si>
  <si>
    <t>P 5-9 F%</t>
  </si>
  <si>
    <t>P 10-14 F%</t>
  </si>
  <si>
    <t>P 15+ F%</t>
  </si>
  <si>
    <t>http://www.resultados.gob.ar/balotage/dat99/DPR99999A.htm</t>
  </si>
  <si>
    <t>http://www.idea.int/vt/countryview.cfm?id=29</t>
  </si>
  <si>
    <t>http://www.idea.int/vt/countryview.cfm?id=195</t>
  </si>
  <si>
    <t xml:space="preserve">http://www.idea.int/vt/countryview.cfm?id=225 </t>
  </si>
  <si>
    <t>Pop</t>
  </si>
  <si>
    <t>Pop_M</t>
  </si>
  <si>
    <t>Pop_F</t>
  </si>
  <si>
    <t>Unreg_M</t>
  </si>
  <si>
    <t>Unreg_F</t>
  </si>
  <si>
    <t>UF/TotF</t>
  </si>
  <si>
    <t xml:space="preserve">UM/TotM </t>
  </si>
  <si>
    <t>Unreg_0-4</t>
  </si>
  <si>
    <t>UM  0-4</t>
  </si>
  <si>
    <t>UF 0-4</t>
  </si>
  <si>
    <t>Unrep Pop</t>
  </si>
  <si>
    <t>UM/TotM</t>
  </si>
  <si>
    <t>UM 0-4</t>
  </si>
  <si>
    <t>WBG Regions (168 countries)</t>
  </si>
  <si>
    <t>Global dataset (198 economies)</t>
  </si>
  <si>
    <t>Global dataset (181 economies, excluding 17 countries without a national ID)</t>
  </si>
  <si>
    <t>&lt; 15</t>
  </si>
  <si>
    <t>UM 0-4 / TotM</t>
  </si>
  <si>
    <t>UF 0-4 / TotF</t>
  </si>
  <si>
    <t>UM 0-4/TotM</t>
  </si>
  <si>
    <t>UF 0-4/TotF</t>
  </si>
  <si>
    <t xml:space="preserve">UM 0-4/TM </t>
  </si>
  <si>
    <t>UF 0-4/TF</t>
  </si>
  <si>
    <t>(blank)</t>
  </si>
  <si>
    <t>Gender disaggregate data and updates on population, birth registration rates and registered/unregistered population.</t>
  </si>
  <si>
    <t>Last update: January 2016</t>
  </si>
  <si>
    <t>Filters</t>
  </si>
  <si>
    <t># of Unregistered Births (Pop 0-4) Dec'15 ['000]</t>
  </si>
  <si>
    <t>Birth Registration Rate (% Pop 0-5) Dec'15</t>
  </si>
  <si>
    <t># of Unregistered Births (Pop 5-14) Dec'15 ['000]</t>
  </si>
  <si>
    <t># of Unregistered Population - Dec'15 ['000]</t>
  </si>
  <si>
    <t>Population proj in thousands (2015)</t>
  </si>
  <si>
    <t>Population-total male (2015)</t>
  </si>
  <si>
    <t>Population-total female (2015)</t>
  </si>
  <si>
    <t>Population (0-4) in thousands (2015)</t>
  </si>
  <si>
    <t>Female % in total pop 0-4 (2015)</t>
  </si>
  <si>
    <t>Population-total male 0-4 (2015)</t>
  </si>
  <si>
    <t>Population-total female 0-4 (2015)</t>
  </si>
  <si>
    <t>Population (15+) in thousands (2015)</t>
  </si>
  <si>
    <t>Female % in total pop 15+ (2015)</t>
  </si>
  <si>
    <t>Population-total male 15+ (2015)</t>
  </si>
  <si>
    <t>Population-total female 15+ (2015)</t>
  </si>
  <si>
    <t>Population (5-9) in thousands (2015)</t>
  </si>
  <si>
    <t>Female % in total pop 5-9 (2015)</t>
  </si>
  <si>
    <t>Population-total male 5-9 (2015)</t>
  </si>
  <si>
    <t>Population-total female 5-9 (2015)</t>
  </si>
  <si>
    <t>Population (10-14) in thousands (2015)</t>
  </si>
  <si>
    <t>Female % in total pop 10-14 (2015)</t>
  </si>
  <si>
    <t>Population-total male 10-14 (2015)</t>
  </si>
  <si>
    <t>Population-total female 10-14 (2015)</t>
  </si>
  <si>
    <t>Population data reference year</t>
  </si>
  <si>
    <t>Population data source</t>
  </si>
  <si>
    <t>UNICEF 2014 Birth Registration DB</t>
  </si>
  <si>
    <t>BR rate data source</t>
  </si>
  <si>
    <t>Adults registered in NID or voter roll (x 1,000)</t>
  </si>
  <si>
    <t>% of registered population wrt total (x 1,000)</t>
  </si>
  <si>
    <t>Total # of registered male (x1,000)</t>
  </si>
  <si>
    <t>Total # of registered female (x1,000)</t>
  </si>
  <si>
    <t>Registration data reference year</t>
  </si>
  <si>
    <t>Registration data source</t>
  </si>
  <si>
    <t>Voter registration age</t>
  </si>
  <si>
    <t>Year of the latest elections held</t>
  </si>
  <si>
    <t>CCYYYY</t>
  </si>
  <si>
    <t>Total # of registered voters (x1,000)</t>
  </si>
  <si>
    <t>IDEA web site</t>
  </si>
  <si>
    <t>Population projection at election year</t>
  </si>
  <si>
    <t>Voting age population estimate</t>
  </si>
  <si>
    <t>Type of verification performed</t>
  </si>
  <si>
    <t>No update</t>
  </si>
  <si>
    <t>Voter registration numbers updated</t>
  </si>
  <si>
    <t>NID registration numbers updated</t>
  </si>
  <si>
    <t>Other sources used for updates</t>
  </si>
  <si>
    <t>Reliability of data sources</t>
  </si>
  <si>
    <t>No indication of NID</t>
  </si>
  <si>
    <t>Categories of countries wrt support needs</t>
  </si>
  <si>
    <t>Name of reviewer checking data</t>
  </si>
  <si>
    <t>Total estimated unregistered population (x1,000)</t>
  </si>
  <si>
    <t>Percentage of unregistered female population within total</t>
  </si>
  <si>
    <t>Percentage of unregistered population within total</t>
  </si>
  <si>
    <t>Unregistered males (x1,000)</t>
  </si>
  <si>
    <t>Unregistered females (x1,000)</t>
  </si>
  <si>
    <t>Percentage of unregistered males among total male population</t>
  </si>
  <si>
    <t>Percentage of unregistered females among total female population</t>
  </si>
  <si>
    <t>Total estimated unregistered population 15+ (x1,000)</t>
  </si>
  <si>
    <t>Percentage of unregistered female population (15+) within total</t>
  </si>
  <si>
    <t>Unregistered males 15+ (x1,000)</t>
  </si>
  <si>
    <t>Unregistered females 15+ (x1,000)</t>
  </si>
  <si>
    <t>Total estimated unregistered population 5-14 (x1,000)</t>
  </si>
  <si>
    <t>Percentage of unregistered female population (5-14) within total</t>
  </si>
  <si>
    <t>Unregistered males 5-14 (x1,000)</t>
  </si>
  <si>
    <t>Unregistered females 5-14 (x1,000)</t>
  </si>
  <si>
    <t>Total estimated unregistered population 0-4 (x1,000)</t>
  </si>
  <si>
    <t>Percentage of unregistered female population (0-4) within total</t>
  </si>
  <si>
    <t>Unregistered males 0-4 (x1,000)</t>
  </si>
  <si>
    <t>Unregistered females 0-4 (x1,000)</t>
  </si>
  <si>
    <t>Percentage of unregistered males (0-4) among total male (0-4) population</t>
  </si>
  <si>
    <t>Percentage of unregistered females (0-4) among total female (0-4) population</t>
  </si>
  <si>
    <t>HG</t>
  </si>
  <si>
    <t>HH</t>
  </si>
  <si>
    <t>HI</t>
  </si>
  <si>
    <t>HJ</t>
  </si>
  <si>
    <t>HL</t>
  </si>
  <si>
    <t>HO</t>
  </si>
  <si>
    <t>HP</t>
  </si>
  <si>
    <t>HQ</t>
  </si>
  <si>
    <t>HS</t>
  </si>
  <si>
    <t>HV</t>
  </si>
  <si>
    <t>HW</t>
  </si>
  <si>
    <t>HX</t>
  </si>
  <si>
    <t>HY</t>
  </si>
  <si>
    <t>HZ</t>
  </si>
  <si>
    <t>IA</t>
  </si>
  <si>
    <t>IB</t>
  </si>
  <si>
    <t>IC</t>
  </si>
  <si>
    <t>IF</t>
  </si>
  <si>
    <t>IG</t>
  </si>
  <si>
    <t>IH</t>
  </si>
  <si>
    <t>II</t>
  </si>
  <si>
    <t>IJ</t>
  </si>
  <si>
    <t>IK</t>
  </si>
  <si>
    <t>IM</t>
  </si>
  <si>
    <t>Cem Dener
Lucia Hanmer
Doruk Yarin Kiroglu</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</si>
</sst>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6" formatCode="&quot;$&quot;#,##0_);[Red]\(&quot;$&quot;#,##0\)"/>
    <numFmt numFmtId="8" formatCode="&quot;$&quot;#,##0.00_);[Red]\(&quot;$&quot;#,##0.00\)"/>
    <numFmt numFmtId="43" formatCode="_(* #,##0.00_);_(* \(#,##0.00\);_(* &quot;-&quot;??_);_(@_)"/>
    <numFmt numFmtId="164" formatCode="0.0"/>
    <numFmt numFmtId="165" formatCode="[$€-2]\ #,##0.00;[Red]\-[$€-2]\ #,##0.00"/>
    <numFmt numFmtId="166" formatCode="[$€-2]\ #,##0;[Red]\-[$€-2]\ #,##0"/>
    <numFmt numFmtId="167" formatCode="#,##0.0"/>
    <numFmt numFmtId="168" formatCode="dd\-mmm\-yy"/>
    <numFmt numFmtId="169" formatCode="0.0%"/>
    <numFmt numFmtId="170" formatCode="_(* #,##0_);_(* \(#,##0\);_(* &quot;-&quot;??_);_(@_)"/>
    <numFmt numFmtId="171" formatCode="#,##0.000"/>
    <numFmt numFmtId="172" formatCode="_(* #,##0.0_);_(* \(#,##0.0\);_(* &quot;-&quot;??_);_(@_)"/>
  </numFmts>
  <fonts count="50">
    <font>
      <sz val="11"/>
      <color theme="1"/>
      <name val="Calibri"/>
      <family val="2"/>
      <scheme val="minor"/>
    </font>
    <font>
      <u/>
      <sz val="11"/>
      <color theme="10"/>
      <name val="Calibri"/>
      <family val="2"/>
    </font>
    <font>
      <sz val="11"/>
      <color indexed="8"/>
      <name val="Calibri"/>
      <family val="2"/>
    </font>
    <font>
      <b/>
      <sz val="9"/>
      <color indexed="81"/>
      <name val="Tahoma"/>
      <family val="2"/>
    </font>
    <font>
      <sz val="9"/>
      <color indexed="81"/>
      <name val="Tahoma"/>
      <family val="2"/>
    </font>
    <font>
      <b/>
      <sz val="11"/>
      <color theme="1"/>
      <name val="Calibri"/>
      <family val="2"/>
      <scheme val="minor"/>
    </font>
    <font>
      <sz val="11"/>
      <color theme="10"/>
      <name val="Calibri"/>
      <family val="2"/>
    </font>
    <font>
      <b/>
      <sz val="11"/>
      <color rgb="FF0000CC"/>
      <name val="Calibri"/>
      <family val="2"/>
      <scheme val="minor"/>
    </font>
    <font>
      <b/>
      <sz val="11"/>
      <color rgb="FFFFFF00"/>
      <name val="Calibri"/>
      <family val="2"/>
      <scheme val="minor"/>
    </font>
    <font>
      <sz val="11"/>
      <color theme="10"/>
      <name val="Calibri"/>
      <family val="2"/>
      <scheme val="minor"/>
    </font>
    <font>
      <sz val="11"/>
      <color rgb="FF000000"/>
      <name val="Calibri"/>
      <family val="2"/>
      <scheme val="minor"/>
    </font>
    <font>
      <sz val="11"/>
      <name val="Calibri"/>
      <family val="2"/>
    </font>
    <font>
      <sz val="10"/>
      <color theme="1"/>
      <name val="Calibri"/>
      <family val="2"/>
      <scheme val="minor"/>
    </font>
    <font>
      <sz val="11"/>
      <name val="Calibri"/>
      <family val="2"/>
      <scheme val="minor"/>
    </font>
    <font>
      <sz val="11"/>
      <color rgb="FF0000CC"/>
      <name val="Calibri"/>
      <family val="2"/>
      <scheme val="minor"/>
    </font>
    <font>
      <b/>
      <sz val="11"/>
      <name val="Calibri"/>
      <family val="2"/>
      <scheme val="minor"/>
    </font>
    <font>
      <sz val="11"/>
      <color theme="0" tint="-0.249977111117893"/>
      <name val="Calibri"/>
      <family val="2"/>
      <scheme val="minor"/>
    </font>
    <font>
      <sz val="10"/>
      <name val="Calibri"/>
      <family val="2"/>
      <scheme val="minor"/>
    </font>
    <font>
      <b/>
      <sz val="11"/>
      <color theme="0"/>
      <name val="Calibri"/>
      <family val="2"/>
      <scheme val="minor"/>
    </font>
    <font>
      <sz val="11"/>
      <color theme="1"/>
      <name val="Calibri"/>
      <family val="2"/>
      <scheme val="minor"/>
    </font>
    <font>
      <b/>
      <sz val="10"/>
      <color theme="1"/>
      <name val="Calibri"/>
      <family val="2"/>
      <scheme val="minor"/>
    </font>
    <font>
      <b/>
      <sz val="10"/>
      <color theme="0"/>
      <name val="Calibri"/>
      <family val="2"/>
      <scheme val="minor"/>
    </font>
    <font>
      <b/>
      <sz val="10"/>
      <color rgb="FFFFFF00"/>
      <name val="Calibri"/>
      <family val="2"/>
      <scheme val="minor"/>
    </font>
    <font>
      <b/>
      <sz val="10"/>
      <color rgb="FF0000CC"/>
      <name val="Calibri"/>
      <family val="2"/>
      <scheme val="minor"/>
    </font>
    <font>
      <sz val="10"/>
      <color theme="10"/>
      <name val="Calibri"/>
      <family val="2"/>
    </font>
    <font>
      <b/>
      <sz val="12"/>
      <color theme="1"/>
      <name val="Calibri"/>
      <family val="2"/>
      <scheme val="minor"/>
    </font>
    <font>
      <sz val="9"/>
      <color indexed="81"/>
      <name val="Calibri"/>
      <family val="2"/>
    </font>
    <font>
      <sz val="10"/>
      <name val="Calibri"/>
      <family val="2"/>
    </font>
    <font>
      <sz val="10"/>
      <color rgb="FF0000CC"/>
      <name val="Calibri"/>
      <family val="2"/>
    </font>
    <font>
      <sz val="10"/>
      <color rgb="FF000000"/>
      <name val="Calibri"/>
      <family val="2"/>
      <scheme val="minor"/>
    </font>
    <font>
      <sz val="11"/>
      <color theme="0"/>
      <name val="Calibri"/>
      <family val="2"/>
      <scheme val="minor"/>
    </font>
    <font>
      <sz val="10"/>
      <color rgb="FFFFFFFF"/>
      <name val="Open Sans"/>
    </font>
    <font>
      <u/>
      <sz val="11"/>
      <color theme="10"/>
      <name val="Calibri"/>
      <family val="2"/>
      <scheme val="minor"/>
    </font>
    <font>
      <sz val="10"/>
      <color theme="1"/>
      <name val="Open Sans"/>
    </font>
    <font>
      <sz val="11"/>
      <color rgb="FF00B0F0"/>
      <name val="Calibri"/>
      <family val="2"/>
      <scheme val="minor"/>
    </font>
    <font>
      <sz val="8"/>
      <color theme="1"/>
      <name val="Calibri"/>
      <family val="2"/>
      <scheme val="minor"/>
    </font>
    <font>
      <sz val="9"/>
      <color theme="1"/>
      <name val="Calibri"/>
      <family val="2"/>
      <scheme val="minor"/>
    </font>
    <font>
      <sz val="8"/>
      <color rgb="FF000000"/>
      <name val="Tahoma"/>
      <family val="2"/>
    </font>
    <font>
      <sz val="11"/>
      <color theme="0" tint="-0.499984740745262"/>
      <name val="Calibri"/>
      <family val="2"/>
      <scheme val="minor"/>
    </font>
    <font>
      <b/>
      <sz val="11"/>
      <color indexed="8"/>
      <name val="Calibri"/>
      <family val="2"/>
    </font>
    <font>
      <sz val="11"/>
      <color rgb="FF00B0F0"/>
      <name val="Calibri"/>
      <family val="2"/>
    </font>
    <font>
      <b/>
      <sz val="11"/>
      <color rgb="FF00B0F0"/>
      <name val="Calibri"/>
      <family val="2"/>
      <scheme val="minor"/>
    </font>
    <font>
      <u/>
      <sz val="11"/>
      <color rgb="FF00B0F0"/>
      <name val="Calibri"/>
      <family val="2"/>
    </font>
    <font>
      <b/>
      <sz val="14"/>
      <color rgb="FF0000CC"/>
      <name val="Calibri"/>
      <family val="2"/>
      <scheme val="minor"/>
    </font>
    <font>
      <b/>
      <sz val="12"/>
      <color rgb="FF0000CC"/>
      <name val="Calibri"/>
      <family val="2"/>
      <scheme val="minor"/>
    </font>
    <font>
      <sz val="10"/>
      <color rgb="FF0000FF"/>
      <name val="Calibri"/>
      <family val="2"/>
      <scheme val="minor"/>
    </font>
    <font>
      <b/>
      <sz val="12"/>
      <color rgb="FF0000FF"/>
      <name val="Calibri"/>
      <family val="2"/>
      <scheme val="minor"/>
    </font>
    <font>
      <b/>
      <i/>
      <sz val="10"/>
      <color theme="0" tint="-0.499984740745262"/>
      <name val="Calibri"/>
      <family val="2"/>
      <scheme val="minor"/>
    </font>
    <font>
      <sz val="10"/>
      <color rgb="FF00B0F0"/>
      <name val="Calibri"/>
      <family val="2"/>
      <scheme val="minor"/>
    </font>
    <font>
      <sz val="10"/>
      <name val="Arial"/>
      <family val="2"/>
    </font>
  </fonts>
  <fills count="21">
    <fill>
      <patternFill patternType="none"/>
    </fill>
    <fill>
      <patternFill patternType="gray125"/>
    </fill>
    <fill>
      <patternFill patternType="solid">
        <fgColor rgb="FFFFFF00"/>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rgb="FFFFC000"/>
        <bgColor indexed="64"/>
      </patternFill>
    </fill>
    <fill>
      <patternFill patternType="solid">
        <fgColor rgb="FFC00000"/>
        <bgColor indexed="64"/>
      </patternFill>
    </fill>
    <fill>
      <patternFill patternType="solid">
        <fgColor rgb="FF0000CC"/>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rgb="FFFF0000"/>
        <bgColor indexed="64"/>
      </patternFill>
    </fill>
    <fill>
      <patternFill patternType="solid">
        <fgColor rgb="FFFFFFCC"/>
        <bgColor indexed="64"/>
      </patternFill>
    </fill>
    <fill>
      <patternFill patternType="solid">
        <fgColor theme="9" tint="0.79998168889431442"/>
        <bgColor indexed="64"/>
      </patternFill>
    </fill>
    <fill>
      <patternFill patternType="solid">
        <fgColor rgb="FF0000FF"/>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rgb="FF186498"/>
        <bgColor indexed="64"/>
      </patternFill>
    </fill>
    <fill>
      <patternFill patternType="solid">
        <fgColor rgb="FFF6F6F6"/>
        <bgColor indexed="64"/>
      </patternFill>
    </fill>
    <fill>
      <patternFill patternType="solid">
        <fgColor rgb="FFCCCCFF"/>
        <bgColor indexed="64"/>
      </patternFill>
    </fill>
    <fill>
      <patternFill patternType="solid">
        <fgColor rgb="FF00B0F0"/>
        <bgColor indexed="64"/>
      </patternFill>
    </fill>
  </fills>
  <borders count="99">
    <border>
      <left/>
      <right/>
      <top/>
      <bottom/>
      <diagonal/>
    </border>
    <border>
      <left style="thin">
        <color auto="1"/>
      </left>
      <right style="hair">
        <color auto="1"/>
      </right>
      <top style="thin">
        <color auto="1"/>
      </top>
      <bottom style="thin">
        <color indexed="64"/>
      </bottom>
      <diagonal/>
    </border>
    <border>
      <left style="hair">
        <color auto="1"/>
      </left>
      <right style="hair">
        <color auto="1"/>
      </right>
      <top style="thin">
        <color auto="1"/>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auto="1"/>
      </left>
      <right style="thin">
        <color auto="1"/>
      </right>
      <top style="hair">
        <color auto="1"/>
      </top>
      <bottom style="hair">
        <color auto="1"/>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hair">
        <color auto="1"/>
      </right>
      <top style="hair">
        <color auto="1"/>
      </top>
      <bottom style="thin">
        <color auto="1"/>
      </bottom>
      <diagonal/>
    </border>
    <border>
      <left style="hair">
        <color auto="1"/>
      </left>
      <right/>
      <top style="hair">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hair">
        <color auto="1"/>
      </left>
      <right style="hair">
        <color indexed="64"/>
      </right>
      <top style="thin">
        <color indexed="64"/>
      </top>
      <bottom style="hair">
        <color auto="1"/>
      </bottom>
      <diagonal/>
    </border>
    <border>
      <left/>
      <right style="thin">
        <color auto="1"/>
      </right>
      <top style="hair">
        <color auto="1"/>
      </top>
      <bottom style="hair">
        <color auto="1"/>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style="thin">
        <color auto="1"/>
      </left>
      <right style="thin">
        <color auto="1"/>
      </right>
      <top/>
      <bottom style="hair">
        <color auto="1"/>
      </bottom>
      <diagonal/>
    </border>
    <border>
      <left/>
      <right/>
      <top style="hair">
        <color indexed="64"/>
      </top>
      <bottom style="hair">
        <color indexed="64"/>
      </bottom>
      <diagonal/>
    </border>
    <border>
      <left style="thin">
        <color auto="1"/>
      </left>
      <right style="hair">
        <color auto="1"/>
      </right>
      <top style="thin">
        <color indexed="64"/>
      </top>
      <bottom style="hair">
        <color auto="1"/>
      </bottom>
      <diagonal/>
    </border>
    <border>
      <left style="hair">
        <color indexed="64"/>
      </left>
      <right style="thin">
        <color indexed="64"/>
      </right>
      <top style="thin">
        <color indexed="64"/>
      </top>
      <bottom style="hair">
        <color indexed="64"/>
      </bottom>
      <diagonal/>
    </border>
    <border>
      <left/>
      <right style="hair">
        <color indexed="64"/>
      </right>
      <top style="thin">
        <color indexed="64"/>
      </top>
      <bottom style="hair">
        <color auto="1"/>
      </bottom>
      <diagonal/>
    </border>
    <border>
      <left style="hair">
        <color auto="1"/>
      </left>
      <right style="thin">
        <color indexed="64"/>
      </right>
      <top/>
      <bottom style="hair">
        <color auto="1"/>
      </bottom>
      <diagonal/>
    </border>
    <border>
      <left style="thin">
        <color indexed="64"/>
      </left>
      <right/>
      <top/>
      <bottom style="thin">
        <color indexed="64"/>
      </bottom>
      <diagonal/>
    </border>
    <border>
      <left style="thin">
        <color auto="1"/>
      </left>
      <right style="hair">
        <color auto="1"/>
      </right>
      <top/>
      <bottom style="hair">
        <color auto="1"/>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right style="thin">
        <color auto="1"/>
      </right>
      <top/>
      <bottom style="thin">
        <color auto="1"/>
      </bottom>
      <diagonal/>
    </border>
    <border>
      <left style="hair">
        <color auto="1"/>
      </left>
      <right/>
      <top/>
      <bottom style="hair">
        <color auto="1"/>
      </bottom>
      <diagonal/>
    </border>
    <border>
      <left/>
      <right style="thin">
        <color auto="1"/>
      </right>
      <top style="hair">
        <color auto="1"/>
      </top>
      <bottom style="thin">
        <color auto="1"/>
      </bottom>
      <diagonal/>
    </border>
    <border>
      <left/>
      <right/>
      <top style="hair">
        <color auto="1"/>
      </top>
      <bottom style="thin">
        <color auto="1"/>
      </bottom>
      <diagonal/>
    </border>
    <border>
      <left style="thin">
        <color auto="1"/>
      </left>
      <right/>
      <top style="hair">
        <color indexed="64"/>
      </top>
      <bottom style="thin">
        <color indexed="64"/>
      </bottom>
      <diagonal/>
    </border>
    <border>
      <left style="thin">
        <color auto="1"/>
      </left>
      <right/>
      <top/>
      <bottom/>
      <diagonal/>
    </border>
    <border>
      <left/>
      <right/>
      <top/>
      <bottom style="thin">
        <color indexed="64"/>
      </bottom>
      <diagonal/>
    </border>
    <border>
      <left style="thin">
        <color indexed="64"/>
      </left>
      <right style="thin">
        <color indexed="64"/>
      </right>
      <top style="thin">
        <color indexed="64"/>
      </top>
      <bottom/>
      <diagonal/>
    </border>
    <border>
      <left style="hair">
        <color auto="1"/>
      </left>
      <right style="hair">
        <color auto="1"/>
      </right>
      <top/>
      <bottom style="thin">
        <color auto="1"/>
      </bottom>
      <diagonal/>
    </border>
    <border>
      <left style="hair">
        <color auto="1"/>
      </left>
      <right style="thin">
        <color auto="1"/>
      </right>
      <top/>
      <bottom style="thin">
        <color auto="1"/>
      </bottom>
      <diagonal/>
    </border>
    <border>
      <left style="thin">
        <color auto="1"/>
      </left>
      <right style="hair">
        <color auto="1"/>
      </right>
      <top/>
      <bottom style="thin">
        <color auto="1"/>
      </bottom>
      <diagonal/>
    </border>
    <border>
      <left/>
      <right style="thin">
        <color indexed="64"/>
      </right>
      <top/>
      <bottom style="hair">
        <color auto="1"/>
      </bottom>
      <diagonal/>
    </border>
    <border>
      <left/>
      <right style="hair">
        <color auto="1"/>
      </right>
      <top/>
      <bottom style="thin">
        <color auto="1"/>
      </bottom>
      <diagonal/>
    </border>
    <border>
      <left style="hair">
        <color indexed="64"/>
      </left>
      <right style="hair">
        <color indexed="64"/>
      </right>
      <top style="hair">
        <color indexed="64"/>
      </top>
      <bottom/>
      <diagonal/>
    </border>
    <border>
      <left style="thin">
        <color auto="1"/>
      </left>
      <right style="hair">
        <color auto="1"/>
      </right>
      <top style="thin">
        <color auto="1"/>
      </top>
      <bottom style="thin">
        <color indexed="64"/>
      </bottom>
      <diagonal/>
    </border>
    <border>
      <left style="hair">
        <color auto="1"/>
      </left>
      <right style="thin">
        <color auto="1"/>
      </right>
      <top style="thin">
        <color auto="1"/>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bottom style="hair">
        <color auto="1"/>
      </bottom>
      <diagonal/>
    </border>
    <border>
      <left/>
      <right/>
      <top/>
      <bottom style="hair">
        <color indexed="64"/>
      </bottom>
      <diagonal/>
    </border>
    <border>
      <left style="thin">
        <color indexed="64"/>
      </left>
      <right style="hair">
        <color indexed="64"/>
      </right>
      <top style="hair">
        <color indexed="64"/>
      </top>
      <bottom/>
      <diagonal/>
    </border>
    <border>
      <left style="hair">
        <color auto="1"/>
      </left>
      <right style="thin">
        <color auto="1"/>
      </right>
      <top style="hair">
        <color auto="1"/>
      </top>
      <bottom/>
      <diagonal/>
    </border>
    <border>
      <left style="hair">
        <color auto="1"/>
      </left>
      <right/>
      <top/>
      <bottom style="thin">
        <color auto="1"/>
      </bottom>
      <diagonal/>
    </border>
    <border>
      <left style="hair">
        <color auto="1"/>
      </left>
      <right style="hair">
        <color auto="1"/>
      </right>
      <top/>
      <bottom/>
      <diagonal/>
    </border>
    <border>
      <left style="thin">
        <color auto="1"/>
      </left>
      <right style="hair">
        <color auto="1"/>
      </right>
      <top/>
      <bottom/>
      <diagonal/>
    </border>
    <border>
      <left/>
      <right style="thin">
        <color indexed="64"/>
      </right>
      <top/>
      <bottom/>
      <diagonal/>
    </border>
    <border>
      <left/>
      <right style="thin">
        <color auto="1"/>
      </right>
      <top style="thin">
        <color auto="1"/>
      </top>
      <bottom style="thin">
        <color indexed="64"/>
      </bottom>
      <diagonal/>
    </border>
    <border>
      <left/>
      <right style="thin">
        <color indexed="64"/>
      </right>
      <top style="thin">
        <color indexed="64"/>
      </top>
      <bottom style="hair">
        <color indexed="64"/>
      </bottom>
      <diagonal/>
    </border>
    <border>
      <left/>
      <right style="hair">
        <color auto="1"/>
      </right>
      <top style="thin">
        <color auto="1"/>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hair">
        <color auto="1"/>
      </right>
      <top style="thin">
        <color indexed="64"/>
      </top>
      <bottom style="thin">
        <color auto="1"/>
      </bottom>
      <diagonal/>
    </border>
    <border>
      <left/>
      <right style="medium">
        <color rgb="FFFFFFFF"/>
      </right>
      <top/>
      <bottom/>
      <diagonal/>
    </border>
    <border>
      <left/>
      <right style="medium">
        <color rgb="FFD7D7D7"/>
      </right>
      <top/>
      <bottom/>
      <diagonal/>
    </border>
    <border>
      <left/>
      <right style="medium">
        <color rgb="FFD7D7D7"/>
      </right>
      <top/>
      <bottom style="medium">
        <color rgb="FFD7D7D7"/>
      </bottom>
      <diagonal/>
    </border>
    <border>
      <left/>
      <right style="thin">
        <color auto="1"/>
      </right>
      <top style="thin">
        <color auto="1"/>
      </top>
      <bottom style="thin">
        <color indexed="64"/>
      </bottom>
      <diagonal/>
    </border>
    <border>
      <left style="hair">
        <color auto="1"/>
      </left>
      <right style="hair">
        <color auto="1"/>
      </right>
      <top style="thin">
        <color auto="1"/>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hair">
        <color auto="1"/>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auto="1"/>
      </left>
      <right/>
      <top style="thin">
        <color indexed="64"/>
      </top>
      <bottom style="thin">
        <color indexed="64"/>
      </bottom>
      <diagonal/>
    </border>
    <border>
      <left/>
      <right style="thin">
        <color auto="1"/>
      </right>
      <top style="thin">
        <color auto="1"/>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hair">
        <color indexed="64"/>
      </right>
      <top style="hair">
        <color indexed="64"/>
      </top>
      <bottom/>
      <diagonal/>
    </border>
    <border>
      <left style="thin">
        <color auto="1"/>
      </left>
      <right style="hair">
        <color auto="1"/>
      </right>
      <top/>
      <bottom/>
      <diagonal/>
    </border>
    <border>
      <left style="thin">
        <color indexed="64"/>
      </left>
      <right style="thin">
        <color indexed="64"/>
      </right>
      <top/>
      <bottom/>
      <diagonal/>
    </border>
    <border>
      <left/>
      <right style="hair">
        <color indexed="64"/>
      </right>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hair">
        <color indexed="64"/>
      </left>
      <right style="thin">
        <color auto="1"/>
      </right>
      <top/>
      <bottom/>
      <diagonal/>
    </border>
    <border>
      <left style="thin">
        <color indexed="64"/>
      </left>
      <right/>
      <top style="hair">
        <color indexed="64"/>
      </top>
      <bottom/>
      <diagonal/>
    </border>
    <border>
      <left style="thin">
        <color indexed="64"/>
      </left>
      <right/>
      <top style="thin">
        <color indexed="64"/>
      </top>
      <bottom/>
      <diagonal/>
    </border>
    <border>
      <left/>
      <right/>
      <top style="thin">
        <color indexed="64"/>
      </top>
      <bottom/>
      <diagonal/>
    </border>
  </borders>
  <cellStyleXfs count="6">
    <xf numFmtId="0" fontId="0" fillId="0" borderId="0"/>
    <xf numFmtId="9" fontId="2" fillId="0" borderId="0" applyFont="0" applyFill="0" applyBorder="0" applyAlignment="0" applyProtection="0"/>
    <xf numFmtId="0" fontId="1" fillId="0" borderId="0" applyNumberFormat="0" applyFill="0" applyBorder="0" applyAlignment="0" applyProtection="0">
      <alignment vertical="top"/>
      <protection locked="0"/>
    </xf>
    <xf numFmtId="0" fontId="32" fillId="0" borderId="0" applyNumberFormat="0" applyFill="0" applyBorder="0" applyAlignment="0" applyProtection="0"/>
    <xf numFmtId="43" fontId="19" fillId="0" borderId="0" applyFont="0" applyFill="0" applyBorder="0" applyAlignment="0" applyProtection="0"/>
    <xf numFmtId="0" fontId="49" fillId="0" borderId="0"/>
  </cellStyleXfs>
  <cellXfs count="1269">
    <xf numFmtId="0" fontId="0" fillId="0" borderId="0" xfId="0"/>
    <xf numFmtId="0" fontId="6" fillId="0" borderId="5" xfId="2" applyFont="1" applyFill="1" applyBorder="1" applyAlignment="1" applyProtection="1">
      <alignment horizontal="left"/>
    </xf>
    <xf numFmtId="0" fontId="0" fillId="0" borderId="0" xfId="0" applyFont="1" applyAlignment="1">
      <alignment horizontal="center" vertical="center"/>
    </xf>
    <xf numFmtId="0" fontId="0" fillId="0" borderId="0" xfId="0" applyFont="1"/>
    <xf numFmtId="0" fontId="0" fillId="0" borderId="0" xfId="0" applyFont="1" applyAlignment="1">
      <alignment horizontal="center"/>
    </xf>
    <xf numFmtId="0" fontId="7" fillId="2" borderId="14" xfId="0" applyFont="1" applyFill="1" applyBorder="1" applyAlignment="1">
      <alignment horizontal="center" vertical="center"/>
    </xf>
    <xf numFmtId="0" fontId="8" fillId="2" borderId="1" xfId="0" applyNumberFormat="1" applyFont="1" applyFill="1" applyBorder="1" applyAlignment="1">
      <alignment horizontal="center" vertical="center"/>
    </xf>
    <xf numFmtId="0" fontId="0" fillId="0" borderId="24" xfId="0" applyNumberFormat="1" applyFont="1" applyBorder="1"/>
    <xf numFmtId="0" fontId="0" fillId="0" borderId="19" xfId="0" applyFont="1" applyBorder="1" applyAlignment="1">
      <alignment horizontal="center"/>
    </xf>
    <xf numFmtId="0" fontId="0" fillId="0" borderId="3" xfId="0" applyNumberFormat="1" applyFont="1" applyBorder="1"/>
    <xf numFmtId="0" fontId="0" fillId="0" borderId="20" xfId="0" applyFont="1" applyBorder="1" applyAlignment="1">
      <alignment horizontal="center"/>
    </xf>
    <xf numFmtId="0" fontId="5" fillId="0" borderId="3" xfId="0" applyFont="1" applyBorder="1"/>
    <xf numFmtId="0" fontId="0" fillId="0" borderId="21" xfId="0" applyFont="1" applyBorder="1" applyAlignment="1">
      <alignment horizontal="center"/>
    </xf>
    <xf numFmtId="0" fontId="0" fillId="0" borderId="0" xfId="0" applyFont="1" applyAlignment="1"/>
    <xf numFmtId="0" fontId="0" fillId="0" borderId="0" xfId="0" applyFont="1" applyAlignment="1">
      <alignment horizontal="right"/>
    </xf>
    <xf numFmtId="0" fontId="0" fillId="0" borderId="0" xfId="0" applyFont="1" applyAlignment="1">
      <alignment horizontal="left"/>
    </xf>
    <xf numFmtId="0" fontId="5" fillId="0" borderId="0" xfId="0" applyFont="1" applyAlignment="1">
      <alignment horizontal="center"/>
    </xf>
    <xf numFmtId="0" fontId="0" fillId="0" borderId="13" xfId="0" applyFont="1" applyBorder="1" applyAlignment="1">
      <alignment horizontal="center"/>
    </xf>
    <xf numFmtId="0" fontId="0" fillId="0" borderId="15" xfId="0" applyFont="1" applyBorder="1" applyAlignment="1">
      <alignment horizontal="center"/>
    </xf>
    <xf numFmtId="0" fontId="0" fillId="0" borderId="16" xfId="0" applyFont="1" applyBorder="1" applyAlignment="1">
      <alignment horizontal="center"/>
    </xf>
    <xf numFmtId="3" fontId="0" fillId="0" borderId="5" xfId="0" applyNumberFormat="1" applyFont="1" applyBorder="1" applyAlignment="1">
      <alignment horizontal="right"/>
    </xf>
    <xf numFmtId="0" fontId="0" fillId="0" borderId="20" xfId="0" applyFont="1" applyFill="1" applyBorder="1" applyAlignment="1">
      <alignment horizontal="center" vertical="center"/>
    </xf>
    <xf numFmtId="0" fontId="0" fillId="0" borderId="19" xfId="0" applyFont="1" applyFill="1" applyBorder="1" applyAlignment="1">
      <alignment horizontal="center" vertical="center"/>
    </xf>
    <xf numFmtId="0" fontId="6" fillId="0" borderId="4" xfId="2" applyFont="1" applyFill="1" applyBorder="1" applyAlignment="1" applyProtection="1">
      <alignment horizontal="left"/>
    </xf>
    <xf numFmtId="0" fontId="0" fillId="0" borderId="20" xfId="0" applyFont="1" applyFill="1" applyBorder="1" applyAlignment="1">
      <alignment horizontal="center"/>
    </xf>
    <xf numFmtId="0" fontId="0" fillId="0" borderId="4" xfId="0" applyFont="1" applyBorder="1" applyAlignment="1">
      <alignment horizontal="center" vertical="center"/>
    </xf>
    <xf numFmtId="0" fontId="10" fillId="0" borderId="0" xfId="0" applyFont="1"/>
    <xf numFmtId="0" fontId="1" fillId="0" borderId="0" xfId="2" applyAlignment="1" applyProtection="1"/>
    <xf numFmtId="0" fontId="12" fillId="0" borderId="0" xfId="0" applyFont="1" applyAlignment="1">
      <alignment horizontal="center" vertical="center"/>
    </xf>
    <xf numFmtId="0" fontId="12" fillId="0" borderId="0" xfId="0" applyFont="1" applyAlignment="1">
      <alignment horizontal="center"/>
    </xf>
    <xf numFmtId="0" fontId="12" fillId="0" borderId="0" xfId="0" applyFont="1" applyAlignment="1">
      <alignment vertical="center"/>
    </xf>
    <xf numFmtId="0" fontId="12" fillId="0" borderId="0" xfId="0" applyFont="1" applyAlignment="1">
      <alignment horizontal="left" vertical="center"/>
    </xf>
    <xf numFmtId="0" fontId="6" fillId="0" borderId="23" xfId="2" applyFont="1" applyFill="1" applyBorder="1" applyAlignment="1" applyProtection="1">
      <alignment horizontal="left"/>
    </xf>
    <xf numFmtId="0" fontId="0" fillId="0" borderId="0" xfId="0" applyFont="1" applyFill="1" applyBorder="1" applyAlignment="1">
      <alignment horizontal="center"/>
    </xf>
    <xf numFmtId="0" fontId="0" fillId="0" borderId="3" xfId="0" applyFont="1" applyBorder="1"/>
    <xf numFmtId="0" fontId="0" fillId="0" borderId="4" xfId="0" applyFont="1" applyBorder="1" applyAlignment="1">
      <alignment horizontal="center"/>
    </xf>
    <xf numFmtId="0" fontId="0" fillId="0" borderId="9" xfId="0" applyFont="1" applyBorder="1" applyAlignment="1">
      <alignment horizontal="center"/>
    </xf>
    <xf numFmtId="0" fontId="0" fillId="0" borderId="0" xfId="0" applyFont="1" applyFill="1"/>
    <xf numFmtId="0" fontId="0" fillId="0" borderId="0" xfId="0" applyFont="1" applyFill="1" applyBorder="1" applyAlignment="1">
      <alignment horizontal="right"/>
    </xf>
    <xf numFmtId="0" fontId="0" fillId="0" borderId="24" xfId="0" applyFont="1" applyBorder="1" applyAlignment="1">
      <alignment horizontal="center"/>
    </xf>
    <xf numFmtId="0" fontId="0" fillId="0" borderId="3" xfId="0" applyFont="1" applyBorder="1" applyAlignment="1">
      <alignment horizontal="center"/>
    </xf>
    <xf numFmtId="0" fontId="0" fillId="0" borderId="8" xfId="0" applyFont="1" applyBorder="1" applyAlignment="1">
      <alignment horizontal="center"/>
    </xf>
    <xf numFmtId="0" fontId="0" fillId="0" borderId="30" xfId="0" applyFont="1" applyBorder="1" applyAlignment="1">
      <alignment horizontal="center"/>
    </xf>
    <xf numFmtId="0" fontId="11" fillId="0" borderId="15" xfId="0" applyFont="1" applyFill="1" applyBorder="1" applyAlignment="1">
      <alignment horizontal="center"/>
    </xf>
    <xf numFmtId="0" fontId="0" fillId="0" borderId="0" xfId="0" applyFont="1" applyFill="1" applyAlignment="1">
      <alignment horizontal="right"/>
    </xf>
    <xf numFmtId="0" fontId="0" fillId="0" borderId="0" xfId="0" applyFont="1" applyFill="1" applyAlignment="1">
      <alignment horizontal="center"/>
    </xf>
    <xf numFmtId="0" fontId="7" fillId="2" borderId="0" xfId="0" applyFont="1" applyFill="1" applyAlignment="1">
      <alignment horizontal="center"/>
    </xf>
    <xf numFmtId="0" fontId="5" fillId="0" borderId="0" xfId="0" applyFont="1"/>
    <xf numFmtId="0" fontId="13" fillId="0" borderId="0" xfId="0" applyFont="1"/>
    <xf numFmtId="0" fontId="0" fillId="0" borderId="0" xfId="0" applyAlignment="1">
      <alignment horizontal="center"/>
    </xf>
    <xf numFmtId="0" fontId="0" fillId="0" borderId="31" xfId="0" applyFont="1" applyBorder="1" applyAlignment="1">
      <alignment horizontal="center"/>
    </xf>
    <xf numFmtId="0" fontId="0" fillId="0" borderId="7" xfId="0" applyFont="1" applyBorder="1" applyAlignment="1">
      <alignment horizontal="center"/>
    </xf>
    <xf numFmtId="0" fontId="0" fillId="2" borderId="0" xfId="0" applyFill="1" applyAlignment="1">
      <alignment horizontal="center"/>
    </xf>
    <xf numFmtId="0" fontId="0" fillId="3" borderId="0" xfId="0" applyFill="1"/>
    <xf numFmtId="0" fontId="0" fillId="9" borderId="0" xfId="0" applyFill="1"/>
    <xf numFmtId="0" fontId="19" fillId="0" borderId="4" xfId="0" applyFont="1" applyFill="1" applyBorder="1" applyAlignment="1">
      <alignment horizontal="center"/>
    </xf>
    <xf numFmtId="0" fontId="19" fillId="0" borderId="5" xfId="0" applyFont="1" applyFill="1" applyBorder="1" applyAlignment="1">
      <alignment horizontal="left"/>
    </xf>
    <xf numFmtId="0" fontId="0" fillId="0" borderId="0" xfId="0" applyBorder="1"/>
    <xf numFmtId="0" fontId="12" fillId="0" borderId="0" xfId="0" applyFont="1"/>
    <xf numFmtId="0" fontId="23" fillId="2" borderId="4" xfId="0" applyNumberFormat="1" applyFont="1" applyFill="1" applyBorder="1" applyAlignment="1">
      <alignment horizontal="left" vertical="center"/>
    </xf>
    <xf numFmtId="0" fontId="23" fillId="2" borderId="4" xfId="0" applyFont="1" applyFill="1" applyBorder="1" applyAlignment="1">
      <alignment horizontal="left" vertical="center"/>
    </xf>
    <xf numFmtId="0" fontId="17" fillId="0" borderId="4" xfId="0" applyNumberFormat="1" applyFont="1" applyFill="1" applyBorder="1" applyAlignment="1">
      <alignment horizontal="left" vertical="center"/>
    </xf>
    <xf numFmtId="0" fontId="21" fillId="6" borderId="26" xfId="0" applyFont="1" applyFill="1" applyBorder="1" applyAlignment="1">
      <alignment horizontal="center" vertical="center"/>
    </xf>
    <xf numFmtId="0" fontId="22" fillId="13" borderId="17" xfId="0" applyFont="1" applyFill="1" applyBorder="1" applyAlignment="1">
      <alignment horizontal="center" vertical="center"/>
    </xf>
    <xf numFmtId="0" fontId="12" fillId="0" borderId="6" xfId="0" applyFont="1" applyBorder="1" applyAlignment="1">
      <alignment horizontal="center" vertical="center"/>
    </xf>
    <xf numFmtId="0" fontId="23" fillId="2" borderId="4" xfId="0" applyFont="1" applyFill="1" applyBorder="1" applyAlignment="1">
      <alignment vertical="center"/>
    </xf>
    <xf numFmtId="0" fontId="12" fillId="0" borderId="0" xfId="0" applyFont="1" applyBorder="1" applyAlignment="1">
      <alignment horizontal="center" vertical="center"/>
    </xf>
    <xf numFmtId="0" fontId="21" fillId="6" borderId="24" xfId="0" applyFont="1" applyFill="1" applyBorder="1" applyAlignment="1">
      <alignment horizontal="center" vertical="center"/>
    </xf>
    <xf numFmtId="0" fontId="12" fillId="0" borderId="3" xfId="0" applyFont="1" applyBorder="1" applyAlignment="1">
      <alignment horizontal="center" vertical="center"/>
    </xf>
    <xf numFmtId="0" fontId="6" fillId="0" borderId="0" xfId="2" applyFont="1" applyFill="1" applyAlignment="1" applyProtection="1"/>
    <xf numFmtId="0" fontId="6" fillId="0" borderId="0" xfId="2" applyFont="1" applyAlignment="1" applyProtection="1"/>
    <xf numFmtId="0" fontId="0" fillId="5" borderId="20" xfId="0" applyFont="1" applyFill="1" applyBorder="1" applyAlignment="1">
      <alignment horizontal="center" vertical="center"/>
    </xf>
    <xf numFmtId="3" fontId="0" fillId="0" borderId="0" xfId="0" applyNumberFormat="1" applyFont="1"/>
    <xf numFmtId="3" fontId="0" fillId="0" borderId="0" xfId="0" applyNumberFormat="1" applyFont="1" applyAlignment="1">
      <alignment horizontal="right"/>
    </xf>
    <xf numFmtId="0" fontId="7" fillId="2" borderId="48" xfId="0" applyFont="1" applyFill="1" applyBorder="1" applyAlignment="1">
      <alignment horizontal="center" vertical="center"/>
    </xf>
    <xf numFmtId="0" fontId="0" fillId="0" borderId="22" xfId="0" applyFill="1" applyBorder="1" applyAlignment="1">
      <alignment horizontal="center"/>
    </xf>
    <xf numFmtId="0" fontId="0" fillId="0" borderId="20" xfId="0" applyFill="1" applyBorder="1" applyAlignment="1">
      <alignment horizontal="center"/>
    </xf>
    <xf numFmtId="0" fontId="0" fillId="0" borderId="0" xfId="0" applyNumberFormat="1" applyFont="1" applyAlignment="1">
      <alignment horizontal="center"/>
    </xf>
    <xf numFmtId="0" fontId="11" fillId="0" borderId="39" xfId="0" applyFont="1" applyFill="1" applyBorder="1" applyAlignment="1">
      <alignment horizontal="center"/>
    </xf>
    <xf numFmtId="0" fontId="11" fillId="0" borderId="16" xfId="0" applyFont="1" applyFill="1" applyBorder="1" applyAlignment="1">
      <alignment horizontal="center"/>
    </xf>
    <xf numFmtId="0" fontId="19" fillId="0" borderId="4" xfId="0" applyFont="1" applyBorder="1" applyAlignment="1">
      <alignment horizontal="center" vertical="center"/>
    </xf>
    <xf numFmtId="0" fontId="6" fillId="0" borderId="3" xfId="2" applyFont="1" applyBorder="1" applyAlignment="1" applyProtection="1">
      <alignment horizontal="left"/>
    </xf>
    <xf numFmtId="0" fontId="0" fillId="0" borderId="4" xfId="0" applyFont="1" applyBorder="1" applyAlignment="1">
      <alignment horizontal="left"/>
    </xf>
    <xf numFmtId="0" fontId="11" fillId="0" borderId="7" xfId="2" applyFont="1" applyFill="1" applyBorder="1" applyAlignment="1" applyProtection="1">
      <alignment horizontal="center"/>
    </xf>
    <xf numFmtId="0" fontId="6" fillId="0" borderId="4" xfId="2" applyFont="1" applyFill="1" applyBorder="1" applyAlignment="1" applyProtection="1">
      <alignment horizontal="center"/>
    </xf>
    <xf numFmtId="0" fontId="6" fillId="0" borderId="3" xfId="2" applyFont="1" applyBorder="1" applyAlignment="1" applyProtection="1"/>
    <xf numFmtId="0" fontId="11" fillId="0" borderId="3" xfId="2" applyFont="1" applyFill="1" applyBorder="1" applyAlignment="1" applyProtection="1">
      <alignment horizontal="center"/>
    </xf>
    <xf numFmtId="0" fontId="0" fillId="0" borderId="22" xfId="0" applyFont="1" applyFill="1" applyBorder="1" applyAlignment="1">
      <alignment horizontal="center"/>
    </xf>
    <xf numFmtId="0" fontId="13" fillId="0" borderId="4" xfId="0" applyFont="1" applyBorder="1" applyAlignment="1">
      <alignment horizontal="center"/>
    </xf>
    <xf numFmtId="0" fontId="6" fillId="0" borderId="20" xfId="2" applyFont="1" applyBorder="1" applyAlignment="1" applyProtection="1">
      <alignment horizontal="left"/>
    </xf>
    <xf numFmtId="0" fontId="0" fillId="0" borderId="5" xfId="0" applyFont="1" applyBorder="1" applyAlignment="1">
      <alignment horizontal="left"/>
    </xf>
    <xf numFmtId="0" fontId="0" fillId="2" borderId="0" xfId="0" applyFill="1"/>
    <xf numFmtId="0" fontId="7" fillId="2" borderId="0" xfId="0" applyFont="1" applyFill="1" applyBorder="1" applyAlignment="1">
      <alignment horizontal="center" vertical="center"/>
    </xf>
    <xf numFmtId="0" fontId="6" fillId="0" borderId="0" xfId="2" applyFont="1" applyFill="1" applyAlignment="1" applyProtection="1">
      <alignment horizontal="left"/>
    </xf>
    <xf numFmtId="0" fontId="6" fillId="0" borderId="6" xfId="2" applyFont="1" applyBorder="1" applyAlignment="1" applyProtection="1">
      <alignment horizontal="left"/>
    </xf>
    <xf numFmtId="0" fontId="0" fillId="0" borderId="4" xfId="0" applyFont="1" applyBorder="1"/>
    <xf numFmtId="0" fontId="6" fillId="0" borderId="3" xfId="2" applyFont="1" applyFill="1" applyBorder="1" applyAlignment="1" applyProtection="1">
      <alignment horizontal="left"/>
    </xf>
    <xf numFmtId="0" fontId="6" fillId="0" borderId="6" xfId="2" applyFont="1" applyFill="1" applyBorder="1" applyAlignment="1" applyProtection="1"/>
    <xf numFmtId="0" fontId="0" fillId="0" borderId="30" xfId="0" applyFont="1" applyBorder="1" applyAlignment="1">
      <alignment horizontal="left"/>
    </xf>
    <xf numFmtId="0" fontId="0" fillId="0" borderId="51" xfId="0" applyFont="1" applyBorder="1" applyAlignment="1">
      <alignment horizontal="center"/>
    </xf>
    <xf numFmtId="0" fontId="0" fillId="0" borderId="33" xfId="0" applyFont="1" applyBorder="1" applyAlignment="1">
      <alignment horizontal="center"/>
    </xf>
    <xf numFmtId="0" fontId="0" fillId="0" borderId="55" xfId="0" applyFill="1" applyBorder="1" applyAlignment="1">
      <alignment horizontal="center"/>
    </xf>
    <xf numFmtId="0" fontId="0" fillId="0" borderId="49" xfId="0" applyFill="1" applyBorder="1" applyAlignment="1">
      <alignment horizontal="center"/>
    </xf>
    <xf numFmtId="0" fontId="0" fillId="0" borderId="30" xfId="0" applyFont="1" applyBorder="1"/>
    <xf numFmtId="0" fontId="13" fillId="0" borderId="30" xfId="0" applyFont="1" applyBorder="1" applyAlignment="1">
      <alignment horizontal="center"/>
    </xf>
    <xf numFmtId="0" fontId="6" fillId="0" borderId="31" xfId="2" applyFont="1" applyBorder="1" applyAlignment="1" applyProtection="1"/>
    <xf numFmtId="0" fontId="6" fillId="0" borderId="6" xfId="2" applyFont="1" applyFill="1" applyBorder="1" applyAlignment="1" applyProtection="1">
      <alignment horizontal="center"/>
    </xf>
    <xf numFmtId="0" fontId="11" fillId="0" borderId="27" xfId="2" applyFont="1" applyFill="1" applyBorder="1" applyAlignment="1" applyProtection="1">
      <alignment horizontal="center"/>
    </xf>
    <xf numFmtId="0" fontId="19" fillId="0" borderId="6" xfId="0" applyFont="1" applyFill="1" applyBorder="1" applyAlignment="1">
      <alignment horizontal="left"/>
    </xf>
    <xf numFmtId="0" fontId="11" fillId="0" borderId="0" xfId="0" applyFont="1" applyFill="1" applyBorder="1" applyAlignment="1">
      <alignment horizontal="center"/>
    </xf>
    <xf numFmtId="0" fontId="11" fillId="0" borderId="30" xfId="2" applyFont="1" applyBorder="1" applyAlignment="1" applyProtection="1">
      <alignment horizontal="center"/>
    </xf>
    <xf numFmtId="1" fontId="0" fillId="0" borderId="5" xfId="0" applyNumberFormat="1" applyFill="1" applyBorder="1" applyAlignment="1">
      <alignment horizontal="center"/>
    </xf>
    <xf numFmtId="1" fontId="0" fillId="0" borderId="27" xfId="0" applyNumberFormat="1" applyFill="1" applyBorder="1" applyAlignment="1">
      <alignment horizontal="center"/>
    </xf>
    <xf numFmtId="1" fontId="0" fillId="0" borderId="5" xfId="0" applyNumberFormat="1" applyFont="1" applyBorder="1" applyAlignment="1">
      <alignment horizontal="center"/>
    </xf>
    <xf numFmtId="1" fontId="0" fillId="0" borderId="27" xfId="0" applyNumberFormat="1" applyFont="1" applyBorder="1" applyAlignment="1">
      <alignment horizontal="center"/>
    </xf>
    <xf numFmtId="164" fontId="0" fillId="0" borderId="4" xfId="0" applyNumberFormat="1" applyFont="1" applyBorder="1" applyAlignment="1">
      <alignment horizontal="center"/>
    </xf>
    <xf numFmtId="3" fontId="0" fillId="0" borderId="22" xfId="0" applyNumberFormat="1" applyFont="1" applyBorder="1" applyAlignment="1">
      <alignment horizontal="right"/>
    </xf>
    <xf numFmtId="3" fontId="0" fillId="0" borderId="20" xfId="0" applyNumberFormat="1" applyFont="1" applyBorder="1"/>
    <xf numFmtId="3" fontId="0" fillId="0" borderId="20" xfId="0" applyNumberFormat="1" applyFont="1" applyBorder="1" applyAlignment="1">
      <alignment horizontal="right"/>
    </xf>
    <xf numFmtId="3" fontId="0" fillId="0" borderId="27" xfId="0" applyNumberFormat="1" applyFont="1" applyBorder="1"/>
    <xf numFmtId="3" fontId="0" fillId="0" borderId="5" xfId="0" applyNumberFormat="1" applyFont="1" applyBorder="1"/>
    <xf numFmtId="0" fontId="0" fillId="0" borderId="5" xfId="0" applyNumberFormat="1" applyFill="1" applyBorder="1" applyAlignment="1">
      <alignment horizontal="center"/>
    </xf>
    <xf numFmtId="164" fontId="0" fillId="0" borderId="31" xfId="0" applyNumberFormat="1" applyFont="1" applyBorder="1" applyAlignment="1">
      <alignment horizontal="center"/>
    </xf>
    <xf numFmtId="164" fontId="0" fillId="0" borderId="6" xfId="0" applyNumberFormat="1" applyFont="1" applyBorder="1" applyAlignment="1">
      <alignment horizontal="center"/>
    </xf>
    <xf numFmtId="0" fontId="12" fillId="0" borderId="4" xfId="0" applyFont="1" applyBorder="1" applyAlignment="1">
      <alignment horizontal="center" vertical="center" wrapText="1"/>
    </xf>
    <xf numFmtId="9" fontId="12" fillId="0" borderId="4" xfId="0" applyNumberFormat="1" applyFont="1" applyBorder="1" applyAlignment="1">
      <alignment horizontal="center" vertical="center" wrapText="1"/>
    </xf>
    <xf numFmtId="0" fontId="12" fillId="0" borderId="5" xfId="0" applyFont="1" applyBorder="1" applyAlignment="1">
      <alignment horizontal="center" vertical="center" wrapText="1"/>
    </xf>
    <xf numFmtId="0" fontId="12" fillId="0" borderId="5" xfId="0" applyFont="1" applyBorder="1" applyAlignment="1">
      <alignment vertical="center" wrapText="1"/>
    </xf>
    <xf numFmtId="0" fontId="12" fillId="0" borderId="9" xfId="0" applyFont="1" applyBorder="1" applyAlignment="1">
      <alignment horizontal="center" vertical="center" wrapText="1"/>
    </xf>
    <xf numFmtId="9" fontId="12" fillId="0" borderId="9" xfId="0" applyNumberFormat="1" applyFont="1" applyBorder="1" applyAlignment="1">
      <alignment horizontal="center" vertical="center" wrapText="1"/>
    </xf>
    <xf numFmtId="0" fontId="12" fillId="0" borderId="10" xfId="0" applyFont="1" applyBorder="1" applyAlignment="1">
      <alignment horizontal="center" vertical="center" wrapText="1"/>
    </xf>
    <xf numFmtId="0" fontId="20" fillId="2" borderId="30" xfId="0" applyFont="1" applyFill="1" applyBorder="1" applyAlignment="1">
      <alignment horizontal="left" vertical="center" wrapText="1"/>
    </xf>
    <xf numFmtId="0" fontId="20" fillId="2" borderId="29" xfId="0" applyFont="1" applyFill="1" applyBorder="1" applyAlignment="1">
      <alignment horizontal="center" vertical="center" wrapText="1"/>
    </xf>
    <xf numFmtId="0" fontId="20" fillId="2" borderId="17" xfId="0" applyFont="1" applyFill="1" applyBorder="1" applyAlignment="1">
      <alignment horizontal="center" vertical="center" wrapText="1"/>
    </xf>
    <xf numFmtId="0" fontId="20" fillId="2" borderId="25" xfId="0" applyFont="1" applyFill="1" applyBorder="1" applyAlignment="1">
      <alignment horizontal="center" vertical="center" wrapText="1"/>
    </xf>
    <xf numFmtId="0" fontId="12" fillId="0" borderId="8" xfId="0" applyFont="1" applyBorder="1" applyAlignment="1">
      <alignment horizontal="center" vertical="center"/>
    </xf>
    <xf numFmtId="0" fontId="12" fillId="0" borderId="57" xfId="0" applyFont="1" applyBorder="1" applyAlignment="1">
      <alignment horizontal="center" vertical="center"/>
    </xf>
    <xf numFmtId="0" fontId="12" fillId="0" borderId="45" xfId="0" applyFont="1" applyBorder="1" applyAlignment="1">
      <alignment horizontal="center" vertical="center" wrapText="1"/>
    </xf>
    <xf numFmtId="9" fontId="12" fillId="0" borderId="45" xfId="0" applyNumberFormat="1" applyFont="1" applyBorder="1" applyAlignment="1">
      <alignment horizontal="center" vertical="center" wrapText="1"/>
    </xf>
    <xf numFmtId="0" fontId="12" fillId="0" borderId="58" xfId="0" applyFont="1" applyBorder="1" applyAlignment="1">
      <alignment horizontal="center" vertical="center" wrapText="1"/>
    </xf>
    <xf numFmtId="0" fontId="12" fillId="0" borderId="29" xfId="0" applyFont="1" applyBorder="1" applyAlignment="1">
      <alignment horizontal="center" vertical="center"/>
    </xf>
    <xf numFmtId="0" fontId="12" fillId="0" borderId="30" xfId="0" applyFont="1" applyBorder="1" applyAlignment="1">
      <alignment horizontal="center" vertical="center" wrapText="1"/>
    </xf>
    <xf numFmtId="9" fontId="12" fillId="0" borderId="30" xfId="0" applyNumberFormat="1" applyFont="1" applyBorder="1" applyAlignment="1">
      <alignment horizontal="center" vertical="center" wrapText="1"/>
    </xf>
    <xf numFmtId="0" fontId="12" fillId="0" borderId="27" xfId="0" applyFont="1" applyBorder="1" applyAlignment="1">
      <alignment horizontal="center" vertical="center" wrapText="1"/>
    </xf>
    <xf numFmtId="0" fontId="12" fillId="12" borderId="52" xfId="0" applyFont="1" applyFill="1" applyBorder="1" applyAlignment="1">
      <alignment horizontal="center" vertical="center"/>
    </xf>
    <xf numFmtId="0" fontId="20" fillId="12" borderId="53" xfId="0" applyFont="1" applyFill="1" applyBorder="1" applyAlignment="1">
      <alignment vertical="center"/>
    </xf>
    <xf numFmtId="0" fontId="20" fillId="12" borderId="54" xfId="0" applyFont="1" applyFill="1" applyBorder="1" applyAlignment="1">
      <alignment vertical="center"/>
    </xf>
    <xf numFmtId="0" fontId="12" fillId="12" borderId="53" xfId="0" applyFont="1" applyFill="1" applyBorder="1" applyAlignment="1">
      <alignment vertical="center"/>
    </xf>
    <xf numFmtId="0" fontId="25" fillId="12" borderId="53" xfId="0" applyFont="1" applyFill="1" applyBorder="1" applyAlignment="1">
      <alignment vertical="center"/>
    </xf>
    <xf numFmtId="0" fontId="12" fillId="0" borderId="4" xfId="0" applyFont="1" applyFill="1" applyBorder="1" applyAlignment="1">
      <alignment horizontal="left" vertical="center" wrapText="1"/>
    </xf>
    <xf numFmtId="0" fontId="12" fillId="0" borderId="45" xfId="0" applyFont="1" applyFill="1" applyBorder="1" applyAlignment="1">
      <alignment horizontal="left" vertical="center" wrapText="1"/>
    </xf>
    <xf numFmtId="0" fontId="12" fillId="0" borderId="30" xfId="0" applyFont="1" applyFill="1" applyBorder="1" applyAlignment="1">
      <alignment horizontal="left" vertical="center" wrapText="1"/>
    </xf>
    <xf numFmtId="0" fontId="12" fillId="0" borderId="9" xfId="0" applyFont="1" applyFill="1" applyBorder="1" applyAlignment="1">
      <alignment horizontal="left" vertical="center" wrapText="1"/>
    </xf>
    <xf numFmtId="0" fontId="0" fillId="4" borderId="53" xfId="0" applyFont="1" applyFill="1" applyBorder="1"/>
    <xf numFmtId="0" fontId="0" fillId="0" borderId="30" xfId="0" applyFill="1" applyBorder="1" applyAlignment="1">
      <alignment horizontal="center"/>
    </xf>
    <xf numFmtId="0" fontId="0" fillId="0" borderId="27" xfId="0" applyFill="1" applyBorder="1" applyAlignment="1">
      <alignment horizontal="center"/>
    </xf>
    <xf numFmtId="0" fontId="0" fillId="0" borderId="4" xfId="0" applyFill="1" applyBorder="1" applyAlignment="1">
      <alignment horizontal="center"/>
    </xf>
    <xf numFmtId="0" fontId="0" fillId="0" borderId="5" xfId="0" applyFill="1" applyBorder="1" applyAlignment="1">
      <alignment horizontal="center"/>
    </xf>
    <xf numFmtId="3" fontId="0" fillId="0" borderId="29" xfId="0" applyNumberFormat="1" applyFill="1" applyBorder="1" applyAlignment="1">
      <alignment horizontal="right"/>
    </xf>
    <xf numFmtId="3" fontId="0" fillId="0" borderId="3" xfId="0" applyNumberFormat="1" applyFill="1" applyBorder="1" applyAlignment="1">
      <alignment horizontal="right"/>
    </xf>
    <xf numFmtId="3" fontId="0" fillId="0" borderId="4" xfId="0" applyNumberFormat="1" applyFill="1" applyBorder="1" applyAlignment="1">
      <alignment horizontal="right"/>
    </xf>
    <xf numFmtId="3" fontId="0" fillId="4" borderId="53" xfId="0" applyNumberFormat="1" applyFont="1" applyFill="1" applyBorder="1" applyAlignment="1">
      <alignment horizontal="right"/>
    </xf>
    <xf numFmtId="3" fontId="0" fillId="0" borderId="30" xfId="0" applyNumberFormat="1" applyFill="1" applyBorder="1" applyAlignment="1">
      <alignment horizontal="right"/>
    </xf>
    <xf numFmtId="0" fontId="0" fillId="0" borderId="43" xfId="0" applyFill="1" applyBorder="1" applyAlignment="1">
      <alignment horizontal="left"/>
    </xf>
    <xf numFmtId="0" fontId="0" fillId="0" borderId="18" xfId="0" applyFill="1" applyBorder="1" applyAlignment="1">
      <alignment horizontal="left"/>
    </xf>
    <xf numFmtId="0" fontId="6" fillId="0" borderId="18" xfId="2" applyFont="1" applyFill="1" applyBorder="1" applyAlignment="1" applyProtection="1">
      <alignment horizontal="left"/>
    </xf>
    <xf numFmtId="3" fontId="0" fillId="11" borderId="3" xfId="0" applyNumberFormat="1" applyFill="1" applyBorder="1" applyAlignment="1">
      <alignment horizontal="right"/>
    </xf>
    <xf numFmtId="0" fontId="0" fillId="11" borderId="4" xfId="0" applyFill="1" applyBorder="1" applyAlignment="1">
      <alignment horizontal="center"/>
    </xf>
    <xf numFmtId="0" fontId="11" fillId="0" borderId="29" xfId="2" applyFont="1" applyFill="1" applyBorder="1" applyAlignment="1" applyProtection="1">
      <alignment horizontal="center"/>
    </xf>
    <xf numFmtId="0" fontId="13" fillId="0" borderId="3" xfId="0" applyFont="1" applyFill="1" applyBorder="1" applyAlignment="1">
      <alignment horizontal="center" vertical="center"/>
    </xf>
    <xf numFmtId="0" fontId="13" fillId="0" borderId="3" xfId="0" applyFont="1" applyFill="1" applyBorder="1" applyAlignment="1">
      <alignment horizontal="center"/>
    </xf>
    <xf numFmtId="0" fontId="13" fillId="0" borderId="5" xfId="0" applyFont="1" applyFill="1" applyBorder="1" applyAlignment="1">
      <alignment horizontal="center" vertical="center"/>
    </xf>
    <xf numFmtId="0" fontId="13" fillId="0" borderId="5" xfId="0" applyFont="1" applyFill="1" applyBorder="1" applyAlignment="1">
      <alignment horizontal="center"/>
    </xf>
    <xf numFmtId="0" fontId="6" fillId="0" borderId="31" xfId="2" applyFont="1" applyFill="1" applyBorder="1" applyAlignment="1" applyProtection="1">
      <alignment horizontal="left"/>
    </xf>
    <xf numFmtId="0" fontId="6" fillId="0" borderId="6" xfId="2" applyFont="1" applyFill="1" applyBorder="1" applyAlignment="1" applyProtection="1">
      <alignment horizontal="left"/>
    </xf>
    <xf numFmtId="0" fontId="11" fillId="0" borderId="6" xfId="2" applyFont="1" applyFill="1" applyBorder="1" applyAlignment="1" applyProtection="1">
      <alignment horizontal="left"/>
    </xf>
    <xf numFmtId="0" fontId="13" fillId="0" borderId="4" xfId="0" applyFont="1" applyFill="1" applyBorder="1" applyAlignment="1">
      <alignment horizontal="center"/>
    </xf>
    <xf numFmtId="0" fontId="13" fillId="0" borderId="4" xfId="0" applyFont="1" applyFill="1" applyBorder="1" applyAlignment="1">
      <alignment horizontal="center" vertical="center"/>
    </xf>
    <xf numFmtId="0" fontId="13" fillId="0" borderId="33" xfId="0" applyFont="1" applyFill="1" applyBorder="1" applyAlignment="1">
      <alignment horizontal="center"/>
    </xf>
    <xf numFmtId="0" fontId="13" fillId="0" borderId="7" xfId="0" applyFont="1" applyFill="1" applyBorder="1" applyAlignment="1">
      <alignment horizontal="center"/>
    </xf>
    <xf numFmtId="0" fontId="13" fillId="0" borderId="7" xfId="0" applyFont="1" applyFill="1" applyBorder="1" applyAlignment="1">
      <alignment horizontal="center" vertical="center"/>
    </xf>
    <xf numFmtId="0" fontId="0" fillId="3" borderId="53" xfId="0" applyFont="1" applyFill="1" applyBorder="1" applyAlignment="1">
      <alignment vertical="center"/>
    </xf>
    <xf numFmtId="0" fontId="0" fillId="2" borderId="53" xfId="0" applyFont="1" applyFill="1" applyBorder="1" applyAlignment="1">
      <alignment vertical="center"/>
    </xf>
    <xf numFmtId="0" fontId="0" fillId="0" borderId="6" xfId="0" applyFont="1" applyBorder="1" applyAlignment="1">
      <alignment horizontal="left"/>
    </xf>
    <xf numFmtId="0" fontId="5" fillId="2" borderId="53" xfId="0" applyFont="1" applyFill="1" applyBorder="1" applyAlignment="1">
      <alignment vertical="center"/>
    </xf>
    <xf numFmtId="0" fontId="0" fillId="0" borderId="27" xfId="0" applyFont="1" applyBorder="1" applyAlignment="1">
      <alignment horizontal="left"/>
    </xf>
    <xf numFmtId="0" fontId="0" fillId="0" borderId="31" xfId="0" applyFont="1" applyBorder="1" applyAlignment="1">
      <alignment horizontal="left"/>
    </xf>
    <xf numFmtId="0" fontId="5" fillId="3" borderId="53" xfId="0" applyFont="1" applyFill="1" applyBorder="1" applyAlignment="1">
      <alignment vertical="center"/>
    </xf>
    <xf numFmtId="0" fontId="5" fillId="3" borderId="53" xfId="0" applyFont="1" applyFill="1" applyBorder="1" applyAlignment="1">
      <alignment horizontal="center" vertical="center"/>
    </xf>
    <xf numFmtId="0" fontId="0" fillId="3" borderId="53" xfId="0" applyFont="1" applyFill="1" applyBorder="1" applyAlignment="1">
      <alignment horizontal="center" vertical="center"/>
    </xf>
    <xf numFmtId="0" fontId="13" fillId="0" borderId="31" xfId="0" applyFont="1" applyFill="1" applyBorder="1" applyAlignment="1">
      <alignment horizontal="center"/>
    </xf>
    <xf numFmtId="0" fontId="13" fillId="0" borderId="6" xfId="0" applyFont="1" applyFill="1" applyBorder="1" applyAlignment="1">
      <alignment horizontal="center" vertical="center"/>
    </xf>
    <xf numFmtId="0" fontId="11" fillId="0" borderId="30" xfId="2" applyFont="1" applyFill="1" applyBorder="1" applyAlignment="1" applyProtection="1">
      <alignment horizontal="center"/>
    </xf>
    <xf numFmtId="0" fontId="12" fillId="0" borderId="20" xfId="0" applyFont="1" applyBorder="1" applyAlignment="1">
      <alignment horizontal="center" vertical="center"/>
    </xf>
    <xf numFmtId="0" fontId="12" fillId="0" borderId="21" xfId="0" applyFont="1" applyBorder="1" applyAlignment="1">
      <alignment horizontal="center" vertical="center"/>
    </xf>
    <xf numFmtId="0" fontId="12" fillId="0" borderId="22" xfId="0" applyFont="1" applyBorder="1" applyAlignment="1">
      <alignment horizontal="center" vertical="center"/>
    </xf>
    <xf numFmtId="0" fontId="20" fillId="2" borderId="50" xfId="0" applyFont="1" applyFill="1" applyBorder="1" applyAlignment="1">
      <alignment horizontal="center" vertical="center" wrapText="1"/>
    </xf>
    <xf numFmtId="0" fontId="20" fillId="3" borderId="36" xfId="0" applyFont="1" applyFill="1" applyBorder="1" applyAlignment="1">
      <alignment horizontal="center" vertical="center"/>
    </xf>
    <xf numFmtId="0" fontId="25" fillId="3" borderId="35" xfId="0" applyFont="1" applyFill="1" applyBorder="1" applyAlignment="1">
      <alignment vertical="center"/>
    </xf>
    <xf numFmtId="0" fontId="12" fillId="3" borderId="35" xfId="0" applyFont="1" applyFill="1" applyBorder="1" applyAlignment="1">
      <alignment vertical="center"/>
    </xf>
    <xf numFmtId="0" fontId="12" fillId="3" borderId="34" xfId="0" applyFont="1" applyFill="1" applyBorder="1" applyAlignment="1">
      <alignment vertical="center"/>
    </xf>
    <xf numFmtId="0" fontId="12" fillId="0" borderId="16" xfId="0" applyFont="1" applyBorder="1" applyAlignment="1">
      <alignment horizontal="center" vertical="center"/>
    </xf>
    <xf numFmtId="0" fontId="11" fillId="0" borderId="51" xfId="0" applyFont="1" applyFill="1" applyBorder="1" applyAlignment="1">
      <alignment horizontal="center"/>
    </xf>
    <xf numFmtId="0" fontId="0" fillId="3" borderId="53" xfId="0" applyFont="1" applyFill="1" applyBorder="1"/>
    <xf numFmtId="9" fontId="0" fillId="0" borderId="30" xfId="1" applyFont="1" applyBorder="1" applyAlignment="1">
      <alignment horizontal="center"/>
    </xf>
    <xf numFmtId="9" fontId="0" fillId="0" borderId="4" xfId="1" applyFont="1" applyBorder="1" applyAlignment="1">
      <alignment horizontal="center"/>
    </xf>
    <xf numFmtId="9" fontId="0" fillId="0" borderId="25" xfId="1" applyFont="1" applyBorder="1" applyAlignment="1">
      <alignment horizontal="center"/>
    </xf>
    <xf numFmtId="9" fontId="0" fillId="0" borderId="5" xfId="1" applyFont="1" applyBorder="1" applyAlignment="1">
      <alignment horizontal="center"/>
    </xf>
    <xf numFmtId="0" fontId="5" fillId="3" borderId="53" xfId="0" applyFont="1" applyFill="1" applyBorder="1" applyAlignment="1">
      <alignment horizontal="left" vertical="center"/>
    </xf>
    <xf numFmtId="0" fontId="7" fillId="2" borderId="28" xfId="0" applyFont="1" applyFill="1" applyBorder="1" applyAlignment="1">
      <alignment horizontal="center" vertical="center"/>
    </xf>
    <xf numFmtId="0" fontId="7" fillId="4" borderId="40" xfId="0" applyFont="1" applyFill="1" applyBorder="1" applyAlignment="1">
      <alignment horizontal="center" vertical="center"/>
    </xf>
    <xf numFmtId="0" fontId="7" fillId="2" borderId="42" xfId="0" applyFont="1" applyFill="1" applyBorder="1" applyAlignment="1">
      <alignment horizontal="center" vertical="center"/>
    </xf>
    <xf numFmtId="0" fontId="7" fillId="2" borderId="41" xfId="0" applyFont="1" applyFill="1" applyBorder="1" applyAlignment="1">
      <alignment horizontal="center" vertical="center"/>
    </xf>
    <xf numFmtId="3" fontId="7" fillId="2" borderId="16" xfId="0" applyNumberFormat="1" applyFont="1" applyFill="1" applyBorder="1" applyAlignment="1">
      <alignment horizontal="center" vertical="center"/>
    </xf>
    <xf numFmtId="0" fontId="7" fillId="2" borderId="44" xfId="0" applyFont="1" applyFill="1" applyBorder="1" applyAlignment="1">
      <alignment horizontal="center" vertical="center"/>
    </xf>
    <xf numFmtId="3" fontId="7" fillId="2" borderId="41" xfId="0" applyNumberFormat="1" applyFont="1" applyFill="1" applyBorder="1" applyAlignment="1">
      <alignment horizontal="center" vertical="center"/>
    </xf>
    <xf numFmtId="0" fontId="7" fillId="3" borderId="28" xfId="0" applyFont="1" applyFill="1" applyBorder="1" applyAlignment="1">
      <alignment horizontal="center" vertical="center"/>
    </xf>
    <xf numFmtId="0" fontId="7" fillId="3" borderId="40" xfId="0" applyFont="1" applyFill="1" applyBorder="1" applyAlignment="1">
      <alignment horizontal="center" vertical="center"/>
    </xf>
    <xf numFmtId="0" fontId="7" fillId="3" borderId="44" xfId="0" applyFont="1" applyFill="1" applyBorder="1" applyAlignment="1">
      <alignment horizontal="center" vertical="center"/>
    </xf>
    <xf numFmtId="0" fontId="7" fillId="3" borderId="59" xfId="0" applyFont="1" applyFill="1" applyBorder="1" applyAlignment="1">
      <alignment horizontal="center" vertical="center"/>
    </xf>
    <xf numFmtId="0" fontId="7" fillId="5" borderId="44" xfId="0" applyFont="1" applyFill="1" applyBorder="1" applyAlignment="1">
      <alignment horizontal="center" vertical="center"/>
    </xf>
    <xf numFmtId="0" fontId="0" fillId="5" borderId="53" xfId="0" applyFont="1" applyFill="1" applyBorder="1" applyAlignment="1">
      <alignment horizontal="left" vertical="center"/>
    </xf>
    <xf numFmtId="0" fontId="0" fillId="5" borderId="53" xfId="0" applyFont="1" applyFill="1" applyBorder="1" applyAlignment="1">
      <alignment horizontal="center"/>
    </xf>
    <xf numFmtId="0" fontId="0" fillId="5" borderId="53" xfId="0" applyFont="1" applyFill="1" applyBorder="1"/>
    <xf numFmtId="0" fontId="0" fillId="3" borderId="53" xfId="0" applyFont="1" applyFill="1" applyBorder="1" applyAlignment="1">
      <alignment horizontal="center"/>
    </xf>
    <xf numFmtId="9" fontId="12" fillId="0" borderId="5" xfId="0" applyNumberFormat="1" applyFont="1" applyBorder="1" applyAlignment="1">
      <alignment horizontal="center" vertical="center" wrapText="1"/>
    </xf>
    <xf numFmtId="9" fontId="12" fillId="0" borderId="27" xfId="0" applyNumberFormat="1" applyFont="1" applyBorder="1" applyAlignment="1">
      <alignment horizontal="center" vertical="center" wrapText="1"/>
    </xf>
    <xf numFmtId="0" fontId="0" fillId="2" borderId="3" xfId="0" applyFont="1" applyFill="1" applyBorder="1" applyAlignment="1">
      <alignment horizontal="center"/>
    </xf>
    <xf numFmtId="0" fontId="13" fillId="0" borderId="30" xfId="0" applyFont="1" applyFill="1" applyBorder="1" applyAlignment="1">
      <alignment horizontal="center"/>
    </xf>
    <xf numFmtId="0" fontId="13" fillId="0" borderId="27" xfId="0" applyFont="1" applyFill="1" applyBorder="1" applyAlignment="1">
      <alignment horizontal="center"/>
    </xf>
    <xf numFmtId="16" fontId="0" fillId="0" borderId="5" xfId="0" quotePrefix="1" applyNumberFormat="1" applyFill="1" applyBorder="1" applyAlignment="1">
      <alignment horizontal="center"/>
    </xf>
    <xf numFmtId="3" fontId="0" fillId="0" borderId="4" xfId="0" quotePrefix="1" applyNumberFormat="1" applyFill="1" applyBorder="1" applyAlignment="1">
      <alignment horizontal="right"/>
    </xf>
    <xf numFmtId="0" fontId="1" fillId="0" borderId="18" xfId="2" applyFill="1" applyBorder="1" applyAlignment="1" applyProtection="1">
      <alignment horizontal="left"/>
    </xf>
    <xf numFmtId="0" fontId="0" fillId="9" borderId="53" xfId="0" applyFont="1" applyFill="1" applyBorder="1"/>
    <xf numFmtId="0" fontId="13" fillId="0" borderId="4" xfId="0" applyFont="1" applyFill="1" applyBorder="1" applyAlignment="1">
      <alignment horizontal="left"/>
    </xf>
    <xf numFmtId="0" fontId="11" fillId="0" borderId="7" xfId="2" applyFont="1" applyFill="1" applyBorder="1" applyAlignment="1" applyProtection="1">
      <alignment horizontal="left"/>
    </xf>
    <xf numFmtId="0" fontId="13" fillId="0" borderId="7" xfId="0" applyFont="1" applyFill="1" applyBorder="1" applyAlignment="1">
      <alignment horizontal="left"/>
    </xf>
    <xf numFmtId="6" fontId="13" fillId="0" borderId="7" xfId="0" applyNumberFormat="1" applyFont="1" applyFill="1" applyBorder="1" applyAlignment="1">
      <alignment horizontal="center"/>
    </xf>
    <xf numFmtId="8" fontId="13" fillId="0" borderId="7" xfId="0" applyNumberFormat="1" applyFont="1" applyFill="1" applyBorder="1" applyAlignment="1">
      <alignment horizontal="center"/>
    </xf>
    <xf numFmtId="0" fontId="13" fillId="0" borderId="56" xfId="0" applyFont="1" applyFill="1" applyBorder="1" applyAlignment="1">
      <alignment horizontal="center"/>
    </xf>
    <xf numFmtId="0" fontId="13" fillId="0" borderId="23" xfId="0" applyFont="1" applyFill="1" applyBorder="1" applyAlignment="1">
      <alignment horizontal="center"/>
    </xf>
    <xf numFmtId="0" fontId="13" fillId="0" borderId="22" xfId="0" applyFont="1" applyFill="1" applyBorder="1" applyAlignment="1">
      <alignment horizontal="center"/>
    </xf>
    <xf numFmtId="0" fontId="13" fillId="0" borderId="20" xfId="0" applyFont="1" applyFill="1" applyBorder="1" applyAlignment="1">
      <alignment horizontal="center"/>
    </xf>
    <xf numFmtId="0" fontId="11" fillId="0" borderId="20" xfId="2" applyFont="1" applyFill="1" applyBorder="1" applyAlignment="1" applyProtection="1">
      <alignment horizontal="center"/>
    </xf>
    <xf numFmtId="0" fontId="13" fillId="0" borderId="20" xfId="0" applyFont="1" applyFill="1" applyBorder="1" applyAlignment="1">
      <alignment horizontal="center" vertical="center"/>
    </xf>
    <xf numFmtId="0" fontId="13" fillId="15" borderId="32" xfId="0" applyFont="1" applyFill="1" applyBorder="1" applyAlignment="1">
      <alignment horizontal="center" vertical="center"/>
    </xf>
    <xf numFmtId="3" fontId="13" fillId="3" borderId="42" xfId="0" applyNumberFormat="1" applyFont="1" applyFill="1" applyBorder="1" applyAlignment="1">
      <alignment horizontal="center" vertical="center"/>
    </xf>
    <xf numFmtId="0" fontId="13" fillId="3" borderId="40" xfId="0" applyFont="1" applyFill="1" applyBorder="1" applyAlignment="1">
      <alignment horizontal="center" vertical="center"/>
    </xf>
    <xf numFmtId="3" fontId="13" fillId="3" borderId="40" xfId="0" applyNumberFormat="1" applyFont="1" applyFill="1" applyBorder="1" applyAlignment="1">
      <alignment horizontal="center" vertical="center"/>
    </xf>
    <xf numFmtId="0" fontId="13" fillId="3" borderId="41" xfId="0" applyFont="1" applyFill="1" applyBorder="1" applyAlignment="1">
      <alignment horizontal="center" vertical="center"/>
    </xf>
    <xf numFmtId="8" fontId="13" fillId="0" borderId="5" xfId="0" applyNumberFormat="1" applyFont="1" applyFill="1" applyBorder="1" applyAlignment="1">
      <alignment horizontal="center"/>
    </xf>
    <xf numFmtId="0" fontId="6" fillId="0" borderId="49" xfId="2" applyFont="1" applyBorder="1" applyAlignment="1" applyProtection="1"/>
    <xf numFmtId="0" fontId="6" fillId="0" borderId="49" xfId="2" applyFont="1" applyFill="1" applyBorder="1" applyAlignment="1" applyProtection="1">
      <alignment horizontal="left"/>
    </xf>
    <xf numFmtId="0" fontId="14" fillId="0" borderId="55" xfId="0" applyFont="1" applyBorder="1" applyAlignment="1">
      <alignment horizontal="center"/>
    </xf>
    <xf numFmtId="0" fontId="14" fillId="0" borderId="49" xfId="0" applyFont="1" applyBorder="1" applyAlignment="1">
      <alignment horizontal="center"/>
    </xf>
    <xf numFmtId="0" fontId="14" fillId="0" borderId="3" xfId="0" applyFont="1" applyBorder="1" applyAlignment="1">
      <alignment horizontal="center"/>
    </xf>
    <xf numFmtId="0" fontId="14" fillId="0" borderId="31" xfId="0" applyFont="1" applyBorder="1" applyAlignment="1">
      <alignment horizontal="center"/>
    </xf>
    <xf numFmtId="0" fontId="14" fillId="0" borderId="6" xfId="0" applyFont="1" applyBorder="1" applyAlignment="1">
      <alignment horizontal="center"/>
    </xf>
    <xf numFmtId="0" fontId="14" fillId="0" borderId="30" xfId="0" applyFont="1" applyBorder="1" applyAlignment="1">
      <alignment horizontal="center"/>
    </xf>
    <xf numFmtId="0" fontId="14" fillId="0" borderId="4" xfId="0" applyFont="1" applyBorder="1" applyAlignment="1">
      <alignment horizontal="center"/>
    </xf>
    <xf numFmtId="0" fontId="14" fillId="0" borderId="33" xfId="0" applyFont="1" applyBorder="1" applyAlignment="1">
      <alignment horizontal="center"/>
    </xf>
    <xf numFmtId="0" fontId="14" fillId="0" borderId="7" xfId="0" applyFont="1" applyBorder="1" applyAlignment="1">
      <alignment horizontal="center"/>
    </xf>
    <xf numFmtId="0" fontId="14" fillId="0" borderId="5" xfId="0" applyFont="1" applyBorder="1" applyAlignment="1">
      <alignment horizontal="left"/>
    </xf>
    <xf numFmtId="3" fontId="5" fillId="4" borderId="53" xfId="0" applyNumberFormat="1" applyFont="1" applyFill="1" applyBorder="1" applyAlignment="1">
      <alignment horizontal="left" vertical="center"/>
    </xf>
    <xf numFmtId="0" fontId="0" fillId="4" borderId="53" xfId="0" applyFont="1" applyFill="1" applyBorder="1" applyAlignment="1">
      <alignment vertical="center"/>
    </xf>
    <xf numFmtId="3" fontId="0" fillId="4" borderId="53" xfId="0" applyNumberFormat="1" applyFont="1" applyFill="1" applyBorder="1" applyAlignment="1">
      <alignment vertical="center"/>
    </xf>
    <xf numFmtId="0" fontId="7" fillId="4" borderId="44" xfId="0" applyFont="1" applyFill="1" applyBorder="1" applyAlignment="1">
      <alignment horizontal="center" vertical="center"/>
    </xf>
    <xf numFmtId="0" fontId="5" fillId="4" borderId="53" xfId="0" applyFont="1" applyFill="1" applyBorder="1" applyAlignment="1">
      <alignment vertical="center"/>
    </xf>
    <xf numFmtId="0" fontId="5" fillId="5" borderId="53" xfId="0" applyFont="1" applyFill="1" applyBorder="1" applyAlignment="1">
      <alignment horizontal="left" vertical="center"/>
    </xf>
    <xf numFmtId="0" fontId="11" fillId="0" borderId="22" xfId="2" applyFont="1" applyFill="1" applyBorder="1" applyAlignment="1" applyProtection="1">
      <alignment horizontal="left"/>
    </xf>
    <xf numFmtId="0" fontId="13" fillId="0" borderId="20" xfId="0" applyFont="1" applyFill="1" applyBorder="1" applyAlignment="1">
      <alignment horizontal="left" vertical="center"/>
    </xf>
    <xf numFmtId="0" fontId="13" fillId="0" borderId="20" xfId="0" applyFont="1" applyFill="1" applyBorder="1" applyAlignment="1">
      <alignment horizontal="left"/>
    </xf>
    <xf numFmtId="0" fontId="11" fillId="0" borderId="20" xfId="2" applyFont="1" applyFill="1" applyBorder="1" applyAlignment="1" applyProtection="1">
      <alignment horizontal="left"/>
    </xf>
    <xf numFmtId="0" fontId="6" fillId="0" borderId="20" xfId="2" applyFont="1" applyFill="1" applyBorder="1" applyAlignment="1" applyProtection="1">
      <alignment horizontal="left"/>
    </xf>
    <xf numFmtId="0" fontId="6" fillId="0" borderId="20" xfId="2" applyFont="1" applyFill="1" applyBorder="1" applyAlignment="1" applyProtection="1">
      <alignment horizontal="left" vertical="center"/>
    </xf>
    <xf numFmtId="0" fontId="6" fillId="0" borderId="29" xfId="2" applyFont="1" applyFill="1" applyBorder="1" applyAlignment="1" applyProtection="1">
      <alignment horizontal="left"/>
    </xf>
    <xf numFmtId="0" fontId="13" fillId="0" borderId="30" xfId="0" applyFont="1" applyFill="1" applyBorder="1" applyAlignment="1">
      <alignment horizontal="left"/>
    </xf>
    <xf numFmtId="0" fontId="13" fillId="0" borderId="4" xfId="0" applyFont="1" applyFill="1" applyBorder="1" applyAlignment="1">
      <alignment horizontal="left" vertical="center"/>
    </xf>
    <xf numFmtId="0" fontId="19" fillId="0" borderId="3" xfId="0" applyFont="1" applyFill="1" applyBorder="1" applyAlignment="1">
      <alignment horizontal="left"/>
    </xf>
    <xf numFmtId="0" fontId="6" fillId="0" borderId="55" xfId="2" applyFont="1" applyBorder="1" applyAlignment="1" applyProtection="1"/>
    <xf numFmtId="165" fontId="13" fillId="0" borderId="5" xfId="0" applyNumberFormat="1" applyFont="1" applyFill="1" applyBorder="1" applyAlignment="1">
      <alignment horizontal="center" vertical="center"/>
    </xf>
    <xf numFmtId="0" fontId="0" fillId="0" borderId="4" xfId="0" applyFont="1" applyFill="1" applyBorder="1"/>
    <xf numFmtId="0" fontId="6" fillId="0" borderId="49" xfId="2" applyFont="1" applyFill="1" applyBorder="1" applyAlignment="1" applyProtection="1"/>
    <xf numFmtId="0" fontId="0" fillId="5" borderId="53" xfId="0" applyFont="1" applyFill="1" applyBorder="1" applyAlignment="1">
      <alignment horizontal="center" vertical="center"/>
    </xf>
    <xf numFmtId="0" fontId="6" fillId="0" borderId="49" xfId="2" applyFont="1" applyBorder="1" applyAlignment="1" applyProtection="1">
      <alignment horizontal="left"/>
    </xf>
    <xf numFmtId="0" fontId="10" fillId="0" borderId="18" xfId="0" applyFont="1" applyBorder="1" applyAlignment="1">
      <alignment horizontal="center"/>
    </xf>
    <xf numFmtId="1" fontId="0" fillId="0" borderId="56" xfId="0" applyNumberFormat="1" applyFill="1" applyBorder="1" applyAlignment="1">
      <alignment horizontal="center"/>
    </xf>
    <xf numFmtId="1" fontId="0" fillId="0" borderId="23" xfId="0" applyNumberFormat="1" applyFill="1" applyBorder="1" applyAlignment="1">
      <alignment horizontal="center"/>
    </xf>
    <xf numFmtId="0" fontId="0" fillId="0" borderId="23" xfId="0" applyNumberFormat="1" applyFill="1" applyBorder="1" applyAlignment="1">
      <alignment horizontal="center"/>
    </xf>
    <xf numFmtId="0" fontId="8" fillId="7" borderId="38" xfId="0" applyFont="1" applyFill="1" applyBorder="1" applyAlignment="1">
      <alignment horizontal="center" vertical="center"/>
    </xf>
    <xf numFmtId="0" fontId="7" fillId="2" borderId="50" xfId="0" applyFont="1" applyFill="1" applyBorder="1" applyAlignment="1">
      <alignment horizontal="center" vertical="center"/>
    </xf>
    <xf numFmtId="0" fontId="0" fillId="0" borderId="23" xfId="0" applyFont="1" applyFill="1" applyBorder="1" applyAlignment="1">
      <alignment horizontal="center"/>
    </xf>
    <xf numFmtId="0" fontId="6" fillId="0" borderId="0" xfId="2" applyFont="1" applyBorder="1" applyAlignment="1" applyProtection="1"/>
    <xf numFmtId="0" fontId="12" fillId="0" borderId="4" xfId="0" applyFont="1" applyBorder="1" applyAlignment="1">
      <alignment horizontal="center" vertical="center"/>
    </xf>
    <xf numFmtId="0" fontId="12" fillId="0" borderId="4" xfId="0" applyFont="1" applyBorder="1" applyAlignment="1">
      <alignment vertical="center"/>
    </xf>
    <xf numFmtId="0" fontId="23" fillId="5" borderId="4" xfId="0" applyFont="1" applyFill="1" applyBorder="1" applyAlignment="1">
      <alignment horizontal="left" vertical="center"/>
    </xf>
    <xf numFmtId="0" fontId="17" fillId="4" borderId="4" xfId="0" applyNumberFormat="1" applyFont="1" applyFill="1" applyBorder="1" applyAlignment="1">
      <alignment horizontal="left" vertical="center"/>
    </xf>
    <xf numFmtId="0" fontId="12" fillId="4" borderId="4" xfId="0" applyFont="1" applyFill="1" applyBorder="1" applyAlignment="1">
      <alignment horizontal="left" vertical="center"/>
    </xf>
    <xf numFmtId="3" fontId="23" fillId="2" borderId="4" xfId="0" applyNumberFormat="1" applyFont="1" applyFill="1" applyBorder="1" applyAlignment="1">
      <alignment horizontal="left" vertical="center"/>
    </xf>
    <xf numFmtId="0" fontId="22" fillId="7" borderId="4" xfId="0" applyFont="1" applyFill="1" applyBorder="1" applyAlignment="1">
      <alignment horizontal="left" vertical="center"/>
    </xf>
    <xf numFmtId="0" fontId="23" fillId="4" borderId="4" xfId="0" applyFont="1" applyFill="1" applyBorder="1" applyAlignment="1">
      <alignment horizontal="left" vertical="center"/>
    </xf>
    <xf numFmtId="3" fontId="17" fillId="3" borderId="4" xfId="0" applyNumberFormat="1" applyFont="1" applyFill="1" applyBorder="1" applyAlignment="1">
      <alignment horizontal="left" vertical="center"/>
    </xf>
    <xf numFmtId="0" fontId="17" fillId="3" borderId="4" xfId="0" applyFont="1" applyFill="1" applyBorder="1" applyAlignment="1">
      <alignment horizontal="left" vertical="center"/>
    </xf>
    <xf numFmtId="0" fontId="17" fillId="15" borderId="4" xfId="0" applyFont="1" applyFill="1" applyBorder="1" applyAlignment="1">
      <alignment horizontal="left" vertical="center"/>
    </xf>
    <xf numFmtId="0" fontId="23" fillId="3" borderId="4" xfId="0" applyFont="1" applyFill="1" applyBorder="1" applyAlignment="1">
      <alignment horizontal="left" vertical="center"/>
    </xf>
    <xf numFmtId="0" fontId="21" fillId="6" borderId="17" xfId="0" applyFont="1" applyFill="1" applyBorder="1" applyAlignment="1">
      <alignment horizontal="center" vertical="center"/>
    </xf>
    <xf numFmtId="0" fontId="22" fillId="13" borderId="25" xfId="0" applyFont="1" applyFill="1" applyBorder="1" applyAlignment="1">
      <alignment horizontal="center" vertical="center"/>
    </xf>
    <xf numFmtId="0" fontId="17" fillId="0" borderId="4" xfId="0" applyFont="1" applyBorder="1" applyAlignment="1">
      <alignment vertical="center"/>
    </xf>
    <xf numFmtId="0" fontId="12" fillId="0" borderId="4" xfId="0" quotePrefix="1" applyFont="1" applyBorder="1" applyAlignment="1">
      <alignment horizontal="center" vertical="center"/>
    </xf>
    <xf numFmtId="0" fontId="12" fillId="0" borderId="5" xfId="0" applyFont="1" applyFill="1" applyBorder="1" applyAlignment="1">
      <alignment vertical="center"/>
    </xf>
    <xf numFmtId="0" fontId="24" fillId="0" borderId="5" xfId="2" applyFont="1" applyBorder="1" applyAlignment="1" applyProtection="1">
      <alignment vertical="center"/>
    </xf>
    <xf numFmtId="0" fontId="12" fillId="11" borderId="4" xfId="0" applyFont="1" applyFill="1" applyBorder="1" applyAlignment="1">
      <alignment horizontal="center" vertical="center"/>
    </xf>
    <xf numFmtId="0" fontId="12" fillId="0" borderId="5" xfId="0" applyFont="1" applyBorder="1" applyAlignment="1">
      <alignment horizontal="center" vertical="center"/>
    </xf>
    <xf numFmtId="0" fontId="12" fillId="0" borderId="5" xfId="0" applyFont="1" applyBorder="1" applyAlignment="1">
      <alignment vertical="center"/>
    </xf>
    <xf numFmtId="0" fontId="12" fillId="4" borderId="4" xfId="0" applyNumberFormat="1" applyFont="1" applyFill="1" applyBorder="1" applyAlignment="1">
      <alignment horizontal="left" vertical="center"/>
    </xf>
    <xf numFmtId="0" fontId="27" fillId="0" borderId="5" xfId="2" applyFont="1" applyBorder="1" applyAlignment="1" applyProtection="1">
      <alignment vertical="center"/>
    </xf>
    <xf numFmtId="0" fontId="17" fillId="0" borderId="4" xfId="0" applyFont="1" applyBorder="1" applyAlignment="1">
      <alignment horizontal="center" vertical="center"/>
    </xf>
    <xf numFmtId="0" fontId="17" fillId="0" borderId="4" xfId="0" quotePrefix="1" applyFont="1" applyBorder="1" applyAlignment="1">
      <alignment horizontal="center" vertical="center"/>
    </xf>
    <xf numFmtId="0" fontId="12" fillId="15" borderId="4" xfId="0" applyNumberFormat="1" applyFont="1" applyFill="1" applyBorder="1" applyAlignment="1">
      <alignment horizontal="left" vertical="center"/>
    </xf>
    <xf numFmtId="0" fontId="17" fillId="15" borderId="4" xfId="0" applyNumberFormat="1" applyFont="1" applyFill="1" applyBorder="1" applyAlignment="1">
      <alignment horizontal="left" vertical="center"/>
    </xf>
    <xf numFmtId="0" fontId="17" fillId="3" borderId="4" xfId="0" applyNumberFormat="1" applyFont="1" applyFill="1" applyBorder="1" applyAlignment="1">
      <alignment horizontal="left" vertical="center"/>
    </xf>
    <xf numFmtId="0" fontId="17" fillId="0" borderId="6" xfId="0" applyFont="1" applyBorder="1" applyAlignment="1">
      <alignment vertical="center"/>
    </xf>
    <xf numFmtId="164" fontId="0" fillId="0" borderId="30" xfId="0" applyNumberFormat="1" applyFill="1" applyBorder="1" applyAlignment="1">
      <alignment horizontal="center"/>
    </xf>
    <xf numFmtId="164" fontId="0" fillId="0" borderId="4" xfId="0" applyNumberFormat="1" applyFill="1" applyBorder="1" applyAlignment="1">
      <alignment horizontal="center"/>
    </xf>
    <xf numFmtId="0" fontId="28" fillId="0" borderId="5" xfId="2" applyFont="1" applyBorder="1" applyAlignment="1" applyProtection="1">
      <alignment vertical="center"/>
    </xf>
    <xf numFmtId="0" fontId="12" fillId="2" borderId="4" xfId="0" applyNumberFormat="1" applyFont="1" applyFill="1" applyBorder="1" applyAlignment="1">
      <alignment horizontal="left"/>
    </xf>
    <xf numFmtId="0" fontId="17" fillId="2" borderId="4" xfId="0" applyNumberFormat="1" applyFont="1" applyFill="1" applyBorder="1" applyAlignment="1">
      <alignment horizontal="left"/>
    </xf>
    <xf numFmtId="0" fontId="12" fillId="4" borderId="4" xfId="0" applyNumberFormat="1" applyFont="1" applyFill="1" applyBorder="1" applyAlignment="1">
      <alignment horizontal="left"/>
    </xf>
    <xf numFmtId="0" fontId="5" fillId="5" borderId="53" xfId="0" applyFont="1" applyFill="1" applyBorder="1" applyAlignment="1">
      <alignment horizontal="center" vertical="center"/>
    </xf>
    <xf numFmtId="0" fontId="0" fillId="0" borderId="0" xfId="0" applyFont="1" applyFill="1" applyAlignment="1">
      <alignment horizontal="left"/>
    </xf>
    <xf numFmtId="0" fontId="11" fillId="0" borderId="5" xfId="2" applyFont="1" applyFill="1" applyBorder="1" applyAlignment="1" applyProtection="1">
      <alignment horizontal="left"/>
    </xf>
    <xf numFmtId="0" fontId="6" fillId="0" borderId="5" xfId="2" applyFont="1" applyBorder="1" applyAlignment="1" applyProtection="1">
      <alignment horizontal="left" vertical="center"/>
    </xf>
    <xf numFmtId="0" fontId="0" fillId="2" borderId="0" xfId="0" applyNumberFormat="1" applyFont="1" applyFill="1" applyBorder="1" applyAlignment="1">
      <alignment horizontal="center"/>
    </xf>
    <xf numFmtId="0" fontId="11" fillId="0" borderId="30" xfId="2" applyFont="1" applyFill="1" applyBorder="1" applyAlignment="1" applyProtection="1">
      <alignment horizontal="left"/>
    </xf>
    <xf numFmtId="0" fontId="6" fillId="0" borderId="27" xfId="2" applyFont="1" applyBorder="1" applyAlignment="1" applyProtection="1">
      <alignment horizontal="left"/>
    </xf>
    <xf numFmtId="0" fontId="7" fillId="3" borderId="41" xfId="0" applyFont="1" applyFill="1" applyBorder="1" applyAlignment="1">
      <alignment horizontal="center" vertical="center"/>
    </xf>
    <xf numFmtId="0" fontId="11" fillId="0" borderId="50" xfId="0" applyFont="1" applyFill="1" applyBorder="1" applyAlignment="1">
      <alignment horizontal="center"/>
    </xf>
    <xf numFmtId="0" fontId="6" fillId="0" borderId="61" xfId="2" applyFont="1" applyBorder="1" applyAlignment="1" applyProtection="1"/>
    <xf numFmtId="0" fontId="17" fillId="0" borderId="4" xfId="2" applyFont="1" applyFill="1" applyBorder="1" applyAlignment="1" applyProtection="1">
      <alignment vertical="center"/>
    </xf>
    <xf numFmtId="164" fontId="0" fillId="0" borderId="4" xfId="0" applyNumberFormat="1" applyFont="1" applyFill="1" applyBorder="1" applyAlignment="1">
      <alignment horizontal="center"/>
    </xf>
    <xf numFmtId="0" fontId="6" fillId="12" borderId="6" xfId="2" applyFont="1" applyFill="1" applyBorder="1" applyAlignment="1" applyProtection="1"/>
    <xf numFmtId="0" fontId="17" fillId="0" borderId="60" xfId="0" applyFont="1" applyBorder="1"/>
    <xf numFmtId="0" fontId="6" fillId="0" borderId="23" xfId="2" applyFont="1" applyBorder="1" applyAlignment="1" applyProtection="1">
      <alignment horizontal="center"/>
    </xf>
    <xf numFmtId="0" fontId="19" fillId="0" borderId="23" xfId="0" applyFont="1" applyBorder="1" applyAlignment="1">
      <alignment horizontal="center"/>
    </xf>
    <xf numFmtId="0" fontId="11" fillId="0" borderId="23" xfId="2" applyFont="1" applyBorder="1" applyAlignment="1" applyProtection="1">
      <alignment horizontal="center"/>
    </xf>
    <xf numFmtId="0" fontId="11" fillId="0" borderId="31" xfId="2" applyFont="1" applyFill="1" applyBorder="1" applyAlignment="1" applyProtection="1">
      <alignment horizontal="center"/>
    </xf>
    <xf numFmtId="0" fontId="13" fillId="0" borderId="4" xfId="0" applyFont="1" applyBorder="1" applyAlignment="1">
      <alignment horizontal="center"/>
    </xf>
    <xf numFmtId="0" fontId="11" fillId="0" borderId="5" xfId="2" applyFont="1" applyFill="1" applyBorder="1" applyAlignment="1" applyProtection="1">
      <alignment horizontal="center"/>
    </xf>
    <xf numFmtId="0" fontId="13" fillId="0" borderId="5" xfId="0" applyFont="1" applyFill="1" applyBorder="1" applyAlignment="1">
      <alignment horizontal="center"/>
    </xf>
    <xf numFmtId="0" fontId="13" fillId="0" borderId="4" xfId="0" applyFont="1" applyFill="1" applyBorder="1" applyAlignment="1">
      <alignment horizontal="center"/>
    </xf>
    <xf numFmtId="0" fontId="13" fillId="0" borderId="4" xfId="0" applyFont="1" applyFill="1" applyBorder="1" applyAlignment="1">
      <alignment horizontal="left"/>
    </xf>
    <xf numFmtId="0" fontId="13" fillId="0" borderId="5" xfId="0" applyFont="1" applyFill="1" applyBorder="1" applyAlignment="1">
      <alignment horizontal="left"/>
    </xf>
    <xf numFmtId="0" fontId="11" fillId="0" borderId="3" xfId="2" applyFont="1" applyFill="1" applyBorder="1" applyAlignment="1" applyProtection="1">
      <alignment horizontal="left"/>
    </xf>
    <xf numFmtId="6" fontId="13" fillId="0" borderId="5" xfId="0" applyNumberFormat="1" applyFont="1" applyFill="1" applyBorder="1" applyAlignment="1">
      <alignment horizontal="center"/>
    </xf>
    <xf numFmtId="0" fontId="0" fillId="0" borderId="0" xfId="0" applyFont="1"/>
    <xf numFmtId="0" fontId="0" fillId="0" borderId="4" xfId="0" applyFont="1" applyBorder="1" applyAlignment="1">
      <alignment horizontal="center"/>
    </xf>
    <xf numFmtId="3" fontId="0" fillId="0" borderId="0" xfId="0" applyNumberFormat="1" applyFont="1"/>
    <xf numFmtId="0" fontId="19" fillId="0" borderId="4" xfId="0" applyFont="1" applyBorder="1" applyAlignment="1">
      <alignment horizontal="center"/>
    </xf>
    <xf numFmtId="0" fontId="11" fillId="0" borderId="4" xfId="2" applyFont="1" applyFill="1" applyBorder="1" applyAlignment="1" applyProtection="1">
      <alignment horizontal="center"/>
    </xf>
    <xf numFmtId="0" fontId="13" fillId="0" borderId="4" xfId="0" applyFont="1" applyBorder="1" applyAlignment="1">
      <alignment horizontal="center"/>
    </xf>
    <xf numFmtId="0" fontId="0" fillId="0" borderId="5" xfId="0" applyFont="1" applyBorder="1" applyAlignment="1">
      <alignment horizontal="left"/>
    </xf>
    <xf numFmtId="0" fontId="6" fillId="0" borderId="5" xfId="2" applyFont="1" applyBorder="1" applyAlignment="1" applyProtection="1">
      <alignment horizontal="left"/>
    </xf>
    <xf numFmtId="0" fontId="0" fillId="0" borderId="4" xfId="0" applyFont="1" applyFill="1" applyBorder="1" applyAlignment="1">
      <alignment horizontal="left"/>
    </xf>
    <xf numFmtId="0" fontId="19" fillId="0" borderId="5" xfId="0" applyFont="1" applyBorder="1" applyAlignment="1">
      <alignment horizontal="left"/>
    </xf>
    <xf numFmtId="0" fontId="0" fillId="0" borderId="4" xfId="0" applyFont="1" applyBorder="1"/>
    <xf numFmtId="0" fontId="6" fillId="0" borderId="3" xfId="2" applyFont="1" applyFill="1" applyBorder="1" applyAlignment="1" applyProtection="1">
      <alignment horizontal="left"/>
    </xf>
    <xf numFmtId="0" fontId="6" fillId="0" borderId="6" xfId="2" applyFont="1" applyBorder="1" applyAlignment="1" applyProtection="1"/>
    <xf numFmtId="0" fontId="11" fillId="0" borderId="6" xfId="2" applyFont="1" applyFill="1" applyBorder="1" applyAlignment="1" applyProtection="1">
      <alignment horizontal="center"/>
    </xf>
    <xf numFmtId="3" fontId="0" fillId="0" borderId="20" xfId="0" applyNumberFormat="1" applyFont="1" applyBorder="1" applyAlignment="1">
      <alignment horizontal="right"/>
    </xf>
    <xf numFmtId="0" fontId="13" fillId="0" borderId="5" xfId="0" applyFont="1" applyFill="1" applyBorder="1" applyAlignment="1">
      <alignment horizontal="center"/>
    </xf>
    <xf numFmtId="0" fontId="13" fillId="0" borderId="4" xfId="0" applyFont="1" applyFill="1" applyBorder="1" applyAlignment="1">
      <alignment horizontal="center"/>
    </xf>
    <xf numFmtId="0" fontId="13" fillId="0" borderId="6" xfId="0" applyFont="1" applyFill="1" applyBorder="1" applyAlignment="1">
      <alignment horizontal="center"/>
    </xf>
    <xf numFmtId="0" fontId="13" fillId="0" borderId="4" xfId="0" applyFont="1" applyFill="1" applyBorder="1" applyAlignment="1">
      <alignment horizontal="left"/>
    </xf>
    <xf numFmtId="0" fontId="13" fillId="0" borderId="23" xfId="0" applyFont="1" applyFill="1" applyBorder="1" applyAlignment="1">
      <alignment horizontal="center"/>
    </xf>
    <xf numFmtId="0" fontId="13" fillId="0" borderId="23" xfId="0" applyFont="1" applyFill="1" applyBorder="1" applyAlignment="1">
      <alignment horizontal="center" vertical="center"/>
    </xf>
    <xf numFmtId="0" fontId="6" fillId="0" borderId="49" xfId="2" applyFont="1" applyBorder="1" applyAlignment="1" applyProtection="1"/>
    <xf numFmtId="0" fontId="0" fillId="0" borderId="6" xfId="0" applyFont="1" applyBorder="1"/>
    <xf numFmtId="0" fontId="11" fillId="0" borderId="4" xfId="2" applyFont="1" applyFill="1" applyBorder="1" applyAlignment="1" applyProtection="1">
      <alignment horizontal="left"/>
    </xf>
    <xf numFmtId="0" fontId="19" fillId="0" borderId="4" xfId="0" applyFont="1" applyFill="1" applyBorder="1" applyAlignment="1">
      <alignment horizontal="left"/>
    </xf>
    <xf numFmtId="0" fontId="0" fillId="0" borderId="3" xfId="0" applyFont="1" applyFill="1" applyBorder="1" applyAlignment="1">
      <alignment horizontal="left"/>
    </xf>
    <xf numFmtId="164" fontId="0" fillId="0" borderId="20" xfId="0" applyNumberFormat="1" applyFont="1" applyBorder="1" applyAlignment="1">
      <alignment horizontal="center"/>
    </xf>
    <xf numFmtId="164" fontId="0" fillId="0" borderId="22" xfId="0" applyNumberFormat="1" applyFont="1" applyBorder="1" applyAlignment="1">
      <alignment horizontal="center"/>
    </xf>
    <xf numFmtId="0" fontId="13" fillId="11" borderId="4" xfId="0" applyFont="1" applyFill="1" applyBorder="1" applyAlignment="1">
      <alignment horizontal="left"/>
    </xf>
    <xf numFmtId="3" fontId="5" fillId="0" borderId="0" xfId="0" applyNumberFormat="1" applyFont="1"/>
    <xf numFmtId="0" fontId="0" fillId="0" borderId="23" xfId="0" applyFont="1" applyBorder="1" applyAlignment="1">
      <alignment horizontal="center"/>
    </xf>
    <xf numFmtId="0" fontId="12" fillId="2" borderId="6" xfId="0" applyNumberFormat="1" applyFont="1" applyFill="1" applyBorder="1" applyAlignment="1">
      <alignment horizontal="left"/>
    </xf>
    <xf numFmtId="0" fontId="19" fillId="3" borderId="4" xfId="0" applyFont="1" applyFill="1" applyBorder="1" applyAlignment="1">
      <alignment horizontal="center"/>
    </xf>
    <xf numFmtId="0" fontId="0" fillId="3" borderId="4" xfId="0" applyFont="1" applyFill="1" applyBorder="1" applyAlignment="1">
      <alignment horizontal="center"/>
    </xf>
    <xf numFmtId="0" fontId="13" fillId="3" borderId="30" xfId="0" applyFont="1" applyFill="1" applyBorder="1" applyAlignment="1">
      <alignment horizontal="center"/>
    </xf>
    <xf numFmtId="0" fontId="11" fillId="3" borderId="4" xfId="2" applyFont="1" applyFill="1" applyBorder="1" applyAlignment="1" applyProtection="1">
      <alignment horizontal="center"/>
    </xf>
    <xf numFmtId="0" fontId="0" fillId="3" borderId="4" xfId="0" applyFont="1" applyFill="1" applyBorder="1" applyAlignment="1">
      <alignment horizontal="center" vertical="center"/>
    </xf>
    <xf numFmtId="0" fontId="19" fillId="16" borderId="4" xfId="0" applyFont="1" applyFill="1" applyBorder="1" applyAlignment="1">
      <alignment horizontal="center"/>
    </xf>
    <xf numFmtId="0" fontId="19" fillId="0" borderId="4" xfId="0" applyFont="1" applyBorder="1"/>
    <xf numFmtId="0" fontId="13" fillId="0" borderId="4" xfId="2" applyFont="1" applyFill="1" applyBorder="1" applyAlignment="1" applyProtection="1">
      <alignment horizontal="left"/>
    </xf>
    <xf numFmtId="0" fontId="13" fillId="0" borderId="4" xfId="2" applyFont="1" applyFill="1" applyBorder="1" applyAlignment="1" applyProtection="1">
      <alignment horizontal="center"/>
    </xf>
    <xf numFmtId="0" fontId="0" fillId="16" borderId="4" xfId="0" applyFont="1" applyFill="1" applyBorder="1" applyAlignment="1">
      <alignment horizontal="center"/>
    </xf>
    <xf numFmtId="0" fontId="11" fillId="0" borderId="56" xfId="2" applyFont="1" applyBorder="1" applyAlignment="1" applyProtection="1">
      <alignment horizontal="center"/>
    </xf>
    <xf numFmtId="0" fontId="13" fillId="0" borderId="23" xfId="0" applyFont="1" applyBorder="1" applyAlignment="1">
      <alignment horizontal="center"/>
    </xf>
    <xf numFmtId="0" fontId="11" fillId="0" borderId="23" xfId="2" applyFont="1" applyBorder="1" applyAlignment="1" applyProtection="1">
      <alignment horizontal="center" vertical="center"/>
    </xf>
    <xf numFmtId="0" fontId="11" fillId="0" borderId="60" xfId="2" applyFont="1" applyBorder="1" applyAlignment="1" applyProtection="1"/>
    <xf numFmtId="0" fontId="10" fillId="0" borderId="0" xfId="0" applyFont="1" applyBorder="1"/>
    <xf numFmtId="0" fontId="29" fillId="0" borderId="0" xfId="0" applyFont="1" applyBorder="1"/>
    <xf numFmtId="0" fontId="5" fillId="2" borderId="53" xfId="0" applyFont="1" applyFill="1" applyBorder="1" applyAlignment="1">
      <alignment horizontal="left" vertical="center" wrapText="1"/>
    </xf>
    <xf numFmtId="0" fontId="11" fillId="0" borderId="23" xfId="2" applyFont="1" applyFill="1" applyBorder="1" applyAlignment="1" applyProtection="1">
      <alignment horizontal="center"/>
    </xf>
    <xf numFmtId="164" fontId="0" fillId="5" borderId="20" xfId="0" applyNumberFormat="1" applyFont="1" applyFill="1" applyBorder="1" applyAlignment="1">
      <alignment horizontal="center"/>
    </xf>
    <xf numFmtId="0" fontId="5" fillId="0" borderId="0" xfId="0" applyFont="1" applyFill="1" applyAlignment="1">
      <alignment horizontal="center"/>
    </xf>
    <xf numFmtId="0" fontId="0" fillId="0" borderId="0" xfId="0" applyFont="1" applyFill="1" applyAlignment="1">
      <alignment horizontal="center" vertical="center"/>
    </xf>
    <xf numFmtId="3" fontId="0" fillId="0" borderId="0" xfId="0" applyNumberFormat="1" applyFont="1" applyFill="1"/>
    <xf numFmtId="3" fontId="0" fillId="0" borderId="0" xfId="0" applyNumberFormat="1" applyFont="1" applyFill="1" applyAlignment="1">
      <alignment horizontal="right"/>
    </xf>
    <xf numFmtId="0" fontId="6" fillId="0" borderId="0" xfId="2" applyFont="1" applyFill="1" applyAlignment="1" applyProtection="1">
      <alignment horizontal="center"/>
    </xf>
    <xf numFmtId="0" fontId="1" fillId="0" borderId="0" xfId="2" applyFill="1" applyAlignment="1" applyProtection="1">
      <alignment vertical="center"/>
    </xf>
    <xf numFmtId="0" fontId="0" fillId="0" borderId="0" xfId="0" applyFill="1" applyAlignment="1">
      <alignment vertical="center"/>
    </xf>
    <xf numFmtId="0" fontId="12" fillId="0" borderId="0" xfId="0" applyFont="1" applyBorder="1" applyAlignment="1">
      <alignment vertical="center"/>
    </xf>
    <xf numFmtId="164" fontId="0" fillId="0" borderId="29" xfId="0" applyNumberFormat="1" applyFont="1" applyBorder="1" applyAlignment="1">
      <alignment horizontal="center"/>
    </xf>
    <xf numFmtId="164" fontId="0" fillId="0" borderId="3" xfId="0" applyNumberFormat="1" applyFont="1" applyBorder="1" applyAlignment="1">
      <alignment horizontal="center"/>
    </xf>
    <xf numFmtId="164" fontId="0" fillId="3" borderId="6" xfId="0" applyNumberFormat="1" applyFont="1" applyFill="1" applyBorder="1" applyAlignment="1">
      <alignment horizontal="center"/>
    </xf>
    <xf numFmtId="0" fontId="0" fillId="0" borderId="0" xfId="0" applyFont="1" applyFill="1" applyBorder="1" applyAlignment="1">
      <alignment horizontal="left"/>
    </xf>
    <xf numFmtId="0" fontId="0" fillId="0" borderId="0" xfId="0" applyFont="1" applyAlignment="1">
      <alignment horizontal="left" vertical="center"/>
    </xf>
    <xf numFmtId="0" fontId="0" fillId="0" borderId="0" xfId="0" applyFont="1" applyAlignment="1">
      <alignment vertical="center"/>
    </xf>
    <xf numFmtId="0" fontId="0" fillId="2" borderId="0" xfId="0" applyNumberFormat="1" applyFont="1" applyFill="1" applyAlignment="1">
      <alignment horizontal="center" vertical="center"/>
    </xf>
    <xf numFmtId="0" fontId="0" fillId="0" borderId="0" xfId="0" applyNumberFormat="1" applyFont="1" applyAlignment="1">
      <alignment horizontal="center" vertical="center"/>
    </xf>
    <xf numFmtId="0" fontId="0" fillId="0" borderId="0" xfId="0" applyFont="1" applyAlignment="1">
      <alignment horizontal="right" vertical="center"/>
    </xf>
    <xf numFmtId="0" fontId="0" fillId="0" borderId="64" xfId="0" applyFont="1" applyBorder="1" applyAlignment="1">
      <alignment horizontal="center"/>
    </xf>
    <xf numFmtId="0" fontId="0" fillId="0" borderId="18" xfId="0" applyFont="1" applyBorder="1" applyAlignment="1">
      <alignment horizontal="center"/>
    </xf>
    <xf numFmtId="0" fontId="0" fillId="0" borderId="18" xfId="0" applyFont="1" applyFill="1" applyBorder="1" applyAlignment="1">
      <alignment horizontal="center"/>
    </xf>
    <xf numFmtId="0" fontId="0" fillId="0" borderId="34" xfId="0" applyFont="1" applyBorder="1" applyAlignment="1">
      <alignment horizontal="center"/>
    </xf>
    <xf numFmtId="0" fontId="10" fillId="0" borderId="0" xfId="0" applyFont="1" applyAlignment="1">
      <alignment horizontal="left"/>
    </xf>
    <xf numFmtId="0" fontId="7" fillId="2" borderId="63" xfId="0" applyFont="1" applyFill="1" applyBorder="1" applyAlignment="1">
      <alignment horizontal="center" vertical="center"/>
    </xf>
    <xf numFmtId="0" fontId="7" fillId="2" borderId="47" xfId="0" applyNumberFormat="1" applyFont="1" applyFill="1" applyBorder="1" applyAlignment="1">
      <alignment horizontal="center" vertical="center"/>
    </xf>
    <xf numFmtId="0" fontId="9" fillId="0" borderId="25" xfId="2" applyNumberFormat="1" applyFont="1" applyFill="1" applyBorder="1" applyAlignment="1" applyProtection="1"/>
    <xf numFmtId="0" fontId="9" fillId="0" borderId="5" xfId="2" applyNumberFormat="1" applyFont="1" applyFill="1" applyBorder="1" applyAlignment="1" applyProtection="1"/>
    <xf numFmtId="0" fontId="6" fillId="0" borderId="5" xfId="2" applyNumberFormat="1" applyFont="1" applyFill="1" applyBorder="1" applyAlignment="1" applyProtection="1"/>
    <xf numFmtId="0" fontId="14" fillId="0" borderId="5" xfId="2" applyNumberFormat="1" applyFont="1" applyFill="1" applyBorder="1" applyAlignment="1" applyProtection="1"/>
    <xf numFmtId="0" fontId="6" fillId="0" borderId="5" xfId="2" applyFont="1" applyFill="1" applyBorder="1" applyAlignment="1" applyProtection="1"/>
    <xf numFmtId="0" fontId="30" fillId="0" borderId="0" xfId="0" applyFont="1"/>
    <xf numFmtId="3" fontId="0" fillId="0" borderId="0" xfId="0" applyNumberFormat="1"/>
    <xf numFmtId="0" fontId="5" fillId="2" borderId="38" xfId="0" applyFont="1" applyFill="1" applyBorder="1" applyAlignment="1">
      <alignment horizontal="center"/>
    </xf>
    <xf numFmtId="0" fontId="0" fillId="0" borderId="66" xfId="0" applyFont="1" applyBorder="1" applyAlignment="1">
      <alignment horizontal="center"/>
    </xf>
    <xf numFmtId="0" fontId="0" fillId="0" borderId="67" xfId="0" applyFont="1" applyBorder="1" applyAlignment="1">
      <alignment horizontal="center"/>
    </xf>
    <xf numFmtId="0" fontId="0" fillId="0" borderId="62" xfId="0" applyFont="1" applyBorder="1" applyAlignment="1">
      <alignment horizontal="center"/>
    </xf>
    <xf numFmtId="0" fontId="0" fillId="0" borderId="32" xfId="0" applyFont="1" applyBorder="1" applyAlignment="1">
      <alignment horizontal="center"/>
    </xf>
    <xf numFmtId="0" fontId="0" fillId="0" borderId="50" xfId="0" applyFont="1" applyBorder="1" applyAlignment="1">
      <alignment horizontal="center"/>
    </xf>
    <xf numFmtId="0" fontId="5" fillId="2" borderId="0" xfId="0" applyFont="1" applyFill="1" applyAlignment="1">
      <alignment horizontal="center"/>
    </xf>
    <xf numFmtId="0" fontId="0" fillId="0" borderId="0" xfId="0" applyFont="1" applyFill="1" applyBorder="1"/>
    <xf numFmtId="0" fontId="5" fillId="2" borderId="0" xfId="0" applyFont="1" applyFill="1"/>
    <xf numFmtId="0" fontId="0" fillId="0" borderId="20" xfId="0" applyNumberFormat="1" applyFont="1" applyBorder="1" applyAlignment="1">
      <alignment horizontal="left"/>
    </xf>
    <xf numFmtId="0" fontId="0" fillId="0" borderId="20" xfId="0" applyNumberFormat="1" applyFont="1" applyBorder="1" applyAlignment="1">
      <alignment horizontal="center"/>
    </xf>
    <xf numFmtId="0" fontId="0" fillId="0" borderId="3" xfId="0" applyNumberFormat="1" applyFont="1" applyBorder="1" applyAlignment="1">
      <alignment horizontal="center"/>
    </xf>
    <xf numFmtId="0" fontId="0" fillId="0" borderId="4" xfId="0" applyNumberFormat="1" applyFont="1" applyBorder="1" applyAlignment="1">
      <alignment horizontal="center"/>
    </xf>
    <xf numFmtId="0" fontId="0" fillId="0" borderId="5" xfId="0" applyNumberFormat="1" applyFont="1" applyBorder="1" applyAlignment="1">
      <alignment horizontal="center"/>
    </xf>
    <xf numFmtId="0" fontId="0" fillId="0" borderId="22" xfId="0" applyNumberFormat="1" applyFont="1" applyBorder="1" applyAlignment="1">
      <alignment horizontal="left"/>
    </xf>
    <xf numFmtId="0" fontId="0" fillId="0" borderId="29" xfId="0" applyNumberFormat="1" applyFont="1" applyBorder="1" applyAlignment="1">
      <alignment horizontal="center"/>
    </xf>
    <xf numFmtId="0" fontId="0" fillId="0" borderId="30" xfId="0" applyNumberFormat="1" applyFont="1" applyBorder="1" applyAlignment="1">
      <alignment horizontal="center"/>
    </xf>
    <xf numFmtId="0" fontId="0" fillId="0" borderId="27" xfId="0" applyNumberFormat="1" applyFont="1" applyBorder="1" applyAlignment="1">
      <alignment horizontal="center"/>
    </xf>
    <xf numFmtId="0" fontId="0" fillId="0" borderId="22" xfId="0" applyNumberFormat="1" applyFont="1" applyBorder="1" applyAlignment="1">
      <alignment horizontal="center"/>
    </xf>
    <xf numFmtId="0" fontId="0" fillId="0" borderId="24" xfId="0" applyNumberFormat="1" applyFont="1" applyBorder="1" applyAlignment="1">
      <alignment horizontal="center"/>
    </xf>
    <xf numFmtId="0" fontId="0" fillId="0" borderId="17" xfId="0" applyNumberFormat="1" applyFont="1" applyBorder="1" applyAlignment="1">
      <alignment horizontal="center"/>
    </xf>
    <xf numFmtId="0" fontId="0" fillId="0" borderId="25" xfId="0" applyNumberFormat="1" applyFont="1" applyBorder="1" applyAlignment="1">
      <alignment horizontal="center"/>
    </xf>
    <xf numFmtId="2" fontId="0" fillId="0" borderId="29" xfId="0" applyNumberFormat="1" applyFont="1" applyBorder="1" applyAlignment="1">
      <alignment horizontal="center"/>
    </xf>
    <xf numFmtId="2" fontId="0" fillId="0" borderId="30" xfId="0" applyNumberFormat="1" applyFont="1" applyBorder="1" applyAlignment="1">
      <alignment horizontal="center"/>
    </xf>
    <xf numFmtId="2" fontId="0" fillId="0" borderId="27" xfId="0" applyNumberFormat="1" applyFont="1" applyBorder="1" applyAlignment="1">
      <alignment horizontal="center"/>
    </xf>
    <xf numFmtId="2" fontId="0" fillId="0" borderId="3" xfId="0" applyNumberFormat="1" applyFont="1" applyBorder="1" applyAlignment="1">
      <alignment horizontal="center"/>
    </xf>
    <xf numFmtId="2" fontId="0" fillId="0" borderId="4" xfId="0" applyNumberFormat="1" applyFont="1" applyBorder="1" applyAlignment="1">
      <alignment horizontal="center"/>
    </xf>
    <xf numFmtId="2" fontId="0" fillId="0" borderId="5" xfId="0" applyNumberFormat="1" applyFont="1" applyBorder="1" applyAlignment="1">
      <alignment horizontal="center"/>
    </xf>
    <xf numFmtId="0" fontId="14" fillId="2" borderId="40" xfId="0" applyFont="1" applyFill="1" applyBorder="1" applyAlignment="1">
      <alignment horizontal="center" vertical="center"/>
    </xf>
    <xf numFmtId="168" fontId="14" fillId="2" borderId="40" xfId="0" applyNumberFormat="1" applyFont="1" applyFill="1" applyBorder="1" applyAlignment="1">
      <alignment horizontal="center" vertical="center"/>
    </xf>
    <xf numFmtId="168" fontId="14" fillId="2" borderId="41" xfId="0" applyNumberFormat="1" applyFont="1" applyFill="1" applyBorder="1" applyAlignment="1">
      <alignment horizontal="center" vertical="center"/>
    </xf>
    <xf numFmtId="0" fontId="0" fillId="5" borderId="46" xfId="0" applyFill="1" applyBorder="1" applyAlignment="1">
      <alignment horizontal="center" vertical="center"/>
    </xf>
    <xf numFmtId="0" fontId="0" fillId="5" borderId="47" xfId="0" applyFill="1" applyBorder="1" applyAlignment="1">
      <alignment horizontal="center" vertical="center"/>
    </xf>
    <xf numFmtId="0" fontId="0" fillId="4" borderId="46" xfId="0" applyFill="1" applyBorder="1" applyAlignment="1">
      <alignment horizontal="center" vertical="center"/>
    </xf>
    <xf numFmtId="0" fontId="0" fillId="4" borderId="2" xfId="0" applyFill="1" applyBorder="1" applyAlignment="1">
      <alignment horizontal="center" vertical="center"/>
    </xf>
    <xf numFmtId="0" fontId="0" fillId="4" borderId="47" xfId="0" applyFill="1" applyBorder="1" applyAlignment="1">
      <alignment horizontal="center" vertical="center"/>
    </xf>
    <xf numFmtId="0" fontId="0" fillId="0" borderId="30" xfId="0" applyBorder="1" applyAlignment="1">
      <alignment horizontal="center" vertical="center"/>
    </xf>
    <xf numFmtId="0" fontId="0" fillId="0" borderId="30" xfId="0" applyBorder="1" applyAlignment="1">
      <alignment vertical="center"/>
    </xf>
    <xf numFmtId="0" fontId="0" fillId="0" borderId="30" xfId="0" applyBorder="1" applyAlignment="1">
      <alignment horizontal="left" vertical="center"/>
    </xf>
    <xf numFmtId="0" fontId="0" fillId="3" borderId="30" xfId="0" applyFill="1" applyBorder="1" applyAlignment="1">
      <alignment horizontal="center" vertical="center"/>
    </xf>
    <xf numFmtId="168" fontId="0" fillId="0" borderId="30" xfId="0" applyNumberFormat="1" applyBorder="1" applyAlignment="1">
      <alignment horizontal="center" vertical="center"/>
    </xf>
    <xf numFmtId="168" fontId="0" fillId="0" borderId="27" xfId="0" applyNumberFormat="1" applyBorder="1" applyAlignment="1">
      <alignment horizontal="center" vertical="center"/>
    </xf>
    <xf numFmtId="0" fontId="0" fillId="0" borderId="4" xfId="0" applyBorder="1" applyAlignment="1">
      <alignment horizontal="left" vertical="center"/>
    </xf>
    <xf numFmtId="168" fontId="0" fillId="0" borderId="4" xfId="0" applyNumberFormat="1" applyBorder="1" applyAlignment="1">
      <alignment horizontal="center" vertical="center"/>
    </xf>
    <xf numFmtId="0" fontId="0" fillId="0" borderId="4" xfId="0" applyBorder="1" applyAlignment="1">
      <alignment horizontal="center" vertical="center"/>
    </xf>
    <xf numFmtId="0" fontId="0" fillId="0" borderId="4" xfId="0" applyBorder="1" applyAlignment="1">
      <alignment vertical="center"/>
    </xf>
    <xf numFmtId="0" fontId="0" fillId="3" borderId="4" xfId="0" applyFill="1" applyBorder="1" applyAlignment="1">
      <alignment horizontal="center" vertical="center"/>
    </xf>
    <xf numFmtId="168" fontId="0" fillId="0" borderId="5" xfId="0" applyNumberFormat="1" applyBorder="1" applyAlignment="1">
      <alignment horizontal="center" vertical="center"/>
    </xf>
    <xf numFmtId="15" fontId="0" fillId="0" borderId="3" xfId="0" applyNumberFormat="1" applyFill="1" applyBorder="1" applyAlignment="1">
      <alignment horizontal="center" vertical="center"/>
    </xf>
    <xf numFmtId="15" fontId="0" fillId="0" borderId="5" xfId="0" applyNumberFormat="1" applyFill="1" applyBorder="1" applyAlignment="1">
      <alignment horizontal="center" vertical="center"/>
    </xf>
    <xf numFmtId="15" fontId="0" fillId="0" borderId="4" xfId="0" applyNumberFormat="1" applyFill="1" applyBorder="1" applyAlignment="1">
      <alignment horizontal="center" vertical="center"/>
    </xf>
    <xf numFmtId="0" fontId="0" fillId="11" borderId="4" xfId="0" applyFill="1" applyBorder="1" applyAlignment="1">
      <alignment horizontal="center" vertical="center"/>
    </xf>
    <xf numFmtId="0" fontId="0" fillId="0" borderId="4" xfId="0" applyFill="1" applyBorder="1" applyAlignment="1">
      <alignment horizontal="center" vertical="center"/>
    </xf>
    <xf numFmtId="0" fontId="0" fillId="0" borderId="4" xfId="0" applyFill="1" applyBorder="1" applyAlignment="1">
      <alignment vertical="center"/>
    </xf>
    <xf numFmtId="0" fontId="0" fillId="0" borderId="4" xfId="0" applyFill="1" applyBorder="1" applyAlignment="1">
      <alignment horizontal="left" vertical="center"/>
    </xf>
    <xf numFmtId="168" fontId="0" fillId="0" borderId="4" xfId="0" applyNumberFormat="1" applyFill="1" applyBorder="1" applyAlignment="1">
      <alignment horizontal="center" vertical="center"/>
    </xf>
    <xf numFmtId="168" fontId="0" fillId="0" borderId="5" xfId="0" applyNumberFormat="1" applyFill="1" applyBorder="1" applyAlignment="1">
      <alignment horizontal="center" vertical="center"/>
    </xf>
    <xf numFmtId="0" fontId="0" fillId="0" borderId="3" xfId="0" applyFill="1" applyBorder="1" applyAlignment="1">
      <alignment horizontal="center" vertical="center"/>
    </xf>
    <xf numFmtId="0" fontId="0" fillId="0" borderId="5" xfId="0" applyFill="1" applyBorder="1" applyAlignment="1">
      <alignment horizontal="center" vertical="center"/>
    </xf>
    <xf numFmtId="0" fontId="0" fillId="0" borderId="3" xfId="0" applyBorder="1" applyAlignment="1">
      <alignment horizontal="center" vertical="center"/>
    </xf>
    <xf numFmtId="0" fontId="30" fillId="0" borderId="5" xfId="0" applyFont="1" applyBorder="1" applyAlignment="1">
      <alignment horizontal="center" vertical="center"/>
    </xf>
    <xf numFmtId="0" fontId="0" fillId="0" borderId="5" xfId="0" applyBorder="1" applyAlignment="1">
      <alignment horizontal="center" vertical="center"/>
    </xf>
    <xf numFmtId="0" fontId="0" fillId="0" borderId="0" xfId="0" applyAlignment="1">
      <alignment horizontal="left" vertical="center"/>
    </xf>
    <xf numFmtId="0" fontId="0" fillId="0" borderId="0" xfId="0" applyAlignment="1">
      <alignment horizontal="center" vertical="center"/>
    </xf>
    <xf numFmtId="15" fontId="0" fillId="0" borderId="4" xfId="0" applyNumberFormat="1" applyBorder="1" applyAlignment="1">
      <alignment horizontal="center" vertical="center"/>
    </xf>
    <xf numFmtId="15" fontId="0" fillId="0" borderId="5" xfId="0" applyNumberFormat="1" applyBorder="1" applyAlignment="1">
      <alignment horizontal="center" vertical="center"/>
    </xf>
    <xf numFmtId="0" fontId="0" fillId="0" borderId="0" xfId="0" applyAlignment="1">
      <alignment vertical="center"/>
    </xf>
    <xf numFmtId="0" fontId="0" fillId="9" borderId="4" xfId="0" applyFill="1" applyBorder="1" applyAlignment="1">
      <alignment horizontal="center" vertical="center"/>
    </xf>
    <xf numFmtId="0" fontId="0" fillId="11" borderId="3" xfId="0" applyFill="1" applyBorder="1" applyAlignment="1">
      <alignment horizontal="center" vertical="center"/>
    </xf>
    <xf numFmtId="0" fontId="0" fillId="2" borderId="4" xfId="0" applyFill="1" applyBorder="1" applyAlignment="1">
      <alignment horizontal="center" vertical="center"/>
    </xf>
    <xf numFmtId="15" fontId="0" fillId="0" borderId="3" xfId="0" applyNumberFormat="1" applyBorder="1" applyAlignment="1">
      <alignment horizontal="center" vertical="center"/>
    </xf>
    <xf numFmtId="15" fontId="30" fillId="0" borderId="5" xfId="0" applyNumberFormat="1" applyFont="1" applyBorder="1" applyAlignment="1">
      <alignment horizontal="center" vertical="center"/>
    </xf>
    <xf numFmtId="0" fontId="30" fillId="0" borderId="3" xfId="0" applyFont="1" applyBorder="1" applyAlignment="1">
      <alignment horizontal="center" vertical="center"/>
    </xf>
    <xf numFmtId="0" fontId="0" fillId="0" borderId="27" xfId="0" applyBorder="1" applyAlignment="1">
      <alignment horizontal="center" vertical="center"/>
    </xf>
    <xf numFmtId="0" fontId="0" fillId="0" borderId="0" xfId="0" applyBorder="1" applyAlignment="1">
      <alignment horizontal="center" vertical="center"/>
    </xf>
    <xf numFmtId="168" fontId="0" fillId="0" borderId="0" xfId="0" applyNumberFormat="1" applyAlignment="1">
      <alignment horizontal="center" vertical="center"/>
    </xf>
    <xf numFmtId="0" fontId="0" fillId="4" borderId="0" xfId="0" applyFill="1" applyBorder="1" applyAlignment="1">
      <alignment horizontal="center" vertical="center"/>
    </xf>
    <xf numFmtId="0" fontId="0" fillId="0" borderId="29" xfId="0" applyBorder="1" applyAlignment="1">
      <alignment horizontal="center" vertical="center"/>
    </xf>
    <xf numFmtId="15" fontId="0" fillId="0" borderId="29" xfId="0" applyNumberFormat="1" applyBorder="1" applyAlignment="1">
      <alignment horizontal="center" vertical="center"/>
    </xf>
    <xf numFmtId="15" fontId="0" fillId="0" borderId="30" xfId="0" applyNumberFormat="1" applyBorder="1" applyAlignment="1">
      <alignment horizontal="center" vertical="center"/>
    </xf>
    <xf numFmtId="0" fontId="0" fillId="0" borderId="29" xfId="1" applyNumberFormat="1" applyFont="1" applyBorder="1" applyAlignment="1">
      <alignment horizontal="center"/>
    </xf>
    <xf numFmtId="0" fontId="0" fillId="0" borderId="3" xfId="1" applyNumberFormat="1" applyFont="1" applyBorder="1" applyAlignment="1">
      <alignment horizontal="center"/>
    </xf>
    <xf numFmtId="0" fontId="0" fillId="4" borderId="0" xfId="0" applyFill="1" applyAlignment="1">
      <alignment horizontal="center"/>
    </xf>
    <xf numFmtId="0" fontId="0" fillId="4" borderId="0" xfId="0" applyFill="1" applyBorder="1" applyAlignment="1">
      <alignment horizontal="left" vertical="center"/>
    </xf>
    <xf numFmtId="0" fontId="7" fillId="9" borderId="50" xfId="0" applyFont="1" applyFill="1" applyBorder="1" applyAlignment="1">
      <alignment horizontal="center" vertical="center"/>
    </xf>
    <xf numFmtId="2" fontId="0" fillId="0" borderId="31" xfId="0" applyNumberFormat="1" applyFont="1" applyBorder="1" applyAlignment="1">
      <alignment horizontal="center"/>
    </xf>
    <xf numFmtId="0" fontId="0" fillId="0" borderId="22" xfId="0" applyFont="1" applyBorder="1" applyAlignment="1">
      <alignment horizontal="center"/>
    </xf>
    <xf numFmtId="2" fontId="0" fillId="0" borderId="6" xfId="0" applyNumberFormat="1" applyFont="1" applyBorder="1" applyAlignment="1">
      <alignment horizontal="center"/>
    </xf>
    <xf numFmtId="2" fontId="0" fillId="0" borderId="3" xfId="0" applyNumberFormat="1" applyFont="1" applyFill="1" applyBorder="1" applyAlignment="1">
      <alignment horizontal="center"/>
    </xf>
    <xf numFmtId="2" fontId="0" fillId="0" borderId="6" xfId="0" applyNumberFormat="1" applyFont="1" applyFill="1" applyBorder="1" applyAlignment="1">
      <alignment horizontal="center"/>
    </xf>
    <xf numFmtId="2" fontId="0" fillId="0" borderId="4" xfId="0" applyNumberFormat="1" applyFont="1" applyFill="1" applyBorder="1" applyAlignment="1">
      <alignment horizontal="center"/>
    </xf>
    <xf numFmtId="2" fontId="0" fillId="0" borderId="5" xfId="0" applyNumberFormat="1" applyFont="1" applyFill="1" applyBorder="1" applyAlignment="1">
      <alignment horizontal="center"/>
    </xf>
    <xf numFmtId="0" fontId="11" fillId="0" borderId="20" xfId="2" applyFont="1" applyBorder="1" applyAlignment="1" applyProtection="1">
      <alignment horizontal="center"/>
    </xf>
    <xf numFmtId="0" fontId="7" fillId="9" borderId="0" xfId="0" applyFont="1" applyFill="1" applyBorder="1" applyAlignment="1">
      <alignment horizontal="center" vertical="center"/>
    </xf>
    <xf numFmtId="0" fontId="5" fillId="0" borderId="0" xfId="0" applyFont="1" applyBorder="1" applyAlignment="1">
      <alignment horizontal="center"/>
    </xf>
    <xf numFmtId="0" fontId="0" fillId="0" borderId="55" xfId="0" applyFont="1" applyBorder="1" applyAlignment="1">
      <alignment horizontal="center"/>
    </xf>
    <xf numFmtId="0" fontId="0" fillId="0" borderId="49" xfId="0" applyFont="1" applyBorder="1" applyAlignment="1">
      <alignment horizontal="center"/>
    </xf>
    <xf numFmtId="0" fontId="11" fillId="0" borderId="49" xfId="2" applyFont="1" applyBorder="1" applyAlignment="1" applyProtection="1">
      <alignment horizontal="center"/>
    </xf>
    <xf numFmtId="2" fontId="0" fillId="0" borderId="22" xfId="0" applyNumberFormat="1" applyFont="1" applyBorder="1" applyAlignment="1">
      <alignment horizontal="center"/>
    </xf>
    <xf numFmtId="2" fontId="0" fillId="0" borderId="20" xfId="0" applyNumberFormat="1" applyFont="1" applyBorder="1" applyAlignment="1">
      <alignment horizontal="center"/>
    </xf>
    <xf numFmtId="2" fontId="0" fillId="0" borderId="20" xfId="0" applyNumberFormat="1" applyFont="1" applyFill="1" applyBorder="1" applyAlignment="1">
      <alignment horizontal="center"/>
    </xf>
    <xf numFmtId="0" fontId="7" fillId="3" borderId="65" xfId="0" applyFont="1" applyFill="1" applyBorder="1" applyAlignment="1">
      <alignment horizontal="center" vertical="center"/>
    </xf>
    <xf numFmtId="0" fontId="7" fillId="3" borderId="2" xfId="0" applyFont="1" applyFill="1" applyBorder="1" applyAlignment="1">
      <alignment horizontal="center" vertical="center"/>
    </xf>
    <xf numFmtId="0" fontId="7" fillId="3" borderId="47" xfId="0" applyFont="1" applyFill="1" applyBorder="1" applyAlignment="1">
      <alignment horizontal="center" vertical="center"/>
    </xf>
    <xf numFmtId="0" fontId="7" fillId="15" borderId="50" xfId="0" applyFont="1" applyFill="1" applyBorder="1" applyAlignment="1">
      <alignment horizontal="center" vertical="center"/>
    </xf>
    <xf numFmtId="0" fontId="7" fillId="3" borderId="70" xfId="0" applyFont="1" applyFill="1" applyBorder="1" applyAlignment="1">
      <alignment horizontal="center" vertical="center"/>
    </xf>
    <xf numFmtId="0" fontId="7" fillId="9" borderId="52" xfId="0" applyFont="1" applyFill="1" applyBorder="1" applyAlignment="1">
      <alignment horizontal="center" vertical="center"/>
    </xf>
    <xf numFmtId="0" fontId="0" fillId="0" borderId="31" xfId="0" applyNumberFormat="1" applyFont="1" applyBorder="1" applyAlignment="1">
      <alignment horizontal="center"/>
    </xf>
    <xf numFmtId="0" fontId="0" fillId="0" borderId="6" xfId="0" applyNumberFormat="1" applyFont="1" applyBorder="1" applyAlignment="1">
      <alignment horizontal="center"/>
    </xf>
    <xf numFmtId="0" fontId="0" fillId="0" borderId="3" xfId="0" applyNumberFormat="1" applyFont="1" applyFill="1" applyBorder="1" applyAlignment="1">
      <alignment horizontal="center"/>
    </xf>
    <xf numFmtId="0" fontId="0" fillId="0" borderId="6" xfId="0" applyNumberFormat="1" applyFont="1" applyFill="1" applyBorder="1" applyAlignment="1">
      <alignment horizontal="center"/>
    </xf>
    <xf numFmtId="0" fontId="0" fillId="0" borderId="5" xfId="0" applyNumberFormat="1" applyFont="1" applyFill="1" applyBorder="1" applyAlignment="1">
      <alignment horizontal="center"/>
    </xf>
    <xf numFmtId="0" fontId="7" fillId="9" borderId="0" xfId="0" applyFont="1" applyFill="1" applyAlignment="1">
      <alignment horizontal="center"/>
    </xf>
    <xf numFmtId="0" fontId="11" fillId="0" borderId="31" xfId="2" applyFont="1" applyFill="1" applyBorder="1" applyAlignment="1" applyProtection="1">
      <alignment horizontal="left"/>
    </xf>
    <xf numFmtId="0" fontId="0" fillId="0" borderId="4" xfId="0" applyFont="1" applyFill="1" applyBorder="1" applyAlignment="1">
      <alignment horizontal="center"/>
    </xf>
    <xf numFmtId="0" fontId="13" fillId="0" borderId="27" xfId="0" applyFont="1" applyFill="1" applyBorder="1" applyAlignment="1">
      <alignment horizontal="left"/>
    </xf>
    <xf numFmtId="0" fontId="13" fillId="0" borderId="5" xfId="0" applyFont="1" applyFill="1" applyBorder="1" applyAlignment="1">
      <alignment horizontal="left" vertical="center"/>
    </xf>
    <xf numFmtId="0" fontId="0" fillId="0" borderId="6" xfId="0" applyFont="1" applyFill="1" applyBorder="1" applyAlignment="1">
      <alignment horizontal="center"/>
    </xf>
    <xf numFmtId="0" fontId="7" fillId="2" borderId="70" xfId="0" applyFont="1" applyFill="1" applyBorder="1" applyAlignment="1">
      <alignment horizontal="center" vertical="center"/>
    </xf>
    <xf numFmtId="0" fontId="7" fillId="2" borderId="47" xfId="0" applyFont="1" applyFill="1" applyBorder="1" applyAlignment="1">
      <alignment horizontal="center" vertical="center"/>
    </xf>
    <xf numFmtId="0" fontId="7" fillId="2" borderId="2" xfId="0" applyFont="1" applyFill="1" applyBorder="1" applyAlignment="1">
      <alignment horizontal="center" vertical="center"/>
    </xf>
    <xf numFmtId="0" fontId="0" fillId="0" borderId="4" xfId="0" applyNumberFormat="1" applyFont="1" applyFill="1" applyBorder="1" applyAlignment="1">
      <alignment horizontal="center"/>
    </xf>
    <xf numFmtId="0" fontId="0" fillId="0" borderId="3" xfId="0" applyFont="1" applyBorder="1" applyAlignment="1">
      <alignment horizontal="left"/>
    </xf>
    <xf numFmtId="0" fontId="11" fillId="0" borderId="3" xfId="2" applyFont="1" applyBorder="1" applyAlignment="1" applyProtection="1">
      <alignment horizontal="left"/>
    </xf>
    <xf numFmtId="0" fontId="0" fillId="0" borderId="4" xfId="0" applyNumberFormat="1" applyFont="1" applyBorder="1" applyAlignment="1">
      <alignment horizontal="left"/>
    </xf>
    <xf numFmtId="0" fontId="0" fillId="0" borderId="5" xfId="0" applyNumberFormat="1" applyFont="1" applyBorder="1" applyAlignment="1">
      <alignment horizontal="left"/>
    </xf>
    <xf numFmtId="0" fontId="0" fillId="0" borderId="4" xfId="0" applyNumberFormat="1" applyFont="1" applyFill="1" applyBorder="1" applyAlignment="1">
      <alignment horizontal="left"/>
    </xf>
    <xf numFmtId="0" fontId="0" fillId="0" borderId="5" xfId="0" applyNumberFormat="1" applyFont="1" applyFill="1" applyBorder="1" applyAlignment="1">
      <alignment horizontal="left"/>
    </xf>
    <xf numFmtId="2" fontId="0" fillId="0" borderId="4" xfId="0" applyNumberFormat="1" applyFont="1" applyFill="1" applyBorder="1" applyAlignment="1">
      <alignment horizontal="left"/>
    </xf>
    <xf numFmtId="2" fontId="0" fillId="0" borderId="5" xfId="0" applyNumberFormat="1" applyFont="1" applyFill="1" applyBorder="1" applyAlignment="1">
      <alignment horizontal="left"/>
    </xf>
    <xf numFmtId="0" fontId="31" fillId="17" borderId="71" xfId="0" applyFont="1" applyFill="1" applyBorder="1" applyAlignment="1">
      <alignment horizontal="center" vertical="center"/>
    </xf>
    <xf numFmtId="0" fontId="32" fillId="0" borderId="72" xfId="3" applyBorder="1" applyAlignment="1">
      <alignment horizontal="left" vertical="top"/>
    </xf>
    <xf numFmtId="0" fontId="33" fillId="0" borderId="72" xfId="0" applyFont="1" applyBorder="1" applyAlignment="1">
      <alignment horizontal="center" vertical="top"/>
    </xf>
    <xf numFmtId="0" fontId="32" fillId="18" borderId="72" xfId="3" applyFill="1" applyBorder="1" applyAlignment="1">
      <alignment horizontal="left" vertical="top"/>
    </xf>
    <xf numFmtId="0" fontId="33" fillId="18" borderId="72" xfId="0" applyFont="1" applyFill="1" applyBorder="1" applyAlignment="1">
      <alignment horizontal="center" vertical="top"/>
    </xf>
    <xf numFmtId="0" fontId="32" fillId="18" borderId="73" xfId="3" applyFill="1" applyBorder="1" applyAlignment="1">
      <alignment horizontal="left" vertical="top"/>
    </xf>
    <xf numFmtId="0" fontId="33" fillId="18" borderId="73" xfId="0" applyFont="1" applyFill="1" applyBorder="1" applyAlignment="1">
      <alignment horizontal="center" vertical="top"/>
    </xf>
    <xf numFmtId="0" fontId="1" fillId="0" borderId="72" xfId="2" applyBorder="1" applyAlignment="1" applyProtection="1">
      <alignment horizontal="left" vertical="top"/>
    </xf>
    <xf numFmtId="0" fontId="1" fillId="18" borderId="72" xfId="2" applyFill="1" applyBorder="1" applyAlignment="1" applyProtection="1">
      <alignment horizontal="left" vertical="top"/>
    </xf>
    <xf numFmtId="1" fontId="0" fillId="0" borderId="4" xfId="0" applyNumberFormat="1" applyFont="1" applyBorder="1" applyAlignment="1">
      <alignment horizontal="center"/>
    </xf>
    <xf numFmtId="1" fontId="0" fillId="0" borderId="3" xfId="0" applyNumberFormat="1" applyFont="1" applyFill="1" applyBorder="1" applyAlignment="1">
      <alignment horizontal="center"/>
    </xf>
    <xf numFmtId="1" fontId="0" fillId="0" borderId="4" xfId="0" applyNumberFormat="1" applyFont="1" applyFill="1" applyBorder="1" applyAlignment="1">
      <alignment horizontal="center"/>
    </xf>
    <xf numFmtId="1" fontId="0" fillId="0" borderId="5" xfId="0" applyNumberFormat="1" applyFont="1" applyFill="1" applyBorder="1" applyAlignment="1">
      <alignment horizontal="center"/>
    </xf>
    <xf numFmtId="0" fontId="7" fillId="3" borderId="50" xfId="0" applyFont="1" applyFill="1" applyBorder="1" applyAlignment="1">
      <alignment horizontal="center" vertical="center"/>
    </xf>
    <xf numFmtId="0" fontId="6" fillId="0" borderId="20" xfId="2" applyNumberFormat="1" applyFont="1" applyBorder="1" applyAlignment="1" applyProtection="1">
      <alignment horizontal="left"/>
    </xf>
    <xf numFmtId="0" fontId="0" fillId="0" borderId="20" xfId="0" applyNumberFormat="1" applyFont="1" applyFill="1" applyBorder="1" applyAlignment="1">
      <alignment horizontal="left"/>
    </xf>
    <xf numFmtId="2" fontId="0" fillId="0" borderId="20" xfId="0" applyNumberFormat="1" applyFont="1" applyFill="1" applyBorder="1" applyAlignment="1">
      <alignment horizontal="left"/>
    </xf>
    <xf numFmtId="0" fontId="6" fillId="0" borderId="20" xfId="2" applyNumberFormat="1" applyFont="1" applyFill="1" applyBorder="1" applyAlignment="1" applyProtection="1">
      <alignment horizontal="left"/>
    </xf>
    <xf numFmtId="1" fontId="6" fillId="0" borderId="20" xfId="2" applyNumberFormat="1" applyFont="1" applyFill="1" applyBorder="1" applyAlignment="1" applyProtection="1">
      <alignment horizontal="left"/>
    </xf>
    <xf numFmtId="0" fontId="6" fillId="0" borderId="4" xfId="2" applyFont="1" applyBorder="1" applyAlignment="1" applyProtection="1">
      <alignment horizontal="left"/>
    </xf>
    <xf numFmtId="0" fontId="0" fillId="0" borderId="4" xfId="0" applyFont="1" applyFill="1" applyBorder="1" applyAlignment="1">
      <alignment horizontal="center" vertical="center"/>
    </xf>
    <xf numFmtId="0" fontId="11" fillId="0" borderId="66" xfId="0" applyFont="1" applyFill="1" applyBorder="1" applyAlignment="1">
      <alignment horizontal="center"/>
    </xf>
    <xf numFmtId="3" fontId="13" fillId="0" borderId="30" xfId="0" applyNumberFormat="1" applyFont="1" applyFill="1" applyBorder="1" applyAlignment="1">
      <alignment horizontal="right"/>
    </xf>
    <xf numFmtId="3" fontId="19" fillId="0" borderId="4" xfId="0" applyNumberFormat="1" applyFont="1" applyFill="1" applyBorder="1" applyAlignment="1">
      <alignment horizontal="right"/>
    </xf>
    <xf numFmtId="3" fontId="0" fillId="0" borderId="4" xfId="0" applyNumberFormat="1" applyFont="1" applyFill="1" applyBorder="1" applyAlignment="1">
      <alignment horizontal="right"/>
    </xf>
    <xf numFmtId="3" fontId="0" fillId="0" borderId="4" xfId="0" applyNumberFormat="1" applyFont="1" applyFill="1" applyBorder="1" applyAlignment="1">
      <alignment horizontal="right" vertical="center"/>
    </xf>
    <xf numFmtId="0" fontId="6" fillId="0" borderId="0" xfId="2" applyFont="1" applyFill="1" applyBorder="1" applyAlignment="1" applyProtection="1"/>
    <xf numFmtId="164" fontId="0" fillId="0" borderId="0" xfId="0" applyNumberFormat="1" applyAlignment="1">
      <alignment horizontal="center"/>
    </xf>
    <xf numFmtId="3" fontId="0" fillId="0" borderId="0" xfId="0" applyNumberFormat="1" applyAlignment="1">
      <alignment horizontal="right"/>
    </xf>
    <xf numFmtId="0" fontId="0" fillId="0" borderId="0" xfId="0" applyFill="1" applyAlignment="1">
      <alignment horizontal="center"/>
    </xf>
    <xf numFmtId="0" fontId="34" fillId="0" borderId="0" xfId="0" applyFont="1"/>
    <xf numFmtId="0" fontId="0" fillId="2" borderId="50" xfId="0" applyFont="1" applyFill="1" applyBorder="1"/>
    <xf numFmtId="0" fontId="0" fillId="2" borderId="70" xfId="0" applyFont="1" applyFill="1" applyBorder="1" applyAlignment="1">
      <alignment horizontal="center"/>
    </xf>
    <xf numFmtId="0" fontId="0" fillId="2" borderId="2" xfId="0" applyFont="1" applyFill="1" applyBorder="1" applyAlignment="1">
      <alignment horizontal="center"/>
    </xf>
    <xf numFmtId="0" fontId="0" fillId="2" borderId="50" xfId="0" applyFont="1" applyFill="1" applyBorder="1" applyAlignment="1">
      <alignment horizontal="center"/>
    </xf>
    <xf numFmtId="0" fontId="35" fillId="0" borderId="0" xfId="0" applyFont="1" applyAlignment="1">
      <alignment horizontal="center" vertical="center" textRotation="90"/>
    </xf>
    <xf numFmtId="0" fontId="0" fillId="4" borderId="19" xfId="0" applyFont="1" applyFill="1" applyBorder="1"/>
    <xf numFmtId="0" fontId="0" fillId="0" borderId="17" xfId="0" applyFont="1" applyBorder="1" applyAlignment="1">
      <alignment horizontal="center"/>
    </xf>
    <xf numFmtId="0" fontId="0" fillId="0" borderId="0" xfId="0" applyFont="1" applyBorder="1" applyAlignment="1">
      <alignment horizontal="center"/>
    </xf>
    <xf numFmtId="0" fontId="0" fillId="3" borderId="19" xfId="0" applyFont="1" applyFill="1" applyBorder="1"/>
    <xf numFmtId="0" fontId="0" fillId="4" borderId="20" xfId="0" applyFont="1" applyFill="1" applyBorder="1"/>
    <xf numFmtId="0" fontId="0" fillId="3" borderId="20" xfId="0" applyFont="1" applyFill="1" applyBorder="1"/>
    <xf numFmtId="0" fontId="0" fillId="4" borderId="21" xfId="0" applyFont="1" applyFill="1" applyBorder="1"/>
    <xf numFmtId="0" fontId="0" fillId="2" borderId="50" xfId="0" applyFont="1" applyFill="1" applyBorder="1" applyAlignment="1">
      <alignment horizontal="right"/>
    </xf>
    <xf numFmtId="0" fontId="0" fillId="0" borderId="70" xfId="0" applyFont="1" applyBorder="1" applyAlignment="1">
      <alignment horizontal="center"/>
    </xf>
    <xf numFmtId="0" fontId="0" fillId="0" borderId="2" xfId="0" applyFont="1" applyBorder="1" applyAlignment="1">
      <alignment horizontal="center"/>
    </xf>
    <xf numFmtId="0" fontId="5" fillId="0" borderId="50" xfId="0" applyFont="1" applyBorder="1" applyAlignment="1">
      <alignment horizontal="center"/>
    </xf>
    <xf numFmtId="0" fontId="0" fillId="3" borderId="22" xfId="0" applyFont="1" applyFill="1" applyBorder="1"/>
    <xf numFmtId="0" fontId="0" fillId="0" borderId="29" xfId="0" applyFont="1" applyBorder="1" applyAlignment="1">
      <alignment horizontal="center"/>
    </xf>
    <xf numFmtId="9" fontId="36" fillId="0" borderId="0" xfId="1" applyFont="1" applyAlignment="1">
      <alignment vertical="center"/>
    </xf>
    <xf numFmtId="0" fontId="0" fillId="3" borderId="21" xfId="0" applyFont="1" applyFill="1" applyBorder="1"/>
    <xf numFmtId="0" fontId="14" fillId="0" borderId="0" xfId="0" applyFont="1"/>
    <xf numFmtId="0" fontId="0" fillId="0" borderId="0" xfId="0" applyFill="1" applyBorder="1"/>
    <xf numFmtId="0" fontId="5" fillId="0" borderId="0" xfId="0" applyFont="1" applyFill="1" applyBorder="1" applyAlignment="1">
      <alignment horizontal="left" vertical="center"/>
    </xf>
    <xf numFmtId="0" fontId="30" fillId="0" borderId="0" xfId="0" applyFont="1" applyAlignment="1">
      <alignment horizontal="center"/>
    </xf>
    <xf numFmtId="0" fontId="30" fillId="0" borderId="0" xfId="0" quotePrefix="1" applyFont="1" applyAlignment="1">
      <alignment horizontal="center"/>
    </xf>
    <xf numFmtId="10" fontId="0" fillId="0" borderId="0" xfId="1" applyNumberFormat="1" applyFont="1" applyFill="1" applyBorder="1"/>
    <xf numFmtId="0" fontId="14" fillId="0" borderId="0" xfId="0" applyFont="1" applyFill="1" applyAlignment="1">
      <alignment horizontal="right" vertical="center"/>
    </xf>
    <xf numFmtId="0" fontId="14" fillId="2" borderId="0" xfId="0" applyFont="1" applyFill="1"/>
    <xf numFmtId="0" fontId="7" fillId="2" borderId="0" xfId="0" applyFont="1" applyFill="1" applyAlignment="1">
      <alignment horizontal="right"/>
    </xf>
    <xf numFmtId="0" fontId="36" fillId="0" borderId="0" xfId="0" applyFont="1" applyFill="1" applyBorder="1"/>
    <xf numFmtId="0" fontId="12" fillId="2" borderId="50" xfId="0" applyFont="1" applyFill="1" applyBorder="1" applyAlignment="1">
      <alignment horizontal="center" vertical="center"/>
    </xf>
    <xf numFmtId="0" fontId="12" fillId="0" borderId="50" xfId="0" applyFont="1" applyBorder="1" applyAlignment="1">
      <alignment horizontal="center" vertical="center"/>
    </xf>
    <xf numFmtId="0" fontId="0" fillId="2" borderId="74" xfId="0" applyFont="1" applyFill="1" applyBorder="1" applyAlignment="1">
      <alignment horizontal="center"/>
    </xf>
    <xf numFmtId="0" fontId="0" fillId="0" borderId="74" xfId="0" applyFont="1" applyBorder="1" applyAlignment="1">
      <alignment horizontal="center"/>
    </xf>
    <xf numFmtId="0" fontId="0" fillId="0" borderId="43" xfId="0" applyFont="1" applyBorder="1" applyAlignment="1">
      <alignment horizontal="center"/>
    </xf>
    <xf numFmtId="0" fontId="0" fillId="2" borderId="75" xfId="0" applyFont="1" applyFill="1" applyBorder="1" applyAlignment="1">
      <alignment horizontal="center"/>
    </xf>
    <xf numFmtId="0" fontId="0" fillId="0" borderId="75" xfId="0" applyFont="1" applyBorder="1" applyAlignment="1">
      <alignment horizontal="center"/>
    </xf>
    <xf numFmtId="0" fontId="0" fillId="2" borderId="0" xfId="0" applyFont="1" applyFill="1" applyAlignment="1">
      <alignment horizontal="center"/>
    </xf>
    <xf numFmtId="0" fontId="0" fillId="0" borderId="62" xfId="0" applyBorder="1"/>
    <xf numFmtId="3" fontId="0" fillId="0" borderId="62" xfId="0" applyNumberFormat="1" applyBorder="1"/>
    <xf numFmtId="0" fontId="0" fillId="0" borderId="77" xfId="0" applyFont="1" applyFill="1" applyBorder="1" applyAlignment="1">
      <alignment horizontal="center"/>
    </xf>
    <xf numFmtId="0" fontId="0" fillId="0" borderId="16" xfId="0" applyFont="1" applyFill="1" applyBorder="1" applyAlignment="1">
      <alignment horizontal="center"/>
    </xf>
    <xf numFmtId="0" fontId="6" fillId="0" borderId="4" xfId="2" applyNumberFormat="1" applyFont="1" applyFill="1" applyBorder="1" applyAlignment="1" applyProtection="1">
      <alignment horizontal="left"/>
    </xf>
    <xf numFmtId="0" fontId="0" fillId="0" borderId="5" xfId="0" applyFont="1" applyBorder="1" applyAlignment="1">
      <alignment horizontal="center"/>
    </xf>
    <xf numFmtId="0" fontId="0" fillId="0" borderId="10" xfId="0" applyFont="1" applyBorder="1" applyAlignment="1">
      <alignment horizontal="center"/>
    </xf>
    <xf numFmtId="0" fontId="0" fillId="0" borderId="27" xfId="0" applyFont="1" applyBorder="1" applyAlignment="1">
      <alignment horizontal="center"/>
    </xf>
    <xf numFmtId="0" fontId="0" fillId="19" borderId="78" xfId="0" applyFont="1" applyFill="1" applyBorder="1" applyAlignment="1">
      <alignment horizontal="center"/>
    </xf>
    <xf numFmtId="0" fontId="0" fillId="19" borderId="79" xfId="0" applyFont="1" applyFill="1" applyBorder="1" applyAlignment="1">
      <alignment horizontal="center"/>
    </xf>
    <xf numFmtId="0" fontId="0" fillId="5" borderId="76" xfId="0" applyFont="1" applyFill="1" applyBorder="1" applyAlignment="1">
      <alignment horizontal="center"/>
    </xf>
    <xf numFmtId="0" fontId="0" fillId="19" borderId="80" xfId="0" applyFont="1" applyFill="1" applyBorder="1" applyAlignment="1">
      <alignment horizontal="center"/>
    </xf>
    <xf numFmtId="0" fontId="0" fillId="0" borderId="6" xfId="0" applyFont="1" applyBorder="1" applyAlignment="1">
      <alignment horizontal="center"/>
    </xf>
    <xf numFmtId="0" fontId="7" fillId="4" borderId="76" xfId="0" applyFont="1" applyFill="1" applyBorder="1" applyAlignment="1">
      <alignment horizontal="center" vertical="center"/>
    </xf>
    <xf numFmtId="0" fontId="7" fillId="0" borderId="22" xfId="0" applyFont="1" applyBorder="1" applyAlignment="1">
      <alignment horizontal="center"/>
    </xf>
    <xf numFmtId="0" fontId="7" fillId="0" borderId="20" xfId="0" applyFont="1" applyBorder="1" applyAlignment="1">
      <alignment horizontal="center"/>
    </xf>
    <xf numFmtId="0" fontId="0" fillId="19" borderId="81" xfId="0" applyFont="1" applyFill="1" applyBorder="1" applyAlignment="1">
      <alignment horizontal="center"/>
    </xf>
    <xf numFmtId="3" fontId="0" fillId="2" borderId="4" xfId="0" applyNumberFormat="1" applyFont="1" applyFill="1" applyBorder="1" applyAlignment="1">
      <alignment horizontal="right"/>
    </xf>
    <xf numFmtId="9" fontId="0" fillId="0" borderId="0" xfId="1" applyFont="1" applyAlignment="1">
      <alignment horizontal="center"/>
    </xf>
    <xf numFmtId="0" fontId="6" fillId="0" borderId="4" xfId="2" applyNumberFormat="1" applyFont="1" applyBorder="1" applyAlignment="1" applyProtection="1">
      <alignment horizontal="left"/>
    </xf>
    <xf numFmtId="2" fontId="6" fillId="0" borderId="4" xfId="2" applyNumberFormat="1" applyFont="1" applyFill="1" applyBorder="1" applyAlignment="1" applyProtection="1">
      <alignment horizontal="left"/>
    </xf>
    <xf numFmtId="2" fontId="6" fillId="0" borderId="20" xfId="2" applyNumberFormat="1" applyFont="1" applyFill="1" applyBorder="1" applyAlignment="1" applyProtection="1">
      <alignment horizontal="left"/>
    </xf>
    <xf numFmtId="0" fontId="7" fillId="9" borderId="83" xfId="0" applyFont="1" applyFill="1" applyBorder="1" applyAlignment="1">
      <alignment horizontal="center" vertical="center"/>
    </xf>
    <xf numFmtId="0" fontId="7" fillId="9" borderId="78" xfId="0" applyFont="1" applyFill="1" applyBorder="1" applyAlignment="1">
      <alignment horizontal="center" vertical="center"/>
    </xf>
    <xf numFmtId="164" fontId="0" fillId="0" borderId="17" xfId="0" applyNumberFormat="1" applyFont="1" applyBorder="1" applyAlignment="1">
      <alignment horizontal="center"/>
    </xf>
    <xf numFmtId="0" fontId="0" fillId="0" borderId="3" xfId="0" applyFont="1" applyFill="1" applyBorder="1" applyAlignment="1">
      <alignment horizontal="center"/>
    </xf>
    <xf numFmtId="0" fontId="0" fillId="0" borderId="24" xfId="0" applyFont="1" applyFill="1" applyBorder="1" applyAlignment="1">
      <alignment horizontal="center"/>
    </xf>
    <xf numFmtId="0" fontId="14" fillId="0" borderId="0" xfId="0" applyFont="1" applyAlignment="1">
      <alignment vertical="center"/>
    </xf>
    <xf numFmtId="0" fontId="0" fillId="9" borderId="0" xfId="0" applyFill="1" applyBorder="1"/>
    <xf numFmtId="0" fontId="12" fillId="9" borderId="0" xfId="0" applyFont="1" applyFill="1" applyAlignment="1">
      <alignment horizontal="center" vertical="center"/>
    </xf>
    <xf numFmtId="0" fontId="5" fillId="2" borderId="85" xfId="0" applyFont="1" applyFill="1" applyBorder="1" applyAlignment="1">
      <alignment vertical="center"/>
    </xf>
    <xf numFmtId="0" fontId="5" fillId="4" borderId="85" xfId="0" applyFont="1" applyFill="1" applyBorder="1" applyAlignment="1">
      <alignment vertical="center"/>
    </xf>
    <xf numFmtId="0" fontId="0" fillId="2" borderId="85" xfId="0" applyFont="1" applyFill="1" applyBorder="1" applyAlignment="1">
      <alignment vertical="center"/>
    </xf>
    <xf numFmtId="0" fontId="5" fillId="9" borderId="85" xfId="0" applyFont="1" applyFill="1" applyBorder="1" applyAlignment="1">
      <alignment vertical="center"/>
    </xf>
    <xf numFmtId="0" fontId="7" fillId="5" borderId="48" xfId="0" applyFont="1" applyFill="1" applyBorder="1" applyAlignment="1">
      <alignment horizontal="center" vertical="center"/>
    </xf>
    <xf numFmtId="0" fontId="14" fillId="0" borderId="0" xfId="0" applyFont="1" applyAlignment="1">
      <alignment horizontal="right"/>
    </xf>
    <xf numFmtId="0" fontId="14" fillId="0" borderId="0" xfId="0" applyFont="1" applyFill="1" applyAlignment="1">
      <alignment horizontal="right"/>
    </xf>
    <xf numFmtId="0" fontId="0" fillId="0" borderId="24" xfId="0" applyFont="1" applyFill="1" applyBorder="1" applyAlignment="1">
      <alignment horizontal="left"/>
    </xf>
    <xf numFmtId="0" fontId="0" fillId="0" borderId="17" xfId="0" applyFont="1" applyFill="1" applyBorder="1" applyAlignment="1">
      <alignment horizontal="left"/>
    </xf>
    <xf numFmtId="0" fontId="0" fillId="0" borderId="30" xfId="0" applyNumberFormat="1" applyFont="1" applyFill="1" applyBorder="1" applyAlignment="1">
      <alignment horizontal="center"/>
    </xf>
    <xf numFmtId="0" fontId="0" fillId="0" borderId="30" xfId="0" applyNumberFormat="1" applyFont="1" applyFill="1" applyBorder="1" applyAlignment="1">
      <alignment horizontal="left"/>
    </xf>
    <xf numFmtId="0" fontId="0" fillId="0" borderId="27" xfId="0" applyNumberFormat="1" applyFont="1" applyFill="1" applyBorder="1" applyAlignment="1">
      <alignment horizontal="left"/>
    </xf>
    <xf numFmtId="0" fontId="0" fillId="0" borderId="24" xfId="0" applyNumberFormat="1" applyFont="1" applyFill="1" applyBorder="1" applyAlignment="1">
      <alignment horizontal="center"/>
    </xf>
    <xf numFmtId="0" fontId="0" fillId="0" borderId="17" xfId="0" applyNumberFormat="1" applyFont="1" applyFill="1" applyBorder="1" applyAlignment="1">
      <alignment horizontal="center"/>
    </xf>
    <xf numFmtId="0" fontId="6" fillId="0" borderId="19" xfId="2" applyNumberFormat="1" applyFont="1" applyFill="1" applyBorder="1" applyAlignment="1" applyProtection="1">
      <alignment horizontal="left"/>
    </xf>
    <xf numFmtId="0" fontId="0" fillId="0" borderId="29" xfId="0" applyFont="1" applyFill="1" applyBorder="1" applyAlignment="1">
      <alignment horizontal="left"/>
    </xf>
    <xf numFmtId="0" fontId="6" fillId="0" borderId="30" xfId="2" applyFont="1" applyFill="1" applyBorder="1" applyAlignment="1" applyProtection="1">
      <alignment horizontal="left"/>
    </xf>
    <xf numFmtId="0" fontId="6" fillId="0" borderId="30" xfId="2" applyNumberFormat="1" applyFont="1" applyFill="1" applyBorder="1" applyAlignment="1" applyProtection="1">
      <alignment horizontal="left"/>
    </xf>
    <xf numFmtId="0" fontId="0" fillId="2" borderId="0" xfId="0" applyFont="1" applyFill="1" applyAlignment="1">
      <alignment horizontal="right"/>
    </xf>
    <xf numFmtId="0" fontId="13" fillId="0" borderId="3" xfId="0" applyFont="1" applyBorder="1" applyAlignment="1">
      <alignment horizontal="left"/>
    </xf>
    <xf numFmtId="0" fontId="19" fillId="0" borderId="4" xfId="0" applyFont="1" applyFill="1" applyBorder="1"/>
    <xf numFmtId="0" fontId="11" fillId="0" borderId="60" xfId="2" applyFont="1" applyFill="1" applyBorder="1" applyAlignment="1" applyProtection="1"/>
    <xf numFmtId="0" fontId="19" fillId="0" borderId="5" xfId="0" applyFont="1" applyFill="1" applyBorder="1" applyAlignment="1">
      <alignment horizontal="center"/>
    </xf>
    <xf numFmtId="0" fontId="12" fillId="0" borderId="86" xfId="0" applyFont="1" applyBorder="1" applyAlignment="1">
      <alignment horizontal="center" vertical="center"/>
    </xf>
    <xf numFmtId="0" fontId="12" fillId="4" borderId="45" xfId="0" applyNumberFormat="1" applyFont="1" applyFill="1" applyBorder="1" applyAlignment="1">
      <alignment horizontal="left"/>
    </xf>
    <xf numFmtId="0" fontId="17" fillId="0" borderId="45" xfId="0" applyFont="1" applyBorder="1" applyAlignment="1">
      <alignment vertical="center"/>
    </xf>
    <xf numFmtId="3" fontId="12" fillId="0" borderId="4" xfId="0" applyNumberFormat="1" applyFont="1" applyBorder="1" applyAlignment="1">
      <alignment horizontal="center" vertical="center"/>
    </xf>
    <xf numFmtId="3" fontId="12" fillId="2" borderId="4" xfId="0" applyNumberFormat="1" applyFont="1" applyFill="1" applyBorder="1" applyAlignment="1">
      <alignment horizontal="left"/>
    </xf>
    <xf numFmtId="3" fontId="17" fillId="0" borderId="4" xfId="0" applyNumberFormat="1" applyFont="1" applyBorder="1" applyAlignment="1">
      <alignment vertical="center"/>
    </xf>
    <xf numFmtId="0" fontId="6" fillId="2" borderId="6" xfId="2" applyFont="1" applyFill="1" applyBorder="1" applyAlignment="1" applyProtection="1">
      <alignment horizontal="left"/>
    </xf>
    <xf numFmtId="0" fontId="19" fillId="2" borderId="4" xfId="0" applyFont="1" applyFill="1" applyBorder="1" applyAlignment="1">
      <alignment horizontal="center"/>
    </xf>
    <xf numFmtId="0" fontId="0" fillId="12" borderId="4" xfId="0" applyNumberFormat="1" applyFont="1" applyFill="1" applyBorder="1" applyAlignment="1">
      <alignment horizontal="center"/>
    </xf>
    <xf numFmtId="0" fontId="0" fillId="2" borderId="20" xfId="0" applyFont="1" applyFill="1" applyBorder="1" applyAlignment="1">
      <alignment horizontal="center"/>
    </xf>
    <xf numFmtId="0" fontId="0" fillId="0" borderId="77" xfId="0" applyFont="1" applyBorder="1" applyAlignment="1">
      <alignment horizontal="center"/>
    </xf>
    <xf numFmtId="0" fontId="0" fillId="0" borderId="76" xfId="0" applyFont="1" applyBorder="1" applyAlignment="1">
      <alignment horizontal="center"/>
    </xf>
    <xf numFmtId="0" fontId="7" fillId="9" borderId="76" xfId="0" applyFont="1" applyFill="1" applyBorder="1" applyAlignment="1">
      <alignment horizontal="center" vertical="center"/>
    </xf>
    <xf numFmtId="0" fontId="7" fillId="9" borderId="82" xfId="0" applyFont="1" applyFill="1" applyBorder="1" applyAlignment="1">
      <alignment horizontal="center" vertical="center"/>
    </xf>
    <xf numFmtId="0" fontId="7" fillId="9" borderId="80" xfId="0" applyFont="1" applyFill="1" applyBorder="1" applyAlignment="1">
      <alignment horizontal="center" vertical="center"/>
    </xf>
    <xf numFmtId="0" fontId="0" fillId="0" borderId="26" xfId="0" applyFont="1" applyBorder="1" applyAlignment="1">
      <alignment horizontal="center"/>
    </xf>
    <xf numFmtId="0" fontId="6" fillId="0" borderId="87" xfId="2" applyFont="1" applyFill="1" applyBorder="1" applyAlignment="1" applyProtection="1"/>
    <xf numFmtId="0" fontId="19" fillId="0" borderId="5" xfId="0" applyFont="1" applyFill="1" applyBorder="1" applyAlignment="1">
      <alignment horizontal="center" vertical="center"/>
    </xf>
    <xf numFmtId="0" fontId="19" fillId="0" borderId="0" xfId="0" applyFont="1" applyFill="1" applyBorder="1"/>
    <xf numFmtId="0" fontId="0" fillId="0" borderId="0" xfId="0" applyNumberFormat="1" applyAlignment="1">
      <alignment horizontal="center"/>
    </xf>
    <xf numFmtId="0" fontId="0" fillId="5" borderId="0" xfId="0" applyFill="1" applyAlignment="1">
      <alignment horizontal="center"/>
    </xf>
    <xf numFmtId="0" fontId="0" fillId="5" borderId="0" xfId="0" applyFill="1" applyAlignment="1">
      <alignment horizontal="left"/>
    </xf>
    <xf numFmtId="0" fontId="0" fillId="0" borderId="0" xfId="0" applyAlignment="1">
      <alignment horizontal="right"/>
    </xf>
    <xf numFmtId="0" fontId="0" fillId="0" borderId="0" xfId="0" applyAlignment="1">
      <alignment horizontal="left"/>
    </xf>
    <xf numFmtId="0" fontId="29" fillId="0" borderId="0" xfId="0" applyFont="1"/>
    <xf numFmtId="3" fontId="13" fillId="0" borderId="0" xfId="0" applyNumberFormat="1" applyFont="1" applyAlignment="1">
      <alignment vertical="center"/>
    </xf>
    <xf numFmtId="0" fontId="13" fillId="0" borderId="0" xfId="0" applyFont="1" applyAlignment="1">
      <alignment vertical="center"/>
    </xf>
    <xf numFmtId="0" fontId="15" fillId="2" borderId="0" xfId="0" applyFont="1" applyFill="1" applyAlignment="1">
      <alignment horizontal="center" vertical="center"/>
    </xf>
    <xf numFmtId="0" fontId="15" fillId="2" borderId="0" xfId="0" applyFont="1" applyFill="1" applyAlignment="1">
      <alignment horizontal="left" vertical="center"/>
    </xf>
    <xf numFmtId="0" fontId="13" fillId="0" borderId="0" xfId="0" applyFont="1" applyAlignment="1">
      <alignment horizontal="center"/>
    </xf>
    <xf numFmtId="0" fontId="13" fillId="0" borderId="0" xfId="0" applyFont="1" applyAlignment="1">
      <alignment horizontal="center" vertical="center"/>
    </xf>
    <xf numFmtId="1" fontId="0" fillId="0" borderId="0" xfId="0" applyNumberFormat="1" applyAlignment="1">
      <alignment horizontal="center"/>
    </xf>
    <xf numFmtId="0" fontId="13" fillId="0" borderId="0" xfId="0" applyFont="1" applyAlignment="1">
      <alignment horizontal="right" vertical="center"/>
    </xf>
    <xf numFmtId="3" fontId="13" fillId="0" borderId="0" xfId="0" applyNumberFormat="1" applyFont="1" applyAlignment="1">
      <alignment horizontal="right" vertical="center"/>
    </xf>
    <xf numFmtId="15" fontId="0" fillId="0" borderId="0" xfId="0" quotePrefix="1" applyNumberFormat="1"/>
    <xf numFmtId="3" fontId="15" fillId="0" borderId="0" xfId="0" applyNumberFormat="1" applyFont="1"/>
    <xf numFmtId="0" fontId="13" fillId="2" borderId="6" xfId="0" applyFont="1" applyFill="1" applyBorder="1" applyAlignment="1">
      <alignment horizontal="center"/>
    </xf>
    <xf numFmtId="0" fontId="13" fillId="0" borderId="6" xfId="2" applyFont="1" applyFill="1" applyBorder="1" applyAlignment="1" applyProtection="1">
      <alignment horizontal="center"/>
    </xf>
    <xf numFmtId="3" fontId="19" fillId="0" borderId="4" xfId="0" applyNumberFormat="1" applyFont="1" applyFill="1" applyBorder="1" applyAlignment="1">
      <alignment horizontal="right" vertical="center"/>
    </xf>
    <xf numFmtId="3" fontId="19" fillId="0" borderId="60" xfId="0" applyNumberFormat="1" applyFont="1" applyFill="1" applyBorder="1" applyAlignment="1">
      <alignment horizontal="right"/>
    </xf>
    <xf numFmtId="166" fontId="13" fillId="0" borderId="5" xfId="0" applyNumberFormat="1" applyFont="1" applyFill="1" applyBorder="1" applyAlignment="1">
      <alignment horizontal="center"/>
    </xf>
    <xf numFmtId="165" fontId="13" fillId="0" borderId="5" xfId="0" applyNumberFormat="1" applyFont="1" applyFill="1" applyBorder="1" applyAlignment="1">
      <alignment horizontal="center"/>
    </xf>
    <xf numFmtId="3" fontId="12" fillId="2" borderId="45" xfId="0" applyNumberFormat="1" applyFont="1" applyFill="1" applyBorder="1" applyAlignment="1">
      <alignment horizontal="left"/>
    </xf>
    <xf numFmtId="3" fontId="12" fillId="2" borderId="30" xfId="0" applyNumberFormat="1" applyFont="1" applyFill="1" applyBorder="1" applyAlignment="1">
      <alignment horizontal="left"/>
    </xf>
    <xf numFmtId="0" fontId="12" fillId="2" borderId="45" xfId="0" applyNumberFormat="1" applyFont="1" applyFill="1" applyBorder="1" applyAlignment="1">
      <alignment horizontal="left"/>
    </xf>
    <xf numFmtId="0" fontId="0" fillId="2" borderId="85" xfId="0" applyFill="1" applyBorder="1"/>
    <xf numFmtId="18" fontId="0" fillId="0" borderId="0" xfId="0" applyNumberFormat="1" applyFont="1" applyAlignment="1">
      <alignment horizontal="left"/>
    </xf>
    <xf numFmtId="0" fontId="0" fillId="3" borderId="0" xfId="0" applyFill="1" applyAlignment="1">
      <alignment horizontal="center"/>
    </xf>
    <xf numFmtId="3" fontId="0" fillId="0" borderId="0" xfId="0" applyNumberFormat="1" applyAlignment="1">
      <alignment horizontal="center"/>
    </xf>
    <xf numFmtId="0" fontId="11" fillId="0" borderId="76" xfId="0" applyFont="1" applyFill="1" applyBorder="1" applyAlignment="1">
      <alignment horizontal="center"/>
    </xf>
    <xf numFmtId="0" fontId="11" fillId="0" borderId="77" xfId="0" applyFont="1" applyFill="1" applyBorder="1" applyAlignment="1">
      <alignment horizontal="center"/>
    </xf>
    <xf numFmtId="3" fontId="5" fillId="0" borderId="0" xfId="0" applyNumberFormat="1" applyFont="1" applyAlignment="1">
      <alignment horizontal="center"/>
    </xf>
    <xf numFmtId="0" fontId="0" fillId="3" borderId="0" xfId="0" applyFill="1" applyAlignment="1">
      <alignment horizontal="left"/>
    </xf>
    <xf numFmtId="0" fontId="0" fillId="0" borderId="88" xfId="0" applyFont="1" applyBorder="1" applyAlignment="1">
      <alignment horizontal="center"/>
    </xf>
    <xf numFmtId="0" fontId="34" fillId="0" borderId="0" xfId="0" applyFont="1" applyAlignment="1">
      <alignment horizontal="center"/>
    </xf>
    <xf numFmtId="0" fontId="7" fillId="2" borderId="80" xfId="0" applyFont="1" applyFill="1" applyBorder="1" applyAlignment="1">
      <alignment horizontal="center" vertical="center"/>
    </xf>
    <xf numFmtId="0" fontId="7" fillId="2" borderId="79" xfId="0" applyFont="1" applyFill="1" applyBorder="1" applyAlignment="1">
      <alignment horizontal="center" vertical="center"/>
    </xf>
    <xf numFmtId="0" fontId="7" fillId="2" borderId="76" xfId="0" applyFont="1" applyFill="1" applyBorder="1" applyAlignment="1">
      <alignment horizontal="center" vertical="center"/>
    </xf>
    <xf numFmtId="2" fontId="0" fillId="0" borderId="31" xfId="0" applyNumberFormat="1" applyFont="1" applyFill="1" applyBorder="1" applyAlignment="1">
      <alignment horizontal="right" vertical="center"/>
    </xf>
    <xf numFmtId="2" fontId="0" fillId="0" borderId="27" xfId="0" applyNumberFormat="1" applyFont="1" applyFill="1" applyBorder="1" applyAlignment="1">
      <alignment horizontal="right" vertical="center"/>
    </xf>
    <xf numFmtId="0" fontId="0" fillId="0" borderId="22" xfId="0" applyFont="1" applyBorder="1" applyAlignment="1">
      <alignment horizontal="center" vertical="center"/>
    </xf>
    <xf numFmtId="2" fontId="0" fillId="0" borderId="6" xfId="0" applyNumberFormat="1" applyFont="1" applyFill="1" applyBorder="1" applyAlignment="1">
      <alignment horizontal="right" vertical="center"/>
    </xf>
    <xf numFmtId="0" fontId="0" fillId="0" borderId="20" xfId="0" applyFont="1" applyBorder="1" applyAlignment="1">
      <alignment horizontal="center" vertical="center"/>
    </xf>
    <xf numFmtId="0" fontId="30" fillId="0" borderId="0" xfId="0" applyFont="1" applyFill="1" applyAlignment="1">
      <alignment horizontal="center" vertical="center"/>
    </xf>
    <xf numFmtId="0" fontId="5" fillId="2" borderId="0" xfId="0" applyFont="1" applyFill="1" applyAlignment="1">
      <alignment horizontal="center" vertical="center"/>
    </xf>
    <xf numFmtId="169" fontId="38" fillId="0" borderId="0" xfId="1" applyNumberFormat="1" applyFont="1" applyAlignment="1">
      <alignment horizontal="center" vertical="center"/>
    </xf>
    <xf numFmtId="0" fontId="7" fillId="0" borderId="0" xfId="0" applyFont="1" applyBorder="1" applyAlignment="1">
      <alignment horizontal="center" vertical="center"/>
    </xf>
    <xf numFmtId="0" fontId="2" fillId="0" borderId="77" xfId="0" applyFont="1" applyFill="1" applyBorder="1" applyAlignment="1">
      <alignment horizontal="center" vertical="center"/>
    </xf>
    <xf numFmtId="0" fontId="2" fillId="0" borderId="88" xfId="0" applyFont="1" applyBorder="1" applyAlignment="1">
      <alignment horizontal="center" vertical="center"/>
    </xf>
    <xf numFmtId="0" fontId="2" fillId="0" borderId="16" xfId="0" applyFont="1" applyBorder="1" applyAlignment="1">
      <alignment horizontal="center" vertical="center"/>
    </xf>
    <xf numFmtId="0" fontId="39" fillId="0" borderId="0" xfId="0" applyFont="1" applyAlignment="1">
      <alignment horizontal="center" vertical="center"/>
    </xf>
    <xf numFmtId="2" fontId="5" fillId="0" borderId="76" xfId="0" applyNumberFormat="1" applyFont="1" applyBorder="1" applyAlignment="1">
      <alignment horizontal="center" vertical="center"/>
    </xf>
    <xf numFmtId="0" fontId="7" fillId="0" borderId="0" xfId="0" applyFont="1" applyBorder="1" applyAlignment="1">
      <alignment horizontal="left" vertical="center"/>
    </xf>
    <xf numFmtId="0" fontId="0" fillId="2" borderId="76" xfId="0" applyFont="1" applyFill="1" applyBorder="1"/>
    <xf numFmtId="0" fontId="0" fillId="2" borderId="83" xfId="0" applyFont="1" applyFill="1" applyBorder="1" applyAlignment="1">
      <alignment horizontal="center"/>
    </xf>
    <xf numFmtId="0" fontId="0" fillId="2" borderId="78" xfId="0" applyFont="1" applyFill="1" applyBorder="1" applyAlignment="1">
      <alignment horizontal="center"/>
    </xf>
    <xf numFmtId="0" fontId="0" fillId="2" borderId="79" xfId="0" applyFont="1" applyFill="1" applyBorder="1" applyAlignment="1">
      <alignment horizontal="center"/>
    </xf>
    <xf numFmtId="0" fontId="0" fillId="2" borderId="76" xfId="0" applyFont="1" applyFill="1" applyBorder="1" applyAlignment="1">
      <alignment horizontal="center"/>
    </xf>
    <xf numFmtId="0" fontId="0" fillId="8" borderId="24" xfId="0" applyFont="1" applyFill="1" applyBorder="1" applyAlignment="1">
      <alignment horizontal="center"/>
    </xf>
    <xf numFmtId="0" fontId="0" fillId="8" borderId="17" xfId="0" applyFont="1" applyFill="1" applyBorder="1" applyAlignment="1">
      <alignment horizontal="center"/>
    </xf>
    <xf numFmtId="0" fontId="0" fillId="0" borderId="25" xfId="0" applyFont="1" applyBorder="1" applyAlignment="1">
      <alignment horizontal="center"/>
    </xf>
    <xf numFmtId="0" fontId="0" fillId="8" borderId="3" xfId="0" applyFont="1" applyFill="1" applyBorder="1" applyAlignment="1">
      <alignment horizontal="center"/>
    </xf>
    <xf numFmtId="0" fontId="0" fillId="8" borderId="4" xfId="0" applyFont="1" applyFill="1" applyBorder="1" applyAlignment="1">
      <alignment horizontal="center"/>
    </xf>
    <xf numFmtId="0" fontId="0" fillId="8" borderId="9" xfId="0" applyFont="1" applyFill="1" applyBorder="1" applyAlignment="1">
      <alignment horizontal="center"/>
    </xf>
    <xf numFmtId="0" fontId="0" fillId="2" borderId="76" xfId="0" applyFont="1" applyFill="1" applyBorder="1" applyAlignment="1">
      <alignment horizontal="right"/>
    </xf>
    <xf numFmtId="0" fontId="0" fillId="0" borderId="83" xfId="0" applyFont="1" applyBorder="1" applyAlignment="1">
      <alignment horizontal="center"/>
    </xf>
    <xf numFmtId="0" fontId="0" fillId="0" borderId="78" xfId="0" applyFont="1" applyBorder="1" applyAlignment="1">
      <alignment horizontal="center"/>
    </xf>
    <xf numFmtId="0" fontId="0" fillId="0" borderId="79" xfId="0" applyFont="1" applyBorder="1" applyAlignment="1">
      <alignment horizontal="center"/>
    </xf>
    <xf numFmtId="0" fontId="5" fillId="0" borderId="76" xfId="0" applyFont="1" applyBorder="1" applyAlignment="1">
      <alignment horizontal="center"/>
    </xf>
    <xf numFmtId="0" fontId="0" fillId="8" borderId="30" xfId="0" applyFont="1" applyFill="1" applyBorder="1" applyAlignment="1">
      <alignment horizontal="center"/>
    </xf>
    <xf numFmtId="9" fontId="36" fillId="0" borderId="0" xfId="1" applyNumberFormat="1" applyFont="1"/>
    <xf numFmtId="0" fontId="5" fillId="0" borderId="19" xfId="0" applyFont="1" applyBorder="1" applyAlignment="1">
      <alignment horizontal="center"/>
    </xf>
    <xf numFmtId="0" fontId="0" fillId="3" borderId="76" xfId="0" applyFont="1" applyFill="1" applyBorder="1"/>
    <xf numFmtId="0" fontId="0" fillId="9" borderId="0" xfId="0" applyFont="1" applyFill="1"/>
    <xf numFmtId="0" fontId="5" fillId="0" borderId="0" xfId="0" applyFont="1" applyAlignment="1">
      <alignment horizontal="center" vertical="center"/>
    </xf>
    <xf numFmtId="0" fontId="7" fillId="0" borderId="0" xfId="0" applyFont="1" applyAlignment="1">
      <alignment vertical="center"/>
    </xf>
    <xf numFmtId="0" fontId="16" fillId="0" borderId="6" xfId="0" applyFont="1" applyBorder="1" applyAlignment="1">
      <alignment horizontal="center"/>
    </xf>
    <xf numFmtId="0" fontId="16" fillId="0" borderId="6" xfId="0" applyFont="1" applyFill="1" applyBorder="1" applyAlignment="1">
      <alignment horizontal="center"/>
    </xf>
    <xf numFmtId="0" fontId="0" fillId="0" borderId="31" xfId="0" applyFont="1" applyFill="1" applyBorder="1" applyAlignment="1">
      <alignment horizontal="center"/>
    </xf>
    <xf numFmtId="0" fontId="0" fillId="8" borderId="8" xfId="0" applyFont="1" applyFill="1" applyBorder="1" applyAlignment="1">
      <alignment horizontal="center"/>
    </xf>
    <xf numFmtId="0" fontId="0" fillId="8" borderId="29" xfId="0" applyFont="1" applyFill="1" applyBorder="1" applyAlignment="1">
      <alignment horizontal="center"/>
    </xf>
    <xf numFmtId="0" fontId="0" fillId="0" borderId="30" xfId="0" applyFont="1" applyFill="1" applyBorder="1" applyAlignment="1">
      <alignment horizontal="center"/>
    </xf>
    <xf numFmtId="0" fontId="0" fillId="8" borderId="0" xfId="0" applyFill="1"/>
    <xf numFmtId="0" fontId="5" fillId="2" borderId="84" xfId="0" applyFont="1" applyFill="1" applyBorder="1" applyAlignment="1">
      <alignment vertical="center"/>
    </xf>
    <xf numFmtId="0" fontId="7" fillId="2" borderId="0" xfId="0" applyFont="1" applyFill="1"/>
    <xf numFmtId="0" fontId="13" fillId="0" borderId="20" xfId="0" applyFont="1" applyBorder="1" applyAlignment="1">
      <alignment horizontal="center"/>
    </xf>
    <xf numFmtId="0" fontId="0" fillId="0" borderId="5" xfId="0" applyFont="1" applyFill="1" applyBorder="1" applyAlignment="1">
      <alignment horizontal="center"/>
    </xf>
    <xf numFmtId="0" fontId="13" fillId="0" borderId="89" xfId="0" applyFont="1" applyFill="1" applyBorder="1" applyAlignment="1">
      <alignment horizontal="center"/>
    </xf>
    <xf numFmtId="0" fontId="19" fillId="0" borderId="6" xfId="0" applyFont="1" applyFill="1" applyBorder="1" applyAlignment="1">
      <alignment horizontal="center"/>
    </xf>
    <xf numFmtId="0" fontId="11" fillId="0" borderId="88" xfId="0" applyFont="1" applyFill="1" applyBorder="1" applyAlignment="1">
      <alignment horizontal="center"/>
    </xf>
    <xf numFmtId="0" fontId="0" fillId="0" borderId="0" xfId="0" quotePrefix="1" applyFont="1" applyAlignment="1">
      <alignment horizontal="left"/>
    </xf>
    <xf numFmtId="0" fontId="11" fillId="0" borderId="0" xfId="0" quotePrefix="1" applyFont="1" applyFill="1" applyBorder="1" applyAlignment="1">
      <alignment horizontal="left"/>
    </xf>
    <xf numFmtId="0" fontId="5" fillId="0" borderId="0" xfId="0" quotePrefix="1" applyFont="1" applyAlignment="1">
      <alignment horizontal="left"/>
    </xf>
    <xf numFmtId="0" fontId="0" fillId="0" borderId="0" xfId="0" quotePrefix="1" applyFont="1" applyFill="1" applyAlignment="1">
      <alignment horizontal="left"/>
    </xf>
    <xf numFmtId="0" fontId="11" fillId="0" borderId="28" xfId="0" applyFont="1" applyFill="1" applyBorder="1" applyAlignment="1">
      <alignment horizontal="center"/>
    </xf>
    <xf numFmtId="0" fontId="19" fillId="0" borderId="0" xfId="0" applyFont="1" applyBorder="1" applyAlignment="1">
      <alignment horizontal="center"/>
    </xf>
    <xf numFmtId="0" fontId="19" fillId="11" borderId="4" xfId="0" applyFont="1" applyFill="1" applyBorder="1" applyAlignment="1">
      <alignment horizontal="center"/>
    </xf>
    <xf numFmtId="0" fontId="0" fillId="11" borderId="4" xfId="0" applyFont="1" applyFill="1" applyBorder="1" applyAlignment="1">
      <alignment horizontal="center"/>
    </xf>
    <xf numFmtId="0" fontId="0" fillId="0" borderId="90" xfId="0" applyFont="1" applyFill="1" applyBorder="1" applyAlignment="1">
      <alignment horizontal="center"/>
    </xf>
    <xf numFmtId="0" fontId="0" fillId="0" borderId="32" xfId="0" applyFont="1" applyFill="1" applyBorder="1" applyAlignment="1">
      <alignment horizontal="center"/>
    </xf>
    <xf numFmtId="0" fontId="0" fillId="0" borderId="88" xfId="0" applyFont="1" applyFill="1" applyBorder="1" applyAlignment="1">
      <alignment horizontal="center"/>
    </xf>
    <xf numFmtId="0" fontId="0" fillId="2" borderId="4" xfId="0" applyNumberFormat="1" applyFont="1" applyFill="1" applyBorder="1" applyAlignment="1">
      <alignment horizontal="center"/>
    </xf>
    <xf numFmtId="0" fontId="0" fillId="3" borderId="4" xfId="0" applyNumberFormat="1" applyFont="1" applyFill="1" applyBorder="1" applyAlignment="1">
      <alignment horizontal="center"/>
    </xf>
    <xf numFmtId="0" fontId="0" fillId="5" borderId="85" xfId="0" applyFont="1" applyFill="1" applyBorder="1"/>
    <xf numFmtId="0" fontId="30" fillId="0" borderId="0" xfId="0" applyFont="1" applyFill="1" applyBorder="1" applyAlignment="1">
      <alignment horizontal="center"/>
    </xf>
    <xf numFmtId="0" fontId="7" fillId="0" borderId="16" xfId="0" applyFont="1" applyBorder="1" applyAlignment="1">
      <alignment horizontal="center"/>
    </xf>
    <xf numFmtId="0" fontId="0" fillId="0" borderId="44" xfId="0" applyFont="1" applyBorder="1" applyAlignment="1">
      <alignment horizontal="center"/>
    </xf>
    <xf numFmtId="0" fontId="0" fillId="0" borderId="40" xfId="0" applyFont="1" applyBorder="1" applyAlignment="1">
      <alignment horizontal="center"/>
    </xf>
    <xf numFmtId="0" fontId="0" fillId="0" borderId="41" xfId="0" applyFont="1" applyBorder="1" applyAlignment="1">
      <alignment horizontal="center"/>
    </xf>
    <xf numFmtId="0" fontId="0" fillId="0" borderId="59" xfId="0" applyFont="1" applyBorder="1" applyAlignment="1">
      <alignment horizontal="center"/>
    </xf>
    <xf numFmtId="0" fontId="0" fillId="2" borderId="4" xfId="0" applyFont="1" applyFill="1" applyBorder="1" applyAlignment="1">
      <alignment horizontal="center"/>
    </xf>
    <xf numFmtId="3" fontId="0" fillId="0" borderId="16" xfId="0" applyNumberFormat="1" applyFont="1" applyBorder="1"/>
    <xf numFmtId="0" fontId="0" fillId="0" borderId="0" xfId="0" applyFont="1" applyBorder="1"/>
    <xf numFmtId="164" fontId="0" fillId="0" borderId="5" xfId="0" applyNumberFormat="1" applyFont="1" applyBorder="1" applyAlignment="1">
      <alignment horizontal="center"/>
    </xf>
    <xf numFmtId="0" fontId="0" fillId="9" borderId="53" xfId="0" applyFont="1" applyFill="1" applyBorder="1" applyAlignment="1">
      <alignment horizontal="center"/>
    </xf>
    <xf numFmtId="0" fontId="5" fillId="9" borderId="53" xfId="0" applyFont="1" applyFill="1" applyBorder="1" applyAlignment="1">
      <alignment vertical="center"/>
    </xf>
    <xf numFmtId="164" fontId="0" fillId="11" borderId="5" xfId="0" applyNumberFormat="1" applyFont="1" applyFill="1" applyBorder="1" applyAlignment="1">
      <alignment horizontal="center"/>
    </xf>
    <xf numFmtId="0" fontId="12" fillId="15" borderId="4" xfId="0" applyFont="1" applyFill="1" applyBorder="1" applyAlignment="1">
      <alignment horizontal="left"/>
    </xf>
    <xf numFmtId="0" fontId="23" fillId="3" borderId="45" xfId="0" applyFont="1" applyFill="1" applyBorder="1" applyAlignment="1">
      <alignment horizontal="left" vertical="center"/>
    </xf>
    <xf numFmtId="0" fontId="12" fillId="0" borderId="45" xfId="0" applyFont="1" applyBorder="1" applyAlignment="1">
      <alignment horizontal="center" vertical="center"/>
    </xf>
    <xf numFmtId="0" fontId="12" fillId="0" borderId="45" xfId="0" applyFont="1" applyBorder="1" applyAlignment="1">
      <alignment vertical="center"/>
    </xf>
    <xf numFmtId="0" fontId="24" fillId="0" borderId="58" xfId="2" applyFont="1" applyBorder="1" applyAlignment="1" applyProtection="1">
      <alignment vertical="center"/>
    </xf>
    <xf numFmtId="0" fontId="23" fillId="5" borderId="4" xfId="0" applyFont="1" applyFill="1" applyBorder="1" applyAlignment="1">
      <alignment horizontal="left"/>
    </xf>
    <xf numFmtId="0" fontId="23" fillId="2" borderId="4" xfId="0" applyFont="1" applyFill="1" applyBorder="1" applyAlignment="1">
      <alignment horizontal="left"/>
    </xf>
    <xf numFmtId="0" fontId="23" fillId="4" borderId="4" xfId="0" applyFont="1" applyFill="1" applyBorder="1" applyAlignment="1">
      <alignment horizontal="left"/>
    </xf>
    <xf numFmtId="0" fontId="23" fillId="9" borderId="4" xfId="0" applyFont="1" applyFill="1" applyBorder="1" applyAlignment="1">
      <alignment horizontal="left" vertical="center"/>
    </xf>
    <xf numFmtId="0" fontId="23" fillId="15" borderId="4" xfId="0" applyFont="1" applyFill="1" applyBorder="1" applyAlignment="1">
      <alignment horizontal="left" vertical="center"/>
    </xf>
    <xf numFmtId="0" fontId="6" fillId="0" borderId="5" xfId="2" applyFont="1" applyBorder="1" applyAlignment="1" applyProtection="1">
      <alignment vertical="center"/>
    </xf>
    <xf numFmtId="0" fontId="0" fillId="5" borderId="19" xfId="0" applyFont="1" applyFill="1" applyBorder="1" applyAlignment="1">
      <alignment horizontal="center"/>
    </xf>
    <xf numFmtId="0" fontId="40" fillId="0" borderId="0" xfId="2" applyFont="1" applyFill="1" applyAlignment="1" applyProtection="1"/>
    <xf numFmtId="0" fontId="34" fillId="0" borderId="0" xfId="0" applyFont="1" applyFill="1"/>
    <xf numFmtId="0" fontId="34" fillId="0" borderId="0" xfId="0" applyFont="1" applyAlignment="1">
      <alignment horizontal="left"/>
    </xf>
    <xf numFmtId="0" fontId="40" fillId="0" borderId="0" xfId="2" applyFont="1" applyFill="1" applyAlignment="1" applyProtection="1">
      <alignment horizontal="left"/>
    </xf>
    <xf numFmtId="0" fontId="34" fillId="0" borderId="0" xfId="0" applyFont="1" applyFill="1" applyAlignment="1">
      <alignment horizontal="left"/>
    </xf>
    <xf numFmtId="0" fontId="40" fillId="0" borderId="0" xfId="2" applyFont="1" applyFill="1" applyAlignment="1" applyProtection="1">
      <alignment vertical="center"/>
    </xf>
    <xf numFmtId="0" fontId="34" fillId="0" borderId="0" xfId="0" applyFont="1" applyFill="1" applyAlignment="1">
      <alignment horizontal="center"/>
    </xf>
    <xf numFmtId="0" fontId="40" fillId="0" borderId="0" xfId="2" applyFont="1" applyAlignment="1" applyProtection="1"/>
    <xf numFmtId="3" fontId="41" fillId="0" borderId="0" xfId="0" applyNumberFormat="1" applyFont="1"/>
    <xf numFmtId="3" fontId="34" fillId="0" borderId="0" xfId="0" applyNumberFormat="1" applyFont="1" applyFill="1"/>
    <xf numFmtId="3" fontId="34" fillId="0" borderId="0" xfId="0" applyNumberFormat="1" applyFont="1"/>
    <xf numFmtId="3" fontId="41" fillId="0" borderId="0" xfId="0" applyNumberFormat="1" applyFont="1" applyFill="1"/>
    <xf numFmtId="3" fontId="40" fillId="0" borderId="0" xfId="2" applyNumberFormat="1" applyFont="1" applyFill="1" applyAlignment="1" applyProtection="1">
      <alignment horizontal="left"/>
    </xf>
    <xf numFmtId="3" fontId="34" fillId="0" borderId="0" xfId="0" applyNumberFormat="1" applyFont="1" applyAlignment="1">
      <alignment horizontal="right"/>
    </xf>
    <xf numFmtId="3" fontId="34" fillId="0" borderId="0" xfId="0" applyNumberFormat="1" applyFont="1" applyFill="1" applyAlignment="1">
      <alignment horizontal="right"/>
    </xf>
    <xf numFmtId="0" fontId="42" fillId="0" borderId="0" xfId="2" applyFont="1" applyAlignment="1" applyProtection="1"/>
    <xf numFmtId="0" fontId="43" fillId="0" borderId="0" xfId="0" applyFont="1" applyAlignment="1">
      <alignment vertical="center"/>
    </xf>
    <xf numFmtId="0" fontId="45" fillId="0" borderId="0" xfId="0" applyFont="1" applyAlignment="1">
      <alignment horizontal="right" vertical="center"/>
    </xf>
    <xf numFmtId="0" fontId="44" fillId="2" borderId="84" xfId="0" applyFont="1" applyFill="1" applyBorder="1" applyAlignment="1">
      <alignment vertical="center"/>
    </xf>
    <xf numFmtId="0" fontId="46" fillId="2" borderId="85" xfId="0" applyFont="1" applyFill="1" applyBorder="1" applyAlignment="1">
      <alignment vertical="center"/>
    </xf>
    <xf numFmtId="0" fontId="46" fillId="2" borderId="82" xfId="0" applyFont="1" applyFill="1" applyBorder="1" applyAlignment="1">
      <alignment vertical="center"/>
    </xf>
    <xf numFmtId="0" fontId="20" fillId="0" borderId="91" xfId="0" applyFont="1" applyBorder="1"/>
    <xf numFmtId="0" fontId="12" fillId="0" borderId="92" xfId="0" applyFont="1" applyBorder="1"/>
    <xf numFmtId="0" fontId="0" fillId="0" borderId="90" xfId="0" applyBorder="1"/>
    <xf numFmtId="0" fontId="20" fillId="0" borderId="37" xfId="0" applyFont="1" applyBorder="1"/>
    <xf numFmtId="0" fontId="12" fillId="0" borderId="0" xfId="0" applyFont="1" applyBorder="1"/>
    <xf numFmtId="0" fontId="47" fillId="0" borderId="37" xfId="0" applyFont="1" applyBorder="1"/>
    <xf numFmtId="0" fontId="20" fillId="0" borderId="28" xfId="0" applyFont="1" applyBorder="1"/>
    <xf numFmtId="0" fontId="0" fillId="0" borderId="38" xfId="0" applyBorder="1"/>
    <xf numFmtId="0" fontId="12" fillId="0" borderId="38" xfId="0" applyFont="1" applyBorder="1"/>
    <xf numFmtId="0" fontId="0" fillId="0" borderId="32" xfId="0" applyBorder="1"/>
    <xf numFmtId="0" fontId="48" fillId="0" borderId="0" xfId="0" applyFont="1"/>
    <xf numFmtId="0" fontId="44" fillId="0" borderId="0" xfId="0" applyFont="1"/>
    <xf numFmtId="0" fontId="14" fillId="2" borderId="84" xfId="0" applyFont="1" applyFill="1" applyBorder="1" applyAlignment="1">
      <alignment horizontal="center"/>
    </xf>
    <xf numFmtId="0" fontId="14" fillId="2" borderId="85" xfId="0" applyFont="1" applyFill="1" applyBorder="1" applyAlignment="1">
      <alignment horizontal="center"/>
    </xf>
    <xf numFmtId="0" fontId="14" fillId="2" borderId="85" xfId="0" applyFont="1" applyFill="1" applyBorder="1"/>
    <xf numFmtId="0" fontId="14" fillId="2" borderId="82" xfId="0" applyFont="1" applyFill="1" applyBorder="1"/>
    <xf numFmtId="164" fontId="0" fillId="0" borderId="24" xfId="0" applyNumberFormat="1" applyBorder="1" applyAlignment="1">
      <alignment horizontal="center" vertical="top"/>
    </xf>
    <xf numFmtId="168" fontId="0" fillId="0" borderId="17" xfId="0" applyNumberFormat="1" applyBorder="1" applyAlignment="1">
      <alignment horizontal="center" vertical="top"/>
    </xf>
    <xf numFmtId="0" fontId="0" fillId="0" borderId="17" xfId="0" applyBorder="1" applyAlignment="1">
      <alignment vertical="top" wrapText="1"/>
    </xf>
    <xf numFmtId="0" fontId="0" fillId="0" borderId="17" xfId="0" applyBorder="1" applyAlignment="1">
      <alignment vertical="top"/>
    </xf>
    <xf numFmtId="0" fontId="0" fillId="0" borderId="25" xfId="0" applyBorder="1" applyAlignment="1">
      <alignment vertical="top"/>
    </xf>
    <xf numFmtId="164" fontId="0" fillId="0" borderId="3" xfId="0" applyNumberFormat="1" applyBorder="1" applyAlignment="1">
      <alignment horizontal="center"/>
    </xf>
    <xf numFmtId="168" fontId="0" fillId="0" borderId="4" xfId="0" applyNumberFormat="1" applyBorder="1" applyAlignment="1">
      <alignment horizontal="center"/>
    </xf>
    <xf numFmtId="0" fontId="0" fillId="0" borderId="4" xfId="0" applyBorder="1"/>
    <xf numFmtId="0" fontId="0" fillId="0" borderId="5" xfId="0" applyBorder="1"/>
    <xf numFmtId="0" fontId="0" fillId="0" borderId="0" xfId="0" pivotButton="1"/>
    <xf numFmtId="0" fontId="14" fillId="2" borderId="76" xfId="0" applyFont="1" applyFill="1" applyBorder="1" applyAlignment="1">
      <alignment horizontal="center"/>
    </xf>
    <xf numFmtId="0" fontId="14" fillId="2" borderId="76" xfId="0" applyFont="1" applyFill="1" applyBorder="1" applyAlignment="1">
      <alignment horizontal="right"/>
    </xf>
    <xf numFmtId="0" fontId="7" fillId="3" borderId="22" xfId="0" applyFont="1" applyFill="1" applyBorder="1"/>
    <xf numFmtId="0" fontId="7" fillId="3" borderId="20" xfId="0" applyFont="1" applyFill="1" applyBorder="1"/>
    <xf numFmtId="3" fontId="0" fillId="0" borderId="3" xfId="0" applyNumberFormat="1" applyBorder="1"/>
    <xf numFmtId="0" fontId="0" fillId="16" borderId="92" xfId="0" applyFont="1" applyFill="1" applyBorder="1" applyAlignment="1">
      <alignment horizontal="center"/>
    </xf>
    <xf numFmtId="0" fontId="0" fillId="14" borderId="92" xfId="0" applyFill="1" applyBorder="1" applyAlignment="1">
      <alignment horizontal="center" vertical="center"/>
    </xf>
    <xf numFmtId="0" fontId="0" fillId="4" borderId="94" xfId="0" applyFill="1" applyBorder="1"/>
    <xf numFmtId="0" fontId="0" fillId="14" borderId="90" xfId="0" applyFill="1" applyBorder="1" applyAlignment="1">
      <alignment horizontal="center" vertical="center"/>
    </xf>
    <xf numFmtId="0" fontId="0" fillId="14" borderId="9" xfId="0" applyNumberFormat="1" applyFont="1" applyFill="1" applyBorder="1" applyAlignment="1">
      <alignment horizontal="center" vertical="center"/>
    </xf>
    <xf numFmtId="0" fontId="0" fillId="4" borderId="8" xfId="0" applyFont="1" applyFill="1" applyBorder="1" applyAlignment="1">
      <alignment horizontal="center" vertical="center"/>
    </xf>
    <xf numFmtId="0" fontId="6" fillId="0" borderId="23" xfId="2" applyFont="1" applyFill="1" applyBorder="1" applyAlignment="1" applyProtection="1">
      <alignment vertical="center"/>
    </xf>
    <xf numFmtId="0" fontId="6" fillId="2" borderId="49" xfId="2" applyFont="1" applyFill="1" applyBorder="1" applyAlignment="1" applyProtection="1"/>
    <xf numFmtId="0" fontId="0" fillId="2" borderId="4" xfId="0" applyFont="1" applyFill="1" applyBorder="1"/>
    <xf numFmtId="0" fontId="13" fillId="2" borderId="4" xfId="0" applyFont="1" applyFill="1" applyBorder="1" applyAlignment="1">
      <alignment horizontal="center"/>
    </xf>
    <xf numFmtId="3" fontId="0" fillId="0" borderId="24" xfId="0" applyNumberFormat="1" applyBorder="1"/>
    <xf numFmtId="0" fontId="0" fillId="0" borderId="94" xfId="0" applyBorder="1" applyAlignment="1">
      <alignment horizontal="center" vertical="center"/>
    </xf>
    <xf numFmtId="0" fontId="0" fillId="0" borderId="64" xfId="0" applyBorder="1" applyAlignment="1">
      <alignment horizontal="left" vertical="center"/>
    </xf>
    <xf numFmtId="0" fontId="0" fillId="0" borderId="49" xfId="0" applyNumberFormat="1" applyFont="1" applyBorder="1" applyAlignment="1">
      <alignment horizontal="center"/>
    </xf>
    <xf numFmtId="0" fontId="0" fillId="0" borderId="23" xfId="0" applyNumberFormat="1" applyFont="1" applyBorder="1" applyAlignment="1">
      <alignment horizontal="center"/>
    </xf>
    <xf numFmtId="0" fontId="0" fillId="0" borderId="23" xfId="0" applyBorder="1" applyAlignment="1">
      <alignment horizontal="center" vertical="center"/>
    </xf>
    <xf numFmtId="0" fontId="0" fillId="0" borderId="18" xfId="0" applyBorder="1" applyAlignment="1">
      <alignment horizontal="left" vertical="center"/>
    </xf>
    <xf numFmtId="0" fontId="0" fillId="11" borderId="23" xfId="0" applyFill="1" applyBorder="1" applyAlignment="1">
      <alignment horizontal="center" vertical="center"/>
    </xf>
    <xf numFmtId="0" fontId="0" fillId="14" borderId="10" xfId="0" applyNumberFormat="1" applyFont="1" applyFill="1" applyBorder="1" applyAlignment="1">
      <alignment horizontal="center" vertical="center"/>
    </xf>
    <xf numFmtId="0" fontId="18" fillId="10" borderId="10" xfId="0" applyFont="1" applyFill="1" applyBorder="1" applyAlignment="1">
      <alignment horizontal="center" vertical="center"/>
    </xf>
    <xf numFmtId="0" fontId="0" fillId="4" borderId="92" xfId="0" applyFill="1" applyBorder="1"/>
    <xf numFmtId="3" fontId="6" fillId="0" borderId="43" xfId="2" applyNumberFormat="1" applyFont="1" applyBorder="1" applyAlignment="1" applyProtection="1"/>
    <xf numFmtId="3" fontId="0" fillId="0" borderId="3" xfId="0" applyNumberFormat="1" applyFill="1" applyBorder="1"/>
    <xf numFmtId="0" fontId="0" fillId="4" borderId="94" xfId="0" applyFill="1" applyBorder="1" applyAlignment="1">
      <alignment horizontal="center" vertical="center"/>
    </xf>
    <xf numFmtId="167" fontId="0" fillId="0" borderId="0" xfId="0" applyNumberFormat="1" applyAlignment="1">
      <alignment horizontal="center"/>
    </xf>
    <xf numFmtId="0" fontId="0" fillId="0" borderId="31" xfId="0" applyNumberFormat="1" applyBorder="1" applyAlignment="1">
      <alignment horizontal="center" vertical="center"/>
    </xf>
    <xf numFmtId="0" fontId="18" fillId="20" borderId="9" xfId="0" applyFont="1" applyFill="1" applyBorder="1" applyAlignment="1">
      <alignment horizontal="center" vertical="center"/>
    </xf>
    <xf numFmtId="3" fontId="0" fillId="0" borderId="17" xfId="0" applyNumberFormat="1" applyBorder="1"/>
    <xf numFmtId="3" fontId="0" fillId="0" borderId="4" xfId="0" applyNumberFormat="1" applyBorder="1"/>
    <xf numFmtId="3" fontId="0" fillId="0" borderId="4" xfId="0" applyNumberFormat="1" applyFill="1" applyBorder="1"/>
    <xf numFmtId="3" fontId="0" fillId="0" borderId="25" xfId="0" applyNumberFormat="1" applyBorder="1"/>
    <xf numFmtId="3" fontId="0" fillId="0" borderId="5" xfId="0" applyNumberFormat="1" applyBorder="1"/>
    <xf numFmtId="3" fontId="0" fillId="0" borderId="5" xfId="0" applyNumberFormat="1" applyFill="1" applyBorder="1"/>
    <xf numFmtId="0" fontId="13" fillId="4" borderId="34" xfId="0" applyFont="1" applyFill="1" applyBorder="1" applyAlignment="1">
      <alignment horizontal="center" vertical="center"/>
    </xf>
    <xf numFmtId="0" fontId="13" fillId="4" borderId="10" xfId="0" applyFont="1" applyFill="1" applyBorder="1" applyAlignment="1">
      <alignment horizontal="center" vertical="center"/>
    </xf>
    <xf numFmtId="167" fontId="0" fillId="0" borderId="25" xfId="0" applyNumberFormat="1" applyBorder="1" applyAlignment="1">
      <alignment horizontal="center"/>
    </xf>
    <xf numFmtId="167" fontId="0" fillId="0" borderId="5" xfId="0" applyNumberFormat="1" applyBorder="1" applyAlignment="1">
      <alignment horizontal="center"/>
    </xf>
    <xf numFmtId="3" fontId="6" fillId="11" borderId="43" xfId="2" applyNumberFormat="1" applyFont="1" applyFill="1" applyBorder="1" applyAlignment="1" applyProtection="1"/>
    <xf numFmtId="0" fontId="0" fillId="11" borderId="31" xfId="0" applyNumberFormat="1" applyFill="1" applyBorder="1" applyAlignment="1">
      <alignment horizontal="center" vertical="center"/>
    </xf>
    <xf numFmtId="43" fontId="0" fillId="0" borderId="0" xfId="4" applyFont="1" applyFill="1" applyAlignment="1">
      <alignment horizontal="center" vertical="center"/>
    </xf>
    <xf numFmtId="0" fontId="18" fillId="20" borderId="8" xfId="0" applyFont="1" applyFill="1" applyBorder="1" applyAlignment="1">
      <alignment horizontal="center" vertical="center"/>
    </xf>
    <xf numFmtId="0" fontId="0" fillId="0" borderId="20" xfId="0" applyNumberFormat="1" applyFont="1" applyBorder="1" applyAlignment="1">
      <alignment horizontal="center" vertical="center"/>
    </xf>
    <xf numFmtId="0" fontId="0" fillId="11" borderId="20" xfId="0" applyNumberFormat="1" applyFont="1" applyFill="1" applyBorder="1" applyAlignment="1">
      <alignment horizontal="center" vertical="center"/>
    </xf>
    <xf numFmtId="0" fontId="18" fillId="10" borderId="10" xfId="0" applyNumberFormat="1" applyFont="1" applyFill="1" applyBorder="1" applyAlignment="1">
      <alignment horizontal="center" vertical="center"/>
    </xf>
    <xf numFmtId="0" fontId="18" fillId="7" borderId="41" xfId="0" applyFont="1" applyFill="1" applyBorder="1" applyAlignment="1">
      <alignment horizontal="center" vertical="center" wrapText="1"/>
    </xf>
    <xf numFmtId="0" fontId="0" fillId="14" borderId="21" xfId="0" applyNumberFormat="1" applyFont="1" applyFill="1" applyBorder="1" applyAlignment="1">
      <alignment horizontal="center" vertical="center" wrapText="1"/>
    </xf>
    <xf numFmtId="0" fontId="13" fillId="4" borderId="11" xfId="0" applyFont="1" applyFill="1" applyBorder="1" applyAlignment="1">
      <alignment horizontal="center" vertical="center" wrapText="1"/>
    </xf>
    <xf numFmtId="0" fontId="0" fillId="2" borderId="28" xfId="0" applyNumberFormat="1" applyFont="1" applyFill="1" applyBorder="1" applyAlignment="1">
      <alignment horizontal="left" vertical="center"/>
    </xf>
    <xf numFmtId="0" fontId="0" fillId="2" borderId="2" xfId="0" applyNumberFormat="1" applyFont="1" applyFill="1" applyBorder="1" applyAlignment="1">
      <alignment horizontal="center" vertical="center"/>
    </xf>
    <xf numFmtId="0" fontId="13" fillId="2" borderId="2" xfId="0" applyNumberFormat="1" applyFont="1" applyFill="1" applyBorder="1" applyAlignment="1">
      <alignment horizontal="center" vertical="center"/>
    </xf>
    <xf numFmtId="0" fontId="0" fillId="2" borderId="44" xfId="0" applyNumberFormat="1" applyFont="1" applyFill="1" applyBorder="1" applyAlignment="1">
      <alignment horizontal="center" vertical="center"/>
    </xf>
    <xf numFmtId="0" fontId="13" fillId="2" borderId="38" xfId="0" applyNumberFormat="1" applyFont="1" applyFill="1" applyBorder="1" applyAlignment="1">
      <alignment horizontal="center" vertical="center"/>
    </xf>
    <xf numFmtId="0" fontId="13" fillId="2" borderId="47" xfId="0" applyNumberFormat="1" applyFont="1" applyFill="1" applyBorder="1" applyAlignment="1">
      <alignment horizontal="center" vertical="center"/>
    </xf>
    <xf numFmtId="0" fontId="0" fillId="2" borderId="46" xfId="0" applyNumberFormat="1" applyFont="1" applyFill="1" applyBorder="1" applyAlignment="1">
      <alignment horizontal="center" vertical="center"/>
    </xf>
    <xf numFmtId="0" fontId="13" fillId="2" borderId="79" xfId="0" applyNumberFormat="1" applyFont="1" applyFill="1" applyBorder="1" applyAlignment="1">
      <alignment horizontal="center" vertical="center"/>
    </xf>
    <xf numFmtId="0" fontId="0" fillId="12" borderId="42" xfId="0" applyNumberFormat="1" applyFont="1" applyFill="1" applyBorder="1" applyAlignment="1">
      <alignment horizontal="center" vertical="center"/>
    </xf>
    <xf numFmtId="0" fontId="0" fillId="12" borderId="41" xfId="0" applyNumberFormat="1" applyFont="1" applyFill="1" applyBorder="1" applyAlignment="1">
      <alignment horizontal="center" vertical="center"/>
    </xf>
    <xf numFmtId="0" fontId="0" fillId="9" borderId="50" xfId="0" applyNumberFormat="1" applyFont="1" applyFill="1" applyBorder="1" applyAlignment="1">
      <alignment horizontal="center" vertical="center"/>
    </xf>
    <xf numFmtId="0" fontId="0" fillId="2" borderId="40" xfId="0" applyNumberFormat="1" applyFont="1" applyFill="1" applyBorder="1" applyAlignment="1">
      <alignment horizontal="center" vertical="center"/>
    </xf>
    <xf numFmtId="0" fontId="0" fillId="2" borderId="47" xfId="0" applyNumberFormat="1" applyFont="1" applyFill="1" applyBorder="1" applyAlignment="1">
      <alignment horizontal="center" vertical="center"/>
    </xf>
    <xf numFmtId="0" fontId="0" fillId="2" borderId="38" xfId="0" applyNumberFormat="1" applyFont="1" applyFill="1" applyBorder="1" applyAlignment="1">
      <alignment horizontal="center" vertical="center"/>
    </xf>
    <xf numFmtId="0" fontId="0" fillId="2" borderId="80" xfId="0" applyNumberFormat="1" applyFont="1" applyFill="1" applyBorder="1" applyAlignment="1">
      <alignment horizontal="center" vertical="center"/>
    </xf>
    <xf numFmtId="0" fontId="0" fillId="2" borderId="78" xfId="0" applyNumberFormat="1" applyFont="1" applyFill="1" applyBorder="1" applyAlignment="1">
      <alignment horizontal="center" vertical="center"/>
    </xf>
    <xf numFmtId="0" fontId="0" fillId="2" borderId="79" xfId="0" applyNumberFormat="1" applyFont="1" applyFill="1" applyBorder="1" applyAlignment="1">
      <alignment horizontal="center" vertical="center"/>
    </xf>
    <xf numFmtId="0" fontId="0" fillId="2" borderId="41" xfId="0" applyNumberFormat="1" applyFont="1" applyFill="1" applyBorder="1" applyAlignment="1">
      <alignment horizontal="center" vertical="center"/>
    </xf>
    <xf numFmtId="0" fontId="0" fillId="15" borderId="16" xfId="0" applyNumberFormat="1" applyFont="1" applyFill="1" applyBorder="1" applyAlignment="1">
      <alignment horizontal="center" vertical="center"/>
    </xf>
    <xf numFmtId="0" fontId="0" fillId="4" borderId="76" xfId="0" applyNumberFormat="1" applyFont="1" applyFill="1" applyBorder="1" applyAlignment="1">
      <alignment horizontal="center" vertical="center"/>
    </xf>
    <xf numFmtId="0" fontId="7" fillId="3" borderId="42" xfId="0" applyFont="1" applyFill="1" applyBorder="1" applyAlignment="1">
      <alignment horizontal="center" vertical="center"/>
    </xf>
    <xf numFmtId="0" fontId="7" fillId="4" borderId="47" xfId="0" applyFont="1" applyFill="1" applyBorder="1" applyAlignment="1">
      <alignment horizontal="center" vertical="center"/>
    </xf>
    <xf numFmtId="0" fontId="13" fillId="15" borderId="50" xfId="0" applyNumberFormat="1" applyFont="1" applyFill="1" applyBorder="1" applyAlignment="1">
      <alignment horizontal="center" vertical="center"/>
    </xf>
    <xf numFmtId="0" fontId="13" fillId="3" borderId="38" xfId="0" applyNumberFormat="1" applyFont="1" applyFill="1" applyBorder="1" applyAlignment="1">
      <alignment horizontal="center" vertical="center"/>
    </xf>
    <xf numFmtId="0" fontId="13" fillId="3" borderId="59" xfId="0" applyNumberFormat="1" applyFont="1" applyFill="1" applyBorder="1" applyAlignment="1">
      <alignment horizontal="center" vertical="center"/>
    </xf>
    <xf numFmtId="0" fontId="13" fillId="3" borderId="47" xfId="0" applyNumberFormat="1" applyFont="1" applyFill="1" applyBorder="1" applyAlignment="1">
      <alignment horizontal="center" vertical="center"/>
    </xf>
    <xf numFmtId="0" fontId="7" fillId="5" borderId="50" xfId="0" applyFont="1" applyFill="1" applyBorder="1" applyAlignment="1">
      <alignment vertical="center"/>
    </xf>
    <xf numFmtId="0" fontId="7" fillId="2" borderId="52" xfId="0" applyFont="1" applyFill="1" applyBorder="1" applyAlignment="1">
      <alignment horizontal="center" vertical="center"/>
    </xf>
    <xf numFmtId="0" fontId="7" fillId="2" borderId="69" xfId="0" applyFont="1" applyFill="1" applyBorder="1" applyAlignment="1">
      <alignment horizontal="center" vertical="center"/>
    </xf>
    <xf numFmtId="0" fontId="7" fillId="2" borderId="68" xfId="0" applyFont="1" applyFill="1" applyBorder="1" applyAlignment="1">
      <alignment horizontal="center" vertical="center"/>
    </xf>
    <xf numFmtId="0" fontId="7" fillId="2" borderId="46" xfId="0" applyFont="1" applyFill="1" applyBorder="1" applyAlignment="1">
      <alignment horizontal="center" vertical="center"/>
    </xf>
    <xf numFmtId="0" fontId="7" fillId="4" borderId="50" xfId="0" applyFont="1" applyFill="1" applyBorder="1" applyAlignment="1">
      <alignment horizontal="center" vertical="center"/>
    </xf>
    <xf numFmtId="0" fontId="0" fillId="5" borderId="21" xfId="0" applyFont="1" applyFill="1" applyBorder="1" applyAlignment="1">
      <alignment horizontal="center" vertical="center"/>
    </xf>
    <xf numFmtId="0" fontId="5" fillId="14" borderId="91" xfId="0" applyFont="1" applyFill="1" applyBorder="1" applyAlignment="1">
      <alignment horizontal="left" vertical="center"/>
    </xf>
    <xf numFmtId="0" fontId="5" fillId="4" borderId="93" xfId="0" applyFont="1" applyFill="1" applyBorder="1" applyAlignment="1">
      <alignment vertical="center"/>
    </xf>
    <xf numFmtId="3" fontId="0" fillId="0" borderId="0" xfId="0" applyNumberFormat="1" applyFont="1" applyBorder="1"/>
    <xf numFmtId="0" fontId="18" fillId="20" borderId="78" xfId="0" applyFont="1" applyFill="1" applyBorder="1" applyAlignment="1">
      <alignment horizontal="center" vertical="center" wrapText="1"/>
    </xf>
    <xf numFmtId="0" fontId="18" fillId="10" borderId="78" xfId="0" applyFont="1" applyFill="1" applyBorder="1" applyAlignment="1">
      <alignment horizontal="center" vertical="center" wrapText="1"/>
    </xf>
    <xf numFmtId="3" fontId="0" fillId="0" borderId="29" xfId="0" applyNumberFormat="1" applyFont="1" applyFill="1" applyBorder="1"/>
    <xf numFmtId="167" fontId="0" fillId="0" borderId="30" xfId="0" applyNumberFormat="1" applyFont="1" applyFill="1" applyBorder="1" applyAlignment="1">
      <alignment horizontal="center"/>
    </xf>
    <xf numFmtId="3" fontId="0" fillId="0" borderId="30" xfId="0" applyNumberFormat="1" applyFont="1" applyFill="1" applyBorder="1"/>
    <xf numFmtId="167" fontId="0" fillId="0" borderId="27" xfId="0" applyNumberFormat="1" applyFont="1" applyFill="1" applyBorder="1" applyAlignment="1">
      <alignment horizontal="center"/>
    </xf>
    <xf numFmtId="3" fontId="0" fillId="0" borderId="3" xfId="0" applyNumberFormat="1" applyFont="1" applyFill="1" applyBorder="1"/>
    <xf numFmtId="167" fontId="0" fillId="0" borderId="4" xfId="0" applyNumberFormat="1" applyFont="1" applyFill="1" applyBorder="1" applyAlignment="1">
      <alignment horizontal="center"/>
    </xf>
    <xf numFmtId="3" fontId="0" fillId="0" borderId="4" xfId="0" applyNumberFormat="1" applyFont="1" applyFill="1" applyBorder="1"/>
    <xf numFmtId="167" fontId="0" fillId="0" borderId="5" xfId="0" applyNumberFormat="1" applyFont="1" applyFill="1" applyBorder="1" applyAlignment="1">
      <alignment horizontal="center"/>
    </xf>
    <xf numFmtId="3" fontId="13" fillId="0" borderId="3" xfId="0" applyNumberFormat="1" applyFont="1" applyFill="1" applyBorder="1"/>
    <xf numFmtId="3" fontId="13" fillId="0" borderId="4" xfId="0" applyNumberFormat="1" applyFont="1" applyFill="1" applyBorder="1"/>
    <xf numFmtId="3" fontId="0" fillId="0" borderId="3" xfId="0" applyNumberFormat="1" applyFont="1" applyFill="1" applyBorder="1" applyAlignment="1">
      <alignment horizontal="right"/>
    </xf>
    <xf numFmtId="3" fontId="0" fillId="0" borderId="5" xfId="0" applyNumberFormat="1" applyFont="1" applyFill="1" applyBorder="1"/>
    <xf numFmtId="3" fontId="13" fillId="0" borderId="5" xfId="0" applyNumberFormat="1" applyFont="1" applyFill="1" applyBorder="1"/>
    <xf numFmtId="3" fontId="0" fillId="0" borderId="5" xfId="0" applyNumberFormat="1" applyFont="1" applyFill="1" applyBorder="1" applyAlignment="1">
      <alignment horizontal="right"/>
    </xf>
    <xf numFmtId="3" fontId="0" fillId="0" borderId="29" xfId="0" applyNumberFormat="1" applyFont="1" applyFill="1" applyBorder="1" applyAlignment="1">
      <alignment horizontal="right"/>
    </xf>
    <xf numFmtId="3" fontId="0" fillId="0" borderId="27" xfId="0" applyNumberFormat="1" applyFont="1" applyFill="1" applyBorder="1"/>
    <xf numFmtId="0" fontId="18" fillId="10" borderId="79" xfId="0" applyFont="1" applyFill="1" applyBorder="1" applyAlignment="1">
      <alignment horizontal="center" vertical="center" wrapText="1"/>
    </xf>
    <xf numFmtId="3" fontId="5" fillId="0" borderId="0" xfId="0" applyNumberFormat="1" applyFont="1" applyFill="1" applyBorder="1"/>
    <xf numFmtId="164" fontId="0" fillId="0" borderId="30" xfId="0" applyNumberFormat="1" applyFont="1" applyFill="1" applyBorder="1" applyAlignment="1">
      <alignment horizontal="center"/>
    </xf>
    <xf numFmtId="0" fontId="0" fillId="0" borderId="18" xfId="0" applyNumberFormat="1" applyFont="1" applyBorder="1" applyAlignment="1">
      <alignment horizontal="center"/>
    </xf>
    <xf numFmtId="0" fontId="0" fillId="16" borderId="90" xfId="0" applyFont="1" applyFill="1" applyBorder="1" applyAlignment="1">
      <alignment horizontal="center"/>
    </xf>
    <xf numFmtId="0" fontId="0" fillId="0" borderId="6" xfId="0" applyNumberFormat="1" applyBorder="1" applyAlignment="1">
      <alignment horizontal="center" vertical="center"/>
    </xf>
    <xf numFmtId="3" fontId="6" fillId="0" borderId="18" xfId="2" applyNumberFormat="1" applyFont="1" applyBorder="1" applyAlignment="1" applyProtection="1"/>
    <xf numFmtId="2" fontId="0" fillId="0" borderId="5" xfId="0" applyNumberFormat="1" applyFont="1" applyFill="1" applyBorder="1" applyAlignment="1">
      <alignment horizontal="right" vertical="center"/>
    </xf>
    <xf numFmtId="0" fontId="13" fillId="2" borderId="10" xfId="0" applyFont="1" applyFill="1" applyBorder="1" applyAlignment="1">
      <alignment horizontal="center" vertical="center"/>
    </xf>
    <xf numFmtId="167" fontId="0" fillId="0" borderId="5" xfId="0" applyNumberFormat="1" applyFill="1" applyBorder="1" applyAlignment="1">
      <alignment horizontal="center"/>
    </xf>
    <xf numFmtId="171" fontId="0" fillId="0" borderId="0" xfId="0" applyNumberFormat="1"/>
    <xf numFmtId="1" fontId="0" fillId="0" borderId="20" xfId="0" applyNumberFormat="1" applyFont="1" applyBorder="1" applyAlignment="1">
      <alignment horizontal="center" vertical="center"/>
    </xf>
    <xf numFmtId="0" fontId="6" fillId="11" borderId="18" xfId="2" applyFont="1" applyFill="1" applyBorder="1" applyAlignment="1" applyProtection="1">
      <alignment horizontal="left" vertical="center"/>
    </xf>
    <xf numFmtId="0" fontId="34" fillId="0" borderId="0" xfId="0" applyFont="1" applyFill="1" applyAlignment="1">
      <alignment horizontal="left" vertical="center"/>
    </xf>
    <xf numFmtId="0" fontId="6" fillId="0" borderId="18" xfId="2" applyFont="1" applyBorder="1" applyAlignment="1" applyProtection="1">
      <alignment horizontal="left" vertical="center"/>
    </xf>
    <xf numFmtId="1" fontId="0" fillId="11" borderId="3" xfId="0" applyNumberFormat="1" applyFill="1" applyBorder="1" applyAlignment="1">
      <alignment horizontal="center" vertical="center"/>
    </xf>
    <xf numFmtId="1" fontId="0" fillId="11" borderId="5" xfId="0" applyNumberFormat="1" applyFill="1" applyBorder="1" applyAlignment="1">
      <alignment horizontal="center" vertical="center"/>
    </xf>
    <xf numFmtId="164" fontId="0" fillId="11" borderId="3" xfId="0" applyNumberFormat="1" applyFont="1" applyFill="1" applyBorder="1" applyAlignment="1">
      <alignment horizontal="center"/>
    </xf>
    <xf numFmtId="0" fontId="0" fillId="11" borderId="5" xfId="0" applyFill="1" applyBorder="1" applyAlignment="1">
      <alignment horizontal="center" vertical="center"/>
    </xf>
    <xf numFmtId="0" fontId="30" fillId="20" borderId="8" xfId="0" applyNumberFormat="1" applyFont="1" applyFill="1" applyBorder="1" applyAlignment="1">
      <alignment horizontal="center" vertical="center"/>
    </xf>
    <xf numFmtId="0" fontId="0" fillId="0" borderId="24" xfId="0" applyBorder="1" applyAlignment="1">
      <alignment horizontal="center" vertical="center"/>
    </xf>
    <xf numFmtId="0" fontId="0" fillId="0" borderId="25" xfId="0" applyBorder="1" applyAlignment="1">
      <alignment horizontal="center" vertical="center"/>
    </xf>
    <xf numFmtId="0" fontId="5" fillId="2" borderId="0" xfId="0" applyFont="1" applyFill="1" applyAlignment="1">
      <alignment horizontal="left" vertical="center"/>
    </xf>
    <xf numFmtId="0" fontId="6" fillId="0" borderId="4" xfId="2" applyNumberFormat="1" applyFont="1" applyBorder="1" applyAlignment="1" applyProtection="1">
      <alignment horizontal="left" vertical="center"/>
    </xf>
    <xf numFmtId="0" fontId="5" fillId="2" borderId="84" xfId="0" applyFont="1" applyFill="1" applyBorder="1"/>
    <xf numFmtId="3" fontId="0" fillId="2" borderId="53" xfId="0" applyNumberFormat="1" applyFont="1" applyFill="1" applyBorder="1"/>
    <xf numFmtId="0" fontId="5" fillId="2" borderId="85" xfId="0" applyFont="1" applyFill="1" applyBorder="1"/>
    <xf numFmtId="0" fontId="0" fillId="2" borderId="53" xfId="0" applyFont="1" applyFill="1" applyBorder="1"/>
    <xf numFmtId="0" fontId="0" fillId="2" borderId="85" xfId="0" applyFont="1" applyFill="1" applyBorder="1"/>
    <xf numFmtId="0" fontId="0" fillId="2" borderId="53" xfId="0" applyFont="1" applyFill="1" applyBorder="1" applyAlignment="1">
      <alignment horizontal="center"/>
    </xf>
    <xf numFmtId="0" fontId="0" fillId="2" borderId="83" xfId="0" applyFont="1" applyFill="1" applyBorder="1" applyAlignment="1">
      <alignment horizontal="center" vertical="center" wrapText="1"/>
    </xf>
    <xf numFmtId="3" fontId="0" fillId="2" borderId="78" xfId="0" applyNumberFormat="1" applyFont="1" applyFill="1" applyBorder="1" applyAlignment="1">
      <alignment horizontal="center" vertical="center" wrapText="1"/>
    </xf>
    <xf numFmtId="3" fontId="0" fillId="2" borderId="79" xfId="0" applyNumberFormat="1" applyFont="1" applyFill="1" applyBorder="1" applyAlignment="1">
      <alignment horizontal="center" vertical="center" wrapText="1"/>
    </xf>
    <xf numFmtId="0" fontId="0" fillId="2" borderId="83" xfId="0" applyFont="1" applyFill="1" applyBorder="1" applyAlignment="1">
      <alignment horizontal="center" vertical="center"/>
    </xf>
    <xf numFmtId="0" fontId="0" fillId="2" borderId="78" xfId="0" applyNumberFormat="1" applyFont="1" applyFill="1" applyBorder="1" applyAlignment="1">
      <alignment horizontal="center" vertical="center" wrapText="1"/>
    </xf>
    <xf numFmtId="3" fontId="0" fillId="2" borderId="83" xfId="0" applyNumberFormat="1" applyFont="1" applyFill="1" applyBorder="1" applyAlignment="1">
      <alignment horizontal="center" vertical="center"/>
    </xf>
    <xf numFmtId="0" fontId="0" fillId="5" borderId="20" xfId="0" applyNumberFormat="1" applyFont="1" applyFill="1" applyBorder="1" applyAlignment="1">
      <alignment horizontal="center" vertical="center"/>
    </xf>
    <xf numFmtId="0" fontId="0" fillId="5" borderId="19" xfId="0" applyNumberFormat="1" applyFont="1" applyFill="1" applyBorder="1" applyAlignment="1">
      <alignment horizontal="center" vertical="center"/>
    </xf>
    <xf numFmtId="0" fontId="13" fillId="2" borderId="21" xfId="0" applyFont="1" applyFill="1" applyBorder="1" applyAlignment="1">
      <alignment horizontal="center" vertical="center" wrapText="1"/>
    </xf>
    <xf numFmtId="0" fontId="30" fillId="20" borderId="11" xfId="0" applyFont="1" applyFill="1" applyBorder="1" applyAlignment="1">
      <alignment horizontal="center" vertical="center" wrapText="1"/>
    </xf>
    <xf numFmtId="0" fontId="30" fillId="10" borderId="10" xfId="0" applyFont="1" applyFill="1" applyBorder="1" applyAlignment="1">
      <alignment horizontal="center" vertical="center" wrapText="1"/>
    </xf>
    <xf numFmtId="0" fontId="13" fillId="2" borderId="11" xfId="0" applyNumberFormat="1" applyFont="1" applyFill="1" applyBorder="1" applyAlignment="1">
      <alignment horizontal="center" vertical="center" wrapText="1"/>
    </xf>
    <xf numFmtId="0" fontId="13" fillId="2" borderId="9" xfId="0" applyNumberFormat="1" applyFont="1" applyFill="1" applyBorder="1" applyAlignment="1">
      <alignment horizontal="center" vertical="center" wrapText="1"/>
    </xf>
    <xf numFmtId="0" fontId="13" fillId="2" borderId="8" xfId="0" applyFont="1" applyFill="1" applyBorder="1" applyAlignment="1">
      <alignment horizontal="center" vertical="center" wrapText="1"/>
    </xf>
    <xf numFmtId="0" fontId="0" fillId="2" borderId="0" xfId="0" applyFont="1" applyFill="1" applyAlignment="1">
      <alignment vertical="center"/>
    </xf>
    <xf numFmtId="0" fontId="0" fillId="2" borderId="0" xfId="0" applyNumberFormat="1" applyFont="1" applyFill="1" applyAlignment="1">
      <alignment horizontal="left" vertical="center"/>
    </xf>
    <xf numFmtId="0" fontId="0" fillId="7" borderId="0" xfId="0" applyFill="1" applyBorder="1" applyAlignment="1">
      <alignment horizontal="center" vertical="center"/>
    </xf>
    <xf numFmtId="0" fontId="0" fillId="0" borderId="27" xfId="0" applyFill="1" applyBorder="1" applyAlignment="1">
      <alignment horizontal="center" vertical="center"/>
    </xf>
    <xf numFmtId="170" fontId="0" fillId="0" borderId="22" xfId="4" applyNumberFormat="1" applyFont="1" applyBorder="1" applyAlignment="1">
      <alignment vertical="center"/>
    </xf>
    <xf numFmtId="172" fontId="0" fillId="0" borderId="29" xfId="4" applyNumberFormat="1" applyFont="1" applyBorder="1" applyAlignment="1">
      <alignment vertical="center"/>
    </xf>
    <xf numFmtId="170" fontId="0" fillId="11" borderId="31" xfId="4" applyNumberFormat="1" applyFont="1" applyFill="1" applyBorder="1" applyAlignment="1">
      <alignment vertical="center"/>
    </xf>
    <xf numFmtId="170" fontId="0" fillId="11" borderId="27" xfId="4" applyNumberFormat="1" applyFont="1" applyFill="1" applyBorder="1" applyAlignment="1">
      <alignment horizontal="center" vertical="center"/>
    </xf>
    <xf numFmtId="0" fontId="0" fillId="0" borderId="31" xfId="4" applyNumberFormat="1" applyFont="1" applyFill="1" applyBorder="1" applyAlignment="1">
      <alignment horizontal="center" vertical="center"/>
    </xf>
    <xf numFmtId="0" fontId="6" fillId="0" borderId="30" xfId="2" applyNumberFormat="1" applyFont="1" applyFill="1" applyBorder="1" applyAlignment="1" applyProtection="1">
      <alignment horizontal="left" vertical="center"/>
    </xf>
    <xf numFmtId="170" fontId="0" fillId="0" borderId="20" xfId="4" applyNumberFormat="1" applyFont="1" applyBorder="1" applyAlignment="1">
      <alignment vertical="center"/>
    </xf>
    <xf numFmtId="172" fontId="0" fillId="0" borderId="3" xfId="4" applyNumberFormat="1" applyFont="1" applyBorder="1" applyAlignment="1">
      <alignment vertical="center"/>
    </xf>
    <xf numFmtId="0" fontId="0" fillId="0" borderId="6" xfId="4" applyNumberFormat="1" applyFont="1" applyFill="1" applyBorder="1" applyAlignment="1">
      <alignment horizontal="center" vertical="center"/>
    </xf>
    <xf numFmtId="0" fontId="6" fillId="0" borderId="4" xfId="2" applyNumberFormat="1" applyFont="1" applyFill="1" applyBorder="1" applyAlignment="1" applyProtection="1">
      <alignment horizontal="left" vertical="center"/>
    </xf>
    <xf numFmtId="0" fontId="0" fillId="3" borderId="5" xfId="0" applyFill="1" applyBorder="1" applyAlignment="1">
      <alignment horizontal="center" vertical="center"/>
    </xf>
    <xf numFmtId="170" fontId="0" fillId="0" borderId="6" xfId="4" applyNumberFormat="1" applyFont="1" applyFill="1" applyBorder="1" applyAlignment="1">
      <alignment horizontal="center" vertical="center"/>
    </xf>
    <xf numFmtId="170" fontId="0" fillId="0" borderId="5" xfId="4" applyNumberFormat="1" applyFont="1" applyFill="1" applyBorder="1" applyAlignment="1">
      <alignment horizontal="center" vertical="center"/>
    </xf>
    <xf numFmtId="170" fontId="0" fillId="0" borderId="20" xfId="4" applyNumberFormat="1" applyFont="1" applyFill="1" applyBorder="1" applyAlignment="1">
      <alignment vertical="center"/>
    </xf>
    <xf numFmtId="172" fontId="0" fillId="0" borderId="3" xfId="4" applyNumberFormat="1" applyFont="1" applyFill="1" applyBorder="1" applyAlignment="1">
      <alignment vertical="center"/>
    </xf>
    <xf numFmtId="170" fontId="0" fillId="2" borderId="20" xfId="4" applyNumberFormat="1" applyFont="1" applyFill="1" applyBorder="1" applyAlignment="1">
      <alignment vertical="center"/>
    </xf>
    <xf numFmtId="170" fontId="0" fillId="2" borderId="6" xfId="4" applyNumberFormat="1" applyFont="1" applyFill="1" applyBorder="1" applyAlignment="1">
      <alignment horizontal="center" vertical="center"/>
    </xf>
    <xf numFmtId="170" fontId="0" fillId="2" borderId="5" xfId="4" applyNumberFormat="1" applyFont="1" applyFill="1" applyBorder="1" applyAlignment="1">
      <alignment horizontal="center" vertical="center"/>
    </xf>
    <xf numFmtId="0" fontId="0" fillId="0" borderId="0" xfId="0" applyNumberFormat="1" applyAlignment="1">
      <alignment horizontal="left" vertical="center"/>
    </xf>
    <xf numFmtId="170" fontId="5" fillId="0" borderId="0" xfId="0" applyNumberFormat="1" applyFont="1" applyAlignment="1">
      <alignment vertical="center"/>
    </xf>
    <xf numFmtId="0" fontId="0" fillId="0" borderId="77" xfId="0" applyBorder="1" applyAlignment="1">
      <alignment horizontal="center" vertical="center"/>
    </xf>
    <xf numFmtId="0" fontId="0" fillId="0" borderId="16" xfId="0" applyBorder="1" applyAlignment="1">
      <alignment horizontal="center" vertical="center"/>
    </xf>
    <xf numFmtId="43" fontId="0" fillId="0" borderId="0" xfId="4" applyFont="1" applyFill="1" applyAlignment="1">
      <alignment vertical="center"/>
    </xf>
    <xf numFmtId="0" fontId="0" fillId="0" borderId="0" xfId="4" applyNumberFormat="1" applyFont="1" applyFill="1" applyAlignment="1">
      <alignment horizontal="left" vertical="center"/>
    </xf>
    <xf numFmtId="0" fontId="0" fillId="0" borderId="0" xfId="4" applyNumberFormat="1" applyFont="1" applyFill="1" applyAlignment="1">
      <alignment horizontal="center" vertical="center"/>
    </xf>
    <xf numFmtId="170" fontId="0" fillId="0" borderId="0" xfId="4" applyNumberFormat="1" applyFont="1" applyFill="1" applyAlignment="1">
      <alignment vertical="center"/>
    </xf>
    <xf numFmtId="170" fontId="34" fillId="0" borderId="0" xfId="4" applyNumberFormat="1" applyFont="1" applyFill="1" applyAlignment="1">
      <alignment vertical="center"/>
    </xf>
    <xf numFmtId="0" fontId="0" fillId="0" borderId="0" xfId="0" applyNumberFormat="1" applyAlignment="1">
      <alignment horizontal="center" vertical="center"/>
    </xf>
    <xf numFmtId="0" fontId="0" fillId="2" borderId="0" xfId="0" applyFill="1" applyAlignment="1">
      <alignment vertical="center"/>
    </xf>
    <xf numFmtId="0" fontId="13" fillId="2" borderId="12" xfId="0" applyNumberFormat="1" applyFont="1" applyFill="1" applyBorder="1" applyAlignment="1">
      <alignment horizontal="center" vertical="center" wrapText="1"/>
    </xf>
    <xf numFmtId="0" fontId="11" fillId="0" borderId="33" xfId="2" applyNumberFormat="1" applyFont="1" applyFill="1" applyBorder="1" applyAlignment="1" applyProtection="1">
      <alignment horizontal="center" vertical="center"/>
    </xf>
    <xf numFmtId="0" fontId="0" fillId="0" borderId="7" xfId="4" applyNumberFormat="1" applyFont="1" applyFill="1" applyBorder="1" applyAlignment="1">
      <alignment horizontal="center" vertical="center"/>
    </xf>
    <xf numFmtId="0" fontId="11" fillId="0" borderId="7" xfId="2" applyNumberFormat="1" applyFont="1" applyFill="1" applyBorder="1" applyAlignment="1" applyProtection="1">
      <alignment horizontal="center" vertical="center"/>
    </xf>
    <xf numFmtId="0" fontId="13" fillId="0" borderId="7" xfId="4" applyNumberFormat="1" applyFont="1" applyFill="1" applyBorder="1" applyAlignment="1">
      <alignment horizontal="center" vertical="center"/>
    </xf>
    <xf numFmtId="0" fontId="40" fillId="0" borderId="0" xfId="2" applyNumberFormat="1" applyFont="1" applyFill="1" applyAlignment="1" applyProtection="1">
      <alignment horizontal="left" vertical="center"/>
    </xf>
    <xf numFmtId="0" fontId="13" fillId="0" borderId="7" xfId="0" applyNumberFormat="1" applyFont="1" applyFill="1" applyBorder="1" applyAlignment="1">
      <alignment horizontal="center" vertical="center"/>
    </xf>
    <xf numFmtId="0" fontId="0" fillId="0" borderId="0" xfId="0" applyNumberFormat="1" applyAlignment="1">
      <alignment horizontal="left"/>
    </xf>
    <xf numFmtId="0" fontId="0" fillId="0" borderId="0" xfId="0" applyNumberFormat="1" applyFont="1" applyAlignment="1">
      <alignment horizontal="right"/>
    </xf>
    <xf numFmtId="0" fontId="0" fillId="0" borderId="77" xfId="0" applyNumberFormat="1" applyBorder="1" applyAlignment="1">
      <alignment horizontal="center"/>
    </xf>
    <xf numFmtId="0" fontId="0" fillId="0" borderId="15" xfId="0" applyNumberFormat="1" applyBorder="1" applyAlignment="1">
      <alignment horizontal="center"/>
    </xf>
    <xf numFmtId="0" fontId="0" fillId="0" borderId="0" xfId="0" applyNumberFormat="1" applyFont="1" applyFill="1" applyAlignment="1">
      <alignment horizontal="right"/>
    </xf>
    <xf numFmtId="0" fontId="19" fillId="0" borderId="0" xfId="4" applyNumberFormat="1" applyFont="1" applyFill="1" applyAlignment="1">
      <alignment horizontal="right"/>
    </xf>
    <xf numFmtId="0" fontId="0" fillId="0" borderId="0" xfId="4" applyNumberFormat="1" applyFont="1" applyFill="1" applyAlignment="1">
      <alignment horizontal="right"/>
    </xf>
    <xf numFmtId="0" fontId="0" fillId="0" borderId="16" xfId="0" applyNumberFormat="1" applyBorder="1" applyAlignment="1">
      <alignment horizontal="center"/>
    </xf>
    <xf numFmtId="0" fontId="0" fillId="0" borderId="0" xfId="4" applyNumberFormat="1" applyFont="1" applyFill="1" applyAlignment="1">
      <alignment horizontal="left"/>
    </xf>
    <xf numFmtId="0" fontId="0" fillId="0" borderId="0" xfId="4" applyNumberFormat="1" applyFont="1" applyFill="1" applyAlignment="1">
      <alignment horizontal="center"/>
    </xf>
    <xf numFmtId="0" fontId="0" fillId="2" borderId="77" xfId="0" applyNumberFormat="1" applyFill="1" applyBorder="1" applyAlignment="1">
      <alignment horizontal="center"/>
    </xf>
    <xf numFmtId="0" fontId="13" fillId="2" borderId="76" xfId="0" applyFont="1" applyFill="1" applyBorder="1" applyAlignment="1">
      <alignment horizontal="center" vertical="center"/>
    </xf>
    <xf numFmtId="0" fontId="13" fillId="9" borderId="83" xfId="0" applyNumberFormat="1" applyFont="1" applyFill="1" applyBorder="1" applyAlignment="1">
      <alignment horizontal="center" vertical="center"/>
    </xf>
    <xf numFmtId="0" fontId="13" fillId="9" borderId="78" xfId="0" applyNumberFormat="1" applyFont="1" applyFill="1" applyBorder="1" applyAlignment="1">
      <alignment horizontal="center" vertical="center"/>
    </xf>
    <xf numFmtId="0" fontId="13" fillId="9" borderId="79" xfId="0" applyNumberFormat="1" applyFont="1" applyFill="1" applyBorder="1" applyAlignment="1">
      <alignment horizontal="center" vertical="center"/>
    </xf>
    <xf numFmtId="0" fontId="13" fillId="0" borderId="29" xfId="0" applyFont="1" applyFill="1" applyBorder="1" applyAlignment="1">
      <alignment horizontal="center" vertical="center"/>
    </xf>
    <xf numFmtId="0" fontId="13" fillId="0" borderId="30" xfId="0" applyFont="1" applyFill="1" applyBorder="1" applyAlignment="1">
      <alignment horizontal="center" vertical="center"/>
    </xf>
    <xf numFmtId="0" fontId="13" fillId="0" borderId="27" xfId="0" applyFont="1" applyFill="1" applyBorder="1" applyAlignment="1">
      <alignment horizontal="center" vertical="center"/>
    </xf>
    <xf numFmtId="0" fontId="11" fillId="0" borderId="3" xfId="2" applyFont="1" applyFill="1" applyBorder="1" applyAlignment="1" applyProtection="1">
      <alignment horizontal="center" vertical="center"/>
    </xf>
    <xf numFmtId="0" fontId="11" fillId="0" borderId="4" xfId="2" applyFont="1" applyFill="1" applyBorder="1" applyAlignment="1" applyProtection="1">
      <alignment horizontal="center" vertical="center"/>
    </xf>
    <xf numFmtId="0" fontId="11" fillId="0" borderId="5" xfId="2" applyFont="1" applyFill="1" applyBorder="1" applyAlignment="1" applyProtection="1">
      <alignment horizontal="center" vertical="center"/>
    </xf>
    <xf numFmtId="8" fontId="13" fillId="0" borderId="3" xfId="0" applyNumberFormat="1" applyFont="1" applyFill="1" applyBorder="1" applyAlignment="1">
      <alignment horizontal="center" vertical="center"/>
    </xf>
    <xf numFmtId="8" fontId="13" fillId="0" borderId="4" xfId="0" applyNumberFormat="1" applyFont="1" applyFill="1" applyBorder="1" applyAlignment="1">
      <alignment horizontal="center" vertical="center"/>
    </xf>
    <xf numFmtId="8" fontId="13" fillId="0" borderId="5" xfId="0" applyNumberFormat="1" applyFont="1" applyFill="1" applyBorder="1" applyAlignment="1">
      <alignment horizontal="center" vertical="center"/>
    </xf>
    <xf numFmtId="6" fontId="13" fillId="0" borderId="3" xfId="0" applyNumberFormat="1" applyFont="1" applyFill="1" applyBorder="1" applyAlignment="1">
      <alignment horizontal="center" vertical="center"/>
    </xf>
    <xf numFmtId="0" fontId="13" fillId="0" borderId="61" xfId="0" applyFont="1" applyFill="1" applyBorder="1" applyAlignment="1">
      <alignment horizontal="center" vertical="center"/>
    </xf>
    <xf numFmtId="0" fontId="13" fillId="0" borderId="60" xfId="0" applyFont="1" applyFill="1" applyBorder="1" applyAlignment="1">
      <alignment horizontal="center" vertical="center"/>
    </xf>
    <xf numFmtId="0" fontId="13" fillId="0" borderId="95" xfId="0" applyFont="1" applyFill="1" applyBorder="1" applyAlignment="1">
      <alignment horizontal="center" vertical="center"/>
    </xf>
    <xf numFmtId="0" fontId="5" fillId="5" borderId="84" xfId="0" applyFont="1" applyFill="1" applyBorder="1" applyAlignment="1">
      <alignment horizontal="center" vertical="center"/>
    </xf>
    <xf numFmtId="0" fontId="0" fillId="3" borderId="15" xfId="0" applyNumberFormat="1" applyFill="1" applyBorder="1" applyAlignment="1">
      <alignment horizontal="center"/>
    </xf>
    <xf numFmtId="0" fontId="0" fillId="0" borderId="4" xfId="4" applyNumberFormat="1" applyFont="1" applyBorder="1" applyAlignment="1">
      <alignment horizontal="center"/>
    </xf>
    <xf numFmtId="0" fontId="0" fillId="0" borderId="0" xfId="4" applyNumberFormat="1" applyFont="1" applyFill="1" applyAlignment="1">
      <alignment horizontal="right" vertical="center"/>
    </xf>
    <xf numFmtId="0" fontId="0" fillId="2" borderId="50" xfId="0" applyNumberFormat="1" applyFill="1" applyBorder="1" applyAlignment="1">
      <alignment horizontal="center"/>
    </xf>
    <xf numFmtId="0" fontId="0" fillId="0" borderId="15" xfId="0" applyNumberFormat="1" applyFill="1" applyBorder="1" applyAlignment="1">
      <alignment horizontal="center"/>
    </xf>
    <xf numFmtId="0" fontId="0" fillId="0" borderId="88" xfId="0" applyBorder="1" applyAlignment="1">
      <alignment horizontal="center" vertical="center"/>
    </xf>
    <xf numFmtId="170" fontId="0" fillId="0" borderId="27" xfId="4" applyNumberFormat="1" applyFont="1" applyFill="1" applyBorder="1" applyAlignment="1">
      <alignment horizontal="center" vertical="center"/>
    </xf>
    <xf numFmtId="170" fontId="0" fillId="0" borderId="20" xfId="4" applyNumberFormat="1" applyFont="1" applyFill="1" applyBorder="1"/>
    <xf numFmtId="3" fontId="0" fillId="0" borderId="0" xfId="4" applyNumberFormat="1" applyFont="1" applyFill="1" applyAlignment="1">
      <alignment horizontal="right" vertical="center"/>
    </xf>
    <xf numFmtId="3" fontId="0" fillId="2" borderId="0" xfId="0" applyNumberFormat="1" applyFont="1" applyFill="1" applyAlignment="1">
      <alignment horizontal="right" vertical="center"/>
    </xf>
    <xf numFmtId="3" fontId="11" fillId="0" borderId="33" xfId="2" applyNumberFormat="1" applyFont="1" applyFill="1" applyBorder="1" applyAlignment="1" applyProtection="1">
      <alignment horizontal="right" vertical="center"/>
    </xf>
    <xf numFmtId="3" fontId="0" fillId="0" borderId="0" xfId="0" applyNumberFormat="1" applyAlignment="1">
      <alignment horizontal="right" vertical="center"/>
    </xf>
    <xf numFmtId="3" fontId="0" fillId="0" borderId="0" xfId="0" applyNumberFormat="1" applyBorder="1" applyAlignment="1">
      <alignment horizontal="right"/>
    </xf>
    <xf numFmtId="3" fontId="40" fillId="0" borderId="0" xfId="2" applyNumberFormat="1" applyFont="1" applyFill="1" applyAlignment="1" applyProtection="1">
      <alignment horizontal="right" vertical="center"/>
    </xf>
    <xf numFmtId="0" fontId="11" fillId="11" borderId="33" xfId="2" applyNumberFormat="1" applyFont="1" applyFill="1" applyBorder="1" applyAlignment="1" applyProtection="1">
      <alignment horizontal="center" vertical="center"/>
    </xf>
    <xf numFmtId="0" fontId="13" fillId="5" borderId="12" xfId="0" applyNumberFormat="1" applyFont="1" applyFill="1" applyBorder="1" applyAlignment="1">
      <alignment horizontal="center" vertical="center" wrapText="1"/>
    </xf>
    <xf numFmtId="3" fontId="13" fillId="5" borderId="12" xfId="0" applyNumberFormat="1" applyFont="1" applyFill="1" applyBorder="1" applyAlignment="1">
      <alignment horizontal="center" vertical="center" wrapText="1"/>
    </xf>
    <xf numFmtId="0" fontId="6" fillId="11" borderId="4" xfId="2" applyNumberFormat="1" applyFont="1" applyFill="1" applyBorder="1" applyAlignment="1" applyProtection="1">
      <alignment horizontal="left" vertical="center"/>
    </xf>
    <xf numFmtId="0" fontId="0" fillId="0" borderId="0" xfId="0" applyNumberFormat="1" applyFill="1" applyBorder="1" applyAlignment="1">
      <alignment horizontal="center"/>
    </xf>
    <xf numFmtId="3" fontId="0" fillId="0" borderId="0" xfId="0" applyNumberFormat="1" applyFill="1" applyBorder="1" applyAlignment="1">
      <alignment horizontal="right"/>
    </xf>
    <xf numFmtId="3" fontId="0" fillId="0" borderId="0" xfId="0" applyNumberFormat="1" applyAlignment="1">
      <alignment vertical="center"/>
    </xf>
    <xf numFmtId="0" fontId="0" fillId="0" borderId="4" xfId="4" applyNumberFormat="1" applyFont="1" applyFill="1" applyBorder="1" applyAlignment="1">
      <alignment horizontal="center"/>
    </xf>
    <xf numFmtId="170" fontId="0" fillId="11" borderId="20" xfId="4" applyNumberFormat="1" applyFont="1" applyFill="1" applyBorder="1" applyAlignment="1">
      <alignment vertical="center"/>
    </xf>
    <xf numFmtId="43" fontId="0" fillId="0" borderId="0" xfId="0" applyNumberFormat="1" applyAlignment="1">
      <alignment vertical="center"/>
    </xf>
    <xf numFmtId="0" fontId="5" fillId="0" borderId="0" xfId="0" applyFont="1" applyFill="1" applyAlignment="1">
      <alignment horizontal="left"/>
    </xf>
    <xf numFmtId="0" fontId="0" fillId="11" borderId="18" xfId="0" applyFill="1" applyBorder="1" applyAlignment="1">
      <alignment horizontal="left" vertical="center"/>
    </xf>
    <xf numFmtId="0" fontId="0" fillId="20" borderId="0" xfId="0" applyFill="1" applyBorder="1" applyAlignment="1">
      <alignment horizontal="center" vertical="center"/>
    </xf>
    <xf numFmtId="0" fontId="18" fillId="20" borderId="38" xfId="0" applyFont="1" applyFill="1" applyBorder="1" applyAlignment="1">
      <alignment horizontal="center" vertical="center" wrapText="1"/>
    </xf>
    <xf numFmtId="3" fontId="0" fillId="8" borderId="3" xfId="0" applyNumberFormat="1" applyFont="1" applyFill="1" applyBorder="1"/>
    <xf numFmtId="167" fontId="0" fillId="8" borderId="4" xfId="0" applyNumberFormat="1" applyFont="1" applyFill="1" applyBorder="1" applyAlignment="1">
      <alignment horizontal="center"/>
    </xf>
    <xf numFmtId="3" fontId="0" fillId="8" borderId="4" xfId="0" applyNumberFormat="1" applyFont="1" applyFill="1" applyBorder="1"/>
    <xf numFmtId="167" fontId="0" fillId="8" borderId="5" xfId="0" applyNumberFormat="1" applyFont="1" applyFill="1" applyBorder="1" applyAlignment="1">
      <alignment horizontal="center"/>
    </xf>
    <xf numFmtId="3" fontId="0" fillId="8" borderId="3" xfId="0" applyNumberFormat="1" applyFont="1" applyFill="1" applyBorder="1" applyAlignment="1">
      <alignment horizontal="right"/>
    </xf>
    <xf numFmtId="3" fontId="0" fillId="8" borderId="5" xfId="0" applyNumberFormat="1" applyFont="1" applyFill="1" applyBorder="1"/>
    <xf numFmtId="164" fontId="0" fillId="8" borderId="4" xfId="0" applyNumberFormat="1" applyFont="1" applyFill="1" applyBorder="1" applyAlignment="1">
      <alignment horizontal="center"/>
    </xf>
    <xf numFmtId="3" fontId="0" fillId="11" borderId="3" xfId="0" applyNumberFormat="1" applyFill="1" applyBorder="1"/>
    <xf numFmtId="3" fontId="0" fillId="11" borderId="5" xfId="0" applyNumberFormat="1" applyFill="1" applyBorder="1"/>
    <xf numFmtId="3" fontId="13" fillId="8" borderId="3" xfId="0" applyNumberFormat="1" applyFont="1" applyFill="1" applyBorder="1"/>
    <xf numFmtId="3" fontId="13" fillId="8" borderId="4" xfId="0" applyNumberFormat="1" applyFont="1" applyFill="1" applyBorder="1"/>
    <xf numFmtId="3" fontId="13" fillId="8" borderId="5" xfId="0" applyNumberFormat="1" applyFont="1" applyFill="1" applyBorder="1"/>
    <xf numFmtId="170" fontId="0" fillId="2" borderId="23" xfId="4" applyNumberFormat="1" applyFont="1" applyFill="1" applyBorder="1" applyAlignment="1">
      <alignment horizontal="center" vertical="center"/>
    </xf>
    <xf numFmtId="170" fontId="0" fillId="2" borderId="56" xfId="4" applyNumberFormat="1" applyFont="1" applyFill="1" applyBorder="1" applyAlignment="1">
      <alignment horizontal="center" vertical="center"/>
    </xf>
    <xf numFmtId="170" fontId="0" fillId="8" borderId="23" xfId="4" applyNumberFormat="1" applyFont="1" applyFill="1" applyBorder="1" applyAlignment="1">
      <alignment horizontal="center" vertical="center"/>
    </xf>
    <xf numFmtId="170" fontId="0" fillId="12" borderId="23" xfId="4" applyNumberFormat="1" applyFont="1" applyFill="1" applyBorder="1" applyAlignment="1">
      <alignment horizontal="center" vertical="center"/>
    </xf>
    <xf numFmtId="3" fontId="0" fillId="0" borderId="0" xfId="0" applyNumberFormat="1" applyFont="1" applyFill="1" applyBorder="1"/>
    <xf numFmtId="3" fontId="0" fillId="0" borderId="66" xfId="0" applyNumberFormat="1" applyFont="1" applyFill="1" applyBorder="1"/>
    <xf numFmtId="3" fontId="0" fillId="0" borderId="88" xfId="0" applyNumberFormat="1" applyFont="1" applyFill="1" applyBorder="1"/>
    <xf numFmtId="3" fontId="0" fillId="0" borderId="16" xfId="0" applyNumberFormat="1" applyFont="1" applyFill="1" applyBorder="1"/>
    <xf numFmtId="3" fontId="0" fillId="0" borderId="88" xfId="0" applyNumberFormat="1" applyFont="1" applyBorder="1"/>
    <xf numFmtId="43" fontId="0" fillId="0" borderId="0" xfId="4" applyFont="1" applyFill="1" applyAlignment="1">
      <alignment horizontal="right" vertical="center"/>
    </xf>
    <xf numFmtId="167" fontId="0" fillId="0" borderId="0" xfId="0" applyNumberFormat="1" applyFont="1" applyFill="1"/>
    <xf numFmtId="3" fontId="5" fillId="0" borderId="76" xfId="0" applyNumberFormat="1" applyFont="1" applyBorder="1"/>
    <xf numFmtId="3" fontId="5" fillId="0" borderId="0" xfId="0" applyNumberFormat="1" applyFont="1" applyBorder="1"/>
    <xf numFmtId="0" fontId="13" fillId="4" borderId="10" xfId="0" applyFont="1" applyFill="1" applyBorder="1" applyAlignment="1">
      <alignment horizontal="center" vertical="center" wrapText="1"/>
    </xf>
    <xf numFmtId="167" fontId="0" fillId="0" borderId="26" xfId="0" applyNumberFormat="1" applyBorder="1" applyAlignment="1">
      <alignment horizontal="center"/>
    </xf>
    <xf numFmtId="167" fontId="0" fillId="0" borderId="6" xfId="0" applyNumberFormat="1" applyBorder="1" applyAlignment="1">
      <alignment horizontal="center"/>
    </xf>
    <xf numFmtId="167" fontId="0" fillId="0" borderId="6" xfId="0" applyNumberFormat="1" applyFill="1" applyBorder="1" applyAlignment="1">
      <alignment horizontal="center"/>
    </xf>
    <xf numFmtId="3" fontId="16" fillId="0" borderId="0" xfId="0" applyNumberFormat="1" applyFont="1"/>
    <xf numFmtId="0" fontId="16" fillId="0" borderId="0" xfId="0" applyFont="1" applyAlignment="1">
      <alignment horizontal="center"/>
    </xf>
    <xf numFmtId="0" fontId="0" fillId="11" borderId="4" xfId="4" applyNumberFormat="1" applyFont="1" applyFill="1" applyBorder="1" applyAlignment="1">
      <alignment horizontal="center"/>
    </xf>
    <xf numFmtId="167" fontId="0" fillId="11" borderId="5" xfId="0" applyNumberFormat="1" applyFill="1" applyBorder="1" applyAlignment="1">
      <alignment horizontal="center"/>
    </xf>
    <xf numFmtId="0" fontId="0" fillId="0" borderId="0" xfId="0" applyAlignment="1">
      <alignment horizontal="right" vertical="center"/>
    </xf>
    <xf numFmtId="0" fontId="0" fillId="2" borderId="88" xfId="0" applyFill="1" applyBorder="1" applyAlignment="1">
      <alignment horizontal="center" vertical="center"/>
    </xf>
    <xf numFmtId="0" fontId="0" fillId="15" borderId="88" xfId="0" applyFill="1" applyBorder="1" applyAlignment="1">
      <alignment horizontal="center" vertical="center"/>
    </xf>
    <xf numFmtId="0" fontId="0" fillId="8" borderId="16" xfId="0" applyFill="1" applyBorder="1" applyAlignment="1">
      <alignment horizontal="center" vertical="center"/>
    </xf>
    <xf numFmtId="0" fontId="30" fillId="20" borderId="76" xfId="0" applyFont="1" applyFill="1" applyBorder="1" applyAlignment="1">
      <alignment horizontal="center" vertical="center"/>
    </xf>
    <xf numFmtId="3" fontId="5" fillId="5" borderId="76" xfId="0" applyNumberFormat="1" applyFont="1" applyFill="1" applyBorder="1"/>
    <xf numFmtId="3" fontId="0" fillId="5" borderId="76" xfId="0" applyNumberFormat="1" applyFont="1" applyFill="1" applyBorder="1"/>
    <xf numFmtId="0" fontId="0" fillId="0" borderId="37" xfId="0" applyBorder="1" applyAlignment="1">
      <alignment vertical="center"/>
    </xf>
    <xf numFmtId="3" fontId="11" fillId="11" borderId="33" xfId="2" applyNumberFormat="1" applyFont="1" applyFill="1" applyBorder="1" applyAlignment="1" applyProtection="1">
      <alignment horizontal="right" vertical="center"/>
    </xf>
    <xf numFmtId="3" fontId="0" fillId="0" borderId="88" xfId="0" applyNumberFormat="1" applyBorder="1"/>
    <xf numFmtId="3" fontId="0" fillId="0" borderId="16" xfId="0" applyNumberFormat="1" applyBorder="1"/>
    <xf numFmtId="164" fontId="0" fillId="0" borderId="37" xfId="0" applyNumberFormat="1" applyBorder="1" applyAlignment="1">
      <alignment horizontal="center"/>
    </xf>
    <xf numFmtId="164" fontId="0" fillId="0" borderId="62" xfId="0" applyNumberFormat="1" applyBorder="1" applyAlignment="1">
      <alignment horizontal="center"/>
    </xf>
    <xf numFmtId="164" fontId="0" fillId="0" borderId="28" xfId="0" applyNumberFormat="1" applyBorder="1" applyAlignment="1">
      <alignment horizontal="center"/>
    </xf>
    <xf numFmtId="164" fontId="0" fillId="0" borderId="32" xfId="0" applyNumberFormat="1" applyBorder="1" applyAlignment="1">
      <alignment horizontal="center"/>
    </xf>
    <xf numFmtId="3" fontId="0" fillId="0" borderId="37" xfId="0" applyNumberFormat="1" applyBorder="1"/>
    <xf numFmtId="3" fontId="0" fillId="0" borderId="32" xfId="0" applyNumberFormat="1" applyBorder="1"/>
    <xf numFmtId="3" fontId="0" fillId="5" borderId="16" xfId="0" applyNumberFormat="1" applyFill="1" applyBorder="1"/>
    <xf numFmtId="0" fontId="0" fillId="0" borderId="76" xfId="0" applyBorder="1" applyAlignment="1">
      <alignment horizontal="center"/>
    </xf>
    <xf numFmtId="0" fontId="0" fillId="0" borderId="82" xfId="0" applyBorder="1" applyAlignment="1">
      <alignment horizontal="center"/>
    </xf>
    <xf numFmtId="3" fontId="0" fillId="0" borderId="0" xfId="0" applyNumberFormat="1" applyBorder="1"/>
    <xf numFmtId="3" fontId="0" fillId="0" borderId="38" xfId="0" applyNumberFormat="1" applyBorder="1"/>
    <xf numFmtId="3" fontId="0" fillId="5" borderId="32" xfId="0" applyNumberFormat="1" applyFill="1" applyBorder="1"/>
    <xf numFmtId="0" fontId="0" fillId="0" borderId="84" xfId="0" pivotButton="1" applyBorder="1"/>
    <xf numFmtId="0" fontId="0" fillId="0" borderId="37" xfId="0" applyBorder="1" applyAlignment="1">
      <alignment horizontal="left"/>
    </xf>
    <xf numFmtId="0" fontId="0" fillId="0" borderId="28" xfId="0" applyBorder="1" applyAlignment="1">
      <alignment horizontal="left"/>
    </xf>
    <xf numFmtId="0" fontId="0" fillId="0" borderId="84" xfId="0" applyBorder="1" applyAlignment="1">
      <alignment horizontal="left"/>
    </xf>
    <xf numFmtId="164" fontId="0" fillId="0" borderId="0" xfId="0" applyNumberFormat="1" applyBorder="1" applyAlignment="1">
      <alignment horizontal="center"/>
    </xf>
    <xf numFmtId="164" fontId="0" fillId="0" borderId="38" xfId="0" applyNumberFormat="1" applyBorder="1" applyAlignment="1">
      <alignment horizontal="center"/>
    </xf>
    <xf numFmtId="3" fontId="0" fillId="0" borderId="76" xfId="0" applyNumberFormat="1" applyBorder="1" applyAlignment="1">
      <alignment horizontal="center"/>
    </xf>
    <xf numFmtId="0" fontId="0" fillId="0" borderId="84" xfId="0" applyBorder="1" applyAlignment="1">
      <alignment horizontal="center"/>
    </xf>
    <xf numFmtId="3" fontId="0" fillId="0" borderId="84" xfId="0" applyNumberFormat="1" applyBorder="1"/>
    <xf numFmtId="3" fontId="0" fillId="0" borderId="85" xfId="0" applyNumberFormat="1" applyBorder="1"/>
    <xf numFmtId="3" fontId="0" fillId="0" borderId="82" xfId="0" applyNumberFormat="1" applyBorder="1"/>
    <xf numFmtId="0" fontId="0" fillId="2" borderId="84" xfId="0" applyFill="1" applyBorder="1" applyAlignment="1">
      <alignment horizontal="center"/>
    </xf>
    <xf numFmtId="0" fontId="0" fillId="2" borderId="85" xfId="0" applyFill="1" applyBorder="1" applyAlignment="1">
      <alignment horizontal="center"/>
    </xf>
    <xf numFmtId="0" fontId="0" fillId="2" borderId="82" xfId="0" applyFill="1" applyBorder="1" applyAlignment="1">
      <alignment horizontal="center"/>
    </xf>
    <xf numFmtId="164" fontId="0" fillId="0" borderId="84" xfId="0" applyNumberFormat="1" applyBorder="1" applyAlignment="1">
      <alignment horizontal="center"/>
    </xf>
    <xf numFmtId="164" fontId="0" fillId="0" borderId="82" xfId="0" applyNumberFormat="1" applyBorder="1" applyAlignment="1">
      <alignment horizontal="center"/>
    </xf>
    <xf numFmtId="0" fontId="7" fillId="0" borderId="88" xfId="0" applyFont="1" applyFill="1" applyBorder="1"/>
    <xf numFmtId="0" fontId="0" fillId="2" borderId="76" xfId="0" applyFill="1" applyBorder="1" applyAlignment="1">
      <alignment horizontal="center"/>
    </xf>
    <xf numFmtId="3" fontId="0" fillId="0" borderId="76" xfId="0" applyNumberFormat="1" applyBorder="1"/>
    <xf numFmtId="3" fontId="0" fillId="5" borderId="76" xfId="0" applyNumberFormat="1" applyFill="1" applyBorder="1"/>
    <xf numFmtId="0" fontId="7" fillId="3" borderId="55" xfId="0" applyFont="1" applyFill="1" applyBorder="1"/>
    <xf numFmtId="0" fontId="7" fillId="3" borderId="49" xfId="0" applyFont="1" applyFill="1" applyBorder="1"/>
    <xf numFmtId="0" fontId="7" fillId="3" borderId="96" xfId="0" applyFont="1" applyFill="1" applyBorder="1"/>
    <xf numFmtId="0" fontId="14" fillId="2" borderId="84" xfId="0" applyFont="1" applyFill="1" applyBorder="1" applyAlignment="1">
      <alignment horizontal="right"/>
    </xf>
    <xf numFmtId="3" fontId="0" fillId="3" borderId="88" xfId="0" applyNumberFormat="1" applyFill="1" applyBorder="1"/>
    <xf numFmtId="0" fontId="0" fillId="0" borderId="30" xfId="4" applyNumberFormat="1" applyFont="1" applyBorder="1" applyAlignment="1">
      <alignment horizontal="center"/>
    </xf>
    <xf numFmtId="0" fontId="12" fillId="2" borderId="8" xfId="0" applyNumberFormat="1" applyFont="1" applyFill="1" applyBorder="1" applyAlignment="1">
      <alignment horizontal="center" vertical="center" wrapText="1"/>
    </xf>
    <xf numFmtId="0" fontId="0" fillId="14" borderId="11" xfId="0" applyNumberFormat="1" applyFont="1" applyFill="1" applyBorder="1" applyAlignment="1">
      <alignment horizontal="center" vertical="center" wrapText="1"/>
    </xf>
    <xf numFmtId="0" fontId="0" fillId="14" borderId="9" xfId="0" applyNumberFormat="1" applyFont="1" applyFill="1" applyBorder="1" applyAlignment="1">
      <alignment horizontal="center" vertical="center" wrapText="1"/>
    </xf>
    <xf numFmtId="0" fontId="16" fillId="0" borderId="0" xfId="0" applyFont="1"/>
    <xf numFmtId="3" fontId="16" fillId="0" borderId="0" xfId="0" applyNumberFormat="1" applyFont="1" applyFill="1"/>
    <xf numFmtId="3" fontId="0" fillId="2" borderId="82" xfId="0" applyNumberFormat="1" applyFont="1" applyFill="1" applyBorder="1"/>
    <xf numFmtId="0" fontId="5" fillId="2" borderId="69" xfId="0" applyFont="1" applyFill="1" applyBorder="1"/>
    <xf numFmtId="3" fontId="0" fillId="0" borderId="66" xfId="0" applyNumberFormat="1" applyBorder="1"/>
    <xf numFmtId="164" fontId="0" fillId="0" borderId="97" xfId="0" applyNumberFormat="1" applyBorder="1" applyAlignment="1">
      <alignment horizontal="center"/>
    </xf>
    <xf numFmtId="164" fontId="0" fillId="0" borderId="67" xfId="0" applyNumberFormat="1" applyBorder="1" applyAlignment="1">
      <alignment horizontal="center"/>
    </xf>
    <xf numFmtId="3" fontId="0" fillId="0" borderId="98" xfId="0" applyNumberFormat="1" applyBorder="1"/>
    <xf numFmtId="3" fontId="0" fillId="0" borderId="69" xfId="0" applyNumberFormat="1" applyBorder="1" applyAlignment="1">
      <alignment horizontal="center"/>
    </xf>
    <xf numFmtId="3" fontId="0" fillId="0" borderId="67" xfId="0" applyNumberFormat="1" applyBorder="1"/>
    <xf numFmtId="0" fontId="0" fillId="0" borderId="69" xfId="0" applyBorder="1" applyAlignment="1">
      <alignment horizontal="center"/>
    </xf>
    <xf numFmtId="0" fontId="0" fillId="0" borderId="97" xfId="0" applyBorder="1" applyAlignment="1">
      <alignment horizontal="left"/>
    </xf>
    <xf numFmtId="164" fontId="0" fillId="0" borderId="98" xfId="0" applyNumberFormat="1" applyBorder="1" applyAlignment="1">
      <alignment horizontal="center"/>
    </xf>
    <xf numFmtId="164" fontId="0" fillId="0" borderId="3" xfId="0" applyNumberFormat="1" applyBorder="1" applyAlignment="1">
      <alignment horizontal="center" vertical="top"/>
    </xf>
    <xf numFmtId="168" fontId="0" fillId="0" borderId="4" xfId="0" applyNumberFormat="1" applyBorder="1" applyAlignment="1">
      <alignment horizontal="center" vertical="top"/>
    </xf>
    <xf numFmtId="0" fontId="0" fillId="0" borderId="4" xfId="0" applyBorder="1" applyAlignment="1">
      <alignment vertical="top" wrapText="1"/>
    </xf>
    <xf numFmtId="0" fontId="0" fillId="0" borderId="5" xfId="0" applyBorder="1" applyAlignment="1">
      <alignment vertical="top"/>
    </xf>
    <xf numFmtId="0" fontId="0" fillId="16" borderId="8" xfId="0" applyFont="1" applyFill="1" applyBorder="1" applyAlignment="1">
      <alignment horizontal="center" vertical="center"/>
    </xf>
    <xf numFmtId="0" fontId="0" fillId="16" borderId="9" xfId="0" applyFont="1" applyFill="1" applyBorder="1" applyAlignment="1">
      <alignment horizontal="center" vertical="center"/>
    </xf>
    <xf numFmtId="0" fontId="0" fillId="16" borderId="10" xfId="0" applyFont="1" applyFill="1" applyBorder="1" applyAlignment="1">
      <alignment horizontal="center" vertical="center"/>
    </xf>
    <xf numFmtId="0" fontId="0" fillId="16" borderId="91" xfId="0" applyFont="1" applyFill="1" applyBorder="1" applyAlignment="1">
      <alignment horizontal="left"/>
    </xf>
    <xf numFmtId="0" fontId="18" fillId="20" borderId="4" xfId="0" applyFont="1" applyFill="1" applyBorder="1" applyAlignment="1">
      <alignment horizontal="left" vertical="center"/>
    </xf>
    <xf numFmtId="0" fontId="18" fillId="10" borderId="4" xfId="0" applyFont="1" applyFill="1" applyBorder="1" applyAlignment="1">
      <alignment horizontal="left" vertical="center"/>
    </xf>
    <xf numFmtId="0" fontId="12" fillId="0" borderId="7" xfId="0" applyFont="1" applyBorder="1" applyAlignment="1">
      <alignment horizontal="center" vertical="center"/>
    </xf>
    <xf numFmtId="0" fontId="13" fillId="4" borderId="4" xfId="0" applyFont="1" applyFill="1" applyBorder="1" applyAlignment="1">
      <alignment horizontal="left" vertical="center" wrapText="1"/>
    </xf>
    <xf numFmtId="0" fontId="13" fillId="4" borderId="4" xfId="0" applyFont="1" applyFill="1" applyBorder="1" applyAlignment="1">
      <alignment horizontal="left" vertical="center"/>
    </xf>
    <xf numFmtId="0" fontId="0" fillId="14" borderId="4" xfId="0" applyNumberFormat="1" applyFont="1" applyFill="1" applyBorder="1" applyAlignment="1">
      <alignment horizontal="left" vertical="center" wrapText="1"/>
    </xf>
    <xf numFmtId="0" fontId="30" fillId="20" borderId="4" xfId="0" applyNumberFormat="1" applyFont="1" applyFill="1" applyBorder="1" applyAlignment="1">
      <alignment horizontal="left" vertical="center"/>
    </xf>
    <xf numFmtId="0" fontId="18" fillId="10" borderId="4" xfId="0" applyNumberFormat="1" applyFont="1" applyFill="1" applyBorder="1" applyAlignment="1">
      <alignment horizontal="left" vertical="center"/>
    </xf>
    <xf numFmtId="0" fontId="0" fillId="14" borderId="4" xfId="0" applyNumberFormat="1" applyFont="1" applyFill="1" applyBorder="1" applyAlignment="1">
      <alignment horizontal="left" vertical="center"/>
    </xf>
    <xf numFmtId="0" fontId="13" fillId="2" borderId="4" xfId="0" applyFont="1" applyFill="1" applyBorder="1" applyAlignment="1">
      <alignment horizontal="left" vertical="center" wrapText="1"/>
    </xf>
    <xf numFmtId="0" fontId="30" fillId="20" borderId="4" xfId="0" applyFont="1" applyFill="1" applyBorder="1" applyAlignment="1">
      <alignment horizontal="left" vertical="center" wrapText="1"/>
    </xf>
    <xf numFmtId="0" fontId="30" fillId="10" borderId="4" xfId="0" applyFont="1" applyFill="1" applyBorder="1" applyAlignment="1">
      <alignment horizontal="left" vertical="center" wrapText="1"/>
    </xf>
    <xf numFmtId="0" fontId="13" fillId="2" borderId="4" xfId="0" applyNumberFormat="1" applyFont="1" applyFill="1" applyBorder="1" applyAlignment="1">
      <alignment horizontal="left" vertical="center" wrapText="1"/>
    </xf>
    <xf numFmtId="0" fontId="13" fillId="5" borderId="4" xfId="0" applyNumberFormat="1" applyFont="1" applyFill="1" applyBorder="1" applyAlignment="1">
      <alignment horizontal="left" vertical="center" wrapText="1"/>
    </xf>
    <xf numFmtId="3" fontId="13" fillId="5" borderId="4" xfId="0" applyNumberFormat="1" applyFont="1" applyFill="1" applyBorder="1" applyAlignment="1">
      <alignment horizontal="left" vertical="center" wrapText="1"/>
    </xf>
    <xf numFmtId="0" fontId="13" fillId="2" borderId="4" xfId="0" applyFont="1" applyFill="1" applyBorder="1" applyAlignment="1">
      <alignment horizontal="left" vertical="center"/>
    </xf>
    <xf numFmtId="0" fontId="12" fillId="2" borderId="4" xfId="0" applyNumberFormat="1" applyFont="1" applyFill="1" applyBorder="1" applyAlignment="1">
      <alignment horizontal="left" vertical="center" wrapText="1"/>
    </xf>
    <xf numFmtId="0" fontId="18" fillId="7" borderId="4" xfId="0" applyFont="1" applyFill="1" applyBorder="1" applyAlignment="1">
      <alignment horizontal="left" vertical="center" wrapText="1"/>
    </xf>
    <xf numFmtId="3" fontId="13" fillId="5" borderId="4" xfId="0" applyNumberFormat="1" applyFont="1" applyFill="1" applyBorder="1" applyAlignment="1">
      <alignment horizontal="left" vertical="center"/>
    </xf>
    <xf numFmtId="0" fontId="18" fillId="20" borderId="45" xfId="0" applyFont="1" applyFill="1" applyBorder="1" applyAlignment="1">
      <alignment horizontal="left" vertical="center" wrapText="1"/>
    </xf>
    <xf numFmtId="0" fontId="0" fillId="2" borderId="4" xfId="0" applyFont="1" applyFill="1" applyBorder="1" applyAlignment="1">
      <alignment horizontal="left" vertical="center"/>
    </xf>
    <xf numFmtId="3" fontId="0" fillId="2" borderId="4" xfId="0" applyNumberFormat="1" applyFont="1" applyFill="1" applyBorder="1" applyAlignment="1">
      <alignment horizontal="left" vertical="center"/>
    </xf>
    <xf numFmtId="0" fontId="0" fillId="2" borderId="4" xfId="0" applyNumberFormat="1" applyFont="1" applyFill="1" applyBorder="1" applyAlignment="1">
      <alignment horizontal="left" vertical="center"/>
    </xf>
    <xf numFmtId="0" fontId="43" fillId="0" borderId="0" xfId="0" applyFont="1" applyAlignment="1">
      <alignment horizontal="center" vertical="center"/>
    </xf>
    <xf numFmtId="0" fontId="44" fillId="0" borderId="0" xfId="0" applyFont="1" applyAlignment="1">
      <alignment horizontal="center" vertical="center"/>
    </xf>
    <xf numFmtId="0" fontId="7" fillId="2" borderId="52" xfId="0" applyFont="1" applyFill="1" applyBorder="1" applyAlignment="1">
      <alignment horizontal="left" vertical="center" wrapText="1"/>
    </xf>
    <xf numFmtId="0" fontId="7" fillId="2" borderId="53" xfId="0" applyFont="1" applyFill="1" applyBorder="1" applyAlignment="1">
      <alignment horizontal="left" vertical="center" wrapText="1"/>
    </xf>
    <xf numFmtId="0" fontId="5" fillId="2" borderId="85" xfId="0" applyFont="1" applyFill="1" applyBorder="1" applyAlignment="1">
      <alignment horizontal="center" vertical="center" wrapText="1"/>
    </xf>
    <xf numFmtId="0" fontId="5" fillId="2" borderId="82" xfId="0" applyFont="1" applyFill="1" applyBorder="1" applyAlignment="1">
      <alignment horizontal="center" vertical="center" wrapText="1"/>
    </xf>
    <xf numFmtId="0" fontId="5" fillId="2" borderId="85" xfId="0" applyFont="1" applyFill="1" applyBorder="1" applyAlignment="1">
      <alignment horizontal="left" vertical="center" wrapText="1"/>
    </xf>
    <xf numFmtId="0" fontId="5" fillId="2" borderId="82" xfId="0" applyFont="1" applyFill="1" applyBorder="1" applyAlignment="1">
      <alignment horizontal="left" vertical="center" wrapText="1"/>
    </xf>
    <xf numFmtId="0" fontId="5" fillId="0" borderId="0" xfId="0" applyFont="1" applyFill="1" applyBorder="1" applyAlignment="1">
      <alignment horizontal="left" vertical="center"/>
    </xf>
  </cellXfs>
  <cellStyles count="6">
    <cellStyle name="Comma" xfId="4" builtinId="3"/>
    <cellStyle name="Hyperlink" xfId="2" builtinId="8"/>
    <cellStyle name="Hyperlink 2" xfId="3"/>
    <cellStyle name="Normal" xfId="0" builtinId="0"/>
    <cellStyle name="Normal 3" xfId="5"/>
    <cellStyle name="Percent" xfId="1" builtinId="5"/>
  </cellStyles>
  <dxfs count="56">
    <dxf>
      <border>
        <bottom style="thin">
          <color indexed="64"/>
        </bottom>
      </border>
    </dxf>
    <dxf>
      <border>
        <right style="thin">
          <color indexed="64"/>
        </right>
        <top style="thin">
          <color indexed="64"/>
        </top>
        <bottom style="thin">
          <color indexed="64"/>
        </bottom>
      </border>
    </dxf>
    <dxf>
      <alignment horizontal="center" readingOrder="0"/>
    </dxf>
    <dxf>
      <numFmt numFmtId="164" formatCode="0.0"/>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bgColor rgb="FFFFC000"/>
        </patternFill>
      </fill>
    </dxf>
    <dxf>
      <alignment horizontal="center" readingOrder="0"/>
    </dxf>
    <dxf>
      <numFmt numFmtId="3" formatCode="#,##0"/>
    </dxf>
    <dxf>
      <alignment horizontal="center" readingOrder="0"/>
    </dxf>
    <dxf>
      <alignment horizontal="center" readingOrder="0"/>
    </dxf>
    <dxf>
      <alignment horizontal="center" readingOrder="0"/>
    </dxf>
    <dxf>
      <numFmt numFmtId="164" formatCode="0.0"/>
    </dxf>
    <dxf>
      <numFmt numFmtId="3" formatCode="#,##0"/>
    </dxf>
    <dxf>
      <border>
        <right style="thin">
          <color indexed="64"/>
        </right>
        <top style="thin">
          <color indexed="64"/>
        </top>
        <bottom style="thin">
          <color indexed="64"/>
        </bottom>
      </border>
    </dxf>
    <dxf>
      <border>
        <right style="thin">
          <color indexed="64"/>
        </right>
        <top style="thin">
          <color indexed="64"/>
        </top>
        <bottom style="thin">
          <color indexed="64"/>
        </bottom>
      </border>
    </dxf>
    <dxf>
      <alignment horizontal="center" readingOrder="0"/>
    </dxf>
    <dxf>
      <alignment horizontal="center" readingOrder="0"/>
    </dxf>
    <dxf>
      <numFmt numFmtId="164" formatCode="0.0"/>
    </dxf>
    <dxf>
      <fill>
        <patternFill patternType="solid">
          <bgColor rgb="FFFFC000"/>
        </patternFill>
      </fill>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center" readingOrder="0"/>
    </dxf>
    <dxf>
      <alignment horizontal="center" readingOrder="0"/>
    </dxf>
    <dxf>
      <alignment horizontal="center" readingOrder="0"/>
    </dxf>
    <dxf>
      <numFmt numFmtId="3" formatCode="#,##0"/>
    </dxf>
    <dxf>
      <numFmt numFmtId="164" formatCode="0.0"/>
    </dxf>
    <dxf>
      <numFmt numFmtId="3" formatCode="#,##0"/>
    </dxf>
    <dxf>
      <numFmt numFmtId="3" formatCode="#,##0"/>
    </dxf>
  </dxfs>
  <tableStyles count="0" defaultTableStyle="TableStyleMedium9" defaultPivotStyle="PivotStyleLight16"/>
  <colors>
    <mruColors>
      <color rgb="FFFFFFCC"/>
      <color rgb="FFCCCCFF"/>
      <color rgb="FF0000CC"/>
      <color rgb="FF9966FF"/>
      <color rgb="FFFFCC66"/>
      <color rgb="FF9999FF"/>
      <color rgb="FF000099"/>
      <color rgb="FFCCFFFF"/>
      <color rgb="FFCCFF66"/>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CC"/>
                </a:solidFill>
              </a:defRPr>
            </a:pPr>
            <a:r>
              <a:rPr lang="en-US"/>
              <a:t>Birth Registration Rate (% Pop 0-4) Dec'15</a:t>
            </a:r>
          </a:p>
        </c:rich>
      </c:tx>
      <c:layout>
        <c:manualLayout>
          <c:xMode val="edge"/>
          <c:yMode val="edge"/>
          <c:x val="0.16758499805579857"/>
          <c:y val="3.2223315835520558E-3"/>
        </c:manualLayout>
      </c:layout>
      <c:overlay val="0"/>
    </c:title>
    <c:autoTitleDeleted val="0"/>
    <c:plotArea>
      <c:layout>
        <c:manualLayout>
          <c:layoutTarget val="inner"/>
          <c:xMode val="edge"/>
          <c:yMode val="edge"/>
          <c:x val="9.8492028774181006E-2"/>
          <c:y val="0.19467410323709536"/>
          <c:w val="0.87548240497715568"/>
          <c:h val="0.66412456255468066"/>
        </c:manualLayout>
      </c:layout>
      <c:barChart>
        <c:barDir val="col"/>
        <c:grouping val="clustered"/>
        <c:varyColors val="0"/>
        <c:ser>
          <c:idx val="0"/>
          <c:order val="0"/>
          <c:tx>
            <c:strRef>
              <c:f>'ID4D Stats'!$U$2</c:f>
              <c:strCache>
                <c:ptCount val="1"/>
                <c:pt idx="0">
                  <c:v>Birth Registration Rate (% Pop 0-5) Dec'15</c:v>
                </c:pt>
              </c:strCache>
            </c:strRef>
          </c:tx>
          <c:spPr>
            <a:solidFill>
              <a:srgbClr val="00B0F0"/>
            </a:solidFill>
            <a:ln>
              <a:solidFill>
                <a:srgbClr val="0000CC"/>
              </a:solidFill>
            </a:ln>
          </c:spPr>
          <c:invertIfNegative val="0"/>
          <c:dLbls>
            <c:dLbl>
              <c:idx val="2"/>
              <c:layout>
                <c:manualLayout>
                  <c:x val="0"/>
                  <c:y val="2.083333333333331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'ID4D Stats'!$T$3:$T$8</c:f>
              <c:strCache>
                <c:ptCount val="6"/>
                <c:pt idx="0">
                  <c:v>AFR (48)</c:v>
                </c:pt>
                <c:pt idx="1">
                  <c:v>EAP (29)</c:v>
                </c:pt>
                <c:pt idx="2">
                  <c:v>ECA (30)</c:v>
                </c:pt>
                <c:pt idx="3">
                  <c:v>LCR (32)</c:v>
                </c:pt>
                <c:pt idx="4">
                  <c:v>MNA (21)</c:v>
                </c:pt>
                <c:pt idx="5">
                  <c:v>SAR (8)</c:v>
                </c:pt>
              </c:strCache>
            </c:strRef>
          </c:cat>
          <c:val>
            <c:numRef>
              <c:f>'ID4D Stats'!$U$3:$U$8</c:f>
              <c:numCache>
                <c:formatCode>0.0</c:formatCode>
                <c:ptCount val="6"/>
                <c:pt idx="0">
                  <c:v>56.662500000000016</c:v>
                </c:pt>
                <c:pt idx="1">
                  <c:v>80.265517241379342</c:v>
                </c:pt>
                <c:pt idx="2">
                  <c:v>97.88000000000001</c:v>
                </c:pt>
                <c:pt idx="3">
                  <c:v>91.646874999999994</c:v>
                </c:pt>
                <c:pt idx="4">
                  <c:v>92.052380952380943</c:v>
                </c:pt>
                <c:pt idx="5">
                  <c:v>64.625</c:v>
                </c:pt>
              </c:numCache>
            </c:numRef>
          </c:val>
        </c:ser>
        <c:dLbls>
          <c:showLegendKey val="0"/>
          <c:showVal val="0"/>
          <c:showCatName val="0"/>
          <c:showSerName val="0"/>
          <c:showPercent val="0"/>
          <c:showBubbleSize val="0"/>
        </c:dLbls>
        <c:gapWidth val="150"/>
        <c:axId val="425647296"/>
        <c:axId val="425647688"/>
      </c:barChart>
      <c:catAx>
        <c:axId val="425647296"/>
        <c:scaling>
          <c:orientation val="minMax"/>
        </c:scaling>
        <c:delete val="0"/>
        <c:axPos val="b"/>
        <c:numFmt formatCode="General" sourceLinked="0"/>
        <c:majorTickMark val="out"/>
        <c:minorTickMark val="none"/>
        <c:tickLblPos val="nextTo"/>
        <c:crossAx val="425647688"/>
        <c:crosses val="autoZero"/>
        <c:auto val="1"/>
        <c:lblAlgn val="ctr"/>
        <c:lblOffset val="100"/>
        <c:noMultiLvlLbl val="0"/>
      </c:catAx>
      <c:valAx>
        <c:axId val="425647688"/>
        <c:scaling>
          <c:orientation val="minMax"/>
          <c:max val="100"/>
        </c:scaling>
        <c:delete val="0"/>
        <c:axPos val="l"/>
        <c:majorGridlines>
          <c:spPr>
            <a:ln>
              <a:solidFill>
                <a:schemeClr val="bg1">
                  <a:lumMod val="75000"/>
                </a:schemeClr>
              </a:solidFill>
              <a:prstDash val="sysDot"/>
            </a:ln>
          </c:spPr>
        </c:majorGridlines>
        <c:numFmt formatCode="0" sourceLinked="0"/>
        <c:majorTickMark val="out"/>
        <c:minorTickMark val="none"/>
        <c:tickLblPos val="nextTo"/>
        <c:crossAx val="425647296"/>
        <c:crosses val="autoZero"/>
        <c:crossBetween val="between"/>
      </c:valAx>
      <c:spPr>
        <a:ln>
          <a:solidFill>
            <a:schemeClr val="bg1">
              <a:lumMod val="50000"/>
            </a:schemeClr>
          </a:solidFill>
        </a:ln>
      </c:spPr>
    </c:plotArea>
    <c:plotVisOnly val="1"/>
    <c:dispBlanksAs val="gap"/>
    <c:showDLblsOverMax val="0"/>
  </c:chart>
  <c:txPr>
    <a:bodyPr/>
    <a:lstStyle/>
    <a:p>
      <a:pPr>
        <a:defRPr sz="900"/>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CC"/>
                </a:solidFill>
              </a:defRPr>
            </a:pPr>
            <a:r>
              <a:rPr lang="en-US" sz="1000">
                <a:solidFill>
                  <a:srgbClr val="0000CC"/>
                </a:solidFill>
              </a:rPr>
              <a:t>Regional</a:t>
            </a:r>
            <a:r>
              <a:rPr lang="en-US" sz="1000" baseline="0">
                <a:solidFill>
                  <a:srgbClr val="0000CC"/>
                </a:solidFill>
              </a:rPr>
              <a:t> distribution</a:t>
            </a:r>
            <a:endParaRPr lang="en-US" sz="1000">
              <a:solidFill>
                <a:srgbClr val="0000CC"/>
              </a:solidFill>
            </a:endParaRPr>
          </a:p>
        </c:rich>
      </c:tx>
      <c:layout>
        <c:manualLayout>
          <c:xMode val="edge"/>
          <c:yMode val="edge"/>
          <c:x val="0.29020089344892497"/>
          <c:y val="0"/>
        </c:manualLayout>
      </c:layout>
      <c:overlay val="1"/>
    </c:title>
    <c:autoTitleDeleted val="0"/>
    <c:plotArea>
      <c:layout>
        <c:manualLayout>
          <c:layoutTarget val="inner"/>
          <c:xMode val="edge"/>
          <c:yMode val="edge"/>
          <c:x val="0.13920172857180732"/>
          <c:y val="0.13163337221736174"/>
          <c:w val="0.83487565948195874"/>
          <c:h val="0.62868183143773693"/>
        </c:manualLayout>
      </c:layout>
      <c:barChart>
        <c:barDir val="col"/>
        <c:grouping val="clustered"/>
        <c:varyColors val="0"/>
        <c:ser>
          <c:idx val="1"/>
          <c:order val="0"/>
          <c:tx>
            <c:strRef>
              <c:f>'ID4D Stats'!$CM$4</c:f>
              <c:strCache>
                <c:ptCount val="1"/>
                <c:pt idx="0">
                  <c:v>AFR</c:v>
                </c:pt>
              </c:strCache>
            </c:strRef>
          </c:tx>
          <c:spPr>
            <a:solidFill>
              <a:srgbClr val="FFC000"/>
            </a:solidFill>
            <a:ln>
              <a:solidFill>
                <a:schemeClr val="tx1"/>
              </a:solidFill>
            </a:ln>
          </c:spPr>
          <c:invertIfNegative val="0"/>
          <c:cat>
            <c:numLit>
              <c:formatCode>General</c:formatCode>
              <c:ptCount val="3"/>
              <c:pt idx="0">
                <c:v>0</c:v>
              </c:pt>
              <c:pt idx="1">
                <c:v>1</c:v>
              </c:pt>
              <c:pt idx="2">
                <c:v>2</c:v>
              </c:pt>
            </c:numLit>
          </c:cat>
          <c:val>
            <c:numRef>
              <c:f>'ID4D Stats'!$CN$4:$CP$4</c:f>
              <c:numCache>
                <c:formatCode>General</c:formatCode>
                <c:ptCount val="3"/>
                <c:pt idx="0">
                  <c:v>0</c:v>
                </c:pt>
                <c:pt idx="1">
                  <c:v>5</c:v>
                </c:pt>
                <c:pt idx="2">
                  <c:v>43</c:v>
                </c:pt>
              </c:numCache>
            </c:numRef>
          </c:val>
        </c:ser>
        <c:ser>
          <c:idx val="2"/>
          <c:order val="1"/>
          <c:tx>
            <c:strRef>
              <c:f>'ID4D Stats'!$CM$5</c:f>
              <c:strCache>
                <c:ptCount val="1"/>
                <c:pt idx="0">
                  <c:v>EAP</c:v>
                </c:pt>
              </c:strCache>
            </c:strRef>
          </c:tx>
          <c:spPr>
            <a:solidFill>
              <a:schemeClr val="accent1">
                <a:lumMod val="40000"/>
                <a:lumOff val="60000"/>
              </a:schemeClr>
            </a:solidFill>
            <a:ln>
              <a:solidFill>
                <a:schemeClr val="tx1"/>
              </a:solidFill>
            </a:ln>
          </c:spPr>
          <c:invertIfNegative val="0"/>
          <c:cat>
            <c:numLit>
              <c:formatCode>General</c:formatCode>
              <c:ptCount val="3"/>
              <c:pt idx="0">
                <c:v>0</c:v>
              </c:pt>
              <c:pt idx="1">
                <c:v>1</c:v>
              </c:pt>
              <c:pt idx="2">
                <c:v>2</c:v>
              </c:pt>
            </c:numLit>
          </c:cat>
          <c:val>
            <c:numRef>
              <c:f>'ID4D Stats'!$CN$5:$CP$5</c:f>
              <c:numCache>
                <c:formatCode>General</c:formatCode>
                <c:ptCount val="3"/>
                <c:pt idx="0">
                  <c:v>0</c:v>
                </c:pt>
                <c:pt idx="1">
                  <c:v>1</c:v>
                </c:pt>
                <c:pt idx="2">
                  <c:v>28</c:v>
                </c:pt>
              </c:numCache>
            </c:numRef>
          </c:val>
        </c:ser>
        <c:ser>
          <c:idx val="3"/>
          <c:order val="2"/>
          <c:tx>
            <c:strRef>
              <c:f>'ID4D Stats'!$CM$6</c:f>
              <c:strCache>
                <c:ptCount val="1"/>
                <c:pt idx="0">
                  <c:v>ECA</c:v>
                </c:pt>
              </c:strCache>
            </c:strRef>
          </c:tx>
          <c:spPr>
            <a:solidFill>
              <a:srgbClr val="FFFF00"/>
            </a:solidFill>
            <a:ln>
              <a:solidFill>
                <a:schemeClr val="tx1"/>
              </a:solidFill>
            </a:ln>
          </c:spPr>
          <c:invertIfNegative val="0"/>
          <c:cat>
            <c:numLit>
              <c:formatCode>General</c:formatCode>
              <c:ptCount val="3"/>
              <c:pt idx="0">
                <c:v>0</c:v>
              </c:pt>
              <c:pt idx="1">
                <c:v>1</c:v>
              </c:pt>
              <c:pt idx="2">
                <c:v>2</c:v>
              </c:pt>
            </c:numLit>
          </c:cat>
          <c:val>
            <c:numRef>
              <c:f>'ID4D Stats'!$CN$6:$CP$6</c:f>
              <c:numCache>
                <c:formatCode>General</c:formatCode>
                <c:ptCount val="3"/>
                <c:pt idx="0">
                  <c:v>0</c:v>
                </c:pt>
                <c:pt idx="1">
                  <c:v>1</c:v>
                </c:pt>
                <c:pt idx="2">
                  <c:v>29</c:v>
                </c:pt>
              </c:numCache>
            </c:numRef>
          </c:val>
        </c:ser>
        <c:ser>
          <c:idx val="4"/>
          <c:order val="3"/>
          <c:tx>
            <c:strRef>
              <c:f>'ID4D Stats'!$CM$7</c:f>
              <c:strCache>
                <c:ptCount val="1"/>
                <c:pt idx="0">
                  <c:v>LCR</c:v>
                </c:pt>
              </c:strCache>
            </c:strRef>
          </c:tx>
          <c:spPr>
            <a:solidFill>
              <a:schemeClr val="accent3">
                <a:lumMod val="60000"/>
                <a:lumOff val="40000"/>
              </a:schemeClr>
            </a:solidFill>
            <a:ln>
              <a:solidFill>
                <a:schemeClr val="tx1"/>
              </a:solidFill>
            </a:ln>
          </c:spPr>
          <c:invertIfNegative val="0"/>
          <c:cat>
            <c:numLit>
              <c:formatCode>General</c:formatCode>
              <c:ptCount val="3"/>
              <c:pt idx="0">
                <c:v>0</c:v>
              </c:pt>
              <c:pt idx="1">
                <c:v>1</c:v>
              </c:pt>
              <c:pt idx="2">
                <c:v>2</c:v>
              </c:pt>
            </c:numLit>
          </c:cat>
          <c:val>
            <c:numRef>
              <c:f>'ID4D Stats'!$CN$7:$CP$7</c:f>
              <c:numCache>
                <c:formatCode>General</c:formatCode>
                <c:ptCount val="3"/>
                <c:pt idx="0">
                  <c:v>0</c:v>
                </c:pt>
                <c:pt idx="1">
                  <c:v>2</c:v>
                </c:pt>
                <c:pt idx="2">
                  <c:v>30</c:v>
                </c:pt>
              </c:numCache>
            </c:numRef>
          </c:val>
        </c:ser>
        <c:ser>
          <c:idx val="5"/>
          <c:order val="4"/>
          <c:tx>
            <c:strRef>
              <c:f>'ID4D Stats'!$CM$8</c:f>
              <c:strCache>
                <c:ptCount val="1"/>
                <c:pt idx="0">
                  <c:v>MNA</c:v>
                </c:pt>
              </c:strCache>
            </c:strRef>
          </c:tx>
          <c:spPr>
            <a:solidFill>
              <a:schemeClr val="tx2">
                <a:lumMod val="40000"/>
                <a:lumOff val="60000"/>
              </a:schemeClr>
            </a:solidFill>
            <a:ln>
              <a:solidFill>
                <a:schemeClr val="tx1"/>
              </a:solidFill>
            </a:ln>
          </c:spPr>
          <c:invertIfNegative val="0"/>
          <c:cat>
            <c:numLit>
              <c:formatCode>General</c:formatCode>
              <c:ptCount val="3"/>
              <c:pt idx="0">
                <c:v>0</c:v>
              </c:pt>
              <c:pt idx="1">
                <c:v>1</c:v>
              </c:pt>
              <c:pt idx="2">
                <c:v>2</c:v>
              </c:pt>
            </c:numLit>
          </c:cat>
          <c:val>
            <c:numRef>
              <c:f>'ID4D Stats'!$CN$8:$CP$8</c:f>
              <c:numCache>
                <c:formatCode>General</c:formatCode>
                <c:ptCount val="3"/>
                <c:pt idx="0">
                  <c:v>0</c:v>
                </c:pt>
                <c:pt idx="1">
                  <c:v>0</c:v>
                </c:pt>
                <c:pt idx="2">
                  <c:v>21</c:v>
                </c:pt>
              </c:numCache>
            </c:numRef>
          </c:val>
        </c:ser>
        <c:ser>
          <c:idx val="6"/>
          <c:order val="5"/>
          <c:tx>
            <c:strRef>
              <c:f>'ID4D Stats'!$CM$9</c:f>
              <c:strCache>
                <c:ptCount val="1"/>
                <c:pt idx="0">
                  <c:v>SAR</c:v>
                </c:pt>
              </c:strCache>
            </c:strRef>
          </c:tx>
          <c:spPr>
            <a:solidFill>
              <a:schemeClr val="accent6">
                <a:lumMod val="75000"/>
              </a:schemeClr>
            </a:solidFill>
            <a:ln>
              <a:solidFill>
                <a:schemeClr val="tx1"/>
              </a:solidFill>
            </a:ln>
          </c:spPr>
          <c:invertIfNegative val="0"/>
          <c:cat>
            <c:numLit>
              <c:formatCode>General</c:formatCode>
              <c:ptCount val="3"/>
              <c:pt idx="0">
                <c:v>0</c:v>
              </c:pt>
              <c:pt idx="1">
                <c:v>1</c:v>
              </c:pt>
              <c:pt idx="2">
                <c:v>2</c:v>
              </c:pt>
            </c:numLit>
          </c:cat>
          <c:val>
            <c:numRef>
              <c:f>'ID4D Stats'!$CN$9:$CP$9</c:f>
              <c:numCache>
                <c:formatCode>General</c:formatCode>
                <c:ptCount val="3"/>
                <c:pt idx="0">
                  <c:v>0</c:v>
                </c:pt>
                <c:pt idx="1">
                  <c:v>0</c:v>
                </c:pt>
                <c:pt idx="2">
                  <c:v>8</c:v>
                </c:pt>
              </c:numCache>
            </c:numRef>
          </c:val>
        </c:ser>
        <c:dLbls>
          <c:showLegendKey val="0"/>
          <c:showVal val="0"/>
          <c:showCatName val="0"/>
          <c:showSerName val="0"/>
          <c:showPercent val="0"/>
          <c:showBubbleSize val="0"/>
        </c:dLbls>
        <c:gapWidth val="120"/>
        <c:overlap val="-20"/>
        <c:axId val="426833080"/>
        <c:axId val="426833472"/>
      </c:barChart>
      <c:catAx>
        <c:axId val="426833080"/>
        <c:scaling>
          <c:orientation val="minMax"/>
        </c:scaling>
        <c:delete val="0"/>
        <c:axPos val="b"/>
        <c:title>
          <c:tx>
            <c:rich>
              <a:bodyPr/>
              <a:lstStyle/>
              <a:p>
                <a:pPr>
                  <a:defRPr sz="800" b="0">
                    <a:solidFill>
                      <a:srgbClr val="0000CC"/>
                    </a:solidFill>
                  </a:defRPr>
                </a:pPr>
                <a:r>
                  <a:rPr lang="en-US" sz="800" b="0">
                    <a:solidFill>
                      <a:srgbClr val="0000CC"/>
                    </a:solidFill>
                  </a:rPr>
                  <a:t>Point</a:t>
                </a:r>
              </a:p>
            </c:rich>
          </c:tx>
          <c:layout>
            <c:manualLayout>
              <c:xMode val="edge"/>
              <c:yMode val="edge"/>
              <c:x val="0.89456650579967822"/>
              <c:y val="0.79718090794206276"/>
            </c:manualLayout>
          </c:layout>
          <c:overlay val="0"/>
        </c:title>
        <c:numFmt formatCode="General" sourceLinked="1"/>
        <c:majorTickMark val="out"/>
        <c:minorTickMark val="none"/>
        <c:tickLblPos val="nextTo"/>
        <c:txPr>
          <a:bodyPr/>
          <a:lstStyle/>
          <a:p>
            <a:pPr>
              <a:defRPr sz="900"/>
            </a:pPr>
            <a:endParaRPr lang="en-US"/>
          </a:p>
        </c:txPr>
        <c:crossAx val="426833472"/>
        <c:crosses val="autoZero"/>
        <c:auto val="1"/>
        <c:lblAlgn val="ctr"/>
        <c:lblOffset val="100"/>
        <c:noMultiLvlLbl val="0"/>
      </c:catAx>
      <c:valAx>
        <c:axId val="426833472"/>
        <c:scaling>
          <c:orientation val="minMax"/>
        </c:scaling>
        <c:delete val="0"/>
        <c:axPos val="l"/>
        <c:majorGridlines>
          <c:spPr>
            <a:ln>
              <a:solidFill>
                <a:schemeClr val="bg1">
                  <a:lumMod val="75000"/>
                </a:schemeClr>
              </a:solidFill>
              <a:prstDash val="sysDot"/>
            </a:ln>
          </c:spPr>
        </c:majorGridlines>
        <c:title>
          <c:tx>
            <c:rich>
              <a:bodyPr rot="-5400000" vert="horz"/>
              <a:lstStyle/>
              <a:p>
                <a:pPr>
                  <a:defRPr sz="800" b="0">
                    <a:solidFill>
                      <a:srgbClr val="0000CC"/>
                    </a:solidFill>
                  </a:defRPr>
                </a:pPr>
                <a:r>
                  <a:rPr lang="en-US" sz="800" b="0">
                    <a:solidFill>
                      <a:srgbClr val="0000CC"/>
                    </a:solidFill>
                  </a:rPr>
                  <a:t>Economies</a:t>
                </a:r>
              </a:p>
            </c:rich>
          </c:tx>
          <c:layout>
            <c:manualLayout>
              <c:xMode val="edge"/>
              <c:yMode val="edge"/>
              <c:x val="0"/>
              <c:y val="0.10210035005834306"/>
            </c:manualLayout>
          </c:layout>
          <c:overlay val="0"/>
        </c:title>
        <c:numFmt formatCode="General" sourceLinked="1"/>
        <c:majorTickMark val="out"/>
        <c:minorTickMark val="none"/>
        <c:tickLblPos val="nextTo"/>
        <c:txPr>
          <a:bodyPr/>
          <a:lstStyle/>
          <a:p>
            <a:pPr>
              <a:defRPr sz="900"/>
            </a:pPr>
            <a:endParaRPr lang="en-US"/>
          </a:p>
        </c:txPr>
        <c:crossAx val="426833080"/>
        <c:crosses val="autoZero"/>
        <c:crossBetween val="between"/>
      </c:valAx>
      <c:spPr>
        <a:ln>
          <a:solidFill>
            <a:schemeClr val="tx1"/>
          </a:solidFill>
        </a:ln>
      </c:spPr>
    </c:plotArea>
    <c:legend>
      <c:legendPos val="r"/>
      <c:layout>
        <c:manualLayout>
          <c:xMode val="edge"/>
          <c:yMode val="edge"/>
          <c:x val="5.0845064821442777E-2"/>
          <c:y val="0.88289467288811119"/>
          <c:w val="0.89444113046475249"/>
          <c:h val="0.11710532711188877"/>
        </c:manualLayout>
      </c:layout>
      <c:overlay val="0"/>
      <c:spPr>
        <a:solidFill>
          <a:schemeClr val="bg1"/>
        </a:solidFill>
      </c:spPr>
      <c:txPr>
        <a:bodyPr/>
        <a:lstStyle/>
        <a:p>
          <a:pPr>
            <a:defRPr sz="900"/>
          </a:pPr>
          <a:endParaRPr lang="en-US"/>
        </a:p>
      </c:txPr>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rgbClr val="0000CC"/>
                </a:solidFill>
              </a:defRPr>
            </a:pPr>
            <a:r>
              <a:rPr lang="en-US" sz="1200" baseline="0">
                <a:solidFill>
                  <a:srgbClr val="0000CC"/>
                </a:solidFill>
              </a:rPr>
              <a:t>Civil Registration and Identification Trends (1960-2014)</a:t>
            </a:r>
            <a:endParaRPr lang="en-US" sz="1200">
              <a:solidFill>
                <a:srgbClr val="0000CC"/>
              </a:solidFill>
            </a:endParaRPr>
          </a:p>
        </c:rich>
      </c:tx>
      <c:layout>
        <c:manualLayout>
          <c:xMode val="edge"/>
          <c:yMode val="edge"/>
          <c:x val="0.14167962800946177"/>
          <c:y val="5.4599656524415929E-4"/>
        </c:manualLayout>
      </c:layout>
      <c:overlay val="0"/>
    </c:title>
    <c:autoTitleDeleted val="0"/>
    <c:plotArea>
      <c:layout>
        <c:manualLayout>
          <c:layoutTarget val="inner"/>
          <c:xMode val="edge"/>
          <c:yMode val="edge"/>
          <c:x val="0.10789515893846603"/>
          <c:y val="7.1613808690580344E-2"/>
          <c:w val="0.85358632254301547"/>
          <c:h val="0.84357502187226596"/>
        </c:manualLayout>
      </c:layout>
      <c:scatterChart>
        <c:scatterStyle val="smoothMarker"/>
        <c:varyColors val="0"/>
        <c:ser>
          <c:idx val="3"/>
          <c:order val="0"/>
          <c:tx>
            <c:v>Birth/Civil Reg Inst</c:v>
          </c:tx>
          <c:spPr>
            <a:ln>
              <a:solidFill>
                <a:srgbClr val="C00000"/>
              </a:solidFill>
            </a:ln>
          </c:spPr>
          <c:marker>
            <c:symbol val="none"/>
          </c:marker>
          <c:dLbls>
            <c:dLbl>
              <c:idx val="56"/>
              <c:layout>
                <c:manualLayout>
                  <c:x val="-4.6296296296296294E-3"/>
                  <c:y val="2.3148148148148147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a:solidFill>
                      <a:srgbClr val="0000CC"/>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'ID4D Stats'!$AO$4:$AO$60</c:f>
              <c:numCache>
                <c:formatCode>General</c:formatCode>
                <c:ptCount val="57"/>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numCache>
            </c:numRef>
          </c:xVal>
          <c:yVal>
            <c:numRef>
              <c:f>'ID4D Stats'!$AQ$4:$AQ$60</c:f>
              <c:numCache>
                <c:formatCode>General</c:formatCode>
                <c:ptCount val="57"/>
                <c:pt idx="0">
                  <c:v>135</c:v>
                </c:pt>
                <c:pt idx="1">
                  <c:v>140</c:v>
                </c:pt>
                <c:pt idx="2">
                  <c:v>142</c:v>
                </c:pt>
                <c:pt idx="3">
                  <c:v>142</c:v>
                </c:pt>
                <c:pt idx="4">
                  <c:v>143</c:v>
                </c:pt>
                <c:pt idx="5">
                  <c:v>145</c:v>
                </c:pt>
                <c:pt idx="6">
                  <c:v>146</c:v>
                </c:pt>
                <c:pt idx="7">
                  <c:v>148</c:v>
                </c:pt>
                <c:pt idx="8">
                  <c:v>149</c:v>
                </c:pt>
                <c:pt idx="9">
                  <c:v>149</c:v>
                </c:pt>
                <c:pt idx="10">
                  <c:v>150</c:v>
                </c:pt>
                <c:pt idx="11">
                  <c:v>153</c:v>
                </c:pt>
                <c:pt idx="12">
                  <c:v>153</c:v>
                </c:pt>
                <c:pt idx="13">
                  <c:v>158</c:v>
                </c:pt>
                <c:pt idx="14">
                  <c:v>159</c:v>
                </c:pt>
                <c:pt idx="15">
                  <c:v>162</c:v>
                </c:pt>
                <c:pt idx="16">
                  <c:v>163</c:v>
                </c:pt>
                <c:pt idx="17">
                  <c:v>164</c:v>
                </c:pt>
                <c:pt idx="18">
                  <c:v>164</c:v>
                </c:pt>
                <c:pt idx="19">
                  <c:v>167</c:v>
                </c:pt>
                <c:pt idx="20">
                  <c:v>168</c:v>
                </c:pt>
                <c:pt idx="21">
                  <c:v>168</c:v>
                </c:pt>
                <c:pt idx="22">
                  <c:v>169</c:v>
                </c:pt>
                <c:pt idx="23">
                  <c:v>170</c:v>
                </c:pt>
                <c:pt idx="24">
                  <c:v>170</c:v>
                </c:pt>
                <c:pt idx="25">
                  <c:v>170</c:v>
                </c:pt>
                <c:pt idx="26">
                  <c:v>171</c:v>
                </c:pt>
                <c:pt idx="27">
                  <c:v>172</c:v>
                </c:pt>
                <c:pt idx="28">
                  <c:v>174</c:v>
                </c:pt>
                <c:pt idx="29">
                  <c:v>174</c:v>
                </c:pt>
                <c:pt idx="30">
                  <c:v>176</c:v>
                </c:pt>
                <c:pt idx="31">
                  <c:v>177</c:v>
                </c:pt>
                <c:pt idx="32">
                  <c:v>181</c:v>
                </c:pt>
                <c:pt idx="33">
                  <c:v>184</c:v>
                </c:pt>
                <c:pt idx="34">
                  <c:v>184</c:v>
                </c:pt>
                <c:pt idx="35">
                  <c:v>185</c:v>
                </c:pt>
                <c:pt idx="36">
                  <c:v>185</c:v>
                </c:pt>
                <c:pt idx="37">
                  <c:v>185</c:v>
                </c:pt>
                <c:pt idx="38">
                  <c:v>185</c:v>
                </c:pt>
                <c:pt idx="39">
                  <c:v>185</c:v>
                </c:pt>
                <c:pt idx="40">
                  <c:v>187</c:v>
                </c:pt>
                <c:pt idx="41">
                  <c:v>187</c:v>
                </c:pt>
                <c:pt idx="42">
                  <c:v>190</c:v>
                </c:pt>
                <c:pt idx="43">
                  <c:v>190</c:v>
                </c:pt>
                <c:pt idx="44">
                  <c:v>191</c:v>
                </c:pt>
                <c:pt idx="45">
                  <c:v>192</c:v>
                </c:pt>
                <c:pt idx="46">
                  <c:v>192</c:v>
                </c:pt>
                <c:pt idx="47">
                  <c:v>192</c:v>
                </c:pt>
                <c:pt idx="48">
                  <c:v>193</c:v>
                </c:pt>
                <c:pt idx="49">
                  <c:v>194</c:v>
                </c:pt>
                <c:pt idx="50">
                  <c:v>195</c:v>
                </c:pt>
                <c:pt idx="51">
                  <c:v>196</c:v>
                </c:pt>
                <c:pt idx="52">
                  <c:v>198</c:v>
                </c:pt>
                <c:pt idx="53">
                  <c:v>198</c:v>
                </c:pt>
                <c:pt idx="54">
                  <c:v>198</c:v>
                </c:pt>
                <c:pt idx="55">
                  <c:v>198</c:v>
                </c:pt>
                <c:pt idx="56">
                  <c:v>198</c:v>
                </c:pt>
              </c:numCache>
            </c:numRef>
          </c:yVal>
          <c:smooth val="1"/>
        </c:ser>
        <c:ser>
          <c:idx val="2"/>
          <c:order val="1"/>
          <c:tx>
            <c:v>Civil Ident Inst/NID</c:v>
          </c:tx>
          <c:spPr>
            <a:ln>
              <a:solidFill>
                <a:srgbClr val="FFC000"/>
              </a:solidFill>
            </a:ln>
          </c:spPr>
          <c:marker>
            <c:symbol val="none"/>
          </c:marker>
          <c:dLbls>
            <c:dLbl>
              <c:idx val="56"/>
              <c:layout>
                <c:manualLayout>
                  <c:x val="-4.6296296296296294E-3"/>
                  <c:y val="-9.2592592592592587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a:solidFill>
                      <a:srgbClr val="0000CC"/>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'ID4D Stats'!$AO$4:$AO$60</c:f>
              <c:numCache>
                <c:formatCode>General</c:formatCode>
                <c:ptCount val="57"/>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numCache>
            </c:numRef>
          </c:xVal>
          <c:yVal>
            <c:numRef>
              <c:f>'ID4D Stats'!$AS$4:$AS$60</c:f>
              <c:numCache>
                <c:formatCode>General</c:formatCode>
                <c:ptCount val="57"/>
                <c:pt idx="0">
                  <c:v>16</c:v>
                </c:pt>
                <c:pt idx="1">
                  <c:v>19</c:v>
                </c:pt>
                <c:pt idx="2">
                  <c:v>20</c:v>
                </c:pt>
                <c:pt idx="3">
                  <c:v>20</c:v>
                </c:pt>
                <c:pt idx="4">
                  <c:v>21</c:v>
                </c:pt>
                <c:pt idx="5">
                  <c:v>23</c:v>
                </c:pt>
                <c:pt idx="6">
                  <c:v>23</c:v>
                </c:pt>
                <c:pt idx="7">
                  <c:v>24</c:v>
                </c:pt>
                <c:pt idx="8">
                  <c:v>27</c:v>
                </c:pt>
                <c:pt idx="9">
                  <c:v>28</c:v>
                </c:pt>
                <c:pt idx="10">
                  <c:v>30</c:v>
                </c:pt>
                <c:pt idx="11">
                  <c:v>32</c:v>
                </c:pt>
                <c:pt idx="12">
                  <c:v>33</c:v>
                </c:pt>
                <c:pt idx="13">
                  <c:v>35</c:v>
                </c:pt>
                <c:pt idx="14">
                  <c:v>37</c:v>
                </c:pt>
                <c:pt idx="15">
                  <c:v>39</c:v>
                </c:pt>
                <c:pt idx="16">
                  <c:v>40</c:v>
                </c:pt>
                <c:pt idx="17">
                  <c:v>40</c:v>
                </c:pt>
                <c:pt idx="18">
                  <c:v>40</c:v>
                </c:pt>
                <c:pt idx="19">
                  <c:v>43</c:v>
                </c:pt>
                <c:pt idx="20">
                  <c:v>46</c:v>
                </c:pt>
                <c:pt idx="21">
                  <c:v>47</c:v>
                </c:pt>
                <c:pt idx="22">
                  <c:v>49</c:v>
                </c:pt>
                <c:pt idx="23">
                  <c:v>51</c:v>
                </c:pt>
                <c:pt idx="24">
                  <c:v>55</c:v>
                </c:pt>
                <c:pt idx="25">
                  <c:v>56</c:v>
                </c:pt>
                <c:pt idx="26">
                  <c:v>57</c:v>
                </c:pt>
                <c:pt idx="27">
                  <c:v>58</c:v>
                </c:pt>
                <c:pt idx="28">
                  <c:v>58</c:v>
                </c:pt>
                <c:pt idx="29">
                  <c:v>61</c:v>
                </c:pt>
                <c:pt idx="30">
                  <c:v>62</c:v>
                </c:pt>
                <c:pt idx="31">
                  <c:v>63</c:v>
                </c:pt>
                <c:pt idx="32">
                  <c:v>65</c:v>
                </c:pt>
                <c:pt idx="33">
                  <c:v>67</c:v>
                </c:pt>
                <c:pt idx="34">
                  <c:v>71</c:v>
                </c:pt>
                <c:pt idx="35">
                  <c:v>74</c:v>
                </c:pt>
                <c:pt idx="36">
                  <c:v>77</c:v>
                </c:pt>
                <c:pt idx="37">
                  <c:v>81</c:v>
                </c:pt>
                <c:pt idx="38">
                  <c:v>82</c:v>
                </c:pt>
                <c:pt idx="39">
                  <c:v>91</c:v>
                </c:pt>
                <c:pt idx="40">
                  <c:v>94</c:v>
                </c:pt>
                <c:pt idx="41">
                  <c:v>103</c:v>
                </c:pt>
                <c:pt idx="42">
                  <c:v>105</c:v>
                </c:pt>
                <c:pt idx="43">
                  <c:v>110</c:v>
                </c:pt>
                <c:pt idx="44">
                  <c:v>114</c:v>
                </c:pt>
                <c:pt idx="45">
                  <c:v>120</c:v>
                </c:pt>
                <c:pt idx="46">
                  <c:v>124</c:v>
                </c:pt>
                <c:pt idx="47">
                  <c:v>129</c:v>
                </c:pt>
                <c:pt idx="48">
                  <c:v>136</c:v>
                </c:pt>
                <c:pt idx="49">
                  <c:v>147</c:v>
                </c:pt>
                <c:pt idx="50">
                  <c:v>153</c:v>
                </c:pt>
                <c:pt idx="51">
                  <c:v>163</c:v>
                </c:pt>
                <c:pt idx="52">
                  <c:v>167</c:v>
                </c:pt>
                <c:pt idx="53">
                  <c:v>173</c:v>
                </c:pt>
                <c:pt idx="54">
                  <c:v>181</c:v>
                </c:pt>
                <c:pt idx="55">
                  <c:v>181</c:v>
                </c:pt>
                <c:pt idx="56">
                  <c:v>182</c:v>
                </c:pt>
              </c:numCache>
            </c:numRef>
          </c:yVal>
          <c:smooth val="1"/>
        </c:ser>
        <c:ser>
          <c:idx val="5"/>
          <c:order val="2"/>
          <c:tx>
            <c:v>Bus Reg Inst</c:v>
          </c:tx>
          <c:spPr>
            <a:ln>
              <a:solidFill>
                <a:srgbClr val="9966FF"/>
              </a:solidFill>
              <a:prstDash val="solid"/>
            </a:ln>
          </c:spPr>
          <c:marker>
            <c:symbol val="none"/>
          </c:marker>
          <c:dLbls>
            <c:dLbl>
              <c:idx val="56"/>
              <c:layout>
                <c:manualLayout>
                  <c:x val="-4.6296296296296294E-3"/>
                  <c:y val="1.388888888888888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a:solidFill>
                      <a:srgbClr val="0000CC"/>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'ID4D Stats'!$AO$4:$AO$60</c:f>
              <c:numCache>
                <c:formatCode>General</c:formatCode>
                <c:ptCount val="57"/>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numCache>
            </c:numRef>
          </c:xVal>
          <c:yVal>
            <c:numRef>
              <c:f>'ID4D Stats'!$AW$4:$AW$60</c:f>
              <c:numCache>
                <c:formatCode>General</c:formatCode>
                <c:ptCount val="57"/>
                <c:pt idx="0">
                  <c:v>3</c:v>
                </c:pt>
                <c:pt idx="1">
                  <c:v>3</c:v>
                </c:pt>
                <c:pt idx="2">
                  <c:v>3</c:v>
                </c:pt>
                <c:pt idx="3">
                  <c:v>3</c:v>
                </c:pt>
                <c:pt idx="4">
                  <c:v>4</c:v>
                </c:pt>
                <c:pt idx="5">
                  <c:v>4</c:v>
                </c:pt>
                <c:pt idx="6">
                  <c:v>4</c:v>
                </c:pt>
                <c:pt idx="7">
                  <c:v>5</c:v>
                </c:pt>
                <c:pt idx="8">
                  <c:v>5</c:v>
                </c:pt>
                <c:pt idx="9">
                  <c:v>6</c:v>
                </c:pt>
                <c:pt idx="10">
                  <c:v>6</c:v>
                </c:pt>
                <c:pt idx="11">
                  <c:v>7</c:v>
                </c:pt>
                <c:pt idx="12">
                  <c:v>8</c:v>
                </c:pt>
                <c:pt idx="13">
                  <c:v>8</c:v>
                </c:pt>
                <c:pt idx="14">
                  <c:v>8</c:v>
                </c:pt>
                <c:pt idx="15">
                  <c:v>8</c:v>
                </c:pt>
                <c:pt idx="16">
                  <c:v>8</c:v>
                </c:pt>
                <c:pt idx="17">
                  <c:v>9</c:v>
                </c:pt>
                <c:pt idx="18">
                  <c:v>9</c:v>
                </c:pt>
                <c:pt idx="19">
                  <c:v>10</c:v>
                </c:pt>
                <c:pt idx="20">
                  <c:v>10</c:v>
                </c:pt>
                <c:pt idx="21">
                  <c:v>10</c:v>
                </c:pt>
                <c:pt idx="22">
                  <c:v>10</c:v>
                </c:pt>
                <c:pt idx="23">
                  <c:v>10</c:v>
                </c:pt>
                <c:pt idx="24">
                  <c:v>10</c:v>
                </c:pt>
                <c:pt idx="25">
                  <c:v>10</c:v>
                </c:pt>
                <c:pt idx="26">
                  <c:v>11</c:v>
                </c:pt>
                <c:pt idx="27">
                  <c:v>11</c:v>
                </c:pt>
                <c:pt idx="28">
                  <c:v>12</c:v>
                </c:pt>
                <c:pt idx="29">
                  <c:v>15</c:v>
                </c:pt>
                <c:pt idx="30">
                  <c:v>16</c:v>
                </c:pt>
                <c:pt idx="31">
                  <c:v>18</c:v>
                </c:pt>
                <c:pt idx="32">
                  <c:v>22</c:v>
                </c:pt>
                <c:pt idx="33">
                  <c:v>24</c:v>
                </c:pt>
                <c:pt idx="34">
                  <c:v>30</c:v>
                </c:pt>
                <c:pt idx="35">
                  <c:v>35</c:v>
                </c:pt>
                <c:pt idx="36">
                  <c:v>37</c:v>
                </c:pt>
                <c:pt idx="37">
                  <c:v>40</c:v>
                </c:pt>
                <c:pt idx="38">
                  <c:v>40</c:v>
                </c:pt>
                <c:pt idx="39">
                  <c:v>44</c:v>
                </c:pt>
                <c:pt idx="40">
                  <c:v>53</c:v>
                </c:pt>
                <c:pt idx="41">
                  <c:v>59</c:v>
                </c:pt>
                <c:pt idx="42">
                  <c:v>68</c:v>
                </c:pt>
                <c:pt idx="43">
                  <c:v>74</c:v>
                </c:pt>
                <c:pt idx="44">
                  <c:v>83</c:v>
                </c:pt>
                <c:pt idx="45">
                  <c:v>93</c:v>
                </c:pt>
                <c:pt idx="46">
                  <c:v>100</c:v>
                </c:pt>
                <c:pt idx="47">
                  <c:v>112</c:v>
                </c:pt>
                <c:pt idx="48">
                  <c:v>126</c:v>
                </c:pt>
                <c:pt idx="49">
                  <c:v>134</c:v>
                </c:pt>
                <c:pt idx="50">
                  <c:v>147</c:v>
                </c:pt>
                <c:pt idx="51">
                  <c:v>158</c:v>
                </c:pt>
                <c:pt idx="52">
                  <c:v>177</c:v>
                </c:pt>
                <c:pt idx="53">
                  <c:v>188</c:v>
                </c:pt>
                <c:pt idx="54">
                  <c:v>194</c:v>
                </c:pt>
                <c:pt idx="55">
                  <c:v>195</c:v>
                </c:pt>
                <c:pt idx="56">
                  <c:v>196</c:v>
                </c:pt>
              </c:numCache>
            </c:numRef>
          </c:yVal>
          <c:smooth val="1"/>
        </c:ser>
        <c:ser>
          <c:idx val="0"/>
          <c:order val="3"/>
          <c:tx>
            <c:v>Business ID</c:v>
          </c:tx>
          <c:spPr>
            <a:ln>
              <a:solidFill>
                <a:schemeClr val="accent3">
                  <a:lumMod val="60000"/>
                  <a:lumOff val="40000"/>
                </a:schemeClr>
              </a:solidFill>
              <a:prstDash val="solid"/>
            </a:ln>
          </c:spPr>
          <c:marker>
            <c:symbol val="none"/>
          </c:marker>
          <c:dLbls>
            <c:dLbl>
              <c:idx val="56"/>
              <c:layout>
                <c:manualLayout>
                  <c:x val="-9.2592592592592587E-3"/>
                  <c:y val="1.8004115226337449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a:solidFill>
                      <a:srgbClr val="0000CC"/>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'ID4D Stats'!$AO$4:$AO$60</c:f>
              <c:numCache>
                <c:formatCode>General</c:formatCode>
                <c:ptCount val="57"/>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numCache>
            </c:numRef>
          </c:xVal>
          <c:yVal>
            <c:numRef>
              <c:f>'ID4D Stats'!$AY$4:$AY$60</c:f>
              <c:numCache>
                <c:formatCode>General</c:formatCode>
                <c:ptCount val="57"/>
                <c:pt idx="0">
                  <c:v>10</c:v>
                </c:pt>
                <c:pt idx="1">
                  <c:v>10</c:v>
                </c:pt>
                <c:pt idx="2">
                  <c:v>10</c:v>
                </c:pt>
                <c:pt idx="3">
                  <c:v>10</c:v>
                </c:pt>
                <c:pt idx="4">
                  <c:v>10</c:v>
                </c:pt>
                <c:pt idx="5">
                  <c:v>11</c:v>
                </c:pt>
                <c:pt idx="6">
                  <c:v>11</c:v>
                </c:pt>
                <c:pt idx="7">
                  <c:v>11</c:v>
                </c:pt>
                <c:pt idx="8">
                  <c:v>12</c:v>
                </c:pt>
                <c:pt idx="9">
                  <c:v>12</c:v>
                </c:pt>
                <c:pt idx="10">
                  <c:v>12</c:v>
                </c:pt>
                <c:pt idx="11">
                  <c:v>13</c:v>
                </c:pt>
                <c:pt idx="12">
                  <c:v>13</c:v>
                </c:pt>
                <c:pt idx="13">
                  <c:v>14</c:v>
                </c:pt>
                <c:pt idx="14">
                  <c:v>16</c:v>
                </c:pt>
                <c:pt idx="15">
                  <c:v>17</c:v>
                </c:pt>
                <c:pt idx="16">
                  <c:v>19</c:v>
                </c:pt>
                <c:pt idx="17">
                  <c:v>21</c:v>
                </c:pt>
                <c:pt idx="18">
                  <c:v>21</c:v>
                </c:pt>
                <c:pt idx="19">
                  <c:v>22</c:v>
                </c:pt>
                <c:pt idx="20">
                  <c:v>22</c:v>
                </c:pt>
                <c:pt idx="21">
                  <c:v>23</c:v>
                </c:pt>
                <c:pt idx="22">
                  <c:v>24</c:v>
                </c:pt>
                <c:pt idx="23">
                  <c:v>24</c:v>
                </c:pt>
                <c:pt idx="24">
                  <c:v>24</c:v>
                </c:pt>
                <c:pt idx="25">
                  <c:v>25</c:v>
                </c:pt>
                <c:pt idx="26">
                  <c:v>25</c:v>
                </c:pt>
                <c:pt idx="27">
                  <c:v>26</c:v>
                </c:pt>
                <c:pt idx="28">
                  <c:v>28</c:v>
                </c:pt>
                <c:pt idx="29">
                  <c:v>28</c:v>
                </c:pt>
                <c:pt idx="30">
                  <c:v>29</c:v>
                </c:pt>
                <c:pt idx="31">
                  <c:v>31</c:v>
                </c:pt>
                <c:pt idx="32">
                  <c:v>32</c:v>
                </c:pt>
                <c:pt idx="33">
                  <c:v>36</c:v>
                </c:pt>
                <c:pt idx="34">
                  <c:v>38</c:v>
                </c:pt>
                <c:pt idx="35">
                  <c:v>40</c:v>
                </c:pt>
                <c:pt idx="36">
                  <c:v>44</c:v>
                </c:pt>
                <c:pt idx="37">
                  <c:v>46</c:v>
                </c:pt>
                <c:pt idx="38">
                  <c:v>48</c:v>
                </c:pt>
                <c:pt idx="39">
                  <c:v>48</c:v>
                </c:pt>
                <c:pt idx="40">
                  <c:v>56</c:v>
                </c:pt>
                <c:pt idx="41">
                  <c:v>58</c:v>
                </c:pt>
                <c:pt idx="42">
                  <c:v>63</c:v>
                </c:pt>
                <c:pt idx="43">
                  <c:v>67</c:v>
                </c:pt>
                <c:pt idx="44">
                  <c:v>72</c:v>
                </c:pt>
                <c:pt idx="45">
                  <c:v>79</c:v>
                </c:pt>
                <c:pt idx="46">
                  <c:v>88</c:v>
                </c:pt>
                <c:pt idx="47">
                  <c:v>95</c:v>
                </c:pt>
                <c:pt idx="48">
                  <c:v>110</c:v>
                </c:pt>
                <c:pt idx="49">
                  <c:v>114</c:v>
                </c:pt>
                <c:pt idx="50">
                  <c:v>118</c:v>
                </c:pt>
                <c:pt idx="51">
                  <c:v>124</c:v>
                </c:pt>
                <c:pt idx="52">
                  <c:v>133</c:v>
                </c:pt>
                <c:pt idx="53">
                  <c:v>143</c:v>
                </c:pt>
                <c:pt idx="54">
                  <c:v>144</c:v>
                </c:pt>
                <c:pt idx="55">
                  <c:v>144</c:v>
                </c:pt>
                <c:pt idx="56">
                  <c:v>145</c:v>
                </c:pt>
              </c:numCache>
            </c:numRef>
          </c:yVal>
          <c:smooth val="1"/>
        </c:ser>
        <c:ser>
          <c:idx val="4"/>
          <c:order val="4"/>
          <c:tx>
            <c:v>Unique BI</c:v>
          </c:tx>
          <c:spPr>
            <a:ln>
              <a:solidFill>
                <a:srgbClr val="FF0000"/>
              </a:solidFill>
            </a:ln>
          </c:spPr>
          <c:marker>
            <c:symbol val="none"/>
          </c:marker>
          <c:dLbls>
            <c:dLbl>
              <c:idx val="56"/>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a:solidFill>
                      <a:srgbClr val="0000CC"/>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'ID4D Stats'!$AO$4:$AO$60</c:f>
              <c:numCache>
                <c:formatCode>General</c:formatCode>
                <c:ptCount val="57"/>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numCache>
            </c:numRef>
          </c:xVal>
          <c:yVal>
            <c:numRef>
              <c:f>'ID4D Stats'!$BA$4:$BA$60</c:f>
              <c:numCache>
                <c:formatCode>General</c:formatCode>
                <c:ptCount val="57"/>
                <c:pt idx="0">
                  <c:v>2</c:v>
                </c:pt>
                <c:pt idx="1">
                  <c:v>2</c:v>
                </c:pt>
                <c:pt idx="2">
                  <c:v>2</c:v>
                </c:pt>
                <c:pt idx="3">
                  <c:v>2</c:v>
                </c:pt>
                <c:pt idx="4">
                  <c:v>2</c:v>
                </c:pt>
                <c:pt idx="5">
                  <c:v>2</c:v>
                </c:pt>
                <c:pt idx="6">
                  <c:v>2</c:v>
                </c:pt>
                <c:pt idx="7">
                  <c:v>2</c:v>
                </c:pt>
                <c:pt idx="8">
                  <c:v>2</c:v>
                </c:pt>
                <c:pt idx="9">
                  <c:v>2</c:v>
                </c:pt>
                <c:pt idx="10">
                  <c:v>2</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4</c:v>
                </c:pt>
                <c:pt idx="27">
                  <c:v>4</c:v>
                </c:pt>
                <c:pt idx="28">
                  <c:v>5</c:v>
                </c:pt>
                <c:pt idx="29">
                  <c:v>6</c:v>
                </c:pt>
                <c:pt idx="30">
                  <c:v>7</c:v>
                </c:pt>
                <c:pt idx="31">
                  <c:v>7</c:v>
                </c:pt>
                <c:pt idx="32">
                  <c:v>7</c:v>
                </c:pt>
                <c:pt idx="33">
                  <c:v>7</c:v>
                </c:pt>
                <c:pt idx="34">
                  <c:v>8</c:v>
                </c:pt>
                <c:pt idx="35">
                  <c:v>11</c:v>
                </c:pt>
                <c:pt idx="36">
                  <c:v>13</c:v>
                </c:pt>
                <c:pt idx="37">
                  <c:v>14</c:v>
                </c:pt>
                <c:pt idx="38">
                  <c:v>14</c:v>
                </c:pt>
                <c:pt idx="39">
                  <c:v>15</c:v>
                </c:pt>
                <c:pt idx="40">
                  <c:v>16</c:v>
                </c:pt>
                <c:pt idx="41">
                  <c:v>17</c:v>
                </c:pt>
                <c:pt idx="42">
                  <c:v>20</c:v>
                </c:pt>
                <c:pt idx="43">
                  <c:v>21</c:v>
                </c:pt>
                <c:pt idx="44">
                  <c:v>23</c:v>
                </c:pt>
                <c:pt idx="45">
                  <c:v>25</c:v>
                </c:pt>
                <c:pt idx="46">
                  <c:v>27</c:v>
                </c:pt>
                <c:pt idx="47">
                  <c:v>31</c:v>
                </c:pt>
                <c:pt idx="48">
                  <c:v>34</c:v>
                </c:pt>
                <c:pt idx="49">
                  <c:v>35</c:v>
                </c:pt>
                <c:pt idx="50">
                  <c:v>37</c:v>
                </c:pt>
                <c:pt idx="51">
                  <c:v>41</c:v>
                </c:pt>
                <c:pt idx="52">
                  <c:v>46</c:v>
                </c:pt>
                <c:pt idx="53">
                  <c:v>51</c:v>
                </c:pt>
                <c:pt idx="54">
                  <c:v>53</c:v>
                </c:pt>
                <c:pt idx="55">
                  <c:v>53</c:v>
                </c:pt>
                <c:pt idx="56">
                  <c:v>53</c:v>
                </c:pt>
              </c:numCache>
            </c:numRef>
          </c:yVal>
          <c:smooth val="1"/>
        </c:ser>
        <c:ser>
          <c:idx val="1"/>
          <c:order val="5"/>
          <c:tx>
            <c:v>e-ID</c:v>
          </c:tx>
          <c:spPr>
            <a:ln>
              <a:solidFill>
                <a:srgbClr val="0000CC"/>
              </a:solidFill>
            </a:ln>
          </c:spPr>
          <c:marker>
            <c:symbol val="none"/>
          </c:marker>
          <c:dLbls>
            <c:dLbl>
              <c:idx val="56"/>
              <c:layout>
                <c:manualLayout>
                  <c:x val="-9.5164609053497943E-3"/>
                  <c:y val="-1.2860082304526749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a:solidFill>
                      <a:srgbClr val="0000CC"/>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'ID4D Stats'!$AO$4:$AO$60</c:f>
              <c:numCache>
                <c:formatCode>General</c:formatCode>
                <c:ptCount val="57"/>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numCache>
            </c:numRef>
          </c:xVal>
          <c:yVal>
            <c:numRef>
              <c:f>'ID4D Stats'!$AU$4:$AU$60</c:f>
              <c:numCache>
                <c:formatCode>General</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1</c:v>
                </c:pt>
                <c:pt idx="39">
                  <c:v>2</c:v>
                </c:pt>
                <c:pt idx="40">
                  <c:v>3</c:v>
                </c:pt>
                <c:pt idx="41">
                  <c:v>10</c:v>
                </c:pt>
                <c:pt idx="42">
                  <c:v>13</c:v>
                </c:pt>
                <c:pt idx="43">
                  <c:v>18</c:v>
                </c:pt>
                <c:pt idx="44">
                  <c:v>22</c:v>
                </c:pt>
                <c:pt idx="45">
                  <c:v>27</c:v>
                </c:pt>
                <c:pt idx="46">
                  <c:v>31</c:v>
                </c:pt>
                <c:pt idx="47">
                  <c:v>33</c:v>
                </c:pt>
                <c:pt idx="48">
                  <c:v>38</c:v>
                </c:pt>
                <c:pt idx="49">
                  <c:v>49</c:v>
                </c:pt>
                <c:pt idx="50">
                  <c:v>62</c:v>
                </c:pt>
                <c:pt idx="51">
                  <c:v>70</c:v>
                </c:pt>
                <c:pt idx="52">
                  <c:v>85</c:v>
                </c:pt>
                <c:pt idx="53">
                  <c:v>100</c:v>
                </c:pt>
                <c:pt idx="54">
                  <c:v>113</c:v>
                </c:pt>
                <c:pt idx="55">
                  <c:v>135</c:v>
                </c:pt>
                <c:pt idx="56">
                  <c:v>148</c:v>
                </c:pt>
              </c:numCache>
            </c:numRef>
          </c:yVal>
          <c:smooth val="1"/>
        </c:ser>
        <c:ser>
          <c:idx val="6"/>
          <c:order val="6"/>
          <c:tx>
            <c:v>e-Passport</c:v>
          </c:tx>
          <c:marker>
            <c:symbol val="none"/>
          </c:marker>
          <c:dLbls>
            <c:dLbl>
              <c:idx val="56"/>
              <c:layout>
                <c:manualLayout>
                  <c:x val="-1.0288134839994667E-2"/>
                  <c:y val="-2.0576131687242798E-2"/>
                </c:manualLayout>
              </c:layout>
              <c:spPr/>
              <c:txPr>
                <a:bodyPr/>
                <a:lstStyle/>
                <a:p>
                  <a:pPr>
                    <a:defRPr>
                      <a:solidFill>
                        <a:srgbClr val="0000CC"/>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'ID4D Stats'!$AO$4:$AO$60</c:f>
              <c:numCache>
                <c:formatCode>General</c:formatCode>
                <c:ptCount val="57"/>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numCache>
            </c:numRef>
          </c:xVal>
          <c:yVal>
            <c:numRef>
              <c:f>'ID4D Stats'!$BC$4:$BC$60</c:f>
              <c:numCache>
                <c:formatCode>General</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3</c:v>
                </c:pt>
                <c:pt idx="45">
                  <c:v>10</c:v>
                </c:pt>
                <c:pt idx="46">
                  <c:v>36</c:v>
                </c:pt>
                <c:pt idx="47">
                  <c:v>46</c:v>
                </c:pt>
                <c:pt idx="48">
                  <c:v>59</c:v>
                </c:pt>
                <c:pt idx="49">
                  <c:v>71</c:v>
                </c:pt>
                <c:pt idx="50">
                  <c:v>87</c:v>
                </c:pt>
                <c:pt idx="51">
                  <c:v>93</c:v>
                </c:pt>
                <c:pt idx="52">
                  <c:v>100</c:v>
                </c:pt>
                <c:pt idx="53">
                  <c:v>107</c:v>
                </c:pt>
                <c:pt idx="54">
                  <c:v>117</c:v>
                </c:pt>
                <c:pt idx="55">
                  <c:v>119</c:v>
                </c:pt>
                <c:pt idx="56">
                  <c:v>119</c:v>
                </c:pt>
              </c:numCache>
            </c:numRef>
          </c:yVal>
          <c:smooth val="1"/>
        </c:ser>
        <c:ser>
          <c:idx val="7"/>
          <c:order val="7"/>
          <c:tx>
            <c:v>Data Prot Laws</c:v>
          </c:tx>
          <c:spPr>
            <a:ln>
              <a:solidFill>
                <a:srgbClr val="FFCC66"/>
              </a:solidFill>
            </a:ln>
          </c:spPr>
          <c:marker>
            <c:symbol val="none"/>
          </c:marker>
          <c:dLbls>
            <c:dLbl>
              <c:idx val="56"/>
              <c:layout>
                <c:manualLayout>
                  <c:x val="-1.0294598885760111E-2"/>
                  <c:y val="2.0576131687242798E-2"/>
                </c:manualLayout>
              </c:layout>
              <c:spPr>
                <a:noFill/>
                <a:ln>
                  <a:noFill/>
                </a:ln>
                <a:effectLst/>
              </c:spPr>
              <c:txPr>
                <a:bodyPr wrap="square" lIns="38100" tIns="19050" rIns="38100" bIns="19050" anchor="ctr">
                  <a:spAutoFit/>
                </a:bodyPr>
                <a:lstStyle/>
                <a:p>
                  <a:pPr>
                    <a:defRPr>
                      <a:solidFill>
                        <a:srgbClr val="0000CC"/>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'ID4D Stats'!$AO$4:$AO$60</c:f>
              <c:numCache>
                <c:formatCode>General</c:formatCode>
                <c:ptCount val="57"/>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numCache>
            </c:numRef>
          </c:xVal>
          <c:yVal>
            <c:numRef>
              <c:f>'ID4D Stats'!$BE$4:$BE$60</c:f>
              <c:numCache>
                <c:formatCode>General</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2</c:v>
                </c:pt>
                <c:pt idx="15">
                  <c:v>2</c:v>
                </c:pt>
                <c:pt idx="16">
                  <c:v>2</c:v>
                </c:pt>
                <c:pt idx="17">
                  <c:v>3</c:v>
                </c:pt>
                <c:pt idx="18">
                  <c:v>7</c:v>
                </c:pt>
                <c:pt idx="19">
                  <c:v>8</c:v>
                </c:pt>
                <c:pt idx="20">
                  <c:v>8</c:v>
                </c:pt>
                <c:pt idx="21">
                  <c:v>9</c:v>
                </c:pt>
                <c:pt idx="22">
                  <c:v>10</c:v>
                </c:pt>
                <c:pt idx="23">
                  <c:v>12</c:v>
                </c:pt>
                <c:pt idx="24">
                  <c:v>13</c:v>
                </c:pt>
                <c:pt idx="25">
                  <c:v>13</c:v>
                </c:pt>
                <c:pt idx="26">
                  <c:v>13</c:v>
                </c:pt>
                <c:pt idx="27">
                  <c:v>14</c:v>
                </c:pt>
                <c:pt idx="28">
                  <c:v>17</c:v>
                </c:pt>
                <c:pt idx="29">
                  <c:v>18</c:v>
                </c:pt>
                <c:pt idx="30">
                  <c:v>19</c:v>
                </c:pt>
                <c:pt idx="31">
                  <c:v>20</c:v>
                </c:pt>
                <c:pt idx="32">
                  <c:v>26</c:v>
                </c:pt>
                <c:pt idx="33">
                  <c:v>28</c:v>
                </c:pt>
                <c:pt idx="34">
                  <c:v>29</c:v>
                </c:pt>
                <c:pt idx="35">
                  <c:v>31</c:v>
                </c:pt>
                <c:pt idx="36">
                  <c:v>34</c:v>
                </c:pt>
                <c:pt idx="37">
                  <c:v>37</c:v>
                </c:pt>
                <c:pt idx="38">
                  <c:v>38</c:v>
                </c:pt>
                <c:pt idx="39">
                  <c:v>40</c:v>
                </c:pt>
                <c:pt idx="40">
                  <c:v>43</c:v>
                </c:pt>
                <c:pt idx="41">
                  <c:v>48</c:v>
                </c:pt>
                <c:pt idx="42">
                  <c:v>53</c:v>
                </c:pt>
                <c:pt idx="43">
                  <c:v>61</c:v>
                </c:pt>
                <c:pt idx="44">
                  <c:v>64</c:v>
                </c:pt>
                <c:pt idx="45">
                  <c:v>67</c:v>
                </c:pt>
                <c:pt idx="46">
                  <c:v>69</c:v>
                </c:pt>
                <c:pt idx="47">
                  <c:v>72</c:v>
                </c:pt>
                <c:pt idx="48">
                  <c:v>78</c:v>
                </c:pt>
                <c:pt idx="49">
                  <c:v>81</c:v>
                </c:pt>
                <c:pt idx="50">
                  <c:v>87</c:v>
                </c:pt>
                <c:pt idx="51">
                  <c:v>98</c:v>
                </c:pt>
                <c:pt idx="52">
                  <c:v>108</c:v>
                </c:pt>
                <c:pt idx="53">
                  <c:v>113</c:v>
                </c:pt>
                <c:pt idx="54">
                  <c:v>115</c:v>
                </c:pt>
                <c:pt idx="55">
                  <c:v>115</c:v>
                </c:pt>
                <c:pt idx="56">
                  <c:v>115</c:v>
                </c:pt>
              </c:numCache>
            </c:numRef>
          </c:yVal>
          <c:smooth val="1"/>
        </c:ser>
        <c:ser>
          <c:idx val="8"/>
          <c:order val="8"/>
          <c:tx>
            <c:v>Right to Info Laws</c:v>
          </c:tx>
          <c:spPr>
            <a:ln>
              <a:solidFill>
                <a:schemeClr val="accent3">
                  <a:lumMod val="75000"/>
                </a:schemeClr>
              </a:solidFill>
            </a:ln>
          </c:spPr>
          <c:marker>
            <c:symbol val="none"/>
          </c:marker>
          <c:dLbls>
            <c:dLbl>
              <c:idx val="56"/>
              <c:layout>
                <c:manualLayout>
                  <c:x val="-1.0261672652642381E-2"/>
                  <c:y val="1.2860082304526749E-2"/>
                </c:manualLayout>
              </c:layout>
              <c:spPr>
                <a:noFill/>
                <a:ln>
                  <a:noFill/>
                </a:ln>
                <a:effectLst/>
              </c:spPr>
              <c:txPr>
                <a:bodyPr wrap="square" lIns="38100" tIns="19050" rIns="38100" bIns="19050" anchor="ctr">
                  <a:spAutoFit/>
                </a:bodyPr>
                <a:lstStyle/>
                <a:p>
                  <a:pPr>
                    <a:defRPr>
                      <a:solidFill>
                        <a:srgbClr val="0000CC"/>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'ID4D Stats'!$AO$4:$AO$60</c:f>
              <c:numCache>
                <c:formatCode>General</c:formatCode>
                <c:ptCount val="57"/>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numCache>
            </c:numRef>
          </c:xVal>
          <c:yVal>
            <c:numRef>
              <c:f>'ID4D Stats'!$BG$4:$BG$60</c:f>
              <c:numCache>
                <c:formatCode>General</c:formatCode>
                <c:ptCount val="57"/>
                <c:pt idx="0">
                  <c:v>5</c:v>
                </c:pt>
                <c:pt idx="1">
                  <c:v>5</c:v>
                </c:pt>
                <c:pt idx="2">
                  <c:v>5</c:v>
                </c:pt>
                <c:pt idx="3">
                  <c:v>6</c:v>
                </c:pt>
                <c:pt idx="4">
                  <c:v>7</c:v>
                </c:pt>
                <c:pt idx="5">
                  <c:v>7</c:v>
                </c:pt>
                <c:pt idx="6">
                  <c:v>10</c:v>
                </c:pt>
                <c:pt idx="7">
                  <c:v>10</c:v>
                </c:pt>
                <c:pt idx="8">
                  <c:v>10</c:v>
                </c:pt>
                <c:pt idx="9">
                  <c:v>10</c:v>
                </c:pt>
                <c:pt idx="10">
                  <c:v>13</c:v>
                </c:pt>
                <c:pt idx="11">
                  <c:v>13</c:v>
                </c:pt>
                <c:pt idx="12">
                  <c:v>13</c:v>
                </c:pt>
                <c:pt idx="13">
                  <c:v>13</c:v>
                </c:pt>
                <c:pt idx="14">
                  <c:v>13</c:v>
                </c:pt>
                <c:pt idx="15">
                  <c:v>13</c:v>
                </c:pt>
                <c:pt idx="16">
                  <c:v>13</c:v>
                </c:pt>
                <c:pt idx="17">
                  <c:v>13</c:v>
                </c:pt>
                <c:pt idx="18">
                  <c:v>16</c:v>
                </c:pt>
                <c:pt idx="19">
                  <c:v>17</c:v>
                </c:pt>
                <c:pt idx="20">
                  <c:v>17</c:v>
                </c:pt>
                <c:pt idx="21">
                  <c:v>17</c:v>
                </c:pt>
                <c:pt idx="22">
                  <c:v>19</c:v>
                </c:pt>
                <c:pt idx="23">
                  <c:v>20</c:v>
                </c:pt>
                <c:pt idx="24">
                  <c:v>21</c:v>
                </c:pt>
                <c:pt idx="25">
                  <c:v>22</c:v>
                </c:pt>
                <c:pt idx="26">
                  <c:v>23</c:v>
                </c:pt>
                <c:pt idx="27">
                  <c:v>24</c:v>
                </c:pt>
                <c:pt idx="28">
                  <c:v>24</c:v>
                </c:pt>
                <c:pt idx="29">
                  <c:v>24</c:v>
                </c:pt>
                <c:pt idx="30">
                  <c:v>25</c:v>
                </c:pt>
                <c:pt idx="31">
                  <c:v>25</c:v>
                </c:pt>
                <c:pt idx="32">
                  <c:v>26</c:v>
                </c:pt>
                <c:pt idx="33">
                  <c:v>27</c:v>
                </c:pt>
                <c:pt idx="34">
                  <c:v>29</c:v>
                </c:pt>
                <c:pt idx="35">
                  <c:v>29</c:v>
                </c:pt>
                <c:pt idx="36">
                  <c:v>32</c:v>
                </c:pt>
                <c:pt idx="37">
                  <c:v>35</c:v>
                </c:pt>
                <c:pt idx="38">
                  <c:v>37</c:v>
                </c:pt>
                <c:pt idx="39">
                  <c:v>43</c:v>
                </c:pt>
                <c:pt idx="40">
                  <c:v>50</c:v>
                </c:pt>
                <c:pt idx="41">
                  <c:v>52</c:v>
                </c:pt>
                <c:pt idx="42">
                  <c:v>60</c:v>
                </c:pt>
                <c:pt idx="43">
                  <c:v>68</c:v>
                </c:pt>
                <c:pt idx="44">
                  <c:v>74</c:v>
                </c:pt>
                <c:pt idx="45">
                  <c:v>80</c:v>
                </c:pt>
                <c:pt idx="46">
                  <c:v>83</c:v>
                </c:pt>
                <c:pt idx="47">
                  <c:v>88</c:v>
                </c:pt>
                <c:pt idx="48">
                  <c:v>97</c:v>
                </c:pt>
                <c:pt idx="49">
                  <c:v>98</c:v>
                </c:pt>
                <c:pt idx="50">
                  <c:v>100</c:v>
                </c:pt>
                <c:pt idx="51">
                  <c:v>107</c:v>
                </c:pt>
                <c:pt idx="52">
                  <c:v>110</c:v>
                </c:pt>
                <c:pt idx="53">
                  <c:v>116</c:v>
                </c:pt>
                <c:pt idx="54">
                  <c:v>120</c:v>
                </c:pt>
                <c:pt idx="55">
                  <c:v>120</c:v>
                </c:pt>
                <c:pt idx="56">
                  <c:v>120</c:v>
                </c:pt>
              </c:numCache>
            </c:numRef>
          </c:yVal>
          <c:smooth val="1"/>
        </c:ser>
        <c:dLbls>
          <c:showLegendKey val="0"/>
          <c:showVal val="0"/>
          <c:showCatName val="0"/>
          <c:showSerName val="0"/>
          <c:showPercent val="0"/>
          <c:showBubbleSize val="0"/>
        </c:dLbls>
        <c:axId val="426834256"/>
        <c:axId val="426834648"/>
      </c:scatterChart>
      <c:valAx>
        <c:axId val="426834256"/>
        <c:scaling>
          <c:orientation val="minMax"/>
          <c:max val="2020"/>
          <c:min val="1960"/>
        </c:scaling>
        <c:delete val="0"/>
        <c:axPos val="b"/>
        <c:majorGridlines>
          <c:spPr>
            <a:ln>
              <a:solidFill>
                <a:schemeClr val="accent1"/>
              </a:solidFill>
              <a:prstDash val="sysDot"/>
            </a:ln>
          </c:spPr>
        </c:majorGridlines>
        <c:title>
          <c:tx>
            <c:rich>
              <a:bodyPr/>
              <a:lstStyle/>
              <a:p>
                <a:pPr>
                  <a:defRPr sz="1000" b="0">
                    <a:solidFill>
                      <a:srgbClr val="0000CC"/>
                    </a:solidFill>
                  </a:defRPr>
                </a:pPr>
                <a:r>
                  <a:rPr lang="en-US" sz="1000" b="0">
                    <a:solidFill>
                      <a:srgbClr val="0000CC"/>
                    </a:solidFill>
                  </a:rPr>
                  <a:t>Year</a:t>
                </a:r>
              </a:p>
            </c:rich>
          </c:tx>
          <c:layout>
            <c:manualLayout>
              <c:xMode val="edge"/>
              <c:yMode val="edge"/>
              <c:x val="0.90314687226596679"/>
              <c:y val="0.96343904928550594"/>
            </c:manualLayout>
          </c:layout>
          <c:overlay val="0"/>
        </c:title>
        <c:numFmt formatCode="General" sourceLinked="1"/>
        <c:majorTickMark val="out"/>
        <c:minorTickMark val="none"/>
        <c:tickLblPos val="nextTo"/>
        <c:txPr>
          <a:bodyPr/>
          <a:lstStyle/>
          <a:p>
            <a:pPr>
              <a:defRPr sz="1000"/>
            </a:pPr>
            <a:endParaRPr lang="en-US"/>
          </a:p>
        </c:txPr>
        <c:crossAx val="426834648"/>
        <c:crosses val="autoZero"/>
        <c:crossBetween val="midCat"/>
        <c:majorUnit val="5"/>
        <c:minorUnit val="2"/>
      </c:valAx>
      <c:valAx>
        <c:axId val="426834648"/>
        <c:scaling>
          <c:orientation val="minMax"/>
          <c:max val="200"/>
          <c:min val="0"/>
        </c:scaling>
        <c:delete val="0"/>
        <c:axPos val="l"/>
        <c:majorGridlines>
          <c:spPr>
            <a:ln>
              <a:prstDash val="sysDot"/>
            </a:ln>
          </c:spPr>
        </c:majorGridlines>
        <c:title>
          <c:tx>
            <c:rich>
              <a:bodyPr rot="-5400000" vert="horz"/>
              <a:lstStyle/>
              <a:p>
                <a:pPr>
                  <a:defRPr sz="1000" b="0">
                    <a:solidFill>
                      <a:srgbClr val="0000CC"/>
                    </a:solidFill>
                  </a:defRPr>
                </a:pPr>
                <a:r>
                  <a:rPr lang="en-US" sz="1000" b="0">
                    <a:solidFill>
                      <a:srgbClr val="0000CC"/>
                    </a:solidFill>
                  </a:rPr>
                  <a:t>Cumulative number of Economies : Identification &amp; Civil Registry Solutions</a:t>
                </a:r>
              </a:p>
            </c:rich>
          </c:tx>
          <c:layout>
            <c:manualLayout>
              <c:xMode val="edge"/>
              <c:yMode val="edge"/>
              <c:x val="5.6306503353747445E-3"/>
              <c:y val="0.12656332020997374"/>
            </c:manualLayout>
          </c:layout>
          <c:overlay val="0"/>
        </c:title>
        <c:numFmt formatCode="General" sourceLinked="1"/>
        <c:majorTickMark val="out"/>
        <c:minorTickMark val="none"/>
        <c:tickLblPos val="nextTo"/>
        <c:txPr>
          <a:bodyPr/>
          <a:lstStyle/>
          <a:p>
            <a:pPr>
              <a:defRPr sz="1000"/>
            </a:pPr>
            <a:endParaRPr lang="en-US"/>
          </a:p>
        </c:txPr>
        <c:crossAx val="426834256"/>
        <c:crosses val="autoZero"/>
        <c:crossBetween val="midCat"/>
        <c:majorUnit val="20"/>
      </c:valAx>
      <c:spPr>
        <a:ln>
          <a:solidFill>
            <a:srgbClr val="0000CC"/>
          </a:solidFill>
        </a:ln>
      </c:spPr>
    </c:plotArea>
    <c:legend>
      <c:legendPos val="b"/>
      <c:layout>
        <c:manualLayout>
          <c:xMode val="edge"/>
          <c:yMode val="edge"/>
          <c:x val="0.10903283273487331"/>
          <c:y val="0.42486633615242542"/>
          <c:w val="0.27502202493866407"/>
          <c:h val="0.29353228994523833"/>
        </c:manualLayout>
      </c:layout>
      <c:overlay val="0"/>
      <c:spPr>
        <a:solidFill>
          <a:schemeClr val="bg1"/>
        </a:solidFill>
      </c:spPr>
      <c:txPr>
        <a:bodyPr/>
        <a:lstStyle/>
        <a:p>
          <a:pPr>
            <a:defRPr sz="900"/>
          </a:pPr>
          <a:endParaRPr lang="en-US"/>
        </a:p>
      </c:txPr>
    </c:legend>
    <c:plotVisOnly val="1"/>
    <c:dispBlanksAs val="gap"/>
    <c:showDLblsOverMax val="0"/>
  </c:chart>
  <c:printSettings>
    <c:headerFooter/>
    <c:pageMargins b="0.750000000000005" l="0.70000000000000062" r="0.70000000000000062" t="0.750000000000005" header="0.30000000000000032" footer="0.30000000000000032"/>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a:solidFill>
                  <a:srgbClr val="0000CC"/>
                </a:solidFill>
              </a:defRPr>
            </a:pPr>
            <a:r>
              <a:rPr lang="en-US" sz="1000" b="1">
                <a:solidFill>
                  <a:srgbClr val="0000CC"/>
                </a:solidFill>
              </a:rPr>
              <a:t>Income level distribution</a:t>
            </a:r>
          </a:p>
        </c:rich>
      </c:tx>
      <c:layout>
        <c:manualLayout>
          <c:xMode val="edge"/>
          <c:yMode val="edge"/>
          <c:x val="0.25800634295713037"/>
          <c:y val="1.4636191309419647E-3"/>
        </c:manualLayout>
      </c:layout>
      <c:overlay val="1"/>
    </c:title>
    <c:autoTitleDeleted val="0"/>
    <c:plotArea>
      <c:layout>
        <c:manualLayout>
          <c:layoutTarget val="inner"/>
          <c:xMode val="edge"/>
          <c:yMode val="edge"/>
          <c:x val="0.14234251968503936"/>
          <c:y val="0.12928757169242736"/>
          <c:w val="0.83213874307378244"/>
          <c:h val="0.64316552444833286"/>
        </c:manualLayout>
      </c:layout>
      <c:barChart>
        <c:barDir val="col"/>
        <c:grouping val="clustered"/>
        <c:varyColors val="0"/>
        <c:ser>
          <c:idx val="0"/>
          <c:order val="0"/>
          <c:tx>
            <c:strRef>
              <c:f>'ID4D Stats'!$CE$7</c:f>
              <c:strCache>
                <c:ptCount val="1"/>
                <c:pt idx="0">
                  <c:v>LIC</c:v>
                </c:pt>
              </c:strCache>
            </c:strRef>
          </c:tx>
          <c:spPr>
            <a:solidFill>
              <a:srgbClr val="FFC000"/>
            </a:solidFill>
            <a:ln>
              <a:solidFill>
                <a:schemeClr val="tx1"/>
              </a:solidFill>
            </a:ln>
          </c:spPr>
          <c:invertIfNegative val="0"/>
          <c:cat>
            <c:numRef>
              <c:f>'ID4D Stats'!$CF$3:$CI$3</c:f>
              <c:numCache>
                <c:formatCode>General</c:formatCode>
                <c:ptCount val="4"/>
                <c:pt idx="0">
                  <c:v>0</c:v>
                </c:pt>
                <c:pt idx="1">
                  <c:v>1</c:v>
                </c:pt>
                <c:pt idx="2">
                  <c:v>2</c:v>
                </c:pt>
                <c:pt idx="3">
                  <c:v>3</c:v>
                </c:pt>
              </c:numCache>
            </c:numRef>
          </c:cat>
          <c:val>
            <c:numRef>
              <c:f>'ID4D Stats'!$CF$7:$CI$7</c:f>
              <c:numCache>
                <c:formatCode>General</c:formatCode>
                <c:ptCount val="4"/>
                <c:pt idx="0">
                  <c:v>0</c:v>
                </c:pt>
                <c:pt idx="1">
                  <c:v>4</c:v>
                </c:pt>
                <c:pt idx="2">
                  <c:v>30</c:v>
                </c:pt>
                <c:pt idx="3">
                  <c:v>0</c:v>
                </c:pt>
              </c:numCache>
            </c:numRef>
          </c:val>
        </c:ser>
        <c:ser>
          <c:idx val="4"/>
          <c:order val="1"/>
          <c:tx>
            <c:strRef>
              <c:f>'ID4D Stats'!$CE$6</c:f>
              <c:strCache>
                <c:ptCount val="1"/>
                <c:pt idx="0">
                  <c:v>LMIC</c:v>
                </c:pt>
              </c:strCache>
            </c:strRef>
          </c:tx>
          <c:spPr>
            <a:solidFill>
              <a:srgbClr val="FFFF00"/>
            </a:solidFill>
            <a:ln>
              <a:solidFill>
                <a:schemeClr val="tx1"/>
              </a:solidFill>
            </a:ln>
          </c:spPr>
          <c:invertIfNegative val="0"/>
          <c:cat>
            <c:numRef>
              <c:f>'ID4D Stats'!$CF$3:$CI$3</c:f>
              <c:numCache>
                <c:formatCode>General</c:formatCode>
                <c:ptCount val="4"/>
                <c:pt idx="0">
                  <c:v>0</c:v>
                </c:pt>
                <c:pt idx="1">
                  <c:v>1</c:v>
                </c:pt>
                <c:pt idx="2">
                  <c:v>2</c:v>
                </c:pt>
                <c:pt idx="3">
                  <c:v>3</c:v>
                </c:pt>
              </c:numCache>
            </c:numRef>
          </c:cat>
          <c:val>
            <c:numRef>
              <c:f>'ID4D Stats'!$CF$6:$CI$6</c:f>
              <c:numCache>
                <c:formatCode>General</c:formatCode>
                <c:ptCount val="4"/>
                <c:pt idx="0">
                  <c:v>0</c:v>
                </c:pt>
                <c:pt idx="1">
                  <c:v>3</c:v>
                </c:pt>
                <c:pt idx="2">
                  <c:v>47</c:v>
                </c:pt>
                <c:pt idx="3">
                  <c:v>0</c:v>
                </c:pt>
              </c:numCache>
            </c:numRef>
          </c:val>
        </c:ser>
        <c:ser>
          <c:idx val="3"/>
          <c:order val="2"/>
          <c:tx>
            <c:strRef>
              <c:f>'ID4D Stats'!$CE$5</c:f>
              <c:strCache>
                <c:ptCount val="1"/>
                <c:pt idx="0">
                  <c:v>UMIC</c:v>
                </c:pt>
              </c:strCache>
            </c:strRef>
          </c:tx>
          <c:spPr>
            <a:solidFill>
              <a:schemeClr val="accent3">
                <a:lumMod val="60000"/>
                <a:lumOff val="40000"/>
              </a:schemeClr>
            </a:solidFill>
            <a:ln>
              <a:solidFill>
                <a:schemeClr val="tx1"/>
              </a:solidFill>
            </a:ln>
          </c:spPr>
          <c:invertIfNegative val="0"/>
          <c:cat>
            <c:numRef>
              <c:f>'ID4D Stats'!$CF$3:$CI$3</c:f>
              <c:numCache>
                <c:formatCode>General</c:formatCode>
                <c:ptCount val="4"/>
                <c:pt idx="0">
                  <c:v>0</c:v>
                </c:pt>
                <c:pt idx="1">
                  <c:v>1</c:v>
                </c:pt>
                <c:pt idx="2">
                  <c:v>2</c:v>
                </c:pt>
                <c:pt idx="3">
                  <c:v>3</c:v>
                </c:pt>
              </c:numCache>
            </c:numRef>
          </c:cat>
          <c:val>
            <c:numRef>
              <c:f>'ID4D Stats'!$CF$5:$CI$5</c:f>
              <c:numCache>
                <c:formatCode>General</c:formatCode>
                <c:ptCount val="4"/>
                <c:pt idx="0">
                  <c:v>0</c:v>
                </c:pt>
                <c:pt idx="1">
                  <c:v>0</c:v>
                </c:pt>
                <c:pt idx="2">
                  <c:v>55</c:v>
                </c:pt>
                <c:pt idx="3">
                  <c:v>0</c:v>
                </c:pt>
              </c:numCache>
            </c:numRef>
          </c:val>
        </c:ser>
        <c:ser>
          <c:idx val="2"/>
          <c:order val="3"/>
          <c:tx>
            <c:strRef>
              <c:f>'ID4D Stats'!$CE$4</c:f>
              <c:strCache>
                <c:ptCount val="1"/>
                <c:pt idx="0">
                  <c:v>HIC</c:v>
                </c:pt>
              </c:strCache>
            </c:strRef>
          </c:tx>
          <c:spPr>
            <a:solidFill>
              <a:schemeClr val="accent1">
                <a:lumMod val="40000"/>
                <a:lumOff val="60000"/>
              </a:schemeClr>
            </a:solidFill>
            <a:ln>
              <a:solidFill>
                <a:schemeClr val="tx1"/>
              </a:solidFill>
            </a:ln>
          </c:spPr>
          <c:invertIfNegative val="0"/>
          <c:cat>
            <c:numRef>
              <c:f>'ID4D Stats'!$CF$3:$CI$3</c:f>
              <c:numCache>
                <c:formatCode>General</c:formatCode>
                <c:ptCount val="4"/>
                <c:pt idx="0">
                  <c:v>0</c:v>
                </c:pt>
                <c:pt idx="1">
                  <c:v>1</c:v>
                </c:pt>
                <c:pt idx="2">
                  <c:v>2</c:v>
                </c:pt>
                <c:pt idx="3">
                  <c:v>3</c:v>
                </c:pt>
              </c:numCache>
            </c:numRef>
          </c:cat>
          <c:val>
            <c:numRef>
              <c:f>'ID4D Stats'!$CF$4:$CI$4</c:f>
              <c:numCache>
                <c:formatCode>General</c:formatCode>
                <c:ptCount val="4"/>
                <c:pt idx="0">
                  <c:v>0</c:v>
                </c:pt>
                <c:pt idx="1">
                  <c:v>5</c:v>
                </c:pt>
                <c:pt idx="2">
                  <c:v>54</c:v>
                </c:pt>
                <c:pt idx="3">
                  <c:v>0</c:v>
                </c:pt>
              </c:numCache>
            </c:numRef>
          </c:val>
        </c:ser>
        <c:dLbls>
          <c:showLegendKey val="0"/>
          <c:showVal val="0"/>
          <c:showCatName val="0"/>
          <c:showSerName val="0"/>
          <c:showPercent val="0"/>
          <c:showBubbleSize val="0"/>
        </c:dLbls>
        <c:gapWidth val="160"/>
        <c:overlap val="-25"/>
        <c:axId val="426437840"/>
        <c:axId val="426438232"/>
      </c:barChart>
      <c:catAx>
        <c:axId val="426437840"/>
        <c:scaling>
          <c:orientation val="minMax"/>
        </c:scaling>
        <c:delete val="0"/>
        <c:axPos val="b"/>
        <c:title>
          <c:tx>
            <c:rich>
              <a:bodyPr/>
              <a:lstStyle/>
              <a:p>
                <a:pPr>
                  <a:defRPr sz="800" b="0">
                    <a:solidFill>
                      <a:srgbClr val="0000CC"/>
                    </a:solidFill>
                  </a:defRPr>
                </a:pPr>
                <a:r>
                  <a:rPr lang="en-US" sz="800" b="0">
                    <a:solidFill>
                      <a:srgbClr val="0000CC"/>
                    </a:solidFill>
                  </a:rPr>
                  <a:t>Point</a:t>
                </a:r>
              </a:p>
            </c:rich>
          </c:tx>
          <c:layout>
            <c:manualLayout>
              <c:xMode val="edge"/>
              <c:yMode val="edge"/>
              <c:x val="0.88408714535683042"/>
              <c:y val="0.7841614416253524"/>
            </c:manualLayout>
          </c:layout>
          <c:overlay val="0"/>
        </c:title>
        <c:numFmt formatCode="General" sourceLinked="1"/>
        <c:majorTickMark val="out"/>
        <c:minorTickMark val="none"/>
        <c:tickLblPos val="nextTo"/>
        <c:txPr>
          <a:bodyPr/>
          <a:lstStyle/>
          <a:p>
            <a:pPr>
              <a:defRPr sz="900"/>
            </a:pPr>
            <a:endParaRPr lang="en-US"/>
          </a:p>
        </c:txPr>
        <c:crossAx val="426438232"/>
        <c:crosses val="autoZero"/>
        <c:auto val="1"/>
        <c:lblAlgn val="ctr"/>
        <c:lblOffset val="100"/>
        <c:noMultiLvlLbl val="0"/>
      </c:catAx>
      <c:valAx>
        <c:axId val="426438232"/>
        <c:scaling>
          <c:orientation val="minMax"/>
        </c:scaling>
        <c:delete val="0"/>
        <c:axPos val="l"/>
        <c:majorGridlines>
          <c:spPr>
            <a:ln>
              <a:solidFill>
                <a:schemeClr val="bg1">
                  <a:lumMod val="75000"/>
                </a:schemeClr>
              </a:solidFill>
              <a:prstDash val="sysDot"/>
            </a:ln>
          </c:spPr>
        </c:majorGridlines>
        <c:title>
          <c:tx>
            <c:rich>
              <a:bodyPr rot="-5400000" vert="horz"/>
              <a:lstStyle/>
              <a:p>
                <a:pPr>
                  <a:defRPr sz="800" b="0">
                    <a:solidFill>
                      <a:srgbClr val="0000CC"/>
                    </a:solidFill>
                  </a:defRPr>
                </a:pPr>
                <a:r>
                  <a:rPr lang="en-US" sz="800" b="0">
                    <a:solidFill>
                      <a:srgbClr val="0000CC"/>
                    </a:solidFill>
                  </a:rPr>
                  <a:t>Economies</a:t>
                </a:r>
              </a:p>
            </c:rich>
          </c:tx>
          <c:layout>
            <c:manualLayout>
              <c:xMode val="edge"/>
              <c:yMode val="edge"/>
              <c:x val="6.4429905820595958E-3"/>
              <c:y val="9.6990077944802355E-2"/>
            </c:manualLayout>
          </c:layout>
          <c:overlay val="0"/>
        </c:title>
        <c:numFmt formatCode="General" sourceLinked="1"/>
        <c:majorTickMark val="out"/>
        <c:minorTickMark val="none"/>
        <c:tickLblPos val="nextTo"/>
        <c:txPr>
          <a:bodyPr/>
          <a:lstStyle/>
          <a:p>
            <a:pPr>
              <a:defRPr sz="900"/>
            </a:pPr>
            <a:endParaRPr lang="en-US"/>
          </a:p>
        </c:txPr>
        <c:crossAx val="426437840"/>
        <c:crosses val="autoZero"/>
        <c:crossBetween val="between"/>
      </c:valAx>
      <c:spPr>
        <a:ln>
          <a:solidFill>
            <a:schemeClr val="tx1"/>
          </a:solidFill>
        </a:ln>
      </c:spPr>
    </c:plotArea>
    <c:legend>
      <c:legendPos val="r"/>
      <c:layout>
        <c:manualLayout>
          <c:xMode val="edge"/>
          <c:yMode val="edge"/>
          <c:x val="6.5390263717035366E-2"/>
          <c:y val="0.90034205793720234"/>
          <c:w val="0.86210083114610669"/>
          <c:h val="9.9657942062797711E-2"/>
        </c:manualLayout>
      </c:layout>
      <c:overlay val="0"/>
      <c:spPr>
        <a:solidFill>
          <a:schemeClr val="bg1"/>
        </a:solidFill>
      </c:spPr>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CC"/>
                </a:solidFill>
              </a:defRPr>
            </a:pPr>
            <a:r>
              <a:rPr lang="en-US" sz="1000">
                <a:solidFill>
                  <a:srgbClr val="0000CC"/>
                </a:solidFill>
              </a:rPr>
              <a:t>Regional</a:t>
            </a:r>
            <a:r>
              <a:rPr lang="en-US" sz="1000" baseline="0">
                <a:solidFill>
                  <a:srgbClr val="0000CC"/>
                </a:solidFill>
              </a:rPr>
              <a:t> distribution</a:t>
            </a:r>
            <a:endParaRPr lang="en-US" sz="1000">
              <a:solidFill>
                <a:srgbClr val="0000CC"/>
              </a:solidFill>
            </a:endParaRPr>
          </a:p>
        </c:rich>
      </c:tx>
      <c:layout>
        <c:manualLayout>
          <c:xMode val="edge"/>
          <c:yMode val="edge"/>
          <c:x val="0.30282726377952757"/>
          <c:y val="0"/>
        </c:manualLayout>
      </c:layout>
      <c:overlay val="1"/>
    </c:title>
    <c:autoTitleDeleted val="0"/>
    <c:plotArea>
      <c:layout>
        <c:manualLayout>
          <c:layoutTarget val="inner"/>
          <c:xMode val="edge"/>
          <c:yMode val="edge"/>
          <c:x val="0.126180760608049"/>
          <c:y val="0.13163337221736174"/>
          <c:w val="0.85271899606299217"/>
          <c:h val="0.65182997958588507"/>
        </c:manualLayout>
      </c:layout>
      <c:barChart>
        <c:barDir val="col"/>
        <c:grouping val="clustered"/>
        <c:varyColors val="0"/>
        <c:ser>
          <c:idx val="1"/>
          <c:order val="0"/>
          <c:tx>
            <c:strRef>
              <c:f>'ID4D Stats'!$CM$4</c:f>
              <c:strCache>
                <c:ptCount val="1"/>
                <c:pt idx="0">
                  <c:v>AFR</c:v>
                </c:pt>
              </c:strCache>
            </c:strRef>
          </c:tx>
          <c:spPr>
            <a:solidFill>
              <a:srgbClr val="FFC000"/>
            </a:solidFill>
            <a:ln>
              <a:solidFill>
                <a:schemeClr val="tx1"/>
              </a:solidFill>
            </a:ln>
          </c:spPr>
          <c:invertIfNegative val="0"/>
          <c:cat>
            <c:numRef>
              <c:f>'ID4D Stats'!$CN$3:$CQ$3</c:f>
              <c:numCache>
                <c:formatCode>General</c:formatCode>
                <c:ptCount val="4"/>
                <c:pt idx="0">
                  <c:v>0</c:v>
                </c:pt>
                <c:pt idx="1">
                  <c:v>1</c:v>
                </c:pt>
                <c:pt idx="2">
                  <c:v>2</c:v>
                </c:pt>
                <c:pt idx="3">
                  <c:v>3</c:v>
                </c:pt>
              </c:numCache>
            </c:numRef>
          </c:cat>
          <c:val>
            <c:numRef>
              <c:f>'ID4D Stats'!$CN$4:$CQ$4</c:f>
              <c:numCache>
                <c:formatCode>General</c:formatCode>
                <c:ptCount val="4"/>
                <c:pt idx="0">
                  <c:v>0</c:v>
                </c:pt>
                <c:pt idx="1">
                  <c:v>5</c:v>
                </c:pt>
                <c:pt idx="2">
                  <c:v>43</c:v>
                </c:pt>
                <c:pt idx="3">
                  <c:v>0</c:v>
                </c:pt>
              </c:numCache>
            </c:numRef>
          </c:val>
        </c:ser>
        <c:ser>
          <c:idx val="2"/>
          <c:order val="1"/>
          <c:tx>
            <c:strRef>
              <c:f>'ID4D Stats'!$CM$5</c:f>
              <c:strCache>
                <c:ptCount val="1"/>
                <c:pt idx="0">
                  <c:v>EAP</c:v>
                </c:pt>
              </c:strCache>
            </c:strRef>
          </c:tx>
          <c:spPr>
            <a:solidFill>
              <a:schemeClr val="accent1">
                <a:lumMod val="40000"/>
                <a:lumOff val="60000"/>
              </a:schemeClr>
            </a:solidFill>
            <a:ln>
              <a:solidFill>
                <a:schemeClr val="tx1"/>
              </a:solidFill>
            </a:ln>
          </c:spPr>
          <c:invertIfNegative val="0"/>
          <c:cat>
            <c:numRef>
              <c:f>'ID4D Stats'!$CN$3:$CQ$3</c:f>
              <c:numCache>
                <c:formatCode>General</c:formatCode>
                <c:ptCount val="4"/>
                <c:pt idx="0">
                  <c:v>0</c:v>
                </c:pt>
                <c:pt idx="1">
                  <c:v>1</c:v>
                </c:pt>
                <c:pt idx="2">
                  <c:v>2</c:v>
                </c:pt>
                <c:pt idx="3">
                  <c:v>3</c:v>
                </c:pt>
              </c:numCache>
            </c:numRef>
          </c:cat>
          <c:val>
            <c:numRef>
              <c:f>'ID4D Stats'!$CN$5:$CQ$5</c:f>
              <c:numCache>
                <c:formatCode>General</c:formatCode>
                <c:ptCount val="4"/>
                <c:pt idx="0">
                  <c:v>0</c:v>
                </c:pt>
                <c:pt idx="1">
                  <c:v>1</c:v>
                </c:pt>
                <c:pt idx="2">
                  <c:v>28</c:v>
                </c:pt>
                <c:pt idx="3">
                  <c:v>0</c:v>
                </c:pt>
              </c:numCache>
            </c:numRef>
          </c:val>
        </c:ser>
        <c:ser>
          <c:idx val="3"/>
          <c:order val="2"/>
          <c:tx>
            <c:strRef>
              <c:f>'ID4D Stats'!$CM$6</c:f>
              <c:strCache>
                <c:ptCount val="1"/>
                <c:pt idx="0">
                  <c:v>ECA</c:v>
                </c:pt>
              </c:strCache>
            </c:strRef>
          </c:tx>
          <c:spPr>
            <a:solidFill>
              <a:srgbClr val="FFFF00"/>
            </a:solidFill>
            <a:ln>
              <a:solidFill>
                <a:schemeClr val="tx1"/>
              </a:solidFill>
            </a:ln>
          </c:spPr>
          <c:invertIfNegative val="0"/>
          <c:cat>
            <c:numRef>
              <c:f>'ID4D Stats'!$CN$3:$CQ$3</c:f>
              <c:numCache>
                <c:formatCode>General</c:formatCode>
                <c:ptCount val="4"/>
                <c:pt idx="0">
                  <c:v>0</c:v>
                </c:pt>
                <c:pt idx="1">
                  <c:v>1</c:v>
                </c:pt>
                <c:pt idx="2">
                  <c:v>2</c:v>
                </c:pt>
                <c:pt idx="3">
                  <c:v>3</c:v>
                </c:pt>
              </c:numCache>
            </c:numRef>
          </c:cat>
          <c:val>
            <c:numRef>
              <c:f>'ID4D Stats'!$CN$6:$CQ$6</c:f>
              <c:numCache>
                <c:formatCode>General</c:formatCode>
                <c:ptCount val="4"/>
                <c:pt idx="0">
                  <c:v>0</c:v>
                </c:pt>
                <c:pt idx="1">
                  <c:v>1</c:v>
                </c:pt>
                <c:pt idx="2">
                  <c:v>29</c:v>
                </c:pt>
                <c:pt idx="3">
                  <c:v>0</c:v>
                </c:pt>
              </c:numCache>
            </c:numRef>
          </c:val>
        </c:ser>
        <c:ser>
          <c:idx val="4"/>
          <c:order val="3"/>
          <c:tx>
            <c:strRef>
              <c:f>'ID4D Stats'!$CM$7</c:f>
              <c:strCache>
                <c:ptCount val="1"/>
                <c:pt idx="0">
                  <c:v>LCR</c:v>
                </c:pt>
              </c:strCache>
            </c:strRef>
          </c:tx>
          <c:spPr>
            <a:solidFill>
              <a:schemeClr val="accent3">
                <a:lumMod val="60000"/>
                <a:lumOff val="40000"/>
              </a:schemeClr>
            </a:solidFill>
            <a:ln>
              <a:solidFill>
                <a:schemeClr val="tx1"/>
              </a:solidFill>
            </a:ln>
          </c:spPr>
          <c:invertIfNegative val="0"/>
          <c:cat>
            <c:numRef>
              <c:f>'ID4D Stats'!$CN$3:$CQ$3</c:f>
              <c:numCache>
                <c:formatCode>General</c:formatCode>
                <c:ptCount val="4"/>
                <c:pt idx="0">
                  <c:v>0</c:v>
                </c:pt>
                <c:pt idx="1">
                  <c:v>1</c:v>
                </c:pt>
                <c:pt idx="2">
                  <c:v>2</c:v>
                </c:pt>
                <c:pt idx="3">
                  <c:v>3</c:v>
                </c:pt>
              </c:numCache>
            </c:numRef>
          </c:cat>
          <c:val>
            <c:numRef>
              <c:f>'ID4D Stats'!$CN$7:$CQ$7</c:f>
              <c:numCache>
                <c:formatCode>General</c:formatCode>
                <c:ptCount val="4"/>
                <c:pt idx="0">
                  <c:v>0</c:v>
                </c:pt>
                <c:pt idx="1">
                  <c:v>2</c:v>
                </c:pt>
                <c:pt idx="2">
                  <c:v>30</c:v>
                </c:pt>
                <c:pt idx="3">
                  <c:v>0</c:v>
                </c:pt>
              </c:numCache>
            </c:numRef>
          </c:val>
        </c:ser>
        <c:ser>
          <c:idx val="5"/>
          <c:order val="4"/>
          <c:tx>
            <c:strRef>
              <c:f>'ID4D Stats'!$CM$8</c:f>
              <c:strCache>
                <c:ptCount val="1"/>
                <c:pt idx="0">
                  <c:v>MNA</c:v>
                </c:pt>
              </c:strCache>
            </c:strRef>
          </c:tx>
          <c:spPr>
            <a:solidFill>
              <a:schemeClr val="tx2">
                <a:lumMod val="40000"/>
                <a:lumOff val="60000"/>
              </a:schemeClr>
            </a:solidFill>
            <a:ln>
              <a:solidFill>
                <a:schemeClr val="tx1"/>
              </a:solidFill>
            </a:ln>
          </c:spPr>
          <c:invertIfNegative val="0"/>
          <c:cat>
            <c:numRef>
              <c:f>'ID4D Stats'!$CN$3:$CQ$3</c:f>
              <c:numCache>
                <c:formatCode>General</c:formatCode>
                <c:ptCount val="4"/>
                <c:pt idx="0">
                  <c:v>0</c:v>
                </c:pt>
                <c:pt idx="1">
                  <c:v>1</c:v>
                </c:pt>
                <c:pt idx="2">
                  <c:v>2</c:v>
                </c:pt>
                <c:pt idx="3">
                  <c:v>3</c:v>
                </c:pt>
              </c:numCache>
            </c:numRef>
          </c:cat>
          <c:val>
            <c:numRef>
              <c:f>'ID4D Stats'!$CN$8:$CQ$8</c:f>
              <c:numCache>
                <c:formatCode>General</c:formatCode>
                <c:ptCount val="4"/>
                <c:pt idx="0">
                  <c:v>0</c:v>
                </c:pt>
                <c:pt idx="1">
                  <c:v>0</c:v>
                </c:pt>
                <c:pt idx="2">
                  <c:v>21</c:v>
                </c:pt>
                <c:pt idx="3">
                  <c:v>0</c:v>
                </c:pt>
              </c:numCache>
            </c:numRef>
          </c:val>
        </c:ser>
        <c:ser>
          <c:idx val="6"/>
          <c:order val="5"/>
          <c:tx>
            <c:strRef>
              <c:f>'ID4D Stats'!$CM$9</c:f>
              <c:strCache>
                <c:ptCount val="1"/>
                <c:pt idx="0">
                  <c:v>SAR</c:v>
                </c:pt>
              </c:strCache>
            </c:strRef>
          </c:tx>
          <c:spPr>
            <a:solidFill>
              <a:schemeClr val="accent6">
                <a:lumMod val="75000"/>
              </a:schemeClr>
            </a:solidFill>
            <a:ln>
              <a:solidFill>
                <a:schemeClr val="tx1"/>
              </a:solidFill>
            </a:ln>
          </c:spPr>
          <c:invertIfNegative val="0"/>
          <c:cat>
            <c:numRef>
              <c:f>'ID4D Stats'!$CN$3:$CQ$3</c:f>
              <c:numCache>
                <c:formatCode>General</c:formatCode>
                <c:ptCount val="4"/>
                <c:pt idx="0">
                  <c:v>0</c:v>
                </c:pt>
                <c:pt idx="1">
                  <c:v>1</c:v>
                </c:pt>
                <c:pt idx="2">
                  <c:v>2</c:v>
                </c:pt>
                <c:pt idx="3">
                  <c:v>3</c:v>
                </c:pt>
              </c:numCache>
            </c:numRef>
          </c:cat>
          <c:val>
            <c:numRef>
              <c:f>'ID4D Stats'!$CN$9:$CQ$9</c:f>
              <c:numCache>
                <c:formatCode>General</c:formatCode>
                <c:ptCount val="4"/>
                <c:pt idx="0">
                  <c:v>0</c:v>
                </c:pt>
                <c:pt idx="1">
                  <c:v>0</c:v>
                </c:pt>
                <c:pt idx="2">
                  <c:v>8</c:v>
                </c:pt>
                <c:pt idx="3">
                  <c:v>0</c:v>
                </c:pt>
              </c:numCache>
            </c:numRef>
          </c:val>
        </c:ser>
        <c:dLbls>
          <c:showLegendKey val="0"/>
          <c:showVal val="0"/>
          <c:showCatName val="0"/>
          <c:showSerName val="0"/>
          <c:showPercent val="0"/>
          <c:showBubbleSize val="0"/>
        </c:dLbls>
        <c:gapWidth val="160"/>
        <c:overlap val="-25"/>
        <c:axId val="426439016"/>
        <c:axId val="426439408"/>
      </c:barChart>
      <c:catAx>
        <c:axId val="426439016"/>
        <c:scaling>
          <c:orientation val="minMax"/>
        </c:scaling>
        <c:delete val="0"/>
        <c:axPos val="b"/>
        <c:title>
          <c:tx>
            <c:rich>
              <a:bodyPr/>
              <a:lstStyle/>
              <a:p>
                <a:pPr>
                  <a:defRPr sz="800" b="0">
                    <a:solidFill>
                      <a:srgbClr val="0000CC"/>
                    </a:solidFill>
                  </a:defRPr>
                </a:pPr>
                <a:r>
                  <a:rPr lang="en-US" sz="800" b="0">
                    <a:solidFill>
                      <a:srgbClr val="0000CC"/>
                    </a:solidFill>
                  </a:rPr>
                  <a:t>Point</a:t>
                </a:r>
              </a:p>
            </c:rich>
          </c:tx>
          <c:layout>
            <c:manualLayout>
              <c:xMode val="edge"/>
              <c:yMode val="edge"/>
              <c:x val="0.89513888888888893"/>
              <c:y val="0.79718090794206276"/>
            </c:manualLayout>
          </c:layout>
          <c:overlay val="0"/>
        </c:title>
        <c:numFmt formatCode="General" sourceLinked="1"/>
        <c:majorTickMark val="out"/>
        <c:minorTickMark val="none"/>
        <c:tickLblPos val="nextTo"/>
        <c:txPr>
          <a:bodyPr/>
          <a:lstStyle/>
          <a:p>
            <a:pPr>
              <a:defRPr sz="900"/>
            </a:pPr>
            <a:endParaRPr lang="en-US"/>
          </a:p>
        </c:txPr>
        <c:crossAx val="426439408"/>
        <c:crosses val="autoZero"/>
        <c:auto val="1"/>
        <c:lblAlgn val="ctr"/>
        <c:lblOffset val="100"/>
        <c:noMultiLvlLbl val="0"/>
      </c:catAx>
      <c:valAx>
        <c:axId val="426439408"/>
        <c:scaling>
          <c:orientation val="minMax"/>
        </c:scaling>
        <c:delete val="0"/>
        <c:axPos val="l"/>
        <c:majorGridlines>
          <c:spPr>
            <a:ln>
              <a:solidFill>
                <a:schemeClr val="bg1">
                  <a:lumMod val="75000"/>
                </a:schemeClr>
              </a:solidFill>
              <a:prstDash val="sysDot"/>
            </a:ln>
          </c:spPr>
        </c:majorGridlines>
        <c:title>
          <c:tx>
            <c:rich>
              <a:bodyPr rot="-5400000" vert="horz"/>
              <a:lstStyle/>
              <a:p>
                <a:pPr>
                  <a:defRPr sz="800" b="0">
                    <a:solidFill>
                      <a:srgbClr val="0000CC"/>
                    </a:solidFill>
                  </a:defRPr>
                </a:pPr>
                <a:r>
                  <a:rPr lang="en-US" sz="800" b="0">
                    <a:solidFill>
                      <a:srgbClr val="0000CC"/>
                    </a:solidFill>
                  </a:rPr>
                  <a:t>Economies</a:t>
                </a:r>
              </a:p>
            </c:rich>
          </c:tx>
          <c:layout>
            <c:manualLayout>
              <c:xMode val="edge"/>
              <c:yMode val="edge"/>
              <c:x val="0"/>
              <c:y val="0.10210035005834306"/>
            </c:manualLayout>
          </c:layout>
          <c:overlay val="0"/>
        </c:title>
        <c:numFmt formatCode="General" sourceLinked="1"/>
        <c:majorTickMark val="out"/>
        <c:minorTickMark val="none"/>
        <c:tickLblPos val="nextTo"/>
        <c:txPr>
          <a:bodyPr/>
          <a:lstStyle/>
          <a:p>
            <a:pPr>
              <a:defRPr sz="900"/>
            </a:pPr>
            <a:endParaRPr lang="en-US"/>
          </a:p>
        </c:txPr>
        <c:crossAx val="426439016"/>
        <c:crosses val="autoZero"/>
        <c:crossBetween val="between"/>
      </c:valAx>
      <c:spPr>
        <a:ln>
          <a:solidFill>
            <a:schemeClr val="tx1"/>
          </a:solidFill>
        </a:ln>
      </c:spPr>
    </c:plotArea>
    <c:legend>
      <c:legendPos val="r"/>
      <c:layout>
        <c:manualLayout>
          <c:xMode val="edge"/>
          <c:yMode val="edge"/>
          <c:x val="5.0845064821442777E-2"/>
          <c:y val="0.89832677165354335"/>
          <c:w val="0.89444113046475249"/>
          <c:h val="0.10167322834645669"/>
        </c:manualLayout>
      </c:layout>
      <c:overlay val="0"/>
      <c:spPr>
        <a:solidFill>
          <a:schemeClr val="bg1"/>
        </a:solidFill>
      </c:spPr>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a:solidFill>
                  <a:srgbClr val="0000CC"/>
                </a:solidFill>
              </a:defRPr>
            </a:pPr>
            <a:r>
              <a:rPr lang="en-US" sz="1000" b="1">
                <a:solidFill>
                  <a:srgbClr val="0000CC"/>
                </a:solidFill>
              </a:rPr>
              <a:t>Income level distribution</a:t>
            </a:r>
          </a:p>
        </c:rich>
      </c:tx>
      <c:layout>
        <c:manualLayout>
          <c:xMode val="edge"/>
          <c:yMode val="edge"/>
          <c:x val="0.25800634295713037"/>
          <c:y val="1.4636191309419647E-3"/>
        </c:manualLayout>
      </c:layout>
      <c:overlay val="1"/>
    </c:title>
    <c:autoTitleDeleted val="0"/>
    <c:plotArea>
      <c:layout>
        <c:manualLayout>
          <c:layoutTarget val="inner"/>
          <c:xMode val="edge"/>
          <c:yMode val="edge"/>
          <c:x val="0.12464103751736916"/>
          <c:y val="0.12928757169242736"/>
          <c:w val="0.85637608718027891"/>
          <c:h val="0.64316552444833286"/>
        </c:manualLayout>
      </c:layout>
      <c:barChart>
        <c:barDir val="col"/>
        <c:grouping val="clustered"/>
        <c:varyColors val="0"/>
        <c:ser>
          <c:idx val="0"/>
          <c:order val="0"/>
          <c:tx>
            <c:strRef>
              <c:f>'ID4D Stats'!$CE$7</c:f>
              <c:strCache>
                <c:ptCount val="1"/>
                <c:pt idx="0">
                  <c:v>LIC</c:v>
                </c:pt>
              </c:strCache>
            </c:strRef>
          </c:tx>
          <c:spPr>
            <a:solidFill>
              <a:srgbClr val="FFC000"/>
            </a:solidFill>
            <a:ln>
              <a:solidFill>
                <a:schemeClr val="tx1"/>
              </a:solidFill>
            </a:ln>
          </c:spPr>
          <c:invertIfNegative val="0"/>
          <c:cat>
            <c:numRef>
              <c:f>'ID4D Stats'!$CF$3:$CJ$3</c:f>
              <c:numCache>
                <c:formatCode>General</c:formatCode>
                <c:ptCount val="5"/>
                <c:pt idx="0">
                  <c:v>0</c:v>
                </c:pt>
                <c:pt idx="1">
                  <c:v>1</c:v>
                </c:pt>
                <c:pt idx="2">
                  <c:v>2</c:v>
                </c:pt>
                <c:pt idx="3">
                  <c:v>3</c:v>
                </c:pt>
                <c:pt idx="4">
                  <c:v>4</c:v>
                </c:pt>
              </c:numCache>
            </c:numRef>
          </c:cat>
          <c:val>
            <c:numRef>
              <c:f>'ID4D Stats'!$CF$7:$CJ$7</c:f>
              <c:numCache>
                <c:formatCode>General</c:formatCode>
                <c:ptCount val="5"/>
                <c:pt idx="0">
                  <c:v>0</c:v>
                </c:pt>
                <c:pt idx="1">
                  <c:v>4</c:v>
                </c:pt>
                <c:pt idx="2">
                  <c:v>30</c:v>
                </c:pt>
                <c:pt idx="3">
                  <c:v>0</c:v>
                </c:pt>
                <c:pt idx="4">
                  <c:v>0</c:v>
                </c:pt>
              </c:numCache>
            </c:numRef>
          </c:val>
        </c:ser>
        <c:ser>
          <c:idx val="4"/>
          <c:order val="1"/>
          <c:tx>
            <c:strRef>
              <c:f>'ID4D Stats'!$CE$6</c:f>
              <c:strCache>
                <c:ptCount val="1"/>
                <c:pt idx="0">
                  <c:v>LMIC</c:v>
                </c:pt>
              </c:strCache>
            </c:strRef>
          </c:tx>
          <c:spPr>
            <a:solidFill>
              <a:srgbClr val="FFFF00"/>
            </a:solidFill>
            <a:ln>
              <a:solidFill>
                <a:schemeClr val="tx1"/>
              </a:solidFill>
            </a:ln>
          </c:spPr>
          <c:invertIfNegative val="0"/>
          <c:cat>
            <c:numRef>
              <c:f>'ID4D Stats'!$CF$3:$CJ$3</c:f>
              <c:numCache>
                <c:formatCode>General</c:formatCode>
                <c:ptCount val="5"/>
                <c:pt idx="0">
                  <c:v>0</c:v>
                </c:pt>
                <c:pt idx="1">
                  <c:v>1</c:v>
                </c:pt>
                <c:pt idx="2">
                  <c:v>2</c:v>
                </c:pt>
                <c:pt idx="3">
                  <c:v>3</c:v>
                </c:pt>
                <c:pt idx="4">
                  <c:v>4</c:v>
                </c:pt>
              </c:numCache>
            </c:numRef>
          </c:cat>
          <c:val>
            <c:numRef>
              <c:f>'ID4D Stats'!$CF$6:$CJ$6</c:f>
              <c:numCache>
                <c:formatCode>General</c:formatCode>
                <c:ptCount val="5"/>
                <c:pt idx="0">
                  <c:v>0</c:v>
                </c:pt>
                <c:pt idx="1">
                  <c:v>3</c:v>
                </c:pt>
                <c:pt idx="2">
                  <c:v>47</c:v>
                </c:pt>
                <c:pt idx="3">
                  <c:v>0</c:v>
                </c:pt>
                <c:pt idx="4">
                  <c:v>0</c:v>
                </c:pt>
              </c:numCache>
            </c:numRef>
          </c:val>
        </c:ser>
        <c:ser>
          <c:idx val="3"/>
          <c:order val="2"/>
          <c:tx>
            <c:strRef>
              <c:f>'ID4D Stats'!$CE$5</c:f>
              <c:strCache>
                <c:ptCount val="1"/>
                <c:pt idx="0">
                  <c:v>UMIC</c:v>
                </c:pt>
              </c:strCache>
            </c:strRef>
          </c:tx>
          <c:spPr>
            <a:solidFill>
              <a:schemeClr val="accent3">
                <a:lumMod val="60000"/>
                <a:lumOff val="40000"/>
              </a:schemeClr>
            </a:solidFill>
            <a:ln>
              <a:solidFill>
                <a:schemeClr val="tx1"/>
              </a:solidFill>
            </a:ln>
          </c:spPr>
          <c:invertIfNegative val="0"/>
          <c:cat>
            <c:numRef>
              <c:f>'ID4D Stats'!$CF$3:$CJ$3</c:f>
              <c:numCache>
                <c:formatCode>General</c:formatCode>
                <c:ptCount val="5"/>
                <c:pt idx="0">
                  <c:v>0</c:v>
                </c:pt>
                <c:pt idx="1">
                  <c:v>1</c:v>
                </c:pt>
                <c:pt idx="2">
                  <c:v>2</c:v>
                </c:pt>
                <c:pt idx="3">
                  <c:v>3</c:v>
                </c:pt>
                <c:pt idx="4">
                  <c:v>4</c:v>
                </c:pt>
              </c:numCache>
            </c:numRef>
          </c:cat>
          <c:val>
            <c:numRef>
              <c:f>'ID4D Stats'!$CF$5:$CJ$5</c:f>
              <c:numCache>
                <c:formatCode>General</c:formatCode>
                <c:ptCount val="5"/>
                <c:pt idx="0">
                  <c:v>0</c:v>
                </c:pt>
                <c:pt idx="1">
                  <c:v>0</c:v>
                </c:pt>
                <c:pt idx="2">
                  <c:v>55</c:v>
                </c:pt>
                <c:pt idx="3">
                  <c:v>0</c:v>
                </c:pt>
                <c:pt idx="4">
                  <c:v>0</c:v>
                </c:pt>
              </c:numCache>
            </c:numRef>
          </c:val>
        </c:ser>
        <c:ser>
          <c:idx val="2"/>
          <c:order val="3"/>
          <c:tx>
            <c:strRef>
              <c:f>'ID4D Stats'!$CE$4</c:f>
              <c:strCache>
                <c:ptCount val="1"/>
                <c:pt idx="0">
                  <c:v>HIC</c:v>
                </c:pt>
              </c:strCache>
            </c:strRef>
          </c:tx>
          <c:spPr>
            <a:solidFill>
              <a:schemeClr val="accent1">
                <a:lumMod val="40000"/>
                <a:lumOff val="60000"/>
              </a:schemeClr>
            </a:solidFill>
            <a:ln>
              <a:solidFill>
                <a:schemeClr val="tx1"/>
              </a:solidFill>
            </a:ln>
          </c:spPr>
          <c:invertIfNegative val="0"/>
          <c:cat>
            <c:numRef>
              <c:f>'ID4D Stats'!$CF$3:$CJ$3</c:f>
              <c:numCache>
                <c:formatCode>General</c:formatCode>
                <c:ptCount val="5"/>
                <c:pt idx="0">
                  <c:v>0</c:v>
                </c:pt>
                <c:pt idx="1">
                  <c:v>1</c:v>
                </c:pt>
                <c:pt idx="2">
                  <c:v>2</c:v>
                </c:pt>
                <c:pt idx="3">
                  <c:v>3</c:v>
                </c:pt>
                <c:pt idx="4">
                  <c:v>4</c:v>
                </c:pt>
              </c:numCache>
            </c:numRef>
          </c:cat>
          <c:val>
            <c:numRef>
              <c:f>'ID4D Stats'!$CF$4:$CJ$4</c:f>
              <c:numCache>
                <c:formatCode>General</c:formatCode>
                <c:ptCount val="5"/>
                <c:pt idx="0">
                  <c:v>0</c:v>
                </c:pt>
                <c:pt idx="1">
                  <c:v>5</c:v>
                </c:pt>
                <c:pt idx="2">
                  <c:v>54</c:v>
                </c:pt>
                <c:pt idx="3">
                  <c:v>0</c:v>
                </c:pt>
                <c:pt idx="4">
                  <c:v>0</c:v>
                </c:pt>
              </c:numCache>
            </c:numRef>
          </c:val>
        </c:ser>
        <c:dLbls>
          <c:showLegendKey val="0"/>
          <c:showVal val="0"/>
          <c:showCatName val="0"/>
          <c:showSerName val="0"/>
          <c:showPercent val="0"/>
          <c:showBubbleSize val="0"/>
        </c:dLbls>
        <c:gapWidth val="160"/>
        <c:overlap val="-25"/>
        <c:axId val="426440192"/>
        <c:axId val="426440584"/>
      </c:barChart>
      <c:catAx>
        <c:axId val="426440192"/>
        <c:scaling>
          <c:orientation val="minMax"/>
        </c:scaling>
        <c:delete val="0"/>
        <c:axPos val="b"/>
        <c:title>
          <c:tx>
            <c:rich>
              <a:bodyPr/>
              <a:lstStyle/>
              <a:p>
                <a:pPr>
                  <a:defRPr sz="800" b="0">
                    <a:solidFill>
                      <a:srgbClr val="0000CC"/>
                    </a:solidFill>
                  </a:defRPr>
                </a:pPr>
                <a:r>
                  <a:rPr lang="en-US" sz="800" b="0">
                    <a:solidFill>
                      <a:srgbClr val="0000CC"/>
                    </a:solidFill>
                  </a:rPr>
                  <a:t>Point</a:t>
                </a:r>
              </a:p>
            </c:rich>
          </c:tx>
          <c:layout>
            <c:manualLayout>
              <c:xMode val="edge"/>
              <c:yMode val="edge"/>
              <c:x val="0.88408728320724617"/>
              <c:y val="0.89218613298337712"/>
            </c:manualLayout>
          </c:layout>
          <c:overlay val="0"/>
        </c:title>
        <c:numFmt formatCode="General" sourceLinked="1"/>
        <c:majorTickMark val="out"/>
        <c:minorTickMark val="none"/>
        <c:tickLblPos val="nextTo"/>
        <c:txPr>
          <a:bodyPr/>
          <a:lstStyle/>
          <a:p>
            <a:pPr>
              <a:defRPr sz="900"/>
            </a:pPr>
            <a:endParaRPr lang="en-US"/>
          </a:p>
        </c:txPr>
        <c:crossAx val="426440584"/>
        <c:crosses val="autoZero"/>
        <c:auto val="1"/>
        <c:lblAlgn val="ctr"/>
        <c:lblOffset val="100"/>
        <c:noMultiLvlLbl val="0"/>
      </c:catAx>
      <c:valAx>
        <c:axId val="426440584"/>
        <c:scaling>
          <c:orientation val="minMax"/>
        </c:scaling>
        <c:delete val="0"/>
        <c:axPos val="l"/>
        <c:majorGridlines>
          <c:spPr>
            <a:ln>
              <a:solidFill>
                <a:schemeClr val="bg1">
                  <a:lumMod val="75000"/>
                </a:schemeClr>
              </a:solidFill>
              <a:prstDash val="sysDot"/>
            </a:ln>
          </c:spPr>
        </c:majorGridlines>
        <c:title>
          <c:tx>
            <c:rich>
              <a:bodyPr rot="-5400000" vert="horz"/>
              <a:lstStyle/>
              <a:p>
                <a:pPr>
                  <a:defRPr sz="800" b="0">
                    <a:solidFill>
                      <a:srgbClr val="0000CC"/>
                    </a:solidFill>
                  </a:defRPr>
                </a:pPr>
                <a:r>
                  <a:rPr lang="en-US" sz="800" b="0">
                    <a:solidFill>
                      <a:srgbClr val="0000CC"/>
                    </a:solidFill>
                  </a:rPr>
                  <a:t>Economies</a:t>
                </a:r>
              </a:p>
            </c:rich>
          </c:tx>
          <c:layout>
            <c:manualLayout>
              <c:xMode val="edge"/>
              <c:yMode val="edge"/>
              <c:x val="6.4429905820595958E-3"/>
              <c:y val="9.6990077944802355E-2"/>
            </c:manualLayout>
          </c:layout>
          <c:overlay val="0"/>
        </c:title>
        <c:numFmt formatCode="General" sourceLinked="1"/>
        <c:majorTickMark val="out"/>
        <c:minorTickMark val="none"/>
        <c:tickLblPos val="nextTo"/>
        <c:txPr>
          <a:bodyPr/>
          <a:lstStyle/>
          <a:p>
            <a:pPr>
              <a:defRPr sz="900"/>
            </a:pPr>
            <a:endParaRPr lang="en-US"/>
          </a:p>
        </c:txPr>
        <c:crossAx val="426440192"/>
        <c:crosses val="autoZero"/>
        <c:crossBetween val="between"/>
      </c:valAx>
      <c:spPr>
        <a:ln>
          <a:solidFill>
            <a:schemeClr val="tx1"/>
          </a:solidFill>
        </a:ln>
      </c:spPr>
    </c:plotArea>
    <c:legend>
      <c:legendPos val="r"/>
      <c:layout>
        <c:manualLayout>
          <c:xMode val="edge"/>
          <c:yMode val="edge"/>
          <c:x val="0.11849493078071123"/>
          <c:y val="0.90034205793720234"/>
          <c:w val="0.73546684421800212"/>
          <c:h val="9.9657942062797711E-2"/>
        </c:manualLayout>
      </c:layout>
      <c:overlay val="0"/>
      <c:spPr>
        <a:solidFill>
          <a:schemeClr val="bg1"/>
        </a:solidFill>
      </c:spPr>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CC"/>
                </a:solidFill>
              </a:defRPr>
            </a:pPr>
            <a:r>
              <a:rPr lang="en-US" sz="1000">
                <a:solidFill>
                  <a:srgbClr val="0000CC"/>
                </a:solidFill>
              </a:rPr>
              <a:t>Regional</a:t>
            </a:r>
            <a:r>
              <a:rPr lang="en-US" sz="1000" baseline="0">
                <a:solidFill>
                  <a:srgbClr val="0000CC"/>
                </a:solidFill>
              </a:rPr>
              <a:t> distribution</a:t>
            </a:r>
            <a:endParaRPr lang="en-US" sz="1000">
              <a:solidFill>
                <a:srgbClr val="0000CC"/>
              </a:solidFill>
            </a:endParaRPr>
          </a:p>
        </c:rich>
      </c:tx>
      <c:layout>
        <c:manualLayout>
          <c:xMode val="edge"/>
          <c:yMode val="edge"/>
          <c:x val="0.30282726377952757"/>
          <c:y val="0"/>
        </c:manualLayout>
      </c:layout>
      <c:overlay val="1"/>
    </c:title>
    <c:autoTitleDeleted val="0"/>
    <c:plotArea>
      <c:layout>
        <c:manualLayout>
          <c:layoutTarget val="inner"/>
          <c:xMode val="edge"/>
          <c:yMode val="edge"/>
          <c:x val="0.11219561096529601"/>
          <c:y val="0.13163337221736174"/>
          <c:w val="0.87345587877904152"/>
          <c:h val="0.63639788082045301"/>
        </c:manualLayout>
      </c:layout>
      <c:barChart>
        <c:barDir val="col"/>
        <c:grouping val="clustered"/>
        <c:varyColors val="0"/>
        <c:ser>
          <c:idx val="1"/>
          <c:order val="0"/>
          <c:tx>
            <c:strRef>
              <c:f>'ID4D Stats'!$CM$4</c:f>
              <c:strCache>
                <c:ptCount val="1"/>
                <c:pt idx="0">
                  <c:v>AFR</c:v>
                </c:pt>
              </c:strCache>
            </c:strRef>
          </c:tx>
          <c:spPr>
            <a:solidFill>
              <a:srgbClr val="FFC000"/>
            </a:solidFill>
            <a:ln>
              <a:solidFill>
                <a:schemeClr val="tx1"/>
              </a:solidFill>
            </a:ln>
          </c:spPr>
          <c:invertIfNegative val="0"/>
          <c:cat>
            <c:numRef>
              <c:f>'ID4D Stats'!$CN$3:$CR$3</c:f>
              <c:numCache>
                <c:formatCode>General</c:formatCode>
                <c:ptCount val="5"/>
                <c:pt idx="0">
                  <c:v>0</c:v>
                </c:pt>
                <c:pt idx="1">
                  <c:v>1</c:v>
                </c:pt>
                <c:pt idx="2">
                  <c:v>2</c:v>
                </c:pt>
                <c:pt idx="3">
                  <c:v>3</c:v>
                </c:pt>
                <c:pt idx="4">
                  <c:v>4</c:v>
                </c:pt>
              </c:numCache>
            </c:numRef>
          </c:cat>
          <c:val>
            <c:numRef>
              <c:f>'ID4D Stats'!$CN$4:$CR$4</c:f>
              <c:numCache>
                <c:formatCode>General</c:formatCode>
                <c:ptCount val="5"/>
                <c:pt idx="0">
                  <c:v>0</c:v>
                </c:pt>
                <c:pt idx="1">
                  <c:v>5</c:v>
                </c:pt>
                <c:pt idx="2">
                  <c:v>43</c:v>
                </c:pt>
                <c:pt idx="3">
                  <c:v>0</c:v>
                </c:pt>
                <c:pt idx="4">
                  <c:v>0</c:v>
                </c:pt>
              </c:numCache>
            </c:numRef>
          </c:val>
        </c:ser>
        <c:ser>
          <c:idx val="2"/>
          <c:order val="1"/>
          <c:tx>
            <c:strRef>
              <c:f>'ID4D Stats'!$CM$5</c:f>
              <c:strCache>
                <c:ptCount val="1"/>
                <c:pt idx="0">
                  <c:v>EAP</c:v>
                </c:pt>
              </c:strCache>
            </c:strRef>
          </c:tx>
          <c:spPr>
            <a:solidFill>
              <a:schemeClr val="accent1">
                <a:lumMod val="40000"/>
                <a:lumOff val="60000"/>
              </a:schemeClr>
            </a:solidFill>
            <a:ln>
              <a:solidFill>
                <a:schemeClr val="tx1"/>
              </a:solidFill>
            </a:ln>
          </c:spPr>
          <c:invertIfNegative val="0"/>
          <c:cat>
            <c:numRef>
              <c:f>'ID4D Stats'!$CN$3:$CR$3</c:f>
              <c:numCache>
                <c:formatCode>General</c:formatCode>
                <c:ptCount val="5"/>
                <c:pt idx="0">
                  <c:v>0</c:v>
                </c:pt>
                <c:pt idx="1">
                  <c:v>1</c:v>
                </c:pt>
                <c:pt idx="2">
                  <c:v>2</c:v>
                </c:pt>
                <c:pt idx="3">
                  <c:v>3</c:v>
                </c:pt>
                <c:pt idx="4">
                  <c:v>4</c:v>
                </c:pt>
              </c:numCache>
            </c:numRef>
          </c:cat>
          <c:val>
            <c:numRef>
              <c:f>'ID4D Stats'!$CN$5:$CR$5</c:f>
              <c:numCache>
                <c:formatCode>General</c:formatCode>
                <c:ptCount val="5"/>
                <c:pt idx="0">
                  <c:v>0</c:v>
                </c:pt>
                <c:pt idx="1">
                  <c:v>1</c:v>
                </c:pt>
                <c:pt idx="2">
                  <c:v>28</c:v>
                </c:pt>
                <c:pt idx="3">
                  <c:v>0</c:v>
                </c:pt>
                <c:pt idx="4">
                  <c:v>0</c:v>
                </c:pt>
              </c:numCache>
            </c:numRef>
          </c:val>
        </c:ser>
        <c:ser>
          <c:idx val="3"/>
          <c:order val="2"/>
          <c:tx>
            <c:strRef>
              <c:f>'ID4D Stats'!$CM$6</c:f>
              <c:strCache>
                <c:ptCount val="1"/>
                <c:pt idx="0">
                  <c:v>ECA</c:v>
                </c:pt>
              </c:strCache>
            </c:strRef>
          </c:tx>
          <c:spPr>
            <a:solidFill>
              <a:srgbClr val="FFFF00"/>
            </a:solidFill>
            <a:ln>
              <a:solidFill>
                <a:schemeClr val="tx1"/>
              </a:solidFill>
            </a:ln>
          </c:spPr>
          <c:invertIfNegative val="0"/>
          <c:cat>
            <c:numRef>
              <c:f>'ID4D Stats'!$CN$3:$CR$3</c:f>
              <c:numCache>
                <c:formatCode>General</c:formatCode>
                <c:ptCount val="5"/>
                <c:pt idx="0">
                  <c:v>0</c:v>
                </c:pt>
                <c:pt idx="1">
                  <c:v>1</c:v>
                </c:pt>
                <c:pt idx="2">
                  <c:v>2</c:v>
                </c:pt>
                <c:pt idx="3">
                  <c:v>3</c:v>
                </c:pt>
                <c:pt idx="4">
                  <c:v>4</c:v>
                </c:pt>
              </c:numCache>
            </c:numRef>
          </c:cat>
          <c:val>
            <c:numRef>
              <c:f>'ID4D Stats'!$CN$6:$CR$6</c:f>
              <c:numCache>
                <c:formatCode>General</c:formatCode>
                <c:ptCount val="5"/>
                <c:pt idx="0">
                  <c:v>0</c:v>
                </c:pt>
                <c:pt idx="1">
                  <c:v>1</c:v>
                </c:pt>
                <c:pt idx="2">
                  <c:v>29</c:v>
                </c:pt>
                <c:pt idx="3">
                  <c:v>0</c:v>
                </c:pt>
                <c:pt idx="4">
                  <c:v>0</c:v>
                </c:pt>
              </c:numCache>
            </c:numRef>
          </c:val>
        </c:ser>
        <c:ser>
          <c:idx val="4"/>
          <c:order val="3"/>
          <c:tx>
            <c:strRef>
              <c:f>'ID4D Stats'!$CM$7</c:f>
              <c:strCache>
                <c:ptCount val="1"/>
                <c:pt idx="0">
                  <c:v>LCR</c:v>
                </c:pt>
              </c:strCache>
            </c:strRef>
          </c:tx>
          <c:spPr>
            <a:solidFill>
              <a:schemeClr val="accent3">
                <a:lumMod val="60000"/>
                <a:lumOff val="40000"/>
              </a:schemeClr>
            </a:solidFill>
            <a:ln>
              <a:solidFill>
                <a:schemeClr val="tx1"/>
              </a:solidFill>
            </a:ln>
          </c:spPr>
          <c:invertIfNegative val="0"/>
          <c:cat>
            <c:numRef>
              <c:f>'ID4D Stats'!$CN$3:$CR$3</c:f>
              <c:numCache>
                <c:formatCode>General</c:formatCode>
                <c:ptCount val="5"/>
                <c:pt idx="0">
                  <c:v>0</c:v>
                </c:pt>
                <c:pt idx="1">
                  <c:v>1</c:v>
                </c:pt>
                <c:pt idx="2">
                  <c:v>2</c:v>
                </c:pt>
                <c:pt idx="3">
                  <c:v>3</c:v>
                </c:pt>
                <c:pt idx="4">
                  <c:v>4</c:v>
                </c:pt>
              </c:numCache>
            </c:numRef>
          </c:cat>
          <c:val>
            <c:numRef>
              <c:f>'ID4D Stats'!$CN$7:$CR$7</c:f>
              <c:numCache>
                <c:formatCode>General</c:formatCode>
                <c:ptCount val="5"/>
                <c:pt idx="0">
                  <c:v>0</c:v>
                </c:pt>
                <c:pt idx="1">
                  <c:v>2</c:v>
                </c:pt>
                <c:pt idx="2">
                  <c:v>30</c:v>
                </c:pt>
                <c:pt idx="3">
                  <c:v>0</c:v>
                </c:pt>
                <c:pt idx="4">
                  <c:v>0</c:v>
                </c:pt>
              </c:numCache>
            </c:numRef>
          </c:val>
        </c:ser>
        <c:ser>
          <c:idx val="5"/>
          <c:order val="4"/>
          <c:tx>
            <c:strRef>
              <c:f>'ID4D Stats'!$CM$8</c:f>
              <c:strCache>
                <c:ptCount val="1"/>
                <c:pt idx="0">
                  <c:v>MNA</c:v>
                </c:pt>
              </c:strCache>
            </c:strRef>
          </c:tx>
          <c:spPr>
            <a:solidFill>
              <a:schemeClr val="tx2">
                <a:lumMod val="40000"/>
                <a:lumOff val="60000"/>
              </a:schemeClr>
            </a:solidFill>
            <a:ln>
              <a:solidFill>
                <a:schemeClr val="tx1"/>
              </a:solidFill>
            </a:ln>
          </c:spPr>
          <c:invertIfNegative val="0"/>
          <c:cat>
            <c:numRef>
              <c:f>'ID4D Stats'!$CN$3:$CR$3</c:f>
              <c:numCache>
                <c:formatCode>General</c:formatCode>
                <c:ptCount val="5"/>
                <c:pt idx="0">
                  <c:v>0</c:v>
                </c:pt>
                <c:pt idx="1">
                  <c:v>1</c:v>
                </c:pt>
                <c:pt idx="2">
                  <c:v>2</c:v>
                </c:pt>
                <c:pt idx="3">
                  <c:v>3</c:v>
                </c:pt>
                <c:pt idx="4">
                  <c:v>4</c:v>
                </c:pt>
              </c:numCache>
            </c:numRef>
          </c:cat>
          <c:val>
            <c:numRef>
              <c:f>'ID4D Stats'!$CN$8:$CR$8</c:f>
              <c:numCache>
                <c:formatCode>General</c:formatCode>
                <c:ptCount val="5"/>
                <c:pt idx="0">
                  <c:v>0</c:v>
                </c:pt>
                <c:pt idx="1">
                  <c:v>0</c:v>
                </c:pt>
                <c:pt idx="2">
                  <c:v>21</c:v>
                </c:pt>
                <c:pt idx="3">
                  <c:v>0</c:v>
                </c:pt>
                <c:pt idx="4">
                  <c:v>0</c:v>
                </c:pt>
              </c:numCache>
            </c:numRef>
          </c:val>
        </c:ser>
        <c:ser>
          <c:idx val="6"/>
          <c:order val="5"/>
          <c:tx>
            <c:strRef>
              <c:f>'ID4D Stats'!$CM$9</c:f>
              <c:strCache>
                <c:ptCount val="1"/>
                <c:pt idx="0">
                  <c:v>SAR</c:v>
                </c:pt>
              </c:strCache>
            </c:strRef>
          </c:tx>
          <c:spPr>
            <a:solidFill>
              <a:schemeClr val="accent6">
                <a:lumMod val="75000"/>
              </a:schemeClr>
            </a:solidFill>
            <a:ln>
              <a:solidFill>
                <a:schemeClr val="tx1"/>
              </a:solidFill>
            </a:ln>
          </c:spPr>
          <c:invertIfNegative val="0"/>
          <c:cat>
            <c:numRef>
              <c:f>'ID4D Stats'!$CN$3:$CR$3</c:f>
              <c:numCache>
                <c:formatCode>General</c:formatCode>
                <c:ptCount val="5"/>
                <c:pt idx="0">
                  <c:v>0</c:v>
                </c:pt>
                <c:pt idx="1">
                  <c:v>1</c:v>
                </c:pt>
                <c:pt idx="2">
                  <c:v>2</c:v>
                </c:pt>
                <c:pt idx="3">
                  <c:v>3</c:v>
                </c:pt>
                <c:pt idx="4">
                  <c:v>4</c:v>
                </c:pt>
              </c:numCache>
            </c:numRef>
          </c:cat>
          <c:val>
            <c:numRef>
              <c:f>'ID4D Stats'!$CN$9:$CR$9</c:f>
              <c:numCache>
                <c:formatCode>General</c:formatCode>
                <c:ptCount val="5"/>
                <c:pt idx="0">
                  <c:v>0</c:v>
                </c:pt>
                <c:pt idx="1">
                  <c:v>0</c:v>
                </c:pt>
                <c:pt idx="2">
                  <c:v>8</c:v>
                </c:pt>
                <c:pt idx="3">
                  <c:v>0</c:v>
                </c:pt>
                <c:pt idx="4">
                  <c:v>0</c:v>
                </c:pt>
              </c:numCache>
            </c:numRef>
          </c:val>
        </c:ser>
        <c:dLbls>
          <c:showLegendKey val="0"/>
          <c:showVal val="0"/>
          <c:showCatName val="0"/>
          <c:showSerName val="0"/>
          <c:showPercent val="0"/>
          <c:showBubbleSize val="0"/>
        </c:dLbls>
        <c:gapWidth val="160"/>
        <c:overlap val="-30"/>
        <c:axId val="426441368"/>
        <c:axId val="426441760"/>
      </c:barChart>
      <c:catAx>
        <c:axId val="426441368"/>
        <c:scaling>
          <c:orientation val="minMax"/>
        </c:scaling>
        <c:delete val="0"/>
        <c:axPos val="b"/>
        <c:title>
          <c:tx>
            <c:rich>
              <a:bodyPr/>
              <a:lstStyle/>
              <a:p>
                <a:pPr>
                  <a:defRPr sz="800" b="0">
                    <a:solidFill>
                      <a:srgbClr val="0000CC"/>
                    </a:solidFill>
                  </a:defRPr>
                </a:pPr>
                <a:r>
                  <a:rPr lang="en-US" sz="800" b="0">
                    <a:solidFill>
                      <a:srgbClr val="0000CC"/>
                    </a:solidFill>
                  </a:rPr>
                  <a:t>Point</a:t>
                </a:r>
              </a:p>
            </c:rich>
          </c:tx>
          <c:layout>
            <c:manualLayout>
              <c:xMode val="edge"/>
              <c:yMode val="edge"/>
              <c:x val="0.89899691358024691"/>
              <c:y val="0.8974895499173714"/>
            </c:manualLayout>
          </c:layout>
          <c:overlay val="0"/>
        </c:title>
        <c:numFmt formatCode="General" sourceLinked="1"/>
        <c:majorTickMark val="out"/>
        <c:minorTickMark val="none"/>
        <c:tickLblPos val="nextTo"/>
        <c:txPr>
          <a:bodyPr/>
          <a:lstStyle/>
          <a:p>
            <a:pPr>
              <a:defRPr sz="900"/>
            </a:pPr>
            <a:endParaRPr lang="en-US"/>
          </a:p>
        </c:txPr>
        <c:crossAx val="426441760"/>
        <c:crosses val="autoZero"/>
        <c:auto val="1"/>
        <c:lblAlgn val="ctr"/>
        <c:lblOffset val="100"/>
        <c:noMultiLvlLbl val="0"/>
      </c:catAx>
      <c:valAx>
        <c:axId val="426441760"/>
        <c:scaling>
          <c:orientation val="minMax"/>
        </c:scaling>
        <c:delete val="0"/>
        <c:axPos val="l"/>
        <c:majorGridlines>
          <c:spPr>
            <a:ln>
              <a:solidFill>
                <a:schemeClr val="bg1">
                  <a:lumMod val="75000"/>
                </a:schemeClr>
              </a:solidFill>
              <a:prstDash val="sysDot"/>
            </a:ln>
          </c:spPr>
        </c:majorGridlines>
        <c:title>
          <c:tx>
            <c:rich>
              <a:bodyPr rot="-5400000" vert="horz"/>
              <a:lstStyle/>
              <a:p>
                <a:pPr>
                  <a:defRPr sz="800" b="0">
                    <a:solidFill>
                      <a:srgbClr val="0000CC"/>
                    </a:solidFill>
                  </a:defRPr>
                </a:pPr>
                <a:r>
                  <a:rPr lang="en-US" sz="800" b="0">
                    <a:solidFill>
                      <a:srgbClr val="0000CC"/>
                    </a:solidFill>
                  </a:rPr>
                  <a:t>Economies</a:t>
                </a:r>
              </a:p>
            </c:rich>
          </c:tx>
          <c:layout>
            <c:manualLayout>
              <c:xMode val="edge"/>
              <c:yMode val="edge"/>
              <c:x val="0"/>
              <c:y val="0.10210035005834306"/>
            </c:manualLayout>
          </c:layout>
          <c:overlay val="0"/>
        </c:title>
        <c:numFmt formatCode="General" sourceLinked="1"/>
        <c:majorTickMark val="out"/>
        <c:minorTickMark val="none"/>
        <c:tickLblPos val="nextTo"/>
        <c:txPr>
          <a:bodyPr/>
          <a:lstStyle/>
          <a:p>
            <a:pPr>
              <a:defRPr sz="900"/>
            </a:pPr>
            <a:endParaRPr lang="en-US"/>
          </a:p>
        </c:txPr>
        <c:crossAx val="426441368"/>
        <c:crosses val="autoZero"/>
        <c:crossBetween val="between"/>
      </c:valAx>
      <c:spPr>
        <a:ln>
          <a:solidFill>
            <a:schemeClr val="tx1"/>
          </a:solidFill>
        </a:ln>
      </c:spPr>
    </c:plotArea>
    <c:legend>
      <c:legendPos val="r"/>
      <c:layout>
        <c:manualLayout>
          <c:xMode val="edge"/>
          <c:yMode val="edge"/>
          <c:x val="5.8561169437153691E-2"/>
          <c:y val="0.89061072227082727"/>
          <c:w val="0.80570653494702049"/>
          <c:h val="0.10938927772917274"/>
        </c:manualLayout>
      </c:layout>
      <c:overlay val="0"/>
      <c:spPr>
        <a:solidFill>
          <a:schemeClr val="bg1"/>
        </a:solidFill>
      </c:spPr>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a:solidFill>
                  <a:srgbClr val="0000CC"/>
                </a:solidFill>
              </a:defRPr>
            </a:pPr>
            <a:r>
              <a:rPr lang="en-US" sz="1000" b="1">
                <a:solidFill>
                  <a:srgbClr val="0000CC"/>
                </a:solidFill>
              </a:rPr>
              <a:t>Income level distribution</a:t>
            </a:r>
          </a:p>
        </c:rich>
      </c:tx>
      <c:layout>
        <c:manualLayout>
          <c:xMode val="edge"/>
          <c:yMode val="edge"/>
          <c:x val="0.25800634295713037"/>
          <c:y val="1.4636191309419647E-3"/>
        </c:manualLayout>
      </c:layout>
      <c:overlay val="1"/>
    </c:title>
    <c:autoTitleDeleted val="0"/>
    <c:plotArea>
      <c:layout>
        <c:manualLayout>
          <c:layoutTarget val="inner"/>
          <c:xMode val="edge"/>
          <c:yMode val="edge"/>
          <c:x val="0.12123675512783125"/>
          <c:y val="0.12928757169242736"/>
          <c:w val="0.85978024448332846"/>
          <c:h val="0.65088157383104894"/>
        </c:manualLayout>
      </c:layout>
      <c:barChart>
        <c:barDir val="col"/>
        <c:grouping val="clustered"/>
        <c:varyColors val="0"/>
        <c:ser>
          <c:idx val="0"/>
          <c:order val="0"/>
          <c:tx>
            <c:strRef>
              <c:f>'ID4D Stats'!$BJ$7</c:f>
              <c:strCache>
                <c:ptCount val="1"/>
                <c:pt idx="0">
                  <c:v>LIC</c:v>
                </c:pt>
              </c:strCache>
            </c:strRef>
          </c:tx>
          <c:spPr>
            <a:solidFill>
              <a:srgbClr val="FFC000"/>
            </a:solidFill>
            <a:ln>
              <a:solidFill>
                <a:schemeClr val="tx1"/>
              </a:solidFill>
            </a:ln>
          </c:spPr>
          <c:invertIfNegative val="0"/>
          <c:cat>
            <c:numRef>
              <c:f>'ID4D Stats'!$BK$3:$BP$3</c:f>
              <c:numCache>
                <c:formatCode>General</c:formatCode>
                <c:ptCount val="6"/>
                <c:pt idx="0">
                  <c:v>1</c:v>
                </c:pt>
                <c:pt idx="1">
                  <c:v>2</c:v>
                </c:pt>
                <c:pt idx="2">
                  <c:v>3</c:v>
                </c:pt>
                <c:pt idx="3">
                  <c:v>4</c:v>
                </c:pt>
                <c:pt idx="4">
                  <c:v>5</c:v>
                </c:pt>
                <c:pt idx="5">
                  <c:v>6</c:v>
                </c:pt>
              </c:numCache>
            </c:numRef>
          </c:cat>
          <c:val>
            <c:numRef>
              <c:f>'ID4D Stats'!$BK$7:$BP$7</c:f>
              <c:numCache>
                <c:formatCode>General</c:formatCode>
                <c:ptCount val="6"/>
                <c:pt idx="0">
                  <c:v>6</c:v>
                </c:pt>
                <c:pt idx="1">
                  <c:v>7</c:v>
                </c:pt>
                <c:pt idx="2">
                  <c:v>6</c:v>
                </c:pt>
                <c:pt idx="3">
                  <c:v>0</c:v>
                </c:pt>
                <c:pt idx="4">
                  <c:v>4</c:v>
                </c:pt>
                <c:pt idx="5">
                  <c:v>11</c:v>
                </c:pt>
              </c:numCache>
            </c:numRef>
          </c:val>
        </c:ser>
        <c:ser>
          <c:idx val="4"/>
          <c:order val="1"/>
          <c:tx>
            <c:strRef>
              <c:f>'ID4D Stats'!$BJ$6</c:f>
              <c:strCache>
                <c:ptCount val="1"/>
                <c:pt idx="0">
                  <c:v>LMIC</c:v>
                </c:pt>
              </c:strCache>
            </c:strRef>
          </c:tx>
          <c:spPr>
            <a:solidFill>
              <a:srgbClr val="FFFF00"/>
            </a:solidFill>
            <a:ln>
              <a:solidFill>
                <a:schemeClr val="tx1"/>
              </a:solidFill>
            </a:ln>
          </c:spPr>
          <c:invertIfNegative val="0"/>
          <c:cat>
            <c:numRef>
              <c:f>'ID4D Stats'!$BK$3:$BP$3</c:f>
              <c:numCache>
                <c:formatCode>General</c:formatCode>
                <c:ptCount val="6"/>
                <c:pt idx="0">
                  <c:v>1</c:v>
                </c:pt>
                <c:pt idx="1">
                  <c:v>2</c:v>
                </c:pt>
                <c:pt idx="2">
                  <c:v>3</c:v>
                </c:pt>
                <c:pt idx="3">
                  <c:v>4</c:v>
                </c:pt>
                <c:pt idx="4">
                  <c:v>5</c:v>
                </c:pt>
                <c:pt idx="5">
                  <c:v>6</c:v>
                </c:pt>
              </c:numCache>
            </c:numRef>
          </c:cat>
          <c:val>
            <c:numRef>
              <c:f>'ID4D Stats'!$BK$6:$BP$6</c:f>
              <c:numCache>
                <c:formatCode>General</c:formatCode>
                <c:ptCount val="6"/>
                <c:pt idx="0">
                  <c:v>10</c:v>
                </c:pt>
                <c:pt idx="1">
                  <c:v>17</c:v>
                </c:pt>
                <c:pt idx="2">
                  <c:v>1</c:v>
                </c:pt>
                <c:pt idx="3">
                  <c:v>2</c:v>
                </c:pt>
                <c:pt idx="4">
                  <c:v>5</c:v>
                </c:pt>
                <c:pt idx="5">
                  <c:v>15</c:v>
                </c:pt>
              </c:numCache>
            </c:numRef>
          </c:val>
        </c:ser>
        <c:ser>
          <c:idx val="3"/>
          <c:order val="2"/>
          <c:tx>
            <c:strRef>
              <c:f>'ID4D Stats'!$BJ$5</c:f>
              <c:strCache>
                <c:ptCount val="1"/>
                <c:pt idx="0">
                  <c:v>UMIC</c:v>
                </c:pt>
              </c:strCache>
            </c:strRef>
          </c:tx>
          <c:spPr>
            <a:solidFill>
              <a:schemeClr val="accent3">
                <a:lumMod val="60000"/>
                <a:lumOff val="40000"/>
              </a:schemeClr>
            </a:solidFill>
            <a:ln>
              <a:solidFill>
                <a:schemeClr val="tx1"/>
              </a:solidFill>
            </a:ln>
          </c:spPr>
          <c:invertIfNegative val="0"/>
          <c:cat>
            <c:numRef>
              <c:f>'ID4D Stats'!$BK$3:$BP$3</c:f>
              <c:numCache>
                <c:formatCode>General</c:formatCode>
                <c:ptCount val="6"/>
                <c:pt idx="0">
                  <c:v>1</c:v>
                </c:pt>
                <c:pt idx="1">
                  <c:v>2</c:v>
                </c:pt>
                <c:pt idx="2">
                  <c:v>3</c:v>
                </c:pt>
                <c:pt idx="3">
                  <c:v>4</c:v>
                </c:pt>
                <c:pt idx="4">
                  <c:v>5</c:v>
                </c:pt>
                <c:pt idx="5">
                  <c:v>6</c:v>
                </c:pt>
              </c:numCache>
            </c:numRef>
          </c:cat>
          <c:val>
            <c:numRef>
              <c:f>'ID4D Stats'!$BK$5:$BP$5</c:f>
              <c:numCache>
                <c:formatCode>General</c:formatCode>
                <c:ptCount val="6"/>
                <c:pt idx="0">
                  <c:v>13</c:v>
                </c:pt>
                <c:pt idx="1">
                  <c:v>18</c:v>
                </c:pt>
                <c:pt idx="2">
                  <c:v>6</c:v>
                </c:pt>
                <c:pt idx="3">
                  <c:v>5</c:v>
                </c:pt>
                <c:pt idx="4">
                  <c:v>8</c:v>
                </c:pt>
                <c:pt idx="5">
                  <c:v>5</c:v>
                </c:pt>
              </c:numCache>
            </c:numRef>
          </c:val>
        </c:ser>
        <c:ser>
          <c:idx val="2"/>
          <c:order val="3"/>
          <c:tx>
            <c:strRef>
              <c:f>'ID4D Stats'!$BJ$4</c:f>
              <c:strCache>
                <c:ptCount val="1"/>
                <c:pt idx="0">
                  <c:v>HIC</c:v>
                </c:pt>
              </c:strCache>
            </c:strRef>
          </c:tx>
          <c:spPr>
            <a:solidFill>
              <a:schemeClr val="accent1">
                <a:lumMod val="40000"/>
                <a:lumOff val="60000"/>
              </a:schemeClr>
            </a:solidFill>
            <a:ln>
              <a:solidFill>
                <a:schemeClr val="tx1"/>
              </a:solidFill>
            </a:ln>
          </c:spPr>
          <c:invertIfNegative val="0"/>
          <c:cat>
            <c:numRef>
              <c:f>'ID4D Stats'!$BK$3:$BP$3</c:f>
              <c:numCache>
                <c:formatCode>General</c:formatCode>
                <c:ptCount val="6"/>
                <c:pt idx="0">
                  <c:v>1</c:v>
                </c:pt>
                <c:pt idx="1">
                  <c:v>2</c:v>
                </c:pt>
                <c:pt idx="2">
                  <c:v>3</c:v>
                </c:pt>
                <c:pt idx="3">
                  <c:v>4</c:v>
                </c:pt>
                <c:pt idx="4">
                  <c:v>5</c:v>
                </c:pt>
                <c:pt idx="5">
                  <c:v>6</c:v>
                </c:pt>
              </c:numCache>
            </c:numRef>
          </c:cat>
          <c:val>
            <c:numRef>
              <c:f>'ID4D Stats'!$BK$4:$BP$4</c:f>
              <c:numCache>
                <c:formatCode>General</c:formatCode>
                <c:ptCount val="6"/>
                <c:pt idx="0">
                  <c:v>10</c:v>
                </c:pt>
                <c:pt idx="1">
                  <c:v>18</c:v>
                </c:pt>
                <c:pt idx="2">
                  <c:v>6</c:v>
                </c:pt>
                <c:pt idx="3">
                  <c:v>0</c:v>
                </c:pt>
                <c:pt idx="4">
                  <c:v>16</c:v>
                </c:pt>
                <c:pt idx="5">
                  <c:v>9</c:v>
                </c:pt>
              </c:numCache>
            </c:numRef>
          </c:val>
        </c:ser>
        <c:dLbls>
          <c:showLegendKey val="0"/>
          <c:showVal val="0"/>
          <c:showCatName val="0"/>
          <c:showSerName val="0"/>
          <c:showPercent val="0"/>
          <c:showBubbleSize val="0"/>
        </c:dLbls>
        <c:gapWidth val="160"/>
        <c:overlap val="-25"/>
        <c:axId val="426442544"/>
        <c:axId val="426442936"/>
      </c:barChart>
      <c:catAx>
        <c:axId val="426442544"/>
        <c:scaling>
          <c:orientation val="minMax"/>
        </c:scaling>
        <c:delete val="0"/>
        <c:axPos val="b"/>
        <c:title>
          <c:tx>
            <c:rich>
              <a:bodyPr/>
              <a:lstStyle/>
              <a:p>
                <a:pPr>
                  <a:defRPr sz="800" b="0">
                    <a:solidFill>
                      <a:srgbClr val="0000CC"/>
                    </a:solidFill>
                  </a:defRPr>
                </a:pPr>
                <a:r>
                  <a:rPr lang="en-US" sz="800" b="0">
                    <a:solidFill>
                      <a:srgbClr val="0000CC"/>
                    </a:solidFill>
                  </a:rPr>
                  <a:t>CR Inst</a:t>
                </a:r>
              </a:p>
            </c:rich>
          </c:tx>
          <c:layout>
            <c:manualLayout>
              <c:xMode val="edge"/>
              <c:yMode val="edge"/>
              <c:x val="0.88408728320724617"/>
              <c:y val="0.8999021823660931"/>
            </c:manualLayout>
          </c:layout>
          <c:overlay val="0"/>
        </c:title>
        <c:numFmt formatCode="General" sourceLinked="1"/>
        <c:majorTickMark val="out"/>
        <c:minorTickMark val="none"/>
        <c:tickLblPos val="nextTo"/>
        <c:txPr>
          <a:bodyPr/>
          <a:lstStyle/>
          <a:p>
            <a:pPr>
              <a:defRPr sz="900"/>
            </a:pPr>
            <a:endParaRPr lang="en-US"/>
          </a:p>
        </c:txPr>
        <c:crossAx val="426442936"/>
        <c:crosses val="autoZero"/>
        <c:auto val="1"/>
        <c:lblAlgn val="ctr"/>
        <c:lblOffset val="100"/>
        <c:noMultiLvlLbl val="0"/>
      </c:catAx>
      <c:valAx>
        <c:axId val="426442936"/>
        <c:scaling>
          <c:orientation val="minMax"/>
        </c:scaling>
        <c:delete val="0"/>
        <c:axPos val="l"/>
        <c:majorGridlines>
          <c:spPr>
            <a:ln>
              <a:solidFill>
                <a:schemeClr val="bg1">
                  <a:lumMod val="75000"/>
                </a:schemeClr>
              </a:solidFill>
              <a:prstDash val="sysDot"/>
            </a:ln>
          </c:spPr>
        </c:majorGridlines>
        <c:title>
          <c:tx>
            <c:rich>
              <a:bodyPr rot="-5400000" vert="horz"/>
              <a:lstStyle/>
              <a:p>
                <a:pPr>
                  <a:defRPr sz="800" b="0">
                    <a:solidFill>
                      <a:srgbClr val="0000CC"/>
                    </a:solidFill>
                  </a:defRPr>
                </a:pPr>
                <a:r>
                  <a:rPr lang="en-US" sz="800" b="0">
                    <a:solidFill>
                      <a:srgbClr val="0000CC"/>
                    </a:solidFill>
                  </a:rPr>
                  <a:t>Economies</a:t>
                </a:r>
              </a:p>
            </c:rich>
          </c:tx>
          <c:layout>
            <c:manualLayout>
              <c:xMode val="edge"/>
              <c:yMode val="edge"/>
              <c:x val="6.4429905820595958E-3"/>
              <c:y val="9.6990077944802355E-2"/>
            </c:manualLayout>
          </c:layout>
          <c:overlay val="0"/>
        </c:title>
        <c:numFmt formatCode="General" sourceLinked="1"/>
        <c:majorTickMark val="out"/>
        <c:minorTickMark val="none"/>
        <c:tickLblPos val="nextTo"/>
        <c:txPr>
          <a:bodyPr/>
          <a:lstStyle/>
          <a:p>
            <a:pPr>
              <a:defRPr sz="900"/>
            </a:pPr>
            <a:endParaRPr lang="en-US"/>
          </a:p>
        </c:txPr>
        <c:crossAx val="426442544"/>
        <c:crosses val="autoZero"/>
        <c:crossBetween val="between"/>
      </c:valAx>
      <c:spPr>
        <a:ln>
          <a:solidFill>
            <a:schemeClr val="tx1"/>
          </a:solidFill>
        </a:ln>
      </c:spPr>
    </c:plotArea>
    <c:legend>
      <c:legendPos val="r"/>
      <c:layout>
        <c:manualLayout>
          <c:xMode val="edge"/>
          <c:yMode val="edge"/>
          <c:x val="0.16342957130358704"/>
          <c:y val="0.88490995917177018"/>
          <c:w val="0.66193743245329628"/>
          <c:h val="0.11509004082822981"/>
        </c:manualLayout>
      </c:layout>
      <c:overlay val="0"/>
      <c:spPr>
        <a:solidFill>
          <a:schemeClr val="bg1"/>
        </a:solidFill>
      </c:spPr>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CC"/>
                </a:solidFill>
              </a:defRPr>
            </a:pPr>
            <a:r>
              <a:rPr lang="en-US" sz="1000">
                <a:solidFill>
                  <a:srgbClr val="0000CC"/>
                </a:solidFill>
              </a:rPr>
              <a:t>Regional</a:t>
            </a:r>
            <a:r>
              <a:rPr lang="en-US" sz="1000" baseline="0">
                <a:solidFill>
                  <a:srgbClr val="0000CC"/>
                </a:solidFill>
              </a:rPr>
              <a:t> distribution</a:t>
            </a:r>
            <a:endParaRPr lang="en-US" sz="1000">
              <a:solidFill>
                <a:srgbClr val="0000CC"/>
              </a:solidFill>
            </a:endParaRPr>
          </a:p>
        </c:rich>
      </c:tx>
      <c:layout>
        <c:manualLayout>
          <c:xMode val="edge"/>
          <c:yMode val="edge"/>
          <c:x val="0.30282726377952757"/>
          <c:y val="0"/>
        </c:manualLayout>
      </c:layout>
      <c:overlay val="1"/>
    </c:title>
    <c:autoTitleDeleted val="0"/>
    <c:plotArea>
      <c:layout>
        <c:manualLayout>
          <c:layoutTarget val="inner"/>
          <c:xMode val="edge"/>
          <c:yMode val="edge"/>
          <c:x val="0.10795166229221348"/>
          <c:y val="0.13163337221736174"/>
          <c:w val="0.87615649606299217"/>
          <c:h val="0.64411393020316909"/>
        </c:manualLayout>
      </c:layout>
      <c:barChart>
        <c:barDir val="col"/>
        <c:grouping val="clustered"/>
        <c:varyColors val="0"/>
        <c:ser>
          <c:idx val="1"/>
          <c:order val="0"/>
          <c:tx>
            <c:strRef>
              <c:f>'ID4D Stats'!$BT$4</c:f>
              <c:strCache>
                <c:ptCount val="1"/>
                <c:pt idx="0">
                  <c:v>AFR</c:v>
                </c:pt>
              </c:strCache>
            </c:strRef>
          </c:tx>
          <c:spPr>
            <a:solidFill>
              <a:srgbClr val="FFC000"/>
            </a:solidFill>
            <a:ln>
              <a:solidFill>
                <a:schemeClr val="tx1"/>
              </a:solidFill>
            </a:ln>
          </c:spPr>
          <c:invertIfNegative val="0"/>
          <c:cat>
            <c:numRef>
              <c:f>'ID4D Stats'!$BU$3:$BZ$3</c:f>
              <c:numCache>
                <c:formatCode>General</c:formatCode>
                <c:ptCount val="6"/>
                <c:pt idx="0">
                  <c:v>1</c:v>
                </c:pt>
                <c:pt idx="1">
                  <c:v>2</c:v>
                </c:pt>
                <c:pt idx="2">
                  <c:v>3</c:v>
                </c:pt>
                <c:pt idx="3">
                  <c:v>4</c:v>
                </c:pt>
                <c:pt idx="4">
                  <c:v>5</c:v>
                </c:pt>
                <c:pt idx="5">
                  <c:v>6</c:v>
                </c:pt>
              </c:numCache>
            </c:numRef>
          </c:cat>
          <c:val>
            <c:numRef>
              <c:f>'ID4D Stats'!$BU$4:$BZ$4</c:f>
              <c:numCache>
                <c:formatCode>General</c:formatCode>
                <c:ptCount val="6"/>
                <c:pt idx="0">
                  <c:v>9</c:v>
                </c:pt>
                <c:pt idx="1">
                  <c:v>13</c:v>
                </c:pt>
                <c:pt idx="2">
                  <c:v>6</c:v>
                </c:pt>
                <c:pt idx="3">
                  <c:v>0</c:v>
                </c:pt>
                <c:pt idx="4">
                  <c:v>4</c:v>
                </c:pt>
                <c:pt idx="5">
                  <c:v>16</c:v>
                </c:pt>
              </c:numCache>
            </c:numRef>
          </c:val>
        </c:ser>
        <c:ser>
          <c:idx val="2"/>
          <c:order val="1"/>
          <c:tx>
            <c:strRef>
              <c:f>'ID4D Stats'!$BT$5</c:f>
              <c:strCache>
                <c:ptCount val="1"/>
                <c:pt idx="0">
                  <c:v>EAP</c:v>
                </c:pt>
              </c:strCache>
            </c:strRef>
          </c:tx>
          <c:spPr>
            <a:solidFill>
              <a:schemeClr val="accent1">
                <a:lumMod val="40000"/>
                <a:lumOff val="60000"/>
              </a:schemeClr>
            </a:solidFill>
            <a:ln>
              <a:solidFill>
                <a:schemeClr val="tx1"/>
              </a:solidFill>
            </a:ln>
          </c:spPr>
          <c:invertIfNegative val="0"/>
          <c:cat>
            <c:numRef>
              <c:f>'ID4D Stats'!$BU$3:$BZ$3</c:f>
              <c:numCache>
                <c:formatCode>General</c:formatCode>
                <c:ptCount val="6"/>
                <c:pt idx="0">
                  <c:v>1</c:v>
                </c:pt>
                <c:pt idx="1">
                  <c:v>2</c:v>
                </c:pt>
                <c:pt idx="2">
                  <c:v>3</c:v>
                </c:pt>
                <c:pt idx="3">
                  <c:v>4</c:v>
                </c:pt>
                <c:pt idx="4">
                  <c:v>5</c:v>
                </c:pt>
                <c:pt idx="5">
                  <c:v>6</c:v>
                </c:pt>
              </c:numCache>
            </c:numRef>
          </c:cat>
          <c:val>
            <c:numRef>
              <c:f>'ID4D Stats'!$BU$5:$BZ$5</c:f>
              <c:numCache>
                <c:formatCode>General</c:formatCode>
                <c:ptCount val="6"/>
                <c:pt idx="0">
                  <c:v>9</c:v>
                </c:pt>
                <c:pt idx="1">
                  <c:v>8</c:v>
                </c:pt>
                <c:pt idx="2">
                  <c:v>1</c:v>
                </c:pt>
                <c:pt idx="3">
                  <c:v>0</c:v>
                </c:pt>
                <c:pt idx="4">
                  <c:v>4</c:v>
                </c:pt>
                <c:pt idx="5">
                  <c:v>7</c:v>
                </c:pt>
              </c:numCache>
            </c:numRef>
          </c:val>
        </c:ser>
        <c:ser>
          <c:idx val="3"/>
          <c:order val="2"/>
          <c:tx>
            <c:strRef>
              <c:f>'ID4D Stats'!$BT$6</c:f>
              <c:strCache>
                <c:ptCount val="1"/>
                <c:pt idx="0">
                  <c:v>ECA</c:v>
                </c:pt>
              </c:strCache>
            </c:strRef>
          </c:tx>
          <c:spPr>
            <a:solidFill>
              <a:srgbClr val="FFFF00"/>
            </a:solidFill>
            <a:ln>
              <a:solidFill>
                <a:schemeClr val="tx1"/>
              </a:solidFill>
            </a:ln>
          </c:spPr>
          <c:invertIfNegative val="0"/>
          <c:cat>
            <c:numRef>
              <c:f>'ID4D Stats'!$BU$3:$BZ$3</c:f>
              <c:numCache>
                <c:formatCode>General</c:formatCode>
                <c:ptCount val="6"/>
                <c:pt idx="0">
                  <c:v>1</c:v>
                </c:pt>
                <c:pt idx="1">
                  <c:v>2</c:v>
                </c:pt>
                <c:pt idx="2">
                  <c:v>3</c:v>
                </c:pt>
                <c:pt idx="3">
                  <c:v>4</c:v>
                </c:pt>
                <c:pt idx="4">
                  <c:v>5</c:v>
                </c:pt>
                <c:pt idx="5">
                  <c:v>6</c:v>
                </c:pt>
              </c:numCache>
            </c:numRef>
          </c:cat>
          <c:val>
            <c:numRef>
              <c:f>'ID4D Stats'!$BU$6:$BZ$6</c:f>
              <c:numCache>
                <c:formatCode>General</c:formatCode>
                <c:ptCount val="6"/>
                <c:pt idx="0">
                  <c:v>6</c:v>
                </c:pt>
                <c:pt idx="1">
                  <c:v>11</c:v>
                </c:pt>
                <c:pt idx="2">
                  <c:v>3</c:v>
                </c:pt>
                <c:pt idx="3">
                  <c:v>0</c:v>
                </c:pt>
                <c:pt idx="4">
                  <c:v>6</c:v>
                </c:pt>
                <c:pt idx="5">
                  <c:v>4</c:v>
                </c:pt>
              </c:numCache>
            </c:numRef>
          </c:val>
        </c:ser>
        <c:ser>
          <c:idx val="4"/>
          <c:order val="3"/>
          <c:tx>
            <c:strRef>
              <c:f>'ID4D Stats'!$BT$7</c:f>
              <c:strCache>
                <c:ptCount val="1"/>
                <c:pt idx="0">
                  <c:v>LCR</c:v>
                </c:pt>
              </c:strCache>
            </c:strRef>
          </c:tx>
          <c:spPr>
            <a:solidFill>
              <a:schemeClr val="accent3">
                <a:lumMod val="60000"/>
                <a:lumOff val="40000"/>
              </a:schemeClr>
            </a:solidFill>
            <a:ln>
              <a:solidFill>
                <a:schemeClr val="tx1"/>
              </a:solidFill>
            </a:ln>
          </c:spPr>
          <c:invertIfNegative val="0"/>
          <c:cat>
            <c:numRef>
              <c:f>'ID4D Stats'!$BU$3:$BZ$3</c:f>
              <c:numCache>
                <c:formatCode>General</c:formatCode>
                <c:ptCount val="6"/>
                <c:pt idx="0">
                  <c:v>1</c:v>
                </c:pt>
                <c:pt idx="1">
                  <c:v>2</c:v>
                </c:pt>
                <c:pt idx="2">
                  <c:v>3</c:v>
                </c:pt>
                <c:pt idx="3">
                  <c:v>4</c:v>
                </c:pt>
                <c:pt idx="4">
                  <c:v>5</c:v>
                </c:pt>
                <c:pt idx="5">
                  <c:v>6</c:v>
                </c:pt>
              </c:numCache>
            </c:numRef>
          </c:cat>
          <c:val>
            <c:numRef>
              <c:f>'ID4D Stats'!$BU$7:$BZ$7</c:f>
              <c:numCache>
                <c:formatCode>General</c:formatCode>
                <c:ptCount val="6"/>
                <c:pt idx="0">
                  <c:v>13</c:v>
                </c:pt>
                <c:pt idx="1">
                  <c:v>5</c:v>
                </c:pt>
                <c:pt idx="2">
                  <c:v>3</c:v>
                </c:pt>
                <c:pt idx="3">
                  <c:v>7</c:v>
                </c:pt>
                <c:pt idx="4">
                  <c:v>1</c:v>
                </c:pt>
                <c:pt idx="5">
                  <c:v>3</c:v>
                </c:pt>
              </c:numCache>
            </c:numRef>
          </c:val>
        </c:ser>
        <c:ser>
          <c:idx val="5"/>
          <c:order val="4"/>
          <c:tx>
            <c:strRef>
              <c:f>'ID4D Stats'!$BT$8</c:f>
              <c:strCache>
                <c:ptCount val="1"/>
                <c:pt idx="0">
                  <c:v>MNA</c:v>
                </c:pt>
              </c:strCache>
            </c:strRef>
          </c:tx>
          <c:spPr>
            <a:solidFill>
              <a:schemeClr val="tx2">
                <a:lumMod val="40000"/>
                <a:lumOff val="60000"/>
              </a:schemeClr>
            </a:solidFill>
            <a:ln>
              <a:solidFill>
                <a:schemeClr val="tx1"/>
              </a:solidFill>
            </a:ln>
          </c:spPr>
          <c:invertIfNegative val="0"/>
          <c:cat>
            <c:numRef>
              <c:f>'ID4D Stats'!$BU$3:$BZ$3</c:f>
              <c:numCache>
                <c:formatCode>General</c:formatCode>
                <c:ptCount val="6"/>
                <c:pt idx="0">
                  <c:v>1</c:v>
                </c:pt>
                <c:pt idx="1">
                  <c:v>2</c:v>
                </c:pt>
                <c:pt idx="2">
                  <c:v>3</c:v>
                </c:pt>
                <c:pt idx="3">
                  <c:v>4</c:v>
                </c:pt>
                <c:pt idx="4">
                  <c:v>5</c:v>
                </c:pt>
                <c:pt idx="5">
                  <c:v>6</c:v>
                </c:pt>
              </c:numCache>
            </c:numRef>
          </c:cat>
          <c:val>
            <c:numRef>
              <c:f>'ID4D Stats'!$BU$8:$BZ$8</c:f>
              <c:numCache>
                <c:formatCode>General</c:formatCode>
                <c:ptCount val="6"/>
                <c:pt idx="0">
                  <c:v>0</c:v>
                </c:pt>
                <c:pt idx="1">
                  <c:v>12</c:v>
                </c:pt>
                <c:pt idx="2">
                  <c:v>5</c:v>
                </c:pt>
                <c:pt idx="3">
                  <c:v>0</c:v>
                </c:pt>
                <c:pt idx="4">
                  <c:v>1</c:v>
                </c:pt>
                <c:pt idx="5">
                  <c:v>3</c:v>
                </c:pt>
              </c:numCache>
            </c:numRef>
          </c:val>
        </c:ser>
        <c:ser>
          <c:idx val="6"/>
          <c:order val="5"/>
          <c:tx>
            <c:strRef>
              <c:f>'ID4D Stats'!$BT$9</c:f>
              <c:strCache>
                <c:ptCount val="1"/>
                <c:pt idx="0">
                  <c:v>SAR</c:v>
                </c:pt>
              </c:strCache>
            </c:strRef>
          </c:tx>
          <c:spPr>
            <a:solidFill>
              <a:schemeClr val="accent6">
                <a:lumMod val="75000"/>
              </a:schemeClr>
            </a:solidFill>
            <a:ln>
              <a:solidFill>
                <a:schemeClr val="tx1"/>
              </a:solidFill>
            </a:ln>
          </c:spPr>
          <c:invertIfNegative val="0"/>
          <c:cat>
            <c:numRef>
              <c:f>'ID4D Stats'!$BU$3:$BZ$3</c:f>
              <c:numCache>
                <c:formatCode>General</c:formatCode>
                <c:ptCount val="6"/>
                <c:pt idx="0">
                  <c:v>1</c:v>
                </c:pt>
                <c:pt idx="1">
                  <c:v>2</c:v>
                </c:pt>
                <c:pt idx="2">
                  <c:v>3</c:v>
                </c:pt>
                <c:pt idx="3">
                  <c:v>4</c:v>
                </c:pt>
                <c:pt idx="4">
                  <c:v>5</c:v>
                </c:pt>
                <c:pt idx="5">
                  <c:v>6</c:v>
                </c:pt>
              </c:numCache>
            </c:numRef>
          </c:cat>
          <c:val>
            <c:numRef>
              <c:f>'ID4D Stats'!$BU$9:$BZ$9</c:f>
              <c:numCache>
                <c:formatCode>General</c:formatCode>
                <c:ptCount val="6"/>
                <c:pt idx="0">
                  <c:v>0</c:v>
                </c:pt>
                <c:pt idx="1">
                  <c:v>3</c:v>
                </c:pt>
                <c:pt idx="2">
                  <c:v>0</c:v>
                </c:pt>
                <c:pt idx="3">
                  <c:v>0</c:v>
                </c:pt>
                <c:pt idx="4">
                  <c:v>3</c:v>
                </c:pt>
                <c:pt idx="5">
                  <c:v>2</c:v>
                </c:pt>
              </c:numCache>
            </c:numRef>
          </c:val>
        </c:ser>
        <c:dLbls>
          <c:showLegendKey val="0"/>
          <c:showVal val="0"/>
          <c:showCatName val="0"/>
          <c:showSerName val="0"/>
          <c:showPercent val="0"/>
          <c:showBubbleSize val="0"/>
        </c:dLbls>
        <c:gapWidth val="160"/>
        <c:overlap val="-25"/>
        <c:axId val="426443720"/>
        <c:axId val="426444112"/>
      </c:barChart>
      <c:catAx>
        <c:axId val="426443720"/>
        <c:scaling>
          <c:orientation val="minMax"/>
        </c:scaling>
        <c:delete val="0"/>
        <c:axPos val="b"/>
        <c:title>
          <c:tx>
            <c:rich>
              <a:bodyPr/>
              <a:lstStyle/>
              <a:p>
                <a:pPr>
                  <a:defRPr sz="800" b="0">
                    <a:solidFill>
                      <a:srgbClr val="0000CC"/>
                    </a:solidFill>
                  </a:defRPr>
                </a:pPr>
                <a:r>
                  <a:rPr lang="en-US" sz="800" b="0">
                    <a:solidFill>
                      <a:srgbClr val="0000CC"/>
                    </a:solidFill>
                  </a:rPr>
                  <a:t>CR Inst</a:t>
                </a:r>
              </a:p>
            </c:rich>
          </c:tx>
          <c:layout>
            <c:manualLayout>
              <c:xMode val="edge"/>
              <c:yMode val="edge"/>
              <c:x val="0.89513888888888893"/>
              <c:y val="0.8974895499173714"/>
            </c:manualLayout>
          </c:layout>
          <c:overlay val="0"/>
        </c:title>
        <c:numFmt formatCode="General" sourceLinked="1"/>
        <c:majorTickMark val="out"/>
        <c:minorTickMark val="none"/>
        <c:tickLblPos val="nextTo"/>
        <c:txPr>
          <a:bodyPr/>
          <a:lstStyle/>
          <a:p>
            <a:pPr>
              <a:defRPr sz="900"/>
            </a:pPr>
            <a:endParaRPr lang="en-US"/>
          </a:p>
        </c:txPr>
        <c:crossAx val="426444112"/>
        <c:crosses val="autoZero"/>
        <c:auto val="1"/>
        <c:lblAlgn val="ctr"/>
        <c:lblOffset val="100"/>
        <c:noMultiLvlLbl val="0"/>
      </c:catAx>
      <c:valAx>
        <c:axId val="426444112"/>
        <c:scaling>
          <c:orientation val="minMax"/>
        </c:scaling>
        <c:delete val="0"/>
        <c:axPos val="l"/>
        <c:majorGridlines>
          <c:spPr>
            <a:ln>
              <a:solidFill>
                <a:schemeClr val="bg1">
                  <a:lumMod val="75000"/>
                </a:schemeClr>
              </a:solidFill>
              <a:prstDash val="sysDot"/>
            </a:ln>
          </c:spPr>
        </c:majorGridlines>
        <c:title>
          <c:tx>
            <c:rich>
              <a:bodyPr rot="-5400000" vert="horz"/>
              <a:lstStyle/>
              <a:p>
                <a:pPr>
                  <a:defRPr sz="800" b="0">
                    <a:solidFill>
                      <a:srgbClr val="0000CC"/>
                    </a:solidFill>
                  </a:defRPr>
                </a:pPr>
                <a:r>
                  <a:rPr lang="en-US" sz="800" b="0">
                    <a:solidFill>
                      <a:srgbClr val="0000CC"/>
                    </a:solidFill>
                  </a:rPr>
                  <a:t>Economies</a:t>
                </a:r>
              </a:p>
            </c:rich>
          </c:tx>
          <c:layout>
            <c:manualLayout>
              <c:xMode val="edge"/>
              <c:yMode val="edge"/>
              <c:x val="0"/>
              <c:y val="0.10210035005834306"/>
            </c:manualLayout>
          </c:layout>
          <c:overlay val="0"/>
        </c:title>
        <c:numFmt formatCode="General" sourceLinked="1"/>
        <c:majorTickMark val="out"/>
        <c:minorTickMark val="none"/>
        <c:tickLblPos val="nextTo"/>
        <c:txPr>
          <a:bodyPr/>
          <a:lstStyle/>
          <a:p>
            <a:pPr>
              <a:defRPr sz="900"/>
            </a:pPr>
            <a:endParaRPr lang="en-US"/>
          </a:p>
        </c:txPr>
        <c:crossAx val="426443720"/>
        <c:crosses val="autoZero"/>
        <c:crossBetween val="between"/>
      </c:valAx>
      <c:spPr>
        <a:ln>
          <a:solidFill>
            <a:schemeClr val="tx1"/>
          </a:solidFill>
        </a:ln>
      </c:spPr>
    </c:plotArea>
    <c:legend>
      <c:legendPos val="r"/>
      <c:layout>
        <c:manualLayout>
          <c:xMode val="edge"/>
          <c:yMode val="edge"/>
          <c:x val="0.10292842300962381"/>
          <c:y val="0.88289467288811119"/>
          <c:w val="0.75902449693788276"/>
          <c:h val="0.11710532711188879"/>
        </c:manualLayout>
      </c:layout>
      <c:overlay val="0"/>
      <c:spPr>
        <a:solidFill>
          <a:schemeClr val="bg1"/>
        </a:solidFill>
      </c:spPr>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a:solidFill>
                  <a:srgbClr val="0000CC"/>
                </a:solidFill>
              </a:defRPr>
            </a:pPr>
            <a:r>
              <a:rPr lang="en-US" sz="1000" b="1">
                <a:solidFill>
                  <a:srgbClr val="0000CC"/>
                </a:solidFill>
              </a:rPr>
              <a:t>Income level distribution</a:t>
            </a:r>
          </a:p>
        </c:rich>
      </c:tx>
      <c:layout>
        <c:manualLayout>
          <c:xMode val="edge"/>
          <c:yMode val="edge"/>
          <c:x val="0.25800634295713037"/>
          <c:y val="1.4636191309419647E-3"/>
        </c:manualLayout>
      </c:layout>
      <c:overlay val="1"/>
    </c:title>
    <c:autoTitleDeleted val="0"/>
    <c:plotArea>
      <c:layout>
        <c:manualLayout>
          <c:layoutTarget val="inner"/>
          <c:xMode val="edge"/>
          <c:yMode val="edge"/>
          <c:x val="0.11544974846894138"/>
          <c:y val="0.12928757169242736"/>
          <c:w val="0.86556731189851266"/>
          <c:h val="0.65088157383104894"/>
        </c:manualLayout>
      </c:layout>
      <c:barChart>
        <c:barDir val="col"/>
        <c:grouping val="clustered"/>
        <c:varyColors val="0"/>
        <c:ser>
          <c:idx val="0"/>
          <c:order val="0"/>
          <c:tx>
            <c:strRef>
              <c:f>'ID4D Stats'!$BJ$39</c:f>
              <c:strCache>
                <c:ptCount val="1"/>
                <c:pt idx="0">
                  <c:v>LIC</c:v>
                </c:pt>
              </c:strCache>
            </c:strRef>
          </c:tx>
          <c:spPr>
            <a:solidFill>
              <a:srgbClr val="FFC000"/>
            </a:solidFill>
            <a:ln>
              <a:solidFill>
                <a:schemeClr val="tx1"/>
              </a:solidFill>
            </a:ln>
          </c:spPr>
          <c:invertIfNegative val="0"/>
          <c:cat>
            <c:numRef>
              <c:f>'ID4D Stats'!$BK$35:$BQ$35</c:f>
              <c:numCache>
                <c:formatCode>General</c:formatCode>
                <c:ptCount val="7"/>
                <c:pt idx="0">
                  <c:v>0</c:v>
                </c:pt>
                <c:pt idx="1">
                  <c:v>1</c:v>
                </c:pt>
                <c:pt idx="2">
                  <c:v>2</c:v>
                </c:pt>
                <c:pt idx="3">
                  <c:v>3</c:v>
                </c:pt>
                <c:pt idx="4">
                  <c:v>4</c:v>
                </c:pt>
                <c:pt idx="5">
                  <c:v>5</c:v>
                </c:pt>
                <c:pt idx="6">
                  <c:v>6</c:v>
                </c:pt>
              </c:numCache>
            </c:numRef>
          </c:cat>
          <c:val>
            <c:numRef>
              <c:f>'ID4D Stats'!$BK$39:$BQ$39</c:f>
              <c:numCache>
                <c:formatCode>General</c:formatCode>
                <c:ptCount val="7"/>
                <c:pt idx="0">
                  <c:v>0</c:v>
                </c:pt>
                <c:pt idx="1">
                  <c:v>6</c:v>
                </c:pt>
                <c:pt idx="2">
                  <c:v>22</c:v>
                </c:pt>
                <c:pt idx="3">
                  <c:v>0</c:v>
                </c:pt>
                <c:pt idx="4">
                  <c:v>1</c:v>
                </c:pt>
                <c:pt idx="5">
                  <c:v>1</c:v>
                </c:pt>
                <c:pt idx="6">
                  <c:v>4</c:v>
                </c:pt>
              </c:numCache>
            </c:numRef>
          </c:val>
        </c:ser>
        <c:ser>
          <c:idx val="4"/>
          <c:order val="1"/>
          <c:tx>
            <c:strRef>
              <c:f>'ID4D Stats'!$BJ$38</c:f>
              <c:strCache>
                <c:ptCount val="1"/>
                <c:pt idx="0">
                  <c:v>LMIC</c:v>
                </c:pt>
              </c:strCache>
            </c:strRef>
          </c:tx>
          <c:spPr>
            <a:solidFill>
              <a:srgbClr val="FFFF00"/>
            </a:solidFill>
            <a:ln>
              <a:solidFill>
                <a:schemeClr val="tx1"/>
              </a:solidFill>
            </a:ln>
          </c:spPr>
          <c:invertIfNegative val="0"/>
          <c:cat>
            <c:numRef>
              <c:f>'ID4D Stats'!$BK$35:$BQ$35</c:f>
              <c:numCache>
                <c:formatCode>General</c:formatCode>
                <c:ptCount val="7"/>
                <c:pt idx="0">
                  <c:v>0</c:v>
                </c:pt>
                <c:pt idx="1">
                  <c:v>1</c:v>
                </c:pt>
                <c:pt idx="2">
                  <c:v>2</c:v>
                </c:pt>
                <c:pt idx="3">
                  <c:v>3</c:v>
                </c:pt>
                <c:pt idx="4">
                  <c:v>4</c:v>
                </c:pt>
                <c:pt idx="5">
                  <c:v>5</c:v>
                </c:pt>
                <c:pt idx="6">
                  <c:v>6</c:v>
                </c:pt>
              </c:numCache>
            </c:numRef>
          </c:cat>
          <c:val>
            <c:numRef>
              <c:f>'ID4D Stats'!$BK$38:$BQ$38</c:f>
              <c:numCache>
                <c:formatCode>General</c:formatCode>
                <c:ptCount val="7"/>
                <c:pt idx="0">
                  <c:v>5</c:v>
                </c:pt>
                <c:pt idx="1">
                  <c:v>2</c:v>
                </c:pt>
                <c:pt idx="2">
                  <c:v>25</c:v>
                </c:pt>
                <c:pt idx="3">
                  <c:v>0</c:v>
                </c:pt>
                <c:pt idx="4">
                  <c:v>3</c:v>
                </c:pt>
                <c:pt idx="5">
                  <c:v>3</c:v>
                </c:pt>
                <c:pt idx="6">
                  <c:v>12</c:v>
                </c:pt>
              </c:numCache>
            </c:numRef>
          </c:val>
        </c:ser>
        <c:ser>
          <c:idx val="3"/>
          <c:order val="2"/>
          <c:tx>
            <c:strRef>
              <c:f>'ID4D Stats'!$BJ$37</c:f>
              <c:strCache>
                <c:ptCount val="1"/>
                <c:pt idx="0">
                  <c:v>UMIC</c:v>
                </c:pt>
              </c:strCache>
            </c:strRef>
          </c:tx>
          <c:spPr>
            <a:solidFill>
              <a:schemeClr val="accent3">
                <a:lumMod val="60000"/>
                <a:lumOff val="40000"/>
              </a:schemeClr>
            </a:solidFill>
            <a:ln>
              <a:solidFill>
                <a:schemeClr val="tx1"/>
              </a:solidFill>
            </a:ln>
          </c:spPr>
          <c:invertIfNegative val="0"/>
          <c:cat>
            <c:numRef>
              <c:f>'ID4D Stats'!$BK$35:$BQ$35</c:f>
              <c:numCache>
                <c:formatCode>General</c:formatCode>
                <c:ptCount val="7"/>
                <c:pt idx="0">
                  <c:v>0</c:v>
                </c:pt>
                <c:pt idx="1">
                  <c:v>1</c:v>
                </c:pt>
                <c:pt idx="2">
                  <c:v>2</c:v>
                </c:pt>
                <c:pt idx="3">
                  <c:v>3</c:v>
                </c:pt>
                <c:pt idx="4">
                  <c:v>4</c:v>
                </c:pt>
                <c:pt idx="5">
                  <c:v>5</c:v>
                </c:pt>
                <c:pt idx="6">
                  <c:v>6</c:v>
                </c:pt>
              </c:numCache>
            </c:numRef>
          </c:cat>
          <c:val>
            <c:numRef>
              <c:f>'ID4D Stats'!$BK$37:$BQ$37</c:f>
              <c:numCache>
                <c:formatCode>General</c:formatCode>
                <c:ptCount val="7"/>
                <c:pt idx="0">
                  <c:v>5</c:v>
                </c:pt>
                <c:pt idx="1">
                  <c:v>4</c:v>
                </c:pt>
                <c:pt idx="2">
                  <c:v>29</c:v>
                </c:pt>
                <c:pt idx="3">
                  <c:v>0</c:v>
                </c:pt>
                <c:pt idx="4">
                  <c:v>6</c:v>
                </c:pt>
                <c:pt idx="5">
                  <c:v>0</c:v>
                </c:pt>
                <c:pt idx="6">
                  <c:v>11</c:v>
                </c:pt>
              </c:numCache>
            </c:numRef>
          </c:val>
        </c:ser>
        <c:ser>
          <c:idx val="2"/>
          <c:order val="3"/>
          <c:tx>
            <c:strRef>
              <c:f>'ID4D Stats'!$BJ$36</c:f>
              <c:strCache>
                <c:ptCount val="1"/>
                <c:pt idx="0">
                  <c:v>HIC</c:v>
                </c:pt>
              </c:strCache>
            </c:strRef>
          </c:tx>
          <c:spPr>
            <a:solidFill>
              <a:schemeClr val="accent1">
                <a:lumMod val="40000"/>
                <a:lumOff val="60000"/>
              </a:schemeClr>
            </a:solidFill>
            <a:ln>
              <a:solidFill>
                <a:schemeClr val="tx1"/>
              </a:solidFill>
            </a:ln>
          </c:spPr>
          <c:invertIfNegative val="0"/>
          <c:cat>
            <c:numRef>
              <c:f>'ID4D Stats'!$BK$35:$BQ$35</c:f>
              <c:numCache>
                <c:formatCode>General</c:formatCode>
                <c:ptCount val="7"/>
                <c:pt idx="0">
                  <c:v>0</c:v>
                </c:pt>
                <c:pt idx="1">
                  <c:v>1</c:v>
                </c:pt>
                <c:pt idx="2">
                  <c:v>2</c:v>
                </c:pt>
                <c:pt idx="3">
                  <c:v>3</c:v>
                </c:pt>
                <c:pt idx="4">
                  <c:v>4</c:v>
                </c:pt>
                <c:pt idx="5">
                  <c:v>5</c:v>
                </c:pt>
                <c:pt idx="6">
                  <c:v>6</c:v>
                </c:pt>
              </c:numCache>
            </c:numRef>
          </c:cat>
          <c:val>
            <c:numRef>
              <c:f>'ID4D Stats'!$BK$36:$BQ$36</c:f>
              <c:numCache>
                <c:formatCode>General</c:formatCode>
                <c:ptCount val="7"/>
                <c:pt idx="0">
                  <c:v>9</c:v>
                </c:pt>
                <c:pt idx="1">
                  <c:v>3</c:v>
                </c:pt>
                <c:pt idx="2">
                  <c:v>33</c:v>
                </c:pt>
                <c:pt idx="3">
                  <c:v>0</c:v>
                </c:pt>
                <c:pt idx="4">
                  <c:v>2</c:v>
                </c:pt>
                <c:pt idx="5">
                  <c:v>9</c:v>
                </c:pt>
                <c:pt idx="6">
                  <c:v>3</c:v>
                </c:pt>
              </c:numCache>
            </c:numRef>
          </c:val>
        </c:ser>
        <c:dLbls>
          <c:showLegendKey val="0"/>
          <c:showVal val="0"/>
          <c:showCatName val="0"/>
          <c:showSerName val="0"/>
          <c:showPercent val="0"/>
          <c:showBubbleSize val="0"/>
        </c:dLbls>
        <c:gapWidth val="160"/>
        <c:overlap val="-25"/>
        <c:axId val="426444896"/>
        <c:axId val="426445288"/>
      </c:barChart>
      <c:catAx>
        <c:axId val="426444896"/>
        <c:scaling>
          <c:orientation val="minMax"/>
        </c:scaling>
        <c:delete val="0"/>
        <c:axPos val="b"/>
        <c:title>
          <c:tx>
            <c:rich>
              <a:bodyPr/>
              <a:lstStyle/>
              <a:p>
                <a:pPr>
                  <a:defRPr sz="800" b="0">
                    <a:solidFill>
                      <a:srgbClr val="0000CC"/>
                    </a:solidFill>
                  </a:defRPr>
                </a:pPr>
                <a:r>
                  <a:rPr lang="en-US" sz="800" b="0">
                    <a:solidFill>
                      <a:srgbClr val="0000CC"/>
                    </a:solidFill>
                  </a:rPr>
                  <a:t>ID Inst</a:t>
                </a:r>
              </a:p>
            </c:rich>
          </c:tx>
          <c:layout>
            <c:manualLayout>
              <c:xMode val="edge"/>
              <c:yMode val="edge"/>
              <c:x val="0.8979762685914261"/>
              <c:y val="0.8999021823660931"/>
            </c:manualLayout>
          </c:layout>
          <c:overlay val="0"/>
        </c:title>
        <c:numFmt formatCode="General" sourceLinked="1"/>
        <c:majorTickMark val="out"/>
        <c:minorTickMark val="none"/>
        <c:tickLblPos val="nextTo"/>
        <c:txPr>
          <a:bodyPr/>
          <a:lstStyle/>
          <a:p>
            <a:pPr>
              <a:defRPr sz="900"/>
            </a:pPr>
            <a:endParaRPr lang="en-US"/>
          </a:p>
        </c:txPr>
        <c:crossAx val="426445288"/>
        <c:crosses val="autoZero"/>
        <c:auto val="1"/>
        <c:lblAlgn val="ctr"/>
        <c:lblOffset val="100"/>
        <c:noMultiLvlLbl val="0"/>
      </c:catAx>
      <c:valAx>
        <c:axId val="426445288"/>
        <c:scaling>
          <c:orientation val="minMax"/>
        </c:scaling>
        <c:delete val="0"/>
        <c:axPos val="l"/>
        <c:majorGridlines>
          <c:spPr>
            <a:ln>
              <a:solidFill>
                <a:schemeClr val="bg1">
                  <a:lumMod val="75000"/>
                </a:schemeClr>
              </a:solidFill>
              <a:prstDash val="sysDot"/>
            </a:ln>
          </c:spPr>
        </c:majorGridlines>
        <c:title>
          <c:tx>
            <c:rich>
              <a:bodyPr rot="-5400000" vert="horz"/>
              <a:lstStyle/>
              <a:p>
                <a:pPr>
                  <a:defRPr sz="800" b="0">
                    <a:solidFill>
                      <a:srgbClr val="0000CC"/>
                    </a:solidFill>
                  </a:defRPr>
                </a:pPr>
                <a:r>
                  <a:rPr lang="en-US" sz="800" b="0">
                    <a:solidFill>
                      <a:srgbClr val="0000CC"/>
                    </a:solidFill>
                  </a:rPr>
                  <a:t>Economies</a:t>
                </a:r>
              </a:p>
            </c:rich>
          </c:tx>
          <c:layout>
            <c:manualLayout>
              <c:xMode val="edge"/>
              <c:yMode val="edge"/>
              <c:x val="6.4429905820595958E-3"/>
              <c:y val="9.6990077944802355E-2"/>
            </c:manualLayout>
          </c:layout>
          <c:overlay val="0"/>
        </c:title>
        <c:numFmt formatCode="General" sourceLinked="1"/>
        <c:majorTickMark val="out"/>
        <c:minorTickMark val="none"/>
        <c:tickLblPos val="nextTo"/>
        <c:txPr>
          <a:bodyPr/>
          <a:lstStyle/>
          <a:p>
            <a:pPr>
              <a:defRPr sz="900"/>
            </a:pPr>
            <a:endParaRPr lang="en-US"/>
          </a:p>
        </c:txPr>
        <c:crossAx val="426444896"/>
        <c:crosses val="autoZero"/>
        <c:crossBetween val="between"/>
      </c:valAx>
      <c:spPr>
        <a:ln>
          <a:solidFill>
            <a:schemeClr val="tx1"/>
          </a:solidFill>
        </a:ln>
      </c:spPr>
    </c:plotArea>
    <c:legend>
      <c:legendPos val="r"/>
      <c:layout>
        <c:manualLayout>
          <c:xMode val="edge"/>
          <c:yMode val="edge"/>
          <c:x val="0.16342957130358704"/>
          <c:y val="0.88490995917177018"/>
          <c:w val="0.66193743245329628"/>
          <c:h val="0.11509004082822981"/>
        </c:manualLayout>
      </c:layout>
      <c:overlay val="0"/>
      <c:spPr>
        <a:solidFill>
          <a:schemeClr val="bg1"/>
        </a:solidFill>
      </c:spPr>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CC"/>
                </a:solidFill>
              </a:defRPr>
            </a:pPr>
            <a:r>
              <a:rPr lang="en-US" sz="1000">
                <a:solidFill>
                  <a:srgbClr val="0000CC"/>
                </a:solidFill>
              </a:rPr>
              <a:t>Regional</a:t>
            </a:r>
            <a:r>
              <a:rPr lang="en-US" sz="1000" baseline="0">
                <a:solidFill>
                  <a:srgbClr val="0000CC"/>
                </a:solidFill>
              </a:rPr>
              <a:t> distribution</a:t>
            </a:r>
            <a:endParaRPr lang="en-US" sz="1000">
              <a:solidFill>
                <a:srgbClr val="0000CC"/>
              </a:solidFill>
            </a:endParaRPr>
          </a:p>
        </c:rich>
      </c:tx>
      <c:layout>
        <c:manualLayout>
          <c:xMode val="edge"/>
          <c:yMode val="edge"/>
          <c:x val="0.30282726377952757"/>
          <c:y val="0"/>
        </c:manualLayout>
      </c:layout>
      <c:overlay val="1"/>
    </c:title>
    <c:autoTitleDeleted val="0"/>
    <c:plotArea>
      <c:layout>
        <c:manualLayout>
          <c:layoutTarget val="inner"/>
          <c:xMode val="edge"/>
          <c:yMode val="edge"/>
          <c:x val="0.10795166229221348"/>
          <c:y val="0.13163337221736174"/>
          <c:w val="0.87615649606299217"/>
          <c:h val="0.64411393020316909"/>
        </c:manualLayout>
      </c:layout>
      <c:barChart>
        <c:barDir val="col"/>
        <c:grouping val="clustered"/>
        <c:varyColors val="0"/>
        <c:ser>
          <c:idx val="1"/>
          <c:order val="0"/>
          <c:tx>
            <c:strRef>
              <c:f>'ID4D Stats'!$BT$36</c:f>
              <c:strCache>
                <c:ptCount val="1"/>
                <c:pt idx="0">
                  <c:v>AFR</c:v>
                </c:pt>
              </c:strCache>
            </c:strRef>
          </c:tx>
          <c:spPr>
            <a:solidFill>
              <a:srgbClr val="FFC000"/>
            </a:solidFill>
            <a:ln>
              <a:solidFill>
                <a:schemeClr val="tx1"/>
              </a:solidFill>
            </a:ln>
          </c:spPr>
          <c:invertIfNegative val="0"/>
          <c:cat>
            <c:numRef>
              <c:f>'ID4D Stats'!$BU$35:$CA$35</c:f>
              <c:numCache>
                <c:formatCode>General</c:formatCode>
                <c:ptCount val="7"/>
                <c:pt idx="0">
                  <c:v>0</c:v>
                </c:pt>
                <c:pt idx="1">
                  <c:v>1</c:v>
                </c:pt>
                <c:pt idx="2">
                  <c:v>2</c:v>
                </c:pt>
                <c:pt idx="3">
                  <c:v>3</c:v>
                </c:pt>
                <c:pt idx="4">
                  <c:v>4</c:v>
                </c:pt>
                <c:pt idx="5">
                  <c:v>5</c:v>
                </c:pt>
                <c:pt idx="6">
                  <c:v>6</c:v>
                </c:pt>
              </c:numCache>
            </c:numRef>
          </c:cat>
          <c:val>
            <c:numRef>
              <c:f>'ID4D Stats'!$BU$36:$CA$36</c:f>
              <c:numCache>
                <c:formatCode>General</c:formatCode>
                <c:ptCount val="7"/>
                <c:pt idx="0">
                  <c:v>1</c:v>
                </c:pt>
                <c:pt idx="1">
                  <c:v>8</c:v>
                </c:pt>
                <c:pt idx="2">
                  <c:v>30</c:v>
                </c:pt>
                <c:pt idx="3">
                  <c:v>0</c:v>
                </c:pt>
                <c:pt idx="4">
                  <c:v>0</c:v>
                </c:pt>
                <c:pt idx="5">
                  <c:v>2</c:v>
                </c:pt>
                <c:pt idx="6">
                  <c:v>7</c:v>
                </c:pt>
              </c:numCache>
            </c:numRef>
          </c:val>
        </c:ser>
        <c:ser>
          <c:idx val="2"/>
          <c:order val="1"/>
          <c:tx>
            <c:strRef>
              <c:f>'ID4D Stats'!$BT$37</c:f>
              <c:strCache>
                <c:ptCount val="1"/>
                <c:pt idx="0">
                  <c:v>EAP</c:v>
                </c:pt>
              </c:strCache>
            </c:strRef>
          </c:tx>
          <c:spPr>
            <a:solidFill>
              <a:schemeClr val="accent1">
                <a:lumMod val="40000"/>
                <a:lumOff val="60000"/>
              </a:schemeClr>
            </a:solidFill>
            <a:ln>
              <a:solidFill>
                <a:schemeClr val="tx1"/>
              </a:solidFill>
            </a:ln>
          </c:spPr>
          <c:invertIfNegative val="0"/>
          <c:cat>
            <c:numRef>
              <c:f>'ID4D Stats'!$BU$35:$CA$35</c:f>
              <c:numCache>
                <c:formatCode>General</c:formatCode>
                <c:ptCount val="7"/>
                <c:pt idx="0">
                  <c:v>0</c:v>
                </c:pt>
                <c:pt idx="1">
                  <c:v>1</c:v>
                </c:pt>
                <c:pt idx="2">
                  <c:v>2</c:v>
                </c:pt>
                <c:pt idx="3">
                  <c:v>3</c:v>
                </c:pt>
                <c:pt idx="4">
                  <c:v>4</c:v>
                </c:pt>
                <c:pt idx="5">
                  <c:v>5</c:v>
                </c:pt>
                <c:pt idx="6">
                  <c:v>6</c:v>
                </c:pt>
              </c:numCache>
            </c:numRef>
          </c:cat>
          <c:val>
            <c:numRef>
              <c:f>'ID4D Stats'!$BU$37:$CA$37</c:f>
              <c:numCache>
                <c:formatCode>General</c:formatCode>
                <c:ptCount val="7"/>
                <c:pt idx="0">
                  <c:v>7</c:v>
                </c:pt>
                <c:pt idx="1">
                  <c:v>1</c:v>
                </c:pt>
                <c:pt idx="2">
                  <c:v>13</c:v>
                </c:pt>
                <c:pt idx="3">
                  <c:v>0</c:v>
                </c:pt>
                <c:pt idx="4">
                  <c:v>1</c:v>
                </c:pt>
                <c:pt idx="5">
                  <c:v>1</c:v>
                </c:pt>
                <c:pt idx="6">
                  <c:v>6</c:v>
                </c:pt>
              </c:numCache>
            </c:numRef>
          </c:val>
        </c:ser>
        <c:ser>
          <c:idx val="3"/>
          <c:order val="2"/>
          <c:tx>
            <c:strRef>
              <c:f>'ID4D Stats'!$BT$38</c:f>
              <c:strCache>
                <c:ptCount val="1"/>
                <c:pt idx="0">
                  <c:v>ECA</c:v>
                </c:pt>
              </c:strCache>
            </c:strRef>
          </c:tx>
          <c:spPr>
            <a:solidFill>
              <a:srgbClr val="FFFF00"/>
            </a:solidFill>
            <a:ln>
              <a:solidFill>
                <a:schemeClr val="tx1"/>
              </a:solidFill>
            </a:ln>
          </c:spPr>
          <c:invertIfNegative val="0"/>
          <c:cat>
            <c:numRef>
              <c:f>'ID4D Stats'!$BU$35:$CA$35</c:f>
              <c:numCache>
                <c:formatCode>General</c:formatCode>
                <c:ptCount val="7"/>
                <c:pt idx="0">
                  <c:v>0</c:v>
                </c:pt>
                <c:pt idx="1">
                  <c:v>1</c:v>
                </c:pt>
                <c:pt idx="2">
                  <c:v>2</c:v>
                </c:pt>
                <c:pt idx="3">
                  <c:v>3</c:v>
                </c:pt>
                <c:pt idx="4">
                  <c:v>4</c:v>
                </c:pt>
                <c:pt idx="5">
                  <c:v>5</c:v>
                </c:pt>
                <c:pt idx="6">
                  <c:v>6</c:v>
                </c:pt>
              </c:numCache>
            </c:numRef>
          </c:cat>
          <c:val>
            <c:numRef>
              <c:f>'ID4D Stats'!$BU$38:$CA$38</c:f>
              <c:numCache>
                <c:formatCode>General</c:formatCode>
                <c:ptCount val="7"/>
                <c:pt idx="0">
                  <c:v>1</c:v>
                </c:pt>
                <c:pt idx="1">
                  <c:v>1</c:v>
                </c:pt>
                <c:pt idx="2">
                  <c:v>24</c:v>
                </c:pt>
                <c:pt idx="3">
                  <c:v>0</c:v>
                </c:pt>
                <c:pt idx="4">
                  <c:v>0</c:v>
                </c:pt>
                <c:pt idx="5">
                  <c:v>2</c:v>
                </c:pt>
                <c:pt idx="6">
                  <c:v>2</c:v>
                </c:pt>
              </c:numCache>
            </c:numRef>
          </c:val>
        </c:ser>
        <c:ser>
          <c:idx val="4"/>
          <c:order val="3"/>
          <c:tx>
            <c:strRef>
              <c:f>'ID4D Stats'!$BT$39</c:f>
              <c:strCache>
                <c:ptCount val="1"/>
                <c:pt idx="0">
                  <c:v>LCR</c:v>
                </c:pt>
              </c:strCache>
            </c:strRef>
          </c:tx>
          <c:spPr>
            <a:solidFill>
              <a:schemeClr val="accent3">
                <a:lumMod val="60000"/>
                <a:lumOff val="40000"/>
              </a:schemeClr>
            </a:solidFill>
            <a:ln>
              <a:solidFill>
                <a:schemeClr val="tx1"/>
              </a:solidFill>
            </a:ln>
          </c:spPr>
          <c:invertIfNegative val="0"/>
          <c:cat>
            <c:numRef>
              <c:f>'ID4D Stats'!$BU$35:$CA$35</c:f>
              <c:numCache>
                <c:formatCode>General</c:formatCode>
                <c:ptCount val="7"/>
                <c:pt idx="0">
                  <c:v>0</c:v>
                </c:pt>
                <c:pt idx="1">
                  <c:v>1</c:v>
                </c:pt>
                <c:pt idx="2">
                  <c:v>2</c:v>
                </c:pt>
                <c:pt idx="3">
                  <c:v>3</c:v>
                </c:pt>
                <c:pt idx="4">
                  <c:v>4</c:v>
                </c:pt>
                <c:pt idx="5">
                  <c:v>5</c:v>
                </c:pt>
                <c:pt idx="6">
                  <c:v>6</c:v>
                </c:pt>
              </c:numCache>
            </c:numRef>
          </c:cat>
          <c:val>
            <c:numRef>
              <c:f>'ID4D Stats'!$BU$39:$CA$39</c:f>
              <c:numCache>
                <c:formatCode>General</c:formatCode>
                <c:ptCount val="7"/>
                <c:pt idx="0">
                  <c:v>2</c:v>
                </c:pt>
                <c:pt idx="1">
                  <c:v>5</c:v>
                </c:pt>
                <c:pt idx="2">
                  <c:v>8</c:v>
                </c:pt>
                <c:pt idx="3">
                  <c:v>0</c:v>
                </c:pt>
                <c:pt idx="4">
                  <c:v>10</c:v>
                </c:pt>
                <c:pt idx="5">
                  <c:v>1</c:v>
                </c:pt>
                <c:pt idx="6">
                  <c:v>6</c:v>
                </c:pt>
              </c:numCache>
            </c:numRef>
          </c:val>
        </c:ser>
        <c:ser>
          <c:idx val="5"/>
          <c:order val="4"/>
          <c:tx>
            <c:strRef>
              <c:f>'ID4D Stats'!$BT$40</c:f>
              <c:strCache>
                <c:ptCount val="1"/>
                <c:pt idx="0">
                  <c:v>MNA</c:v>
                </c:pt>
              </c:strCache>
            </c:strRef>
          </c:tx>
          <c:spPr>
            <a:solidFill>
              <a:schemeClr val="tx2">
                <a:lumMod val="40000"/>
                <a:lumOff val="60000"/>
              </a:schemeClr>
            </a:solidFill>
            <a:ln>
              <a:solidFill>
                <a:schemeClr val="tx1"/>
              </a:solidFill>
            </a:ln>
          </c:spPr>
          <c:invertIfNegative val="0"/>
          <c:cat>
            <c:numRef>
              <c:f>'ID4D Stats'!$BU$35:$CA$35</c:f>
              <c:numCache>
                <c:formatCode>General</c:formatCode>
                <c:ptCount val="7"/>
                <c:pt idx="0">
                  <c:v>0</c:v>
                </c:pt>
                <c:pt idx="1">
                  <c:v>1</c:v>
                </c:pt>
                <c:pt idx="2">
                  <c:v>2</c:v>
                </c:pt>
                <c:pt idx="3">
                  <c:v>3</c:v>
                </c:pt>
                <c:pt idx="4">
                  <c:v>4</c:v>
                </c:pt>
                <c:pt idx="5">
                  <c:v>5</c:v>
                </c:pt>
                <c:pt idx="6">
                  <c:v>6</c:v>
                </c:pt>
              </c:numCache>
            </c:numRef>
          </c:cat>
          <c:val>
            <c:numRef>
              <c:f>'ID4D Stats'!$BU$40:$CA$40</c:f>
              <c:numCache>
                <c:formatCode>General</c:formatCode>
                <c:ptCount val="7"/>
                <c:pt idx="0">
                  <c:v>0</c:v>
                </c:pt>
                <c:pt idx="1">
                  <c:v>0</c:v>
                </c:pt>
                <c:pt idx="2">
                  <c:v>16</c:v>
                </c:pt>
                <c:pt idx="3">
                  <c:v>0</c:v>
                </c:pt>
                <c:pt idx="4">
                  <c:v>0</c:v>
                </c:pt>
                <c:pt idx="5">
                  <c:v>2</c:v>
                </c:pt>
                <c:pt idx="6">
                  <c:v>3</c:v>
                </c:pt>
              </c:numCache>
            </c:numRef>
          </c:val>
        </c:ser>
        <c:ser>
          <c:idx val="6"/>
          <c:order val="5"/>
          <c:tx>
            <c:strRef>
              <c:f>'ID4D Stats'!$BT$41</c:f>
              <c:strCache>
                <c:ptCount val="1"/>
                <c:pt idx="0">
                  <c:v>SAR</c:v>
                </c:pt>
              </c:strCache>
            </c:strRef>
          </c:tx>
          <c:spPr>
            <a:solidFill>
              <a:schemeClr val="accent6">
                <a:lumMod val="75000"/>
              </a:schemeClr>
            </a:solidFill>
            <a:ln>
              <a:solidFill>
                <a:schemeClr val="tx1"/>
              </a:solidFill>
            </a:ln>
          </c:spPr>
          <c:invertIfNegative val="0"/>
          <c:cat>
            <c:numRef>
              <c:f>'ID4D Stats'!$BU$35:$CA$35</c:f>
              <c:numCache>
                <c:formatCode>General</c:formatCode>
                <c:ptCount val="7"/>
                <c:pt idx="0">
                  <c:v>0</c:v>
                </c:pt>
                <c:pt idx="1">
                  <c:v>1</c:v>
                </c:pt>
                <c:pt idx="2">
                  <c:v>2</c:v>
                </c:pt>
                <c:pt idx="3">
                  <c:v>3</c:v>
                </c:pt>
                <c:pt idx="4">
                  <c:v>4</c:v>
                </c:pt>
                <c:pt idx="5">
                  <c:v>5</c:v>
                </c:pt>
                <c:pt idx="6">
                  <c:v>6</c:v>
                </c:pt>
              </c:numCache>
            </c:numRef>
          </c:cat>
          <c:val>
            <c:numRef>
              <c:f>'ID4D Stats'!$BU$41:$CA$41</c:f>
              <c:numCache>
                <c:formatCode>General</c:formatCode>
                <c:ptCount val="7"/>
                <c:pt idx="0">
                  <c:v>0</c:v>
                </c:pt>
                <c:pt idx="1">
                  <c:v>0</c:v>
                </c:pt>
                <c:pt idx="2">
                  <c:v>4</c:v>
                </c:pt>
                <c:pt idx="3">
                  <c:v>0</c:v>
                </c:pt>
                <c:pt idx="4">
                  <c:v>1</c:v>
                </c:pt>
                <c:pt idx="5">
                  <c:v>0</c:v>
                </c:pt>
                <c:pt idx="6">
                  <c:v>3</c:v>
                </c:pt>
              </c:numCache>
            </c:numRef>
          </c:val>
        </c:ser>
        <c:dLbls>
          <c:showLegendKey val="0"/>
          <c:showVal val="0"/>
          <c:showCatName val="0"/>
          <c:showSerName val="0"/>
          <c:showPercent val="0"/>
          <c:showBubbleSize val="0"/>
        </c:dLbls>
        <c:gapWidth val="160"/>
        <c:overlap val="-25"/>
        <c:axId val="427348440"/>
        <c:axId val="427348832"/>
      </c:barChart>
      <c:catAx>
        <c:axId val="427348440"/>
        <c:scaling>
          <c:orientation val="minMax"/>
        </c:scaling>
        <c:delete val="0"/>
        <c:axPos val="b"/>
        <c:title>
          <c:tx>
            <c:rich>
              <a:bodyPr/>
              <a:lstStyle/>
              <a:p>
                <a:pPr>
                  <a:defRPr sz="800" b="0">
                    <a:solidFill>
                      <a:srgbClr val="0000CC"/>
                    </a:solidFill>
                  </a:defRPr>
                </a:pPr>
                <a:r>
                  <a:rPr lang="en-US" sz="800" b="0">
                    <a:solidFill>
                      <a:srgbClr val="0000CC"/>
                    </a:solidFill>
                  </a:rPr>
                  <a:t>ID Inst</a:t>
                </a:r>
              </a:p>
            </c:rich>
          </c:tx>
          <c:layout>
            <c:manualLayout>
              <c:xMode val="edge"/>
              <c:yMode val="edge"/>
              <c:x val="0.91249999999999998"/>
              <c:y val="0.8974895499173714"/>
            </c:manualLayout>
          </c:layout>
          <c:overlay val="0"/>
        </c:title>
        <c:numFmt formatCode="General" sourceLinked="1"/>
        <c:majorTickMark val="out"/>
        <c:minorTickMark val="none"/>
        <c:tickLblPos val="nextTo"/>
        <c:txPr>
          <a:bodyPr/>
          <a:lstStyle/>
          <a:p>
            <a:pPr>
              <a:defRPr sz="900"/>
            </a:pPr>
            <a:endParaRPr lang="en-US"/>
          </a:p>
        </c:txPr>
        <c:crossAx val="427348832"/>
        <c:crosses val="autoZero"/>
        <c:auto val="1"/>
        <c:lblAlgn val="ctr"/>
        <c:lblOffset val="100"/>
        <c:noMultiLvlLbl val="0"/>
      </c:catAx>
      <c:valAx>
        <c:axId val="427348832"/>
        <c:scaling>
          <c:orientation val="minMax"/>
        </c:scaling>
        <c:delete val="0"/>
        <c:axPos val="l"/>
        <c:majorGridlines>
          <c:spPr>
            <a:ln>
              <a:solidFill>
                <a:schemeClr val="bg1">
                  <a:lumMod val="75000"/>
                </a:schemeClr>
              </a:solidFill>
              <a:prstDash val="sysDot"/>
            </a:ln>
          </c:spPr>
        </c:majorGridlines>
        <c:title>
          <c:tx>
            <c:rich>
              <a:bodyPr rot="-5400000" vert="horz"/>
              <a:lstStyle/>
              <a:p>
                <a:pPr>
                  <a:defRPr sz="800" b="0">
                    <a:solidFill>
                      <a:srgbClr val="0000CC"/>
                    </a:solidFill>
                  </a:defRPr>
                </a:pPr>
                <a:r>
                  <a:rPr lang="en-US" sz="800" b="0">
                    <a:solidFill>
                      <a:srgbClr val="0000CC"/>
                    </a:solidFill>
                  </a:rPr>
                  <a:t>Economies</a:t>
                </a:r>
              </a:p>
            </c:rich>
          </c:tx>
          <c:layout>
            <c:manualLayout>
              <c:xMode val="edge"/>
              <c:yMode val="edge"/>
              <c:x val="0"/>
              <c:y val="0.10210035005834306"/>
            </c:manualLayout>
          </c:layout>
          <c:overlay val="0"/>
        </c:title>
        <c:numFmt formatCode="General" sourceLinked="1"/>
        <c:majorTickMark val="out"/>
        <c:minorTickMark val="none"/>
        <c:tickLblPos val="nextTo"/>
        <c:txPr>
          <a:bodyPr/>
          <a:lstStyle/>
          <a:p>
            <a:pPr>
              <a:defRPr sz="900"/>
            </a:pPr>
            <a:endParaRPr lang="en-US"/>
          </a:p>
        </c:txPr>
        <c:crossAx val="427348440"/>
        <c:crosses val="autoZero"/>
        <c:crossBetween val="between"/>
      </c:valAx>
      <c:spPr>
        <a:ln>
          <a:solidFill>
            <a:schemeClr val="tx1"/>
          </a:solidFill>
        </a:ln>
      </c:spPr>
    </c:plotArea>
    <c:legend>
      <c:legendPos val="r"/>
      <c:layout>
        <c:manualLayout>
          <c:xMode val="edge"/>
          <c:yMode val="edge"/>
          <c:x val="0.10292842300962381"/>
          <c:y val="0.88289467288811119"/>
          <c:w val="0.75902449693788276"/>
          <c:h val="0.11710532711188879"/>
        </c:manualLayout>
      </c:layout>
      <c:overlay val="0"/>
      <c:spPr>
        <a:solidFill>
          <a:schemeClr val="bg1"/>
        </a:solidFill>
      </c:sp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CC"/>
                </a:solidFill>
              </a:defRPr>
            </a:pPr>
            <a:r>
              <a:rPr lang="en-US"/>
              <a:t># of Unregistered Births (Pop 0-4) Dec'15 ['000]</a:t>
            </a:r>
          </a:p>
        </c:rich>
      </c:tx>
      <c:layout>
        <c:manualLayout>
          <c:xMode val="edge"/>
          <c:yMode val="edge"/>
          <c:x val="0.12718772655785437"/>
          <c:y val="5.3547523427041497E-3"/>
        </c:manualLayout>
      </c:layout>
      <c:overlay val="0"/>
    </c:title>
    <c:autoTitleDeleted val="0"/>
    <c:plotArea>
      <c:layout>
        <c:manualLayout>
          <c:layoutTarget val="inner"/>
          <c:xMode val="edge"/>
          <c:yMode val="edge"/>
          <c:x val="0.16638870662000582"/>
          <c:y val="0.13876312335958005"/>
          <c:w val="0.81426414988939011"/>
          <c:h val="0.72477690288713914"/>
        </c:manualLayout>
      </c:layout>
      <c:barChart>
        <c:barDir val="col"/>
        <c:grouping val="clustered"/>
        <c:varyColors val="0"/>
        <c:ser>
          <c:idx val="0"/>
          <c:order val="0"/>
          <c:tx>
            <c:strRef>
              <c:f>'ID4D Stats'!$U$14</c:f>
              <c:strCache>
                <c:ptCount val="1"/>
                <c:pt idx="0">
                  <c:v># of Unregistered Births (Pop 0-4) Dec'15 ['000]</c:v>
                </c:pt>
              </c:strCache>
            </c:strRef>
          </c:tx>
          <c:spPr>
            <a:solidFill>
              <a:srgbClr val="00B0F0"/>
            </a:solidFill>
            <a:ln>
              <a:solidFill>
                <a:srgbClr val="0000CC"/>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'ID4D Stats'!$T$15:$T$20</c:f>
              <c:strCache>
                <c:ptCount val="6"/>
                <c:pt idx="0">
                  <c:v>AFR (48)</c:v>
                </c:pt>
                <c:pt idx="1">
                  <c:v>EAP (29)</c:v>
                </c:pt>
                <c:pt idx="2">
                  <c:v>ECA (30)</c:v>
                </c:pt>
                <c:pt idx="3">
                  <c:v>LCR (32)</c:v>
                </c:pt>
                <c:pt idx="4">
                  <c:v>MNA (21)</c:v>
                </c:pt>
                <c:pt idx="5">
                  <c:v>SAR (8)</c:v>
                </c:pt>
              </c:strCache>
            </c:strRef>
          </c:cat>
          <c:val>
            <c:numRef>
              <c:f>'ID4D Stats'!$U$15:$U$20</c:f>
              <c:numCache>
                <c:formatCode>#,##0</c:formatCode>
                <c:ptCount val="6"/>
                <c:pt idx="0">
                  <c:v>93703.235606000002</c:v>
                </c:pt>
                <c:pt idx="1">
                  <c:v>16984.641939000001</c:v>
                </c:pt>
                <c:pt idx="2">
                  <c:v>812.25777799999923</c:v>
                </c:pt>
                <c:pt idx="3">
                  <c:v>4054.1478810000008</c:v>
                </c:pt>
                <c:pt idx="4">
                  <c:v>4782.4295949999996</c:v>
                </c:pt>
                <c:pt idx="5">
                  <c:v>52088.125120000012</c:v>
                </c:pt>
              </c:numCache>
            </c:numRef>
          </c:val>
        </c:ser>
        <c:dLbls>
          <c:showLegendKey val="0"/>
          <c:showVal val="0"/>
          <c:showCatName val="0"/>
          <c:showSerName val="0"/>
          <c:showPercent val="0"/>
          <c:showBubbleSize val="0"/>
        </c:dLbls>
        <c:gapWidth val="150"/>
        <c:axId val="425648472"/>
        <c:axId val="425648864"/>
      </c:barChart>
      <c:catAx>
        <c:axId val="425648472"/>
        <c:scaling>
          <c:orientation val="minMax"/>
        </c:scaling>
        <c:delete val="0"/>
        <c:axPos val="b"/>
        <c:numFmt formatCode="General" sourceLinked="0"/>
        <c:majorTickMark val="out"/>
        <c:minorTickMark val="none"/>
        <c:tickLblPos val="nextTo"/>
        <c:crossAx val="425648864"/>
        <c:crosses val="autoZero"/>
        <c:auto val="1"/>
        <c:lblAlgn val="ctr"/>
        <c:lblOffset val="100"/>
        <c:noMultiLvlLbl val="0"/>
      </c:catAx>
      <c:valAx>
        <c:axId val="42564886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crossAx val="425648472"/>
        <c:crosses val="autoZero"/>
        <c:crossBetween val="between"/>
      </c:valAx>
      <c:spPr>
        <a:ln>
          <a:solidFill>
            <a:schemeClr val="tx1">
              <a:lumMod val="50000"/>
              <a:lumOff val="50000"/>
            </a:schemeClr>
          </a:solidFill>
        </a:ln>
      </c:spPr>
    </c:plotArea>
    <c:plotVisOnly val="1"/>
    <c:dispBlanksAs val="gap"/>
    <c:showDLblsOverMax val="0"/>
  </c:chart>
  <c:txPr>
    <a:bodyPr/>
    <a:lstStyle/>
    <a:p>
      <a:pPr>
        <a:defRPr sz="900"/>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a:solidFill>
                  <a:srgbClr val="0000CC"/>
                </a:solidFill>
              </a:defRPr>
            </a:pPr>
            <a:r>
              <a:rPr lang="en-US" sz="1000" b="1">
                <a:solidFill>
                  <a:srgbClr val="0000CC"/>
                </a:solidFill>
              </a:rPr>
              <a:t>Income level distribution</a:t>
            </a:r>
          </a:p>
        </c:rich>
      </c:tx>
      <c:layout>
        <c:manualLayout>
          <c:xMode val="edge"/>
          <c:yMode val="edge"/>
          <c:x val="0.22725206224221972"/>
          <c:y val="2.8664819675318365E-3"/>
        </c:manualLayout>
      </c:layout>
      <c:overlay val="1"/>
    </c:title>
    <c:autoTitleDeleted val="0"/>
    <c:plotArea>
      <c:layout>
        <c:manualLayout>
          <c:layoutTarget val="inner"/>
          <c:xMode val="edge"/>
          <c:yMode val="edge"/>
          <c:x val="0.16549064179477566"/>
          <c:y val="0.13700362107514336"/>
          <c:w val="0.80970287367925164"/>
          <c:h val="0.62773342568290069"/>
        </c:manualLayout>
      </c:layout>
      <c:barChart>
        <c:barDir val="col"/>
        <c:grouping val="clustered"/>
        <c:varyColors val="0"/>
        <c:ser>
          <c:idx val="0"/>
          <c:order val="0"/>
          <c:tx>
            <c:strRef>
              <c:f>'ID4D Stats'!$CE$7</c:f>
              <c:strCache>
                <c:ptCount val="1"/>
                <c:pt idx="0">
                  <c:v>LIC</c:v>
                </c:pt>
              </c:strCache>
            </c:strRef>
          </c:tx>
          <c:spPr>
            <a:solidFill>
              <a:srgbClr val="FFC000"/>
            </a:solidFill>
            <a:ln>
              <a:solidFill>
                <a:schemeClr val="tx1"/>
              </a:solidFill>
            </a:ln>
          </c:spPr>
          <c:invertIfNegative val="0"/>
          <c:cat>
            <c:numLit>
              <c:formatCode>General</c:formatCode>
              <c:ptCount val="3"/>
              <c:pt idx="0">
                <c:v>0</c:v>
              </c:pt>
              <c:pt idx="1">
                <c:v>1</c:v>
              </c:pt>
              <c:pt idx="2">
                <c:v>2</c:v>
              </c:pt>
            </c:numLit>
          </c:cat>
          <c:val>
            <c:numRef>
              <c:f>'ID4D Stats'!$CF$7:$CG$7</c:f>
              <c:numCache>
                <c:formatCode>General</c:formatCode>
                <c:ptCount val="2"/>
                <c:pt idx="0">
                  <c:v>0</c:v>
                </c:pt>
                <c:pt idx="1">
                  <c:v>4</c:v>
                </c:pt>
              </c:numCache>
            </c:numRef>
          </c:val>
        </c:ser>
        <c:ser>
          <c:idx val="4"/>
          <c:order val="1"/>
          <c:tx>
            <c:strRef>
              <c:f>'ID4D Stats'!$CE$6</c:f>
              <c:strCache>
                <c:ptCount val="1"/>
                <c:pt idx="0">
                  <c:v>LMIC</c:v>
                </c:pt>
              </c:strCache>
            </c:strRef>
          </c:tx>
          <c:spPr>
            <a:solidFill>
              <a:srgbClr val="FFFF00"/>
            </a:solidFill>
            <a:ln>
              <a:solidFill>
                <a:schemeClr val="tx1"/>
              </a:solidFill>
            </a:ln>
          </c:spPr>
          <c:invertIfNegative val="0"/>
          <c:cat>
            <c:numLit>
              <c:formatCode>General</c:formatCode>
              <c:ptCount val="3"/>
              <c:pt idx="0">
                <c:v>0</c:v>
              </c:pt>
              <c:pt idx="1">
                <c:v>1</c:v>
              </c:pt>
              <c:pt idx="2">
                <c:v>2</c:v>
              </c:pt>
            </c:numLit>
          </c:cat>
          <c:val>
            <c:numRef>
              <c:f>'ID4D Stats'!$CF$6:$CG$6</c:f>
              <c:numCache>
                <c:formatCode>General</c:formatCode>
                <c:ptCount val="2"/>
                <c:pt idx="0">
                  <c:v>0</c:v>
                </c:pt>
                <c:pt idx="1">
                  <c:v>3</c:v>
                </c:pt>
              </c:numCache>
            </c:numRef>
          </c:val>
        </c:ser>
        <c:ser>
          <c:idx val="3"/>
          <c:order val="2"/>
          <c:tx>
            <c:strRef>
              <c:f>'ID4D Stats'!$CE$5</c:f>
              <c:strCache>
                <c:ptCount val="1"/>
                <c:pt idx="0">
                  <c:v>UMIC</c:v>
                </c:pt>
              </c:strCache>
            </c:strRef>
          </c:tx>
          <c:spPr>
            <a:solidFill>
              <a:schemeClr val="accent3">
                <a:lumMod val="60000"/>
                <a:lumOff val="40000"/>
              </a:schemeClr>
            </a:solidFill>
            <a:ln>
              <a:solidFill>
                <a:schemeClr val="tx1"/>
              </a:solidFill>
            </a:ln>
          </c:spPr>
          <c:invertIfNegative val="0"/>
          <c:cat>
            <c:numLit>
              <c:formatCode>General</c:formatCode>
              <c:ptCount val="3"/>
              <c:pt idx="0">
                <c:v>0</c:v>
              </c:pt>
              <c:pt idx="1">
                <c:v>1</c:v>
              </c:pt>
              <c:pt idx="2">
                <c:v>2</c:v>
              </c:pt>
            </c:numLit>
          </c:cat>
          <c:val>
            <c:numRef>
              <c:f>'ID4D Stats'!$CF$5:$CG$5</c:f>
              <c:numCache>
                <c:formatCode>General</c:formatCode>
                <c:ptCount val="2"/>
                <c:pt idx="0">
                  <c:v>0</c:v>
                </c:pt>
                <c:pt idx="1">
                  <c:v>0</c:v>
                </c:pt>
              </c:numCache>
            </c:numRef>
          </c:val>
        </c:ser>
        <c:ser>
          <c:idx val="2"/>
          <c:order val="3"/>
          <c:tx>
            <c:strRef>
              <c:f>'ID4D Stats'!$CE$4</c:f>
              <c:strCache>
                <c:ptCount val="1"/>
                <c:pt idx="0">
                  <c:v>HIC</c:v>
                </c:pt>
              </c:strCache>
            </c:strRef>
          </c:tx>
          <c:spPr>
            <a:solidFill>
              <a:schemeClr val="accent1">
                <a:lumMod val="40000"/>
                <a:lumOff val="60000"/>
              </a:schemeClr>
            </a:solidFill>
            <a:ln>
              <a:solidFill>
                <a:schemeClr val="tx1"/>
              </a:solidFill>
            </a:ln>
          </c:spPr>
          <c:invertIfNegative val="0"/>
          <c:cat>
            <c:numLit>
              <c:formatCode>General</c:formatCode>
              <c:ptCount val="3"/>
              <c:pt idx="0">
                <c:v>0</c:v>
              </c:pt>
              <c:pt idx="1">
                <c:v>1</c:v>
              </c:pt>
              <c:pt idx="2">
                <c:v>2</c:v>
              </c:pt>
            </c:numLit>
          </c:cat>
          <c:val>
            <c:numRef>
              <c:f>'ID4D Stats'!$CF$4:$CG$4</c:f>
              <c:numCache>
                <c:formatCode>General</c:formatCode>
                <c:ptCount val="2"/>
                <c:pt idx="0">
                  <c:v>0</c:v>
                </c:pt>
                <c:pt idx="1">
                  <c:v>5</c:v>
                </c:pt>
              </c:numCache>
            </c:numRef>
          </c:val>
        </c:ser>
        <c:dLbls>
          <c:showLegendKey val="0"/>
          <c:showVal val="0"/>
          <c:showCatName val="0"/>
          <c:showSerName val="0"/>
          <c:showPercent val="0"/>
          <c:showBubbleSize val="0"/>
        </c:dLbls>
        <c:gapWidth val="120"/>
        <c:overlap val="-20"/>
        <c:axId val="427349224"/>
        <c:axId val="427349616"/>
      </c:barChart>
      <c:catAx>
        <c:axId val="427349224"/>
        <c:scaling>
          <c:orientation val="minMax"/>
        </c:scaling>
        <c:delete val="0"/>
        <c:axPos val="b"/>
        <c:title>
          <c:tx>
            <c:rich>
              <a:bodyPr/>
              <a:lstStyle/>
              <a:p>
                <a:pPr>
                  <a:defRPr sz="800" b="0">
                    <a:solidFill>
                      <a:srgbClr val="0000CC"/>
                    </a:solidFill>
                  </a:defRPr>
                </a:pPr>
                <a:r>
                  <a:rPr lang="en-US" sz="800" b="0">
                    <a:solidFill>
                      <a:srgbClr val="0000CC"/>
                    </a:solidFill>
                  </a:rPr>
                  <a:t>Point</a:t>
                </a:r>
              </a:p>
            </c:rich>
          </c:tx>
          <c:layout>
            <c:manualLayout>
              <c:xMode val="edge"/>
              <c:yMode val="edge"/>
              <c:x val="0.88061064126243482"/>
              <c:y val="0.79959354039078445"/>
            </c:manualLayout>
          </c:layout>
          <c:overlay val="0"/>
        </c:title>
        <c:numFmt formatCode="General" sourceLinked="1"/>
        <c:majorTickMark val="out"/>
        <c:minorTickMark val="none"/>
        <c:tickLblPos val="nextTo"/>
        <c:txPr>
          <a:bodyPr/>
          <a:lstStyle/>
          <a:p>
            <a:pPr>
              <a:defRPr sz="900"/>
            </a:pPr>
            <a:endParaRPr lang="en-US"/>
          </a:p>
        </c:txPr>
        <c:crossAx val="427349616"/>
        <c:crosses val="autoZero"/>
        <c:auto val="1"/>
        <c:lblAlgn val="ctr"/>
        <c:lblOffset val="100"/>
        <c:noMultiLvlLbl val="0"/>
      </c:catAx>
      <c:valAx>
        <c:axId val="427349616"/>
        <c:scaling>
          <c:orientation val="minMax"/>
        </c:scaling>
        <c:delete val="0"/>
        <c:axPos val="l"/>
        <c:majorGridlines>
          <c:spPr>
            <a:ln>
              <a:solidFill>
                <a:schemeClr val="bg1">
                  <a:lumMod val="75000"/>
                </a:schemeClr>
              </a:solidFill>
              <a:prstDash val="sysDot"/>
            </a:ln>
          </c:spPr>
        </c:majorGridlines>
        <c:title>
          <c:tx>
            <c:rich>
              <a:bodyPr rot="-5400000" vert="horz"/>
              <a:lstStyle/>
              <a:p>
                <a:pPr>
                  <a:defRPr sz="800" b="0">
                    <a:solidFill>
                      <a:srgbClr val="0000CC"/>
                    </a:solidFill>
                  </a:defRPr>
                </a:pPr>
                <a:r>
                  <a:rPr lang="en-US" sz="800" b="0">
                    <a:solidFill>
                      <a:srgbClr val="0000CC"/>
                    </a:solidFill>
                  </a:rPr>
                  <a:t>Economies</a:t>
                </a:r>
              </a:p>
            </c:rich>
          </c:tx>
          <c:layout>
            <c:manualLayout>
              <c:xMode val="edge"/>
              <c:yMode val="edge"/>
              <c:x val="6.4429905820595958E-3"/>
              <c:y val="9.6990077944802355E-2"/>
            </c:manualLayout>
          </c:layout>
          <c:overlay val="0"/>
        </c:title>
        <c:numFmt formatCode="General" sourceLinked="1"/>
        <c:majorTickMark val="out"/>
        <c:minorTickMark val="none"/>
        <c:tickLblPos val="nextTo"/>
        <c:txPr>
          <a:bodyPr/>
          <a:lstStyle/>
          <a:p>
            <a:pPr>
              <a:defRPr sz="900"/>
            </a:pPr>
            <a:endParaRPr lang="en-US"/>
          </a:p>
        </c:txPr>
        <c:crossAx val="427349224"/>
        <c:crosses val="autoZero"/>
        <c:crossBetween val="between"/>
      </c:valAx>
      <c:spPr>
        <a:ln>
          <a:solidFill>
            <a:schemeClr val="tx1"/>
          </a:solidFill>
        </a:ln>
      </c:spPr>
    </c:plotArea>
    <c:legend>
      <c:legendPos val="r"/>
      <c:layout>
        <c:manualLayout>
          <c:xMode val="edge"/>
          <c:yMode val="edge"/>
          <c:x val="7.0350581177352836E-2"/>
          <c:y val="0.88490995917177018"/>
          <c:w val="0.86210083114610669"/>
          <c:h val="0.11509004082822981"/>
        </c:manualLayout>
      </c:layout>
      <c:overlay val="0"/>
      <c:spPr>
        <a:solidFill>
          <a:schemeClr val="bg1"/>
        </a:solidFill>
      </c:spPr>
      <c:txPr>
        <a:bodyPr/>
        <a:lstStyle/>
        <a:p>
          <a:pPr>
            <a:defRPr sz="900"/>
          </a:pPr>
          <a:endParaRPr lang="en-US"/>
        </a:p>
      </c:txPr>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CC"/>
                </a:solidFill>
              </a:defRPr>
            </a:pPr>
            <a:r>
              <a:rPr lang="en-US" sz="1000">
                <a:solidFill>
                  <a:srgbClr val="0000CC"/>
                </a:solidFill>
              </a:rPr>
              <a:t>Regional</a:t>
            </a:r>
            <a:r>
              <a:rPr lang="en-US" sz="1000" baseline="0">
                <a:solidFill>
                  <a:srgbClr val="0000CC"/>
                </a:solidFill>
              </a:rPr>
              <a:t> distribution</a:t>
            </a:r>
            <a:endParaRPr lang="en-US" sz="1000">
              <a:solidFill>
                <a:srgbClr val="0000CC"/>
              </a:solidFill>
            </a:endParaRPr>
          </a:p>
        </c:rich>
      </c:tx>
      <c:layout>
        <c:manualLayout>
          <c:xMode val="edge"/>
          <c:yMode val="edge"/>
          <c:x val="0.29020089344892497"/>
          <c:y val="0"/>
        </c:manualLayout>
      </c:layout>
      <c:overlay val="1"/>
    </c:title>
    <c:autoTitleDeleted val="0"/>
    <c:plotArea>
      <c:layout>
        <c:manualLayout>
          <c:layoutTarget val="inner"/>
          <c:xMode val="edge"/>
          <c:yMode val="edge"/>
          <c:x val="0.13920172857180732"/>
          <c:y val="0.13163337221736174"/>
          <c:w val="0.83487565948195874"/>
          <c:h val="0.62868183143773693"/>
        </c:manualLayout>
      </c:layout>
      <c:barChart>
        <c:barDir val="col"/>
        <c:grouping val="clustered"/>
        <c:varyColors val="0"/>
        <c:ser>
          <c:idx val="1"/>
          <c:order val="0"/>
          <c:tx>
            <c:strRef>
              <c:f>'ID4D Stats'!$CM$4</c:f>
              <c:strCache>
                <c:ptCount val="1"/>
                <c:pt idx="0">
                  <c:v>AFR</c:v>
                </c:pt>
              </c:strCache>
            </c:strRef>
          </c:tx>
          <c:spPr>
            <a:solidFill>
              <a:srgbClr val="FFC000"/>
            </a:solidFill>
            <a:ln>
              <a:solidFill>
                <a:schemeClr val="tx1"/>
              </a:solidFill>
            </a:ln>
          </c:spPr>
          <c:invertIfNegative val="0"/>
          <c:cat>
            <c:numLit>
              <c:formatCode>General</c:formatCode>
              <c:ptCount val="3"/>
              <c:pt idx="0">
                <c:v>0</c:v>
              </c:pt>
              <c:pt idx="1">
                <c:v>1</c:v>
              </c:pt>
              <c:pt idx="2">
                <c:v>2</c:v>
              </c:pt>
            </c:numLit>
          </c:cat>
          <c:val>
            <c:numRef>
              <c:f>'ID4D Stats'!$CN$4:$CO$4</c:f>
              <c:numCache>
                <c:formatCode>General</c:formatCode>
                <c:ptCount val="2"/>
                <c:pt idx="0">
                  <c:v>0</c:v>
                </c:pt>
                <c:pt idx="1">
                  <c:v>5</c:v>
                </c:pt>
              </c:numCache>
            </c:numRef>
          </c:val>
        </c:ser>
        <c:ser>
          <c:idx val="2"/>
          <c:order val="1"/>
          <c:tx>
            <c:strRef>
              <c:f>'ID4D Stats'!$CM$5</c:f>
              <c:strCache>
                <c:ptCount val="1"/>
                <c:pt idx="0">
                  <c:v>EAP</c:v>
                </c:pt>
              </c:strCache>
            </c:strRef>
          </c:tx>
          <c:spPr>
            <a:solidFill>
              <a:schemeClr val="accent1">
                <a:lumMod val="40000"/>
                <a:lumOff val="60000"/>
              </a:schemeClr>
            </a:solidFill>
            <a:ln>
              <a:solidFill>
                <a:schemeClr val="tx1"/>
              </a:solidFill>
            </a:ln>
          </c:spPr>
          <c:invertIfNegative val="0"/>
          <c:cat>
            <c:numLit>
              <c:formatCode>General</c:formatCode>
              <c:ptCount val="3"/>
              <c:pt idx="0">
                <c:v>0</c:v>
              </c:pt>
              <c:pt idx="1">
                <c:v>1</c:v>
              </c:pt>
              <c:pt idx="2">
                <c:v>2</c:v>
              </c:pt>
            </c:numLit>
          </c:cat>
          <c:val>
            <c:numRef>
              <c:f>'ID4D Stats'!$CN$5:$CO$5</c:f>
              <c:numCache>
                <c:formatCode>General</c:formatCode>
                <c:ptCount val="2"/>
                <c:pt idx="0">
                  <c:v>0</c:v>
                </c:pt>
                <c:pt idx="1">
                  <c:v>1</c:v>
                </c:pt>
              </c:numCache>
            </c:numRef>
          </c:val>
        </c:ser>
        <c:ser>
          <c:idx val="3"/>
          <c:order val="2"/>
          <c:tx>
            <c:strRef>
              <c:f>'ID4D Stats'!$CM$6</c:f>
              <c:strCache>
                <c:ptCount val="1"/>
                <c:pt idx="0">
                  <c:v>ECA</c:v>
                </c:pt>
              </c:strCache>
            </c:strRef>
          </c:tx>
          <c:spPr>
            <a:solidFill>
              <a:srgbClr val="FFFF00"/>
            </a:solidFill>
            <a:ln>
              <a:solidFill>
                <a:schemeClr val="tx1"/>
              </a:solidFill>
            </a:ln>
          </c:spPr>
          <c:invertIfNegative val="0"/>
          <c:cat>
            <c:numLit>
              <c:formatCode>General</c:formatCode>
              <c:ptCount val="3"/>
              <c:pt idx="0">
                <c:v>0</c:v>
              </c:pt>
              <c:pt idx="1">
                <c:v>1</c:v>
              </c:pt>
              <c:pt idx="2">
                <c:v>2</c:v>
              </c:pt>
            </c:numLit>
          </c:cat>
          <c:val>
            <c:numRef>
              <c:f>'ID4D Stats'!$CN$6:$CO$6</c:f>
              <c:numCache>
                <c:formatCode>General</c:formatCode>
                <c:ptCount val="2"/>
                <c:pt idx="0">
                  <c:v>0</c:v>
                </c:pt>
                <c:pt idx="1">
                  <c:v>1</c:v>
                </c:pt>
              </c:numCache>
            </c:numRef>
          </c:val>
        </c:ser>
        <c:ser>
          <c:idx val="4"/>
          <c:order val="3"/>
          <c:tx>
            <c:strRef>
              <c:f>'ID4D Stats'!$CM$7</c:f>
              <c:strCache>
                <c:ptCount val="1"/>
                <c:pt idx="0">
                  <c:v>LCR</c:v>
                </c:pt>
              </c:strCache>
            </c:strRef>
          </c:tx>
          <c:spPr>
            <a:solidFill>
              <a:schemeClr val="accent3">
                <a:lumMod val="60000"/>
                <a:lumOff val="40000"/>
              </a:schemeClr>
            </a:solidFill>
            <a:ln>
              <a:solidFill>
                <a:schemeClr val="tx1"/>
              </a:solidFill>
            </a:ln>
          </c:spPr>
          <c:invertIfNegative val="0"/>
          <c:cat>
            <c:numLit>
              <c:formatCode>General</c:formatCode>
              <c:ptCount val="3"/>
              <c:pt idx="0">
                <c:v>0</c:v>
              </c:pt>
              <c:pt idx="1">
                <c:v>1</c:v>
              </c:pt>
              <c:pt idx="2">
                <c:v>2</c:v>
              </c:pt>
            </c:numLit>
          </c:cat>
          <c:val>
            <c:numRef>
              <c:f>'ID4D Stats'!$CN$7:$CO$7</c:f>
              <c:numCache>
                <c:formatCode>General</c:formatCode>
                <c:ptCount val="2"/>
                <c:pt idx="0">
                  <c:v>0</c:v>
                </c:pt>
                <c:pt idx="1">
                  <c:v>2</c:v>
                </c:pt>
              </c:numCache>
            </c:numRef>
          </c:val>
        </c:ser>
        <c:ser>
          <c:idx val="5"/>
          <c:order val="4"/>
          <c:tx>
            <c:strRef>
              <c:f>'ID4D Stats'!$CM$8</c:f>
              <c:strCache>
                <c:ptCount val="1"/>
                <c:pt idx="0">
                  <c:v>MNA</c:v>
                </c:pt>
              </c:strCache>
            </c:strRef>
          </c:tx>
          <c:spPr>
            <a:solidFill>
              <a:schemeClr val="tx2">
                <a:lumMod val="40000"/>
                <a:lumOff val="60000"/>
              </a:schemeClr>
            </a:solidFill>
            <a:ln>
              <a:solidFill>
                <a:schemeClr val="tx1"/>
              </a:solidFill>
            </a:ln>
          </c:spPr>
          <c:invertIfNegative val="0"/>
          <c:cat>
            <c:numLit>
              <c:formatCode>General</c:formatCode>
              <c:ptCount val="3"/>
              <c:pt idx="0">
                <c:v>0</c:v>
              </c:pt>
              <c:pt idx="1">
                <c:v>1</c:v>
              </c:pt>
              <c:pt idx="2">
                <c:v>2</c:v>
              </c:pt>
            </c:numLit>
          </c:cat>
          <c:val>
            <c:numRef>
              <c:f>'ID4D Stats'!$CN$8:$CO$8</c:f>
              <c:numCache>
                <c:formatCode>General</c:formatCode>
                <c:ptCount val="2"/>
                <c:pt idx="0">
                  <c:v>0</c:v>
                </c:pt>
                <c:pt idx="1">
                  <c:v>0</c:v>
                </c:pt>
              </c:numCache>
            </c:numRef>
          </c:val>
        </c:ser>
        <c:ser>
          <c:idx val="6"/>
          <c:order val="5"/>
          <c:tx>
            <c:strRef>
              <c:f>'ID4D Stats'!$CM$9</c:f>
              <c:strCache>
                <c:ptCount val="1"/>
                <c:pt idx="0">
                  <c:v>SAR</c:v>
                </c:pt>
              </c:strCache>
            </c:strRef>
          </c:tx>
          <c:spPr>
            <a:solidFill>
              <a:schemeClr val="accent6">
                <a:lumMod val="75000"/>
              </a:schemeClr>
            </a:solidFill>
            <a:ln>
              <a:solidFill>
                <a:schemeClr val="tx1"/>
              </a:solidFill>
            </a:ln>
          </c:spPr>
          <c:invertIfNegative val="0"/>
          <c:cat>
            <c:numLit>
              <c:formatCode>General</c:formatCode>
              <c:ptCount val="3"/>
              <c:pt idx="0">
                <c:v>0</c:v>
              </c:pt>
              <c:pt idx="1">
                <c:v>1</c:v>
              </c:pt>
              <c:pt idx="2">
                <c:v>2</c:v>
              </c:pt>
            </c:numLit>
          </c:cat>
          <c:val>
            <c:numRef>
              <c:f>'ID4D Stats'!$CN$9:$CO$9</c:f>
              <c:numCache>
                <c:formatCode>General</c:formatCode>
                <c:ptCount val="2"/>
                <c:pt idx="0">
                  <c:v>0</c:v>
                </c:pt>
                <c:pt idx="1">
                  <c:v>0</c:v>
                </c:pt>
              </c:numCache>
            </c:numRef>
          </c:val>
        </c:ser>
        <c:dLbls>
          <c:showLegendKey val="0"/>
          <c:showVal val="0"/>
          <c:showCatName val="0"/>
          <c:showSerName val="0"/>
          <c:showPercent val="0"/>
          <c:showBubbleSize val="0"/>
        </c:dLbls>
        <c:gapWidth val="120"/>
        <c:overlap val="-20"/>
        <c:axId val="427350400"/>
        <c:axId val="427350792"/>
      </c:barChart>
      <c:catAx>
        <c:axId val="427350400"/>
        <c:scaling>
          <c:orientation val="minMax"/>
        </c:scaling>
        <c:delete val="0"/>
        <c:axPos val="b"/>
        <c:title>
          <c:tx>
            <c:rich>
              <a:bodyPr/>
              <a:lstStyle/>
              <a:p>
                <a:pPr>
                  <a:defRPr sz="800" b="0">
                    <a:solidFill>
                      <a:srgbClr val="0000CC"/>
                    </a:solidFill>
                  </a:defRPr>
                </a:pPr>
                <a:r>
                  <a:rPr lang="en-US" sz="800" b="0">
                    <a:solidFill>
                      <a:srgbClr val="0000CC"/>
                    </a:solidFill>
                  </a:rPr>
                  <a:t>Point</a:t>
                </a:r>
              </a:p>
            </c:rich>
          </c:tx>
          <c:layout>
            <c:manualLayout>
              <c:xMode val="edge"/>
              <c:yMode val="edge"/>
              <c:x val="0.89456650579967822"/>
              <c:y val="0.79718090794206276"/>
            </c:manualLayout>
          </c:layout>
          <c:overlay val="0"/>
        </c:title>
        <c:numFmt formatCode="General" sourceLinked="1"/>
        <c:majorTickMark val="out"/>
        <c:minorTickMark val="none"/>
        <c:tickLblPos val="nextTo"/>
        <c:txPr>
          <a:bodyPr/>
          <a:lstStyle/>
          <a:p>
            <a:pPr>
              <a:defRPr sz="900"/>
            </a:pPr>
            <a:endParaRPr lang="en-US"/>
          </a:p>
        </c:txPr>
        <c:crossAx val="427350792"/>
        <c:crosses val="autoZero"/>
        <c:auto val="1"/>
        <c:lblAlgn val="ctr"/>
        <c:lblOffset val="100"/>
        <c:noMultiLvlLbl val="0"/>
      </c:catAx>
      <c:valAx>
        <c:axId val="427350792"/>
        <c:scaling>
          <c:orientation val="minMax"/>
        </c:scaling>
        <c:delete val="0"/>
        <c:axPos val="l"/>
        <c:majorGridlines>
          <c:spPr>
            <a:ln>
              <a:solidFill>
                <a:schemeClr val="bg1">
                  <a:lumMod val="75000"/>
                </a:schemeClr>
              </a:solidFill>
              <a:prstDash val="sysDot"/>
            </a:ln>
          </c:spPr>
        </c:majorGridlines>
        <c:title>
          <c:tx>
            <c:rich>
              <a:bodyPr rot="-5400000" vert="horz"/>
              <a:lstStyle/>
              <a:p>
                <a:pPr>
                  <a:defRPr sz="800" b="0">
                    <a:solidFill>
                      <a:srgbClr val="0000CC"/>
                    </a:solidFill>
                  </a:defRPr>
                </a:pPr>
                <a:r>
                  <a:rPr lang="en-US" sz="800" b="0">
                    <a:solidFill>
                      <a:srgbClr val="0000CC"/>
                    </a:solidFill>
                  </a:rPr>
                  <a:t>Economies</a:t>
                </a:r>
              </a:p>
            </c:rich>
          </c:tx>
          <c:layout>
            <c:manualLayout>
              <c:xMode val="edge"/>
              <c:yMode val="edge"/>
              <c:x val="0"/>
              <c:y val="0.10210035005834306"/>
            </c:manualLayout>
          </c:layout>
          <c:overlay val="0"/>
        </c:title>
        <c:numFmt formatCode="General" sourceLinked="1"/>
        <c:majorTickMark val="out"/>
        <c:minorTickMark val="none"/>
        <c:tickLblPos val="nextTo"/>
        <c:txPr>
          <a:bodyPr/>
          <a:lstStyle/>
          <a:p>
            <a:pPr>
              <a:defRPr sz="900"/>
            </a:pPr>
            <a:endParaRPr lang="en-US"/>
          </a:p>
        </c:txPr>
        <c:crossAx val="427350400"/>
        <c:crosses val="autoZero"/>
        <c:crossBetween val="between"/>
      </c:valAx>
      <c:spPr>
        <a:ln>
          <a:solidFill>
            <a:schemeClr val="tx1"/>
          </a:solidFill>
        </a:ln>
      </c:spPr>
    </c:plotArea>
    <c:legend>
      <c:legendPos val="r"/>
      <c:layout>
        <c:manualLayout>
          <c:xMode val="edge"/>
          <c:yMode val="edge"/>
          <c:x val="5.0845064821442777E-2"/>
          <c:y val="0.88289467288811119"/>
          <c:w val="0.89444113046475249"/>
          <c:h val="0.11710532711188877"/>
        </c:manualLayout>
      </c:layout>
      <c:overlay val="0"/>
      <c:spPr>
        <a:solidFill>
          <a:schemeClr val="bg1"/>
        </a:solidFill>
      </c:spPr>
      <c:txPr>
        <a:bodyPr/>
        <a:lstStyle/>
        <a:p>
          <a:pPr>
            <a:defRPr sz="900"/>
          </a:pPr>
          <a:endParaRPr lang="en-US"/>
        </a:p>
      </c:txPr>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a:solidFill>
                  <a:srgbClr val="0000CC"/>
                </a:solidFill>
              </a:defRPr>
            </a:pPr>
            <a:r>
              <a:rPr lang="en-US" sz="1000" b="1">
                <a:solidFill>
                  <a:srgbClr val="0000CC"/>
                </a:solidFill>
              </a:rPr>
              <a:t>Income level distribution</a:t>
            </a:r>
          </a:p>
        </c:rich>
      </c:tx>
      <c:layout>
        <c:manualLayout>
          <c:xMode val="edge"/>
          <c:yMode val="edge"/>
          <c:x val="0.25800634295713037"/>
          <c:y val="1.4636191309419647E-3"/>
        </c:manualLayout>
      </c:layout>
      <c:overlay val="1"/>
    </c:title>
    <c:autoTitleDeleted val="0"/>
    <c:plotArea>
      <c:layout>
        <c:manualLayout>
          <c:layoutTarget val="inner"/>
          <c:xMode val="edge"/>
          <c:yMode val="edge"/>
          <c:x val="0.13281097215789203"/>
          <c:y val="0.12928757169242736"/>
          <c:w val="0.84820615253975606"/>
          <c:h val="0.65088157383104894"/>
        </c:manualLayout>
      </c:layout>
      <c:barChart>
        <c:barDir val="col"/>
        <c:grouping val="clustered"/>
        <c:varyColors val="0"/>
        <c:ser>
          <c:idx val="0"/>
          <c:order val="0"/>
          <c:tx>
            <c:strRef>
              <c:f>'ID4D Stats'!$BJ$70</c:f>
              <c:strCache>
                <c:ptCount val="1"/>
                <c:pt idx="0">
                  <c:v>LIC</c:v>
                </c:pt>
              </c:strCache>
            </c:strRef>
          </c:tx>
          <c:spPr>
            <a:solidFill>
              <a:srgbClr val="FFC000"/>
            </a:solidFill>
            <a:ln>
              <a:solidFill>
                <a:schemeClr val="tx1"/>
              </a:solidFill>
            </a:ln>
          </c:spPr>
          <c:invertIfNegative val="0"/>
          <c:cat>
            <c:numRef>
              <c:f>'ID4D Stats'!$BL$66:$BQ$66</c:f>
              <c:numCache>
                <c:formatCode>General</c:formatCode>
                <c:ptCount val="6"/>
                <c:pt idx="0">
                  <c:v>1</c:v>
                </c:pt>
                <c:pt idx="1">
                  <c:v>2</c:v>
                </c:pt>
                <c:pt idx="2">
                  <c:v>3</c:v>
                </c:pt>
                <c:pt idx="3">
                  <c:v>4</c:v>
                </c:pt>
                <c:pt idx="4">
                  <c:v>5</c:v>
                </c:pt>
                <c:pt idx="5">
                  <c:v>6</c:v>
                </c:pt>
              </c:numCache>
            </c:numRef>
          </c:cat>
          <c:val>
            <c:numRef>
              <c:f>'ID4D Stats'!$BL$70:$BQ$70</c:f>
              <c:numCache>
                <c:formatCode>General</c:formatCode>
                <c:ptCount val="6"/>
                <c:pt idx="0">
                  <c:v>0</c:v>
                </c:pt>
                <c:pt idx="1">
                  <c:v>19</c:v>
                </c:pt>
                <c:pt idx="2">
                  <c:v>14</c:v>
                </c:pt>
                <c:pt idx="3">
                  <c:v>0</c:v>
                </c:pt>
                <c:pt idx="4">
                  <c:v>0</c:v>
                </c:pt>
                <c:pt idx="5">
                  <c:v>1</c:v>
                </c:pt>
              </c:numCache>
            </c:numRef>
          </c:val>
        </c:ser>
        <c:ser>
          <c:idx val="4"/>
          <c:order val="1"/>
          <c:tx>
            <c:strRef>
              <c:f>'ID4D Stats'!$BJ$69</c:f>
              <c:strCache>
                <c:ptCount val="1"/>
                <c:pt idx="0">
                  <c:v>LMIC</c:v>
                </c:pt>
              </c:strCache>
            </c:strRef>
          </c:tx>
          <c:spPr>
            <a:solidFill>
              <a:srgbClr val="FFFF00"/>
            </a:solidFill>
            <a:ln>
              <a:solidFill>
                <a:schemeClr val="tx1"/>
              </a:solidFill>
            </a:ln>
          </c:spPr>
          <c:invertIfNegative val="0"/>
          <c:cat>
            <c:numRef>
              <c:f>'ID4D Stats'!$BL$66:$BQ$66</c:f>
              <c:numCache>
                <c:formatCode>General</c:formatCode>
                <c:ptCount val="6"/>
                <c:pt idx="0">
                  <c:v>1</c:v>
                </c:pt>
                <c:pt idx="1">
                  <c:v>2</c:v>
                </c:pt>
                <c:pt idx="2">
                  <c:v>3</c:v>
                </c:pt>
                <c:pt idx="3">
                  <c:v>4</c:v>
                </c:pt>
                <c:pt idx="4">
                  <c:v>5</c:v>
                </c:pt>
                <c:pt idx="5">
                  <c:v>6</c:v>
                </c:pt>
              </c:numCache>
            </c:numRef>
          </c:cat>
          <c:val>
            <c:numRef>
              <c:f>'ID4D Stats'!$BL$69:$BQ$69</c:f>
              <c:numCache>
                <c:formatCode>General</c:formatCode>
                <c:ptCount val="6"/>
                <c:pt idx="0">
                  <c:v>3</c:v>
                </c:pt>
                <c:pt idx="1">
                  <c:v>24</c:v>
                </c:pt>
                <c:pt idx="2">
                  <c:v>19</c:v>
                </c:pt>
                <c:pt idx="3">
                  <c:v>0</c:v>
                </c:pt>
                <c:pt idx="4">
                  <c:v>2</c:v>
                </c:pt>
                <c:pt idx="5">
                  <c:v>2</c:v>
                </c:pt>
              </c:numCache>
            </c:numRef>
          </c:val>
        </c:ser>
        <c:ser>
          <c:idx val="3"/>
          <c:order val="2"/>
          <c:tx>
            <c:strRef>
              <c:f>'ID4D Stats'!$BJ$68</c:f>
              <c:strCache>
                <c:ptCount val="1"/>
                <c:pt idx="0">
                  <c:v>UMIC</c:v>
                </c:pt>
              </c:strCache>
            </c:strRef>
          </c:tx>
          <c:spPr>
            <a:solidFill>
              <a:schemeClr val="accent3">
                <a:lumMod val="60000"/>
                <a:lumOff val="40000"/>
              </a:schemeClr>
            </a:solidFill>
            <a:ln>
              <a:solidFill>
                <a:schemeClr val="tx1"/>
              </a:solidFill>
            </a:ln>
          </c:spPr>
          <c:invertIfNegative val="0"/>
          <c:cat>
            <c:numRef>
              <c:f>'ID4D Stats'!$BL$66:$BQ$66</c:f>
              <c:numCache>
                <c:formatCode>General</c:formatCode>
                <c:ptCount val="6"/>
                <c:pt idx="0">
                  <c:v>1</c:v>
                </c:pt>
                <c:pt idx="1">
                  <c:v>2</c:v>
                </c:pt>
                <c:pt idx="2">
                  <c:v>3</c:v>
                </c:pt>
                <c:pt idx="3">
                  <c:v>4</c:v>
                </c:pt>
                <c:pt idx="4">
                  <c:v>5</c:v>
                </c:pt>
                <c:pt idx="5">
                  <c:v>6</c:v>
                </c:pt>
              </c:numCache>
            </c:numRef>
          </c:cat>
          <c:val>
            <c:numRef>
              <c:f>'ID4D Stats'!$BL$68:$BQ$68</c:f>
              <c:numCache>
                <c:formatCode>General</c:formatCode>
                <c:ptCount val="6"/>
                <c:pt idx="0">
                  <c:v>2</c:v>
                </c:pt>
                <c:pt idx="1">
                  <c:v>28</c:v>
                </c:pt>
                <c:pt idx="2">
                  <c:v>17</c:v>
                </c:pt>
                <c:pt idx="3">
                  <c:v>0</c:v>
                </c:pt>
                <c:pt idx="4">
                  <c:v>6</c:v>
                </c:pt>
                <c:pt idx="5">
                  <c:v>2</c:v>
                </c:pt>
              </c:numCache>
            </c:numRef>
          </c:val>
        </c:ser>
        <c:ser>
          <c:idx val="2"/>
          <c:order val="3"/>
          <c:tx>
            <c:strRef>
              <c:f>'ID4D Stats'!$BJ$67</c:f>
              <c:strCache>
                <c:ptCount val="1"/>
                <c:pt idx="0">
                  <c:v>HIC</c:v>
                </c:pt>
              </c:strCache>
            </c:strRef>
          </c:tx>
          <c:spPr>
            <a:solidFill>
              <a:schemeClr val="accent1">
                <a:lumMod val="40000"/>
                <a:lumOff val="60000"/>
              </a:schemeClr>
            </a:solidFill>
            <a:ln>
              <a:solidFill>
                <a:schemeClr val="tx1"/>
              </a:solidFill>
            </a:ln>
          </c:spPr>
          <c:invertIfNegative val="0"/>
          <c:cat>
            <c:numRef>
              <c:f>'ID4D Stats'!$BL$66:$BQ$66</c:f>
              <c:numCache>
                <c:formatCode>General</c:formatCode>
                <c:ptCount val="6"/>
                <c:pt idx="0">
                  <c:v>1</c:v>
                </c:pt>
                <c:pt idx="1">
                  <c:v>2</c:v>
                </c:pt>
                <c:pt idx="2">
                  <c:v>3</c:v>
                </c:pt>
                <c:pt idx="3">
                  <c:v>4</c:v>
                </c:pt>
                <c:pt idx="4">
                  <c:v>5</c:v>
                </c:pt>
                <c:pt idx="5">
                  <c:v>6</c:v>
                </c:pt>
              </c:numCache>
            </c:numRef>
          </c:cat>
          <c:val>
            <c:numRef>
              <c:f>'ID4D Stats'!$BL$67:$BQ$67</c:f>
              <c:numCache>
                <c:formatCode>General</c:formatCode>
                <c:ptCount val="6"/>
                <c:pt idx="0">
                  <c:v>0</c:v>
                </c:pt>
                <c:pt idx="1">
                  <c:v>36</c:v>
                </c:pt>
                <c:pt idx="2">
                  <c:v>16</c:v>
                </c:pt>
                <c:pt idx="3">
                  <c:v>0</c:v>
                </c:pt>
                <c:pt idx="4">
                  <c:v>5</c:v>
                </c:pt>
                <c:pt idx="5">
                  <c:v>2</c:v>
                </c:pt>
              </c:numCache>
            </c:numRef>
          </c:val>
        </c:ser>
        <c:dLbls>
          <c:showLegendKey val="0"/>
          <c:showVal val="0"/>
          <c:showCatName val="0"/>
          <c:showSerName val="0"/>
          <c:showPercent val="0"/>
          <c:showBubbleSize val="0"/>
        </c:dLbls>
        <c:gapWidth val="160"/>
        <c:overlap val="-25"/>
        <c:axId val="427351968"/>
        <c:axId val="427352360"/>
      </c:barChart>
      <c:catAx>
        <c:axId val="427351968"/>
        <c:scaling>
          <c:orientation val="minMax"/>
        </c:scaling>
        <c:delete val="0"/>
        <c:axPos val="b"/>
        <c:title>
          <c:tx>
            <c:rich>
              <a:bodyPr/>
              <a:lstStyle/>
              <a:p>
                <a:pPr>
                  <a:defRPr sz="800" b="0">
                    <a:solidFill>
                      <a:srgbClr val="0000CC"/>
                    </a:solidFill>
                  </a:defRPr>
                </a:pPr>
                <a:r>
                  <a:rPr lang="en-US" sz="800" b="0">
                    <a:solidFill>
                      <a:srgbClr val="0000CC"/>
                    </a:solidFill>
                  </a:rPr>
                  <a:t>e-Pass Inst</a:t>
                </a:r>
              </a:p>
            </c:rich>
          </c:tx>
          <c:layout>
            <c:manualLayout>
              <c:xMode val="edge"/>
              <c:yMode val="edge"/>
              <c:x val="0.88408728320724617"/>
              <c:y val="0.8999021823660931"/>
            </c:manualLayout>
          </c:layout>
          <c:overlay val="0"/>
        </c:title>
        <c:numFmt formatCode="General" sourceLinked="1"/>
        <c:majorTickMark val="out"/>
        <c:minorTickMark val="none"/>
        <c:tickLblPos val="nextTo"/>
        <c:txPr>
          <a:bodyPr/>
          <a:lstStyle/>
          <a:p>
            <a:pPr>
              <a:defRPr sz="900"/>
            </a:pPr>
            <a:endParaRPr lang="en-US"/>
          </a:p>
        </c:txPr>
        <c:crossAx val="427352360"/>
        <c:crosses val="autoZero"/>
        <c:auto val="1"/>
        <c:lblAlgn val="ctr"/>
        <c:lblOffset val="100"/>
        <c:noMultiLvlLbl val="0"/>
      </c:catAx>
      <c:valAx>
        <c:axId val="427352360"/>
        <c:scaling>
          <c:orientation val="minMax"/>
        </c:scaling>
        <c:delete val="0"/>
        <c:axPos val="l"/>
        <c:majorGridlines>
          <c:spPr>
            <a:ln>
              <a:solidFill>
                <a:schemeClr val="bg1">
                  <a:lumMod val="75000"/>
                </a:schemeClr>
              </a:solidFill>
              <a:prstDash val="sysDot"/>
            </a:ln>
          </c:spPr>
        </c:majorGridlines>
        <c:title>
          <c:tx>
            <c:rich>
              <a:bodyPr rot="-5400000" vert="horz"/>
              <a:lstStyle/>
              <a:p>
                <a:pPr>
                  <a:defRPr sz="800" b="0">
                    <a:solidFill>
                      <a:srgbClr val="0000CC"/>
                    </a:solidFill>
                  </a:defRPr>
                </a:pPr>
                <a:r>
                  <a:rPr lang="en-US" sz="800" b="0">
                    <a:solidFill>
                      <a:srgbClr val="0000CC"/>
                    </a:solidFill>
                  </a:rPr>
                  <a:t>Economies</a:t>
                </a:r>
              </a:p>
            </c:rich>
          </c:tx>
          <c:layout>
            <c:manualLayout>
              <c:xMode val="edge"/>
              <c:yMode val="edge"/>
              <c:x val="6.4429905820595958E-3"/>
              <c:y val="9.6990077944802355E-2"/>
            </c:manualLayout>
          </c:layout>
          <c:overlay val="0"/>
        </c:title>
        <c:numFmt formatCode="General" sourceLinked="1"/>
        <c:majorTickMark val="out"/>
        <c:minorTickMark val="none"/>
        <c:tickLblPos val="nextTo"/>
        <c:txPr>
          <a:bodyPr/>
          <a:lstStyle/>
          <a:p>
            <a:pPr>
              <a:defRPr sz="900"/>
            </a:pPr>
            <a:endParaRPr lang="en-US"/>
          </a:p>
        </c:txPr>
        <c:crossAx val="427351968"/>
        <c:crosses val="autoZero"/>
        <c:crossBetween val="between"/>
      </c:valAx>
      <c:spPr>
        <a:ln>
          <a:solidFill>
            <a:schemeClr val="tx1"/>
          </a:solidFill>
        </a:ln>
      </c:spPr>
    </c:plotArea>
    <c:legend>
      <c:legendPos val="r"/>
      <c:layout>
        <c:manualLayout>
          <c:xMode val="edge"/>
          <c:yMode val="edge"/>
          <c:x val="0.16342957130358704"/>
          <c:y val="0.88490995917177018"/>
          <c:w val="0.66193743245329628"/>
          <c:h val="0.11509004082822981"/>
        </c:manualLayout>
      </c:layout>
      <c:overlay val="0"/>
      <c:spPr>
        <a:solidFill>
          <a:schemeClr val="bg1"/>
        </a:solidFill>
      </c:spPr>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CC"/>
                </a:solidFill>
              </a:defRPr>
            </a:pPr>
            <a:r>
              <a:rPr lang="en-US" sz="1000">
                <a:solidFill>
                  <a:srgbClr val="0000CC"/>
                </a:solidFill>
              </a:rPr>
              <a:t>Regional</a:t>
            </a:r>
            <a:r>
              <a:rPr lang="en-US" sz="1000" baseline="0">
                <a:solidFill>
                  <a:srgbClr val="0000CC"/>
                </a:solidFill>
              </a:rPr>
              <a:t> distribution</a:t>
            </a:r>
            <a:endParaRPr lang="en-US" sz="1000">
              <a:solidFill>
                <a:srgbClr val="0000CC"/>
              </a:solidFill>
            </a:endParaRPr>
          </a:p>
        </c:rich>
      </c:tx>
      <c:layout>
        <c:manualLayout>
          <c:xMode val="edge"/>
          <c:yMode val="edge"/>
          <c:x val="0.30282726377952757"/>
          <c:y val="0"/>
        </c:manualLayout>
      </c:layout>
      <c:overlay val="1"/>
    </c:title>
    <c:autoTitleDeleted val="0"/>
    <c:plotArea>
      <c:layout>
        <c:manualLayout>
          <c:layoutTarget val="inner"/>
          <c:xMode val="edge"/>
          <c:yMode val="edge"/>
          <c:x val="0.10795166229221348"/>
          <c:y val="0.13163337221736174"/>
          <c:w val="0.87615649606299217"/>
          <c:h val="0.64411393020316909"/>
        </c:manualLayout>
      </c:layout>
      <c:barChart>
        <c:barDir val="col"/>
        <c:grouping val="clustered"/>
        <c:varyColors val="0"/>
        <c:ser>
          <c:idx val="1"/>
          <c:order val="0"/>
          <c:tx>
            <c:strRef>
              <c:f>'ID4D Stats'!$BT$67</c:f>
              <c:strCache>
                <c:ptCount val="1"/>
                <c:pt idx="0">
                  <c:v>AFR</c:v>
                </c:pt>
              </c:strCache>
            </c:strRef>
          </c:tx>
          <c:spPr>
            <a:solidFill>
              <a:srgbClr val="FFC000"/>
            </a:solidFill>
            <a:ln>
              <a:solidFill>
                <a:schemeClr val="tx1"/>
              </a:solidFill>
            </a:ln>
          </c:spPr>
          <c:invertIfNegative val="0"/>
          <c:cat>
            <c:numRef>
              <c:f>'ID4D Stats'!$BV$66:$CA$66</c:f>
              <c:numCache>
                <c:formatCode>General</c:formatCode>
                <c:ptCount val="6"/>
                <c:pt idx="0">
                  <c:v>1</c:v>
                </c:pt>
                <c:pt idx="1">
                  <c:v>2</c:v>
                </c:pt>
                <c:pt idx="2">
                  <c:v>3</c:v>
                </c:pt>
                <c:pt idx="3">
                  <c:v>4</c:v>
                </c:pt>
                <c:pt idx="4">
                  <c:v>5</c:v>
                </c:pt>
                <c:pt idx="5">
                  <c:v>6</c:v>
                </c:pt>
              </c:numCache>
            </c:numRef>
          </c:cat>
          <c:val>
            <c:numRef>
              <c:f>'ID4D Stats'!$BV$67:$CA$67</c:f>
              <c:numCache>
                <c:formatCode>General</c:formatCode>
                <c:ptCount val="6"/>
                <c:pt idx="0">
                  <c:v>1</c:v>
                </c:pt>
                <c:pt idx="1">
                  <c:v>29</c:v>
                </c:pt>
                <c:pt idx="2">
                  <c:v>15</c:v>
                </c:pt>
                <c:pt idx="3">
                  <c:v>0</c:v>
                </c:pt>
                <c:pt idx="4">
                  <c:v>2</c:v>
                </c:pt>
                <c:pt idx="5">
                  <c:v>1</c:v>
                </c:pt>
              </c:numCache>
            </c:numRef>
          </c:val>
        </c:ser>
        <c:ser>
          <c:idx val="2"/>
          <c:order val="1"/>
          <c:tx>
            <c:strRef>
              <c:f>'ID4D Stats'!$BT$68</c:f>
              <c:strCache>
                <c:ptCount val="1"/>
                <c:pt idx="0">
                  <c:v>EAP</c:v>
                </c:pt>
              </c:strCache>
            </c:strRef>
          </c:tx>
          <c:spPr>
            <a:solidFill>
              <a:schemeClr val="accent1">
                <a:lumMod val="40000"/>
                <a:lumOff val="60000"/>
              </a:schemeClr>
            </a:solidFill>
            <a:ln>
              <a:solidFill>
                <a:schemeClr val="tx1"/>
              </a:solidFill>
            </a:ln>
          </c:spPr>
          <c:invertIfNegative val="0"/>
          <c:cat>
            <c:numRef>
              <c:f>'ID4D Stats'!$BV$66:$CA$66</c:f>
              <c:numCache>
                <c:formatCode>General</c:formatCode>
                <c:ptCount val="6"/>
                <c:pt idx="0">
                  <c:v>1</c:v>
                </c:pt>
                <c:pt idx="1">
                  <c:v>2</c:v>
                </c:pt>
                <c:pt idx="2">
                  <c:v>3</c:v>
                </c:pt>
                <c:pt idx="3">
                  <c:v>4</c:v>
                </c:pt>
                <c:pt idx="4">
                  <c:v>5</c:v>
                </c:pt>
                <c:pt idx="5">
                  <c:v>6</c:v>
                </c:pt>
              </c:numCache>
            </c:numRef>
          </c:cat>
          <c:val>
            <c:numRef>
              <c:f>'ID4D Stats'!$BV$68:$CA$68</c:f>
              <c:numCache>
                <c:formatCode>General</c:formatCode>
                <c:ptCount val="6"/>
                <c:pt idx="0">
                  <c:v>3</c:v>
                </c:pt>
                <c:pt idx="1">
                  <c:v>15</c:v>
                </c:pt>
                <c:pt idx="2">
                  <c:v>9</c:v>
                </c:pt>
                <c:pt idx="3">
                  <c:v>0</c:v>
                </c:pt>
                <c:pt idx="4">
                  <c:v>1</c:v>
                </c:pt>
                <c:pt idx="5">
                  <c:v>1</c:v>
                </c:pt>
              </c:numCache>
            </c:numRef>
          </c:val>
        </c:ser>
        <c:ser>
          <c:idx val="3"/>
          <c:order val="2"/>
          <c:tx>
            <c:strRef>
              <c:f>'ID4D Stats'!$BT$69</c:f>
              <c:strCache>
                <c:ptCount val="1"/>
                <c:pt idx="0">
                  <c:v>ECA</c:v>
                </c:pt>
              </c:strCache>
            </c:strRef>
          </c:tx>
          <c:spPr>
            <a:solidFill>
              <a:srgbClr val="FFFF00"/>
            </a:solidFill>
            <a:ln>
              <a:solidFill>
                <a:schemeClr val="tx1"/>
              </a:solidFill>
            </a:ln>
          </c:spPr>
          <c:invertIfNegative val="0"/>
          <c:cat>
            <c:numRef>
              <c:f>'ID4D Stats'!$BV$66:$CA$66</c:f>
              <c:numCache>
                <c:formatCode>General</c:formatCode>
                <c:ptCount val="6"/>
                <c:pt idx="0">
                  <c:v>1</c:v>
                </c:pt>
                <c:pt idx="1">
                  <c:v>2</c:v>
                </c:pt>
                <c:pt idx="2">
                  <c:v>3</c:v>
                </c:pt>
                <c:pt idx="3">
                  <c:v>4</c:v>
                </c:pt>
                <c:pt idx="4">
                  <c:v>5</c:v>
                </c:pt>
                <c:pt idx="5">
                  <c:v>6</c:v>
                </c:pt>
              </c:numCache>
            </c:numRef>
          </c:cat>
          <c:val>
            <c:numRef>
              <c:f>'ID4D Stats'!$BV$69:$CA$69</c:f>
              <c:numCache>
                <c:formatCode>General</c:formatCode>
                <c:ptCount val="6"/>
                <c:pt idx="0">
                  <c:v>1</c:v>
                </c:pt>
                <c:pt idx="1">
                  <c:v>21</c:v>
                </c:pt>
                <c:pt idx="2">
                  <c:v>5</c:v>
                </c:pt>
                <c:pt idx="3">
                  <c:v>0</c:v>
                </c:pt>
                <c:pt idx="4">
                  <c:v>3</c:v>
                </c:pt>
                <c:pt idx="5">
                  <c:v>0</c:v>
                </c:pt>
              </c:numCache>
            </c:numRef>
          </c:val>
        </c:ser>
        <c:ser>
          <c:idx val="4"/>
          <c:order val="3"/>
          <c:tx>
            <c:strRef>
              <c:f>'ID4D Stats'!$BT$70</c:f>
              <c:strCache>
                <c:ptCount val="1"/>
                <c:pt idx="0">
                  <c:v>LCR</c:v>
                </c:pt>
              </c:strCache>
            </c:strRef>
          </c:tx>
          <c:spPr>
            <a:solidFill>
              <a:schemeClr val="accent3">
                <a:lumMod val="60000"/>
                <a:lumOff val="40000"/>
              </a:schemeClr>
            </a:solidFill>
            <a:ln>
              <a:solidFill>
                <a:schemeClr val="tx1"/>
              </a:solidFill>
            </a:ln>
          </c:spPr>
          <c:invertIfNegative val="0"/>
          <c:cat>
            <c:numRef>
              <c:f>'ID4D Stats'!$BV$66:$CA$66</c:f>
              <c:numCache>
                <c:formatCode>General</c:formatCode>
                <c:ptCount val="6"/>
                <c:pt idx="0">
                  <c:v>1</c:v>
                </c:pt>
                <c:pt idx="1">
                  <c:v>2</c:v>
                </c:pt>
                <c:pt idx="2">
                  <c:v>3</c:v>
                </c:pt>
                <c:pt idx="3">
                  <c:v>4</c:v>
                </c:pt>
                <c:pt idx="4">
                  <c:v>5</c:v>
                </c:pt>
                <c:pt idx="5">
                  <c:v>6</c:v>
                </c:pt>
              </c:numCache>
            </c:numRef>
          </c:cat>
          <c:val>
            <c:numRef>
              <c:f>'ID4D Stats'!$BV$70:$CA$70</c:f>
              <c:numCache>
                <c:formatCode>General</c:formatCode>
                <c:ptCount val="6"/>
                <c:pt idx="0">
                  <c:v>0</c:v>
                </c:pt>
                <c:pt idx="1">
                  <c:v>11</c:v>
                </c:pt>
                <c:pt idx="2">
                  <c:v>16</c:v>
                </c:pt>
                <c:pt idx="3">
                  <c:v>0</c:v>
                </c:pt>
                <c:pt idx="4">
                  <c:v>2</c:v>
                </c:pt>
                <c:pt idx="5">
                  <c:v>3</c:v>
                </c:pt>
              </c:numCache>
            </c:numRef>
          </c:val>
        </c:ser>
        <c:ser>
          <c:idx val="5"/>
          <c:order val="4"/>
          <c:tx>
            <c:strRef>
              <c:f>'ID4D Stats'!$BT$71</c:f>
              <c:strCache>
                <c:ptCount val="1"/>
                <c:pt idx="0">
                  <c:v>MNA</c:v>
                </c:pt>
              </c:strCache>
            </c:strRef>
          </c:tx>
          <c:spPr>
            <a:solidFill>
              <a:schemeClr val="tx2">
                <a:lumMod val="40000"/>
                <a:lumOff val="60000"/>
              </a:schemeClr>
            </a:solidFill>
            <a:ln>
              <a:solidFill>
                <a:schemeClr val="tx1"/>
              </a:solidFill>
            </a:ln>
          </c:spPr>
          <c:invertIfNegative val="0"/>
          <c:cat>
            <c:numRef>
              <c:f>'ID4D Stats'!$BV$66:$CA$66</c:f>
              <c:numCache>
                <c:formatCode>General</c:formatCode>
                <c:ptCount val="6"/>
                <c:pt idx="0">
                  <c:v>1</c:v>
                </c:pt>
                <c:pt idx="1">
                  <c:v>2</c:v>
                </c:pt>
                <c:pt idx="2">
                  <c:v>3</c:v>
                </c:pt>
                <c:pt idx="3">
                  <c:v>4</c:v>
                </c:pt>
                <c:pt idx="4">
                  <c:v>5</c:v>
                </c:pt>
                <c:pt idx="5">
                  <c:v>6</c:v>
                </c:pt>
              </c:numCache>
            </c:numRef>
          </c:cat>
          <c:val>
            <c:numRef>
              <c:f>'ID4D Stats'!$BV$71:$CA$71</c:f>
              <c:numCache>
                <c:formatCode>General</c:formatCode>
                <c:ptCount val="6"/>
                <c:pt idx="0">
                  <c:v>0</c:v>
                </c:pt>
                <c:pt idx="1">
                  <c:v>13</c:v>
                </c:pt>
                <c:pt idx="2">
                  <c:v>7</c:v>
                </c:pt>
                <c:pt idx="3">
                  <c:v>0</c:v>
                </c:pt>
                <c:pt idx="4">
                  <c:v>1</c:v>
                </c:pt>
                <c:pt idx="5">
                  <c:v>0</c:v>
                </c:pt>
              </c:numCache>
            </c:numRef>
          </c:val>
        </c:ser>
        <c:ser>
          <c:idx val="6"/>
          <c:order val="5"/>
          <c:tx>
            <c:strRef>
              <c:f>'ID4D Stats'!$BT$72</c:f>
              <c:strCache>
                <c:ptCount val="1"/>
                <c:pt idx="0">
                  <c:v>SAR</c:v>
                </c:pt>
              </c:strCache>
            </c:strRef>
          </c:tx>
          <c:spPr>
            <a:solidFill>
              <a:schemeClr val="accent6">
                <a:lumMod val="75000"/>
              </a:schemeClr>
            </a:solidFill>
            <a:ln>
              <a:solidFill>
                <a:schemeClr val="tx1"/>
              </a:solidFill>
            </a:ln>
          </c:spPr>
          <c:invertIfNegative val="0"/>
          <c:cat>
            <c:numRef>
              <c:f>'ID4D Stats'!$BV$66:$CA$66</c:f>
              <c:numCache>
                <c:formatCode>General</c:formatCode>
                <c:ptCount val="6"/>
                <c:pt idx="0">
                  <c:v>1</c:v>
                </c:pt>
                <c:pt idx="1">
                  <c:v>2</c:v>
                </c:pt>
                <c:pt idx="2">
                  <c:v>3</c:v>
                </c:pt>
                <c:pt idx="3">
                  <c:v>4</c:v>
                </c:pt>
                <c:pt idx="4">
                  <c:v>5</c:v>
                </c:pt>
                <c:pt idx="5">
                  <c:v>6</c:v>
                </c:pt>
              </c:numCache>
            </c:numRef>
          </c:cat>
          <c:val>
            <c:numRef>
              <c:f>'ID4D Stats'!$BV$73:$CA$73</c:f>
              <c:numCache>
                <c:formatCode>General</c:formatCode>
                <c:ptCount val="6"/>
                <c:pt idx="0">
                  <c:v>5</c:v>
                </c:pt>
                <c:pt idx="1">
                  <c:v>91</c:v>
                </c:pt>
                <c:pt idx="2">
                  <c:v>56</c:v>
                </c:pt>
                <c:pt idx="3">
                  <c:v>0</c:v>
                </c:pt>
                <c:pt idx="4">
                  <c:v>10</c:v>
                </c:pt>
                <c:pt idx="5">
                  <c:v>6</c:v>
                </c:pt>
              </c:numCache>
            </c:numRef>
          </c:val>
        </c:ser>
        <c:dLbls>
          <c:showLegendKey val="0"/>
          <c:showVal val="0"/>
          <c:showCatName val="0"/>
          <c:showSerName val="0"/>
          <c:showPercent val="0"/>
          <c:showBubbleSize val="0"/>
        </c:dLbls>
        <c:gapWidth val="160"/>
        <c:overlap val="-25"/>
        <c:axId val="427353144"/>
        <c:axId val="427353536"/>
      </c:barChart>
      <c:catAx>
        <c:axId val="427353144"/>
        <c:scaling>
          <c:orientation val="minMax"/>
        </c:scaling>
        <c:delete val="0"/>
        <c:axPos val="b"/>
        <c:title>
          <c:tx>
            <c:rich>
              <a:bodyPr/>
              <a:lstStyle/>
              <a:p>
                <a:pPr>
                  <a:defRPr sz="800" b="0">
                    <a:solidFill>
                      <a:srgbClr val="0000CC"/>
                    </a:solidFill>
                  </a:defRPr>
                </a:pPr>
                <a:r>
                  <a:rPr lang="en-US" sz="800" b="0">
                    <a:solidFill>
                      <a:srgbClr val="0000CC"/>
                    </a:solidFill>
                  </a:rPr>
                  <a:t>e-Pass Inst</a:t>
                </a:r>
              </a:p>
            </c:rich>
          </c:tx>
          <c:layout>
            <c:manualLayout>
              <c:xMode val="edge"/>
              <c:yMode val="edge"/>
              <c:x val="0.89513888888888893"/>
              <c:y val="0.8974895499173714"/>
            </c:manualLayout>
          </c:layout>
          <c:overlay val="0"/>
        </c:title>
        <c:numFmt formatCode="General" sourceLinked="1"/>
        <c:majorTickMark val="out"/>
        <c:minorTickMark val="none"/>
        <c:tickLblPos val="nextTo"/>
        <c:txPr>
          <a:bodyPr/>
          <a:lstStyle/>
          <a:p>
            <a:pPr>
              <a:defRPr sz="900"/>
            </a:pPr>
            <a:endParaRPr lang="en-US"/>
          </a:p>
        </c:txPr>
        <c:crossAx val="427353536"/>
        <c:crosses val="autoZero"/>
        <c:auto val="1"/>
        <c:lblAlgn val="ctr"/>
        <c:lblOffset val="100"/>
        <c:noMultiLvlLbl val="0"/>
      </c:catAx>
      <c:valAx>
        <c:axId val="427353536"/>
        <c:scaling>
          <c:orientation val="minMax"/>
        </c:scaling>
        <c:delete val="0"/>
        <c:axPos val="l"/>
        <c:majorGridlines>
          <c:spPr>
            <a:ln>
              <a:solidFill>
                <a:schemeClr val="bg1">
                  <a:lumMod val="75000"/>
                </a:schemeClr>
              </a:solidFill>
              <a:prstDash val="sysDot"/>
            </a:ln>
          </c:spPr>
        </c:majorGridlines>
        <c:title>
          <c:tx>
            <c:rich>
              <a:bodyPr rot="-5400000" vert="horz"/>
              <a:lstStyle/>
              <a:p>
                <a:pPr>
                  <a:defRPr sz="800" b="0">
                    <a:solidFill>
                      <a:srgbClr val="0000CC"/>
                    </a:solidFill>
                  </a:defRPr>
                </a:pPr>
                <a:r>
                  <a:rPr lang="en-US" sz="800" b="0">
                    <a:solidFill>
                      <a:srgbClr val="0000CC"/>
                    </a:solidFill>
                  </a:rPr>
                  <a:t>Economies</a:t>
                </a:r>
              </a:p>
            </c:rich>
          </c:tx>
          <c:layout>
            <c:manualLayout>
              <c:xMode val="edge"/>
              <c:yMode val="edge"/>
              <c:x val="0"/>
              <c:y val="0.10210035005834306"/>
            </c:manualLayout>
          </c:layout>
          <c:overlay val="0"/>
        </c:title>
        <c:numFmt formatCode="General" sourceLinked="1"/>
        <c:majorTickMark val="out"/>
        <c:minorTickMark val="none"/>
        <c:tickLblPos val="nextTo"/>
        <c:txPr>
          <a:bodyPr/>
          <a:lstStyle/>
          <a:p>
            <a:pPr>
              <a:defRPr sz="900"/>
            </a:pPr>
            <a:endParaRPr lang="en-US"/>
          </a:p>
        </c:txPr>
        <c:crossAx val="427353144"/>
        <c:crosses val="autoZero"/>
        <c:crossBetween val="between"/>
      </c:valAx>
      <c:spPr>
        <a:ln>
          <a:solidFill>
            <a:schemeClr val="tx1"/>
          </a:solidFill>
        </a:ln>
      </c:spPr>
    </c:plotArea>
    <c:legend>
      <c:legendPos val="r"/>
      <c:layout>
        <c:manualLayout>
          <c:xMode val="edge"/>
          <c:yMode val="edge"/>
          <c:x val="0.10292842300962381"/>
          <c:y val="0.88289467288811119"/>
          <c:w val="0.75902449693788276"/>
          <c:h val="0.11710532711188879"/>
        </c:manualLayout>
      </c:layout>
      <c:overlay val="0"/>
      <c:spPr>
        <a:solidFill>
          <a:schemeClr val="bg1"/>
        </a:solidFill>
      </c:spPr>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solidFill>
                  <a:srgbClr val="0000CC"/>
                </a:solidFill>
              </a:defRPr>
            </a:pPr>
            <a:r>
              <a:rPr lang="en-US" sz="1100" b="1">
                <a:solidFill>
                  <a:srgbClr val="0000CC"/>
                </a:solidFill>
              </a:rPr>
              <a:t>National Identity Cards</a:t>
            </a:r>
          </a:p>
        </c:rich>
      </c:tx>
      <c:layout>
        <c:manualLayout>
          <c:xMode val="edge"/>
          <c:yMode val="edge"/>
          <c:x val="0.34199300087489065"/>
          <c:y val="8.1633496047024915E-3"/>
        </c:manualLayout>
      </c:layout>
      <c:overlay val="1"/>
    </c:title>
    <c:autoTitleDeleted val="0"/>
    <c:plotArea>
      <c:layout>
        <c:manualLayout>
          <c:layoutTarget val="inner"/>
          <c:xMode val="edge"/>
          <c:yMode val="edge"/>
          <c:x val="9.6988407699037618E-2"/>
          <c:y val="0.10203719652230971"/>
          <c:w val="0.88445713035870521"/>
          <c:h val="0.75763615485564306"/>
        </c:manualLayout>
      </c:layout>
      <c:barChart>
        <c:barDir val="col"/>
        <c:grouping val="clustered"/>
        <c:varyColors val="0"/>
        <c:ser>
          <c:idx val="0"/>
          <c:order val="0"/>
          <c:tx>
            <c:strRef>
              <c:f>'ID4D Stats'!$DR$12</c:f>
              <c:strCache>
                <c:ptCount val="1"/>
                <c:pt idx="0">
                  <c:v>No NID</c:v>
                </c:pt>
              </c:strCache>
            </c:strRef>
          </c:tx>
          <c:spPr>
            <a:solidFill>
              <a:srgbClr val="FF0000"/>
            </a:solidFill>
            <a:ln>
              <a:solidFill>
                <a:srgbClr val="0000CC"/>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'ID4D Stats'!$DQ$13:$DQ$16</c:f>
              <c:strCache>
                <c:ptCount val="4"/>
                <c:pt idx="0">
                  <c:v>LIC (34)</c:v>
                </c:pt>
                <c:pt idx="1">
                  <c:v>LMIC (50)</c:v>
                </c:pt>
                <c:pt idx="2">
                  <c:v>UMIC (55)</c:v>
                </c:pt>
                <c:pt idx="3">
                  <c:v>HIC (59)</c:v>
                </c:pt>
              </c:strCache>
            </c:strRef>
          </c:cat>
          <c:val>
            <c:numRef>
              <c:f>'ID4D Stats'!$DR$13:$DR$16</c:f>
              <c:numCache>
                <c:formatCode>#,##0</c:formatCode>
                <c:ptCount val="4"/>
                <c:pt idx="0">
                  <c:v>0</c:v>
                </c:pt>
                <c:pt idx="1">
                  <c:v>5</c:v>
                </c:pt>
                <c:pt idx="2">
                  <c:v>4</c:v>
                </c:pt>
                <c:pt idx="3">
                  <c:v>8</c:v>
                </c:pt>
              </c:numCache>
            </c:numRef>
          </c:val>
        </c:ser>
        <c:ser>
          <c:idx val="1"/>
          <c:order val="1"/>
          <c:tx>
            <c:strRef>
              <c:f>'ID4D Stats'!$DS$12</c:f>
              <c:strCache>
                <c:ptCount val="1"/>
                <c:pt idx="0">
                  <c:v>NID</c:v>
                </c:pt>
              </c:strCache>
            </c:strRef>
          </c:tx>
          <c:spPr>
            <a:solidFill>
              <a:schemeClr val="accent3">
                <a:lumMod val="60000"/>
                <a:lumOff val="40000"/>
              </a:schemeClr>
            </a:solidFill>
            <a:ln>
              <a:solidFill>
                <a:srgbClr val="0000CC"/>
              </a:solidFill>
            </a:ln>
          </c:spPr>
          <c:invertIfNegative val="0"/>
          <c:dLbls>
            <c:dLbl>
              <c:idx val="1"/>
              <c:layout>
                <c:manualLayout>
                  <c:x val="-5.1196830887739032E-17"/>
                  <c:y val="9.9206349206348299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'ID4D Stats'!$DQ$13:$DQ$16</c:f>
              <c:strCache>
                <c:ptCount val="4"/>
                <c:pt idx="0">
                  <c:v>LIC (34)</c:v>
                </c:pt>
                <c:pt idx="1">
                  <c:v>LMIC (50)</c:v>
                </c:pt>
                <c:pt idx="2">
                  <c:v>UMIC (55)</c:v>
                </c:pt>
                <c:pt idx="3">
                  <c:v>HIC (59)</c:v>
                </c:pt>
              </c:strCache>
            </c:strRef>
          </c:cat>
          <c:val>
            <c:numRef>
              <c:f>'ID4D Stats'!$DS$13:$DS$16</c:f>
              <c:numCache>
                <c:formatCode>#,##0</c:formatCode>
                <c:ptCount val="4"/>
                <c:pt idx="0">
                  <c:v>10</c:v>
                </c:pt>
                <c:pt idx="1">
                  <c:v>9</c:v>
                </c:pt>
                <c:pt idx="2">
                  <c:v>7</c:v>
                </c:pt>
                <c:pt idx="3">
                  <c:v>7</c:v>
                </c:pt>
              </c:numCache>
            </c:numRef>
          </c:val>
        </c:ser>
        <c:ser>
          <c:idx val="2"/>
          <c:order val="2"/>
          <c:tx>
            <c:strRef>
              <c:f>'ID4D Stats'!$DT$12</c:f>
              <c:strCache>
                <c:ptCount val="1"/>
                <c:pt idx="0">
                  <c:v>e-ID</c:v>
                </c:pt>
              </c:strCache>
            </c:strRef>
          </c:tx>
          <c:spPr>
            <a:solidFill>
              <a:srgbClr val="FFC000"/>
            </a:solidFill>
            <a:ln>
              <a:solidFill>
                <a:srgbClr val="0000CC"/>
              </a:solidFill>
            </a:ln>
          </c:spPr>
          <c:invertIfNegative val="0"/>
          <c:dLbls>
            <c:dLbl>
              <c:idx val="3"/>
              <c:layout>
                <c:manualLayout>
                  <c:x val="0"/>
                  <c:y val="1.457194621154258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'ID4D Stats'!$DQ$13:$DQ$16</c:f>
              <c:strCache>
                <c:ptCount val="4"/>
                <c:pt idx="0">
                  <c:v>LIC (34)</c:v>
                </c:pt>
                <c:pt idx="1">
                  <c:v>LMIC (50)</c:v>
                </c:pt>
                <c:pt idx="2">
                  <c:v>UMIC (55)</c:v>
                </c:pt>
                <c:pt idx="3">
                  <c:v>HIC (59)</c:v>
                </c:pt>
              </c:strCache>
            </c:strRef>
          </c:cat>
          <c:val>
            <c:numRef>
              <c:f>'ID4D Stats'!$DT$13:$DT$16</c:f>
              <c:numCache>
                <c:formatCode>#,##0</c:formatCode>
                <c:ptCount val="4"/>
                <c:pt idx="0">
                  <c:v>6</c:v>
                </c:pt>
                <c:pt idx="1">
                  <c:v>6</c:v>
                </c:pt>
                <c:pt idx="2">
                  <c:v>10</c:v>
                </c:pt>
                <c:pt idx="3">
                  <c:v>15</c:v>
                </c:pt>
              </c:numCache>
            </c:numRef>
          </c:val>
        </c:ser>
        <c:ser>
          <c:idx val="3"/>
          <c:order val="3"/>
          <c:tx>
            <c:strRef>
              <c:f>'ID4D Stats'!$DU$12</c:f>
              <c:strCache>
                <c:ptCount val="1"/>
                <c:pt idx="0">
                  <c:v>Biometric e-ID</c:v>
                </c:pt>
              </c:strCache>
            </c:strRef>
          </c:tx>
          <c:spPr>
            <a:solidFill>
              <a:srgbClr val="00B0F0"/>
            </a:solidFill>
            <a:ln>
              <a:solidFill>
                <a:srgbClr val="0000CC"/>
              </a:solidFill>
            </a:ln>
          </c:spPr>
          <c:invertIfNegative val="0"/>
          <c:dLbls>
            <c:dLbl>
              <c:idx val="2"/>
              <c:layout>
                <c:manualLayout>
                  <c:x val="0"/>
                  <c:y val="2.4801196725409314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'ID4D Stats'!$DQ$13:$DQ$16</c:f>
              <c:strCache>
                <c:ptCount val="4"/>
                <c:pt idx="0">
                  <c:v>LIC (34)</c:v>
                </c:pt>
                <c:pt idx="1">
                  <c:v>LMIC (50)</c:v>
                </c:pt>
                <c:pt idx="2">
                  <c:v>UMIC (55)</c:v>
                </c:pt>
                <c:pt idx="3">
                  <c:v>HIC (59)</c:v>
                </c:pt>
              </c:strCache>
            </c:strRef>
          </c:cat>
          <c:val>
            <c:numRef>
              <c:f>'ID4D Stats'!$DU$13:$DU$16</c:f>
              <c:numCache>
                <c:formatCode>#,##0</c:formatCode>
                <c:ptCount val="4"/>
                <c:pt idx="0">
                  <c:v>18</c:v>
                </c:pt>
                <c:pt idx="1">
                  <c:v>30</c:v>
                </c:pt>
                <c:pt idx="2">
                  <c:v>34</c:v>
                </c:pt>
                <c:pt idx="3">
                  <c:v>29</c:v>
                </c:pt>
              </c:numCache>
            </c:numRef>
          </c:val>
        </c:ser>
        <c:dLbls>
          <c:showLegendKey val="0"/>
          <c:showVal val="0"/>
          <c:showCatName val="0"/>
          <c:showSerName val="0"/>
          <c:showPercent val="0"/>
          <c:showBubbleSize val="0"/>
        </c:dLbls>
        <c:gapWidth val="100"/>
        <c:overlap val="-20"/>
        <c:axId val="427354320"/>
        <c:axId val="427354712"/>
      </c:barChart>
      <c:catAx>
        <c:axId val="427354320"/>
        <c:scaling>
          <c:orientation val="minMax"/>
        </c:scaling>
        <c:delete val="0"/>
        <c:axPos val="b"/>
        <c:title>
          <c:tx>
            <c:rich>
              <a:bodyPr/>
              <a:lstStyle/>
              <a:p>
                <a:pPr>
                  <a:defRPr b="0">
                    <a:solidFill>
                      <a:srgbClr val="0000CC"/>
                    </a:solidFill>
                  </a:defRPr>
                </a:pPr>
                <a:r>
                  <a:rPr lang="en-US" b="0">
                    <a:solidFill>
                      <a:srgbClr val="0000CC"/>
                    </a:solidFill>
                  </a:rPr>
                  <a:t>Income level</a:t>
                </a:r>
              </a:p>
            </c:rich>
          </c:tx>
          <c:layout>
            <c:manualLayout>
              <c:xMode val="edge"/>
              <c:yMode val="edge"/>
              <c:x val="0.7926058617672791"/>
              <c:y val="0.92457817772778406"/>
            </c:manualLayout>
          </c:layout>
          <c:overlay val="0"/>
        </c:title>
        <c:numFmt formatCode="General" sourceLinked="0"/>
        <c:majorTickMark val="out"/>
        <c:minorTickMark val="none"/>
        <c:tickLblPos val="nextTo"/>
        <c:spPr>
          <a:ln>
            <a:solidFill>
              <a:srgbClr val="0000CC"/>
            </a:solidFill>
          </a:ln>
        </c:spPr>
        <c:crossAx val="427354712"/>
        <c:crosses val="autoZero"/>
        <c:auto val="1"/>
        <c:lblAlgn val="ctr"/>
        <c:lblOffset val="100"/>
        <c:noMultiLvlLbl val="0"/>
      </c:catAx>
      <c:valAx>
        <c:axId val="427354712"/>
        <c:scaling>
          <c:orientation val="minMax"/>
        </c:scaling>
        <c:delete val="0"/>
        <c:axPos val="l"/>
        <c:majorGridlines>
          <c:spPr>
            <a:ln>
              <a:solidFill>
                <a:schemeClr val="bg1">
                  <a:lumMod val="75000"/>
                </a:schemeClr>
              </a:solidFill>
            </a:ln>
          </c:spPr>
        </c:majorGridlines>
        <c:title>
          <c:tx>
            <c:rich>
              <a:bodyPr rot="-5400000" vert="horz"/>
              <a:lstStyle/>
              <a:p>
                <a:pPr>
                  <a:defRPr b="0">
                    <a:solidFill>
                      <a:srgbClr val="0000CC"/>
                    </a:solidFill>
                  </a:defRPr>
                </a:pPr>
                <a:r>
                  <a:rPr lang="en-US" b="0">
                    <a:solidFill>
                      <a:srgbClr val="0000CC"/>
                    </a:solidFill>
                  </a:rPr>
                  <a:t>Economies</a:t>
                </a:r>
              </a:p>
            </c:rich>
          </c:tx>
          <c:layout>
            <c:manualLayout>
              <c:xMode val="edge"/>
              <c:yMode val="edge"/>
              <c:x val="2.2082239720034999E-3"/>
              <c:y val="0.10553573381452315"/>
            </c:manualLayout>
          </c:layout>
          <c:overlay val="0"/>
        </c:title>
        <c:numFmt formatCode="#,##0" sourceLinked="1"/>
        <c:majorTickMark val="out"/>
        <c:minorTickMark val="none"/>
        <c:tickLblPos val="nextTo"/>
        <c:spPr>
          <a:ln>
            <a:solidFill>
              <a:srgbClr val="0000CC"/>
            </a:solidFill>
          </a:ln>
        </c:spPr>
        <c:crossAx val="427354320"/>
        <c:crosses val="autoZero"/>
        <c:crossBetween val="between"/>
      </c:valAx>
      <c:spPr>
        <a:ln>
          <a:solidFill>
            <a:srgbClr val="0000CC"/>
          </a:solidFill>
        </a:ln>
      </c:spPr>
    </c:plotArea>
    <c:legend>
      <c:legendPos val="r"/>
      <c:layout>
        <c:manualLayout>
          <c:xMode val="edge"/>
          <c:yMode val="edge"/>
          <c:x val="0.10644553805774278"/>
          <c:y val="0.10856611673540807"/>
          <c:w val="0.171332239720035"/>
          <c:h val="0.1980881296087989"/>
        </c:manualLayout>
      </c:layout>
      <c:overlay val="0"/>
      <c:spPr>
        <a:solidFill>
          <a:schemeClr val="bg1"/>
        </a:solidFill>
      </c:spPr>
      <c:txPr>
        <a:bodyPr/>
        <a:lstStyle/>
        <a:p>
          <a:pPr>
            <a:defRPr sz="800"/>
          </a:pPr>
          <a:endParaRPr lang="en-US"/>
        </a:p>
      </c:txPr>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solidFill>
                  <a:srgbClr val="0000CC"/>
                </a:solidFill>
              </a:defRPr>
            </a:pPr>
            <a:r>
              <a:rPr lang="en-US" sz="1100">
                <a:solidFill>
                  <a:srgbClr val="0000CC"/>
                </a:solidFill>
              </a:rPr>
              <a:t>National Identity Cards</a:t>
            </a:r>
          </a:p>
        </c:rich>
      </c:tx>
      <c:layout>
        <c:manualLayout>
          <c:xMode val="edge"/>
          <c:yMode val="edge"/>
          <c:x val="0.35362489063867014"/>
          <c:y val="0"/>
        </c:manualLayout>
      </c:layout>
      <c:overlay val="1"/>
    </c:title>
    <c:autoTitleDeleted val="0"/>
    <c:plotArea>
      <c:layout>
        <c:manualLayout>
          <c:layoutTarget val="inner"/>
          <c:xMode val="edge"/>
          <c:yMode val="edge"/>
          <c:x val="9.1432852143482068E-2"/>
          <c:y val="9.4754561929758771E-2"/>
          <c:w val="0.8934875328083991"/>
          <c:h val="0.77602096612923388"/>
        </c:manualLayout>
      </c:layout>
      <c:barChart>
        <c:barDir val="col"/>
        <c:grouping val="clustered"/>
        <c:varyColors val="0"/>
        <c:ser>
          <c:idx val="0"/>
          <c:order val="0"/>
          <c:tx>
            <c:strRef>
              <c:f>'ID4D Stats'!$DR$30</c:f>
              <c:strCache>
                <c:ptCount val="1"/>
                <c:pt idx="0">
                  <c:v>No NID</c:v>
                </c:pt>
              </c:strCache>
            </c:strRef>
          </c:tx>
          <c:spPr>
            <a:solidFill>
              <a:srgbClr val="FF0000"/>
            </a:solidFill>
            <a:ln>
              <a:solidFill>
                <a:srgbClr val="0000CC"/>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'ID4D Stats'!$DQ$31:$DQ$36</c:f>
              <c:strCache>
                <c:ptCount val="6"/>
                <c:pt idx="0">
                  <c:v>AFR (48)</c:v>
                </c:pt>
                <c:pt idx="1">
                  <c:v>EAP (29)</c:v>
                </c:pt>
                <c:pt idx="2">
                  <c:v>ECA (30)</c:v>
                </c:pt>
                <c:pt idx="3">
                  <c:v>LCR (32)</c:v>
                </c:pt>
                <c:pt idx="4">
                  <c:v>MNA (21)</c:v>
                </c:pt>
                <c:pt idx="5">
                  <c:v>SAR (8)</c:v>
                </c:pt>
              </c:strCache>
            </c:strRef>
          </c:cat>
          <c:val>
            <c:numRef>
              <c:f>'ID4D Stats'!$DR$31:$DR$36</c:f>
              <c:numCache>
                <c:formatCode>#,##0</c:formatCode>
                <c:ptCount val="6"/>
                <c:pt idx="0">
                  <c:v>1</c:v>
                </c:pt>
                <c:pt idx="1">
                  <c:v>7</c:v>
                </c:pt>
                <c:pt idx="2">
                  <c:v>1</c:v>
                </c:pt>
                <c:pt idx="3">
                  <c:v>1</c:v>
                </c:pt>
                <c:pt idx="4">
                  <c:v>0</c:v>
                </c:pt>
                <c:pt idx="5">
                  <c:v>0</c:v>
                </c:pt>
              </c:numCache>
            </c:numRef>
          </c:val>
        </c:ser>
        <c:ser>
          <c:idx val="1"/>
          <c:order val="1"/>
          <c:tx>
            <c:strRef>
              <c:f>'ID4D Stats'!$DS$30</c:f>
              <c:strCache>
                <c:ptCount val="1"/>
                <c:pt idx="0">
                  <c:v>NID</c:v>
                </c:pt>
              </c:strCache>
            </c:strRef>
          </c:tx>
          <c:spPr>
            <a:solidFill>
              <a:schemeClr val="accent3">
                <a:lumMod val="60000"/>
                <a:lumOff val="40000"/>
              </a:schemeClr>
            </a:solidFill>
            <a:ln>
              <a:solidFill>
                <a:srgbClr val="0000CC"/>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'ID4D Stats'!$DQ$31:$DQ$36</c:f>
              <c:strCache>
                <c:ptCount val="6"/>
                <c:pt idx="0">
                  <c:v>AFR (48)</c:v>
                </c:pt>
                <c:pt idx="1">
                  <c:v>EAP (29)</c:v>
                </c:pt>
                <c:pt idx="2">
                  <c:v>ECA (30)</c:v>
                </c:pt>
                <c:pt idx="3">
                  <c:v>LCR (32)</c:v>
                </c:pt>
                <c:pt idx="4">
                  <c:v>MNA (21)</c:v>
                </c:pt>
                <c:pt idx="5">
                  <c:v>SAR (8)</c:v>
                </c:pt>
              </c:strCache>
            </c:strRef>
          </c:cat>
          <c:val>
            <c:numRef>
              <c:f>'ID4D Stats'!$DS$31:$DS$36</c:f>
              <c:numCache>
                <c:formatCode>#,##0</c:formatCode>
                <c:ptCount val="6"/>
                <c:pt idx="0">
                  <c:v>12</c:v>
                </c:pt>
                <c:pt idx="1">
                  <c:v>8</c:v>
                </c:pt>
                <c:pt idx="2">
                  <c:v>1</c:v>
                </c:pt>
                <c:pt idx="3">
                  <c:v>5</c:v>
                </c:pt>
                <c:pt idx="4">
                  <c:v>3</c:v>
                </c:pt>
                <c:pt idx="5">
                  <c:v>1</c:v>
                </c:pt>
              </c:numCache>
            </c:numRef>
          </c:val>
        </c:ser>
        <c:ser>
          <c:idx val="2"/>
          <c:order val="2"/>
          <c:tx>
            <c:strRef>
              <c:f>'ID4D Stats'!$DT$30</c:f>
              <c:strCache>
                <c:ptCount val="1"/>
                <c:pt idx="0">
                  <c:v>e-ID</c:v>
                </c:pt>
              </c:strCache>
            </c:strRef>
          </c:tx>
          <c:spPr>
            <a:solidFill>
              <a:srgbClr val="FFC000"/>
            </a:solidFill>
            <a:ln>
              <a:solidFill>
                <a:srgbClr val="0000CC"/>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'ID4D Stats'!$DQ$31:$DQ$36</c:f>
              <c:strCache>
                <c:ptCount val="6"/>
                <c:pt idx="0">
                  <c:v>AFR (48)</c:v>
                </c:pt>
                <c:pt idx="1">
                  <c:v>EAP (29)</c:v>
                </c:pt>
                <c:pt idx="2">
                  <c:v>ECA (30)</c:v>
                </c:pt>
                <c:pt idx="3">
                  <c:v>LCR (32)</c:v>
                </c:pt>
                <c:pt idx="4">
                  <c:v>MNA (21)</c:v>
                </c:pt>
                <c:pt idx="5">
                  <c:v>SAR (8)</c:v>
                </c:pt>
              </c:strCache>
            </c:strRef>
          </c:cat>
          <c:val>
            <c:numRef>
              <c:f>'ID4D Stats'!$DT$31:$DT$36</c:f>
              <c:numCache>
                <c:formatCode>#,##0</c:formatCode>
                <c:ptCount val="6"/>
                <c:pt idx="0">
                  <c:v>4</c:v>
                </c:pt>
                <c:pt idx="1">
                  <c:v>1</c:v>
                </c:pt>
                <c:pt idx="2">
                  <c:v>13</c:v>
                </c:pt>
                <c:pt idx="3">
                  <c:v>8</c:v>
                </c:pt>
                <c:pt idx="4">
                  <c:v>2</c:v>
                </c:pt>
                <c:pt idx="5">
                  <c:v>1</c:v>
                </c:pt>
              </c:numCache>
            </c:numRef>
          </c:val>
        </c:ser>
        <c:ser>
          <c:idx val="3"/>
          <c:order val="3"/>
          <c:tx>
            <c:strRef>
              <c:f>'ID4D Stats'!$DU$30</c:f>
              <c:strCache>
                <c:ptCount val="1"/>
                <c:pt idx="0">
                  <c:v>Biometric e-ID</c:v>
                </c:pt>
              </c:strCache>
            </c:strRef>
          </c:tx>
          <c:spPr>
            <a:solidFill>
              <a:srgbClr val="00B0F0"/>
            </a:solidFill>
            <a:ln>
              <a:solidFill>
                <a:srgbClr val="0000CC"/>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'ID4D Stats'!$DQ$31:$DQ$36</c:f>
              <c:strCache>
                <c:ptCount val="6"/>
                <c:pt idx="0">
                  <c:v>AFR (48)</c:v>
                </c:pt>
                <c:pt idx="1">
                  <c:v>EAP (29)</c:v>
                </c:pt>
                <c:pt idx="2">
                  <c:v>ECA (30)</c:v>
                </c:pt>
                <c:pt idx="3">
                  <c:v>LCR (32)</c:v>
                </c:pt>
                <c:pt idx="4">
                  <c:v>MNA (21)</c:v>
                </c:pt>
                <c:pt idx="5">
                  <c:v>SAR (8)</c:v>
                </c:pt>
              </c:strCache>
            </c:strRef>
          </c:cat>
          <c:val>
            <c:numRef>
              <c:f>'ID4D Stats'!$DU$31:$DU$36</c:f>
              <c:numCache>
                <c:formatCode>#,##0</c:formatCode>
                <c:ptCount val="6"/>
                <c:pt idx="0">
                  <c:v>31</c:v>
                </c:pt>
                <c:pt idx="1">
                  <c:v>13</c:v>
                </c:pt>
                <c:pt idx="2">
                  <c:v>15</c:v>
                </c:pt>
                <c:pt idx="3">
                  <c:v>18</c:v>
                </c:pt>
                <c:pt idx="4">
                  <c:v>16</c:v>
                </c:pt>
                <c:pt idx="5">
                  <c:v>6</c:v>
                </c:pt>
              </c:numCache>
            </c:numRef>
          </c:val>
        </c:ser>
        <c:dLbls>
          <c:showLegendKey val="0"/>
          <c:showVal val="0"/>
          <c:showCatName val="0"/>
          <c:showSerName val="0"/>
          <c:showPercent val="0"/>
          <c:showBubbleSize val="0"/>
        </c:dLbls>
        <c:gapWidth val="100"/>
        <c:overlap val="-20"/>
        <c:axId val="428218992"/>
        <c:axId val="428219384"/>
      </c:barChart>
      <c:catAx>
        <c:axId val="428218992"/>
        <c:scaling>
          <c:orientation val="minMax"/>
        </c:scaling>
        <c:delete val="0"/>
        <c:axPos val="b"/>
        <c:title>
          <c:tx>
            <c:rich>
              <a:bodyPr/>
              <a:lstStyle/>
              <a:p>
                <a:pPr>
                  <a:defRPr b="0">
                    <a:solidFill>
                      <a:srgbClr val="0000CC"/>
                    </a:solidFill>
                  </a:defRPr>
                </a:pPr>
                <a:r>
                  <a:rPr lang="en-US" b="0">
                    <a:solidFill>
                      <a:srgbClr val="0000CC"/>
                    </a:solidFill>
                  </a:rPr>
                  <a:t>Regions</a:t>
                </a:r>
              </a:p>
            </c:rich>
          </c:tx>
          <c:layout>
            <c:manualLayout>
              <c:xMode val="edge"/>
              <c:yMode val="edge"/>
              <c:x val="0.8024394191673021"/>
              <c:y val="0.92457817772778406"/>
            </c:manualLayout>
          </c:layout>
          <c:overlay val="0"/>
        </c:title>
        <c:numFmt formatCode="General" sourceLinked="0"/>
        <c:majorTickMark val="out"/>
        <c:minorTickMark val="none"/>
        <c:tickLblPos val="nextTo"/>
        <c:crossAx val="428219384"/>
        <c:crosses val="autoZero"/>
        <c:auto val="1"/>
        <c:lblAlgn val="ctr"/>
        <c:lblOffset val="100"/>
        <c:noMultiLvlLbl val="0"/>
      </c:catAx>
      <c:valAx>
        <c:axId val="428219384"/>
        <c:scaling>
          <c:orientation val="minMax"/>
        </c:scaling>
        <c:delete val="0"/>
        <c:axPos val="l"/>
        <c:majorGridlines>
          <c:spPr>
            <a:ln>
              <a:solidFill>
                <a:schemeClr val="bg1">
                  <a:lumMod val="75000"/>
                </a:schemeClr>
              </a:solidFill>
            </a:ln>
          </c:spPr>
        </c:majorGridlines>
        <c:title>
          <c:tx>
            <c:rich>
              <a:bodyPr rot="-5400000" vert="horz"/>
              <a:lstStyle/>
              <a:p>
                <a:pPr>
                  <a:defRPr b="0">
                    <a:solidFill>
                      <a:srgbClr val="0000CC"/>
                    </a:solidFill>
                  </a:defRPr>
                </a:pPr>
                <a:r>
                  <a:rPr lang="en-US" b="0">
                    <a:solidFill>
                      <a:srgbClr val="0000CC"/>
                    </a:solidFill>
                  </a:rPr>
                  <a:t>Countries</a:t>
                </a:r>
              </a:p>
            </c:rich>
          </c:tx>
          <c:layout>
            <c:manualLayout>
              <c:xMode val="edge"/>
              <c:yMode val="edge"/>
              <c:x val="0"/>
              <c:y val="9.0577349706286725E-2"/>
            </c:manualLayout>
          </c:layout>
          <c:overlay val="0"/>
        </c:title>
        <c:numFmt formatCode="#,##0" sourceLinked="1"/>
        <c:majorTickMark val="out"/>
        <c:minorTickMark val="none"/>
        <c:tickLblPos val="nextTo"/>
        <c:spPr>
          <a:ln>
            <a:solidFill>
              <a:srgbClr val="0000CC"/>
            </a:solidFill>
          </a:ln>
        </c:spPr>
        <c:crossAx val="428218992"/>
        <c:crosses val="autoZero"/>
        <c:crossBetween val="between"/>
      </c:valAx>
      <c:spPr>
        <a:ln>
          <a:solidFill>
            <a:srgbClr val="0000CC"/>
          </a:solidFill>
        </a:ln>
      </c:spPr>
    </c:plotArea>
    <c:legend>
      <c:legendPos val="r"/>
      <c:layout>
        <c:manualLayout>
          <c:xMode val="edge"/>
          <c:yMode val="edge"/>
          <c:x val="0.81988032787610554"/>
          <c:y val="0.10151465441819774"/>
          <c:w val="0.15424644685360167"/>
          <c:h val="0.20669291338582677"/>
        </c:manualLayout>
      </c:layout>
      <c:overlay val="0"/>
      <c:txPr>
        <a:bodyPr/>
        <a:lstStyle/>
        <a:p>
          <a:pPr>
            <a:defRPr sz="800"/>
          </a:pPr>
          <a:endParaRPr lang="en-US"/>
        </a:p>
      </c:txPr>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rgbClr val="0000CC"/>
                </a:solidFill>
              </a:defRPr>
            </a:pPr>
            <a:r>
              <a:rPr lang="en-US" sz="1200">
                <a:solidFill>
                  <a:srgbClr val="0000CC"/>
                </a:solidFill>
              </a:rPr>
              <a:t>WGI: Voice &amp; Accountability</a:t>
            </a:r>
            <a:r>
              <a:rPr lang="en-US" sz="1200" baseline="0">
                <a:solidFill>
                  <a:srgbClr val="0000CC"/>
                </a:solidFill>
              </a:rPr>
              <a:t> vs.</a:t>
            </a:r>
            <a:r>
              <a:rPr lang="en-US" sz="1200">
                <a:solidFill>
                  <a:srgbClr val="0000CC"/>
                </a:solidFill>
              </a:rPr>
              <a:t> ID4D</a:t>
            </a:r>
          </a:p>
        </c:rich>
      </c:tx>
      <c:layout>
        <c:manualLayout>
          <c:xMode val="edge"/>
          <c:yMode val="edge"/>
          <c:x val="0.23398087859209907"/>
          <c:y val="0"/>
        </c:manualLayout>
      </c:layout>
      <c:overlay val="0"/>
    </c:title>
    <c:autoTitleDeleted val="0"/>
    <c:plotArea>
      <c:layout>
        <c:manualLayout>
          <c:layoutTarget val="inner"/>
          <c:xMode val="edge"/>
          <c:yMode val="edge"/>
          <c:x val="9.4031395114072269E-2"/>
          <c:y val="0.10394013248343957"/>
          <c:w val="0.8662584544720372"/>
          <c:h val="0.79659730033745779"/>
        </c:manualLayout>
      </c:layout>
      <c:scatterChart>
        <c:scatterStyle val="lineMarker"/>
        <c:varyColors val="0"/>
        <c:ser>
          <c:idx val="0"/>
          <c:order val="0"/>
          <c:tx>
            <c:v>V&amp;A and ID4D</c:v>
          </c:tx>
          <c:spPr>
            <a:ln w="28575">
              <a:noFill/>
            </a:ln>
          </c:spPr>
          <c:marker>
            <c:symbol val="diamond"/>
            <c:size val="7"/>
            <c:spPr>
              <a:noFill/>
              <a:ln>
                <a:solidFill>
                  <a:srgbClr val="0000CC"/>
                </a:solidFill>
              </a:ln>
            </c:spPr>
          </c:marker>
          <c:trendline>
            <c:trendlineType val="log"/>
            <c:dispRSqr val="0"/>
            <c:dispEq val="0"/>
          </c:trendline>
          <c:trendline>
            <c:trendlineType val="power"/>
            <c:dispRSqr val="0"/>
            <c:dispEq val="0"/>
          </c:trendline>
          <c:trendline>
            <c:trendlineType val="log"/>
            <c:dispRSqr val="0"/>
            <c:dispEq val="0"/>
          </c:trendline>
          <c:trendline>
            <c:trendlineType val="power"/>
            <c:dispRSqr val="0"/>
            <c:dispEq val="0"/>
          </c:trendline>
          <c:trendline>
            <c:trendlineType val="linear"/>
            <c:dispRSqr val="0"/>
            <c:dispEq val="0"/>
          </c:trendline>
          <c:xVal>
            <c:numRef>
              <c:f>ID4D!$GT$3:$GT$200</c:f>
              <c:numCache>
                <c:formatCode>0.00</c:formatCode>
                <c:ptCount val="198"/>
                <c:pt idx="0">
                  <c:v>-1.2882300615310669</c:v>
                </c:pt>
                <c:pt idx="1">
                  <c:v>3.8705013692378998E-2</c:v>
                </c:pt>
                <c:pt idx="2">
                  <c:v>-0.89130175113677979</c:v>
                </c:pt>
                <c:pt idx="3">
                  <c:v>1.4048292636871338</c:v>
                </c:pt>
                <c:pt idx="4">
                  <c:v>-1.1202912330627441</c:v>
                </c:pt>
                <c:pt idx="5">
                  <c:v>0.64654046297073364</c:v>
                </c:pt>
                <c:pt idx="6">
                  <c:v>0.2367413341999054</c:v>
                </c:pt>
                <c:pt idx="7">
                  <c:v>-0.60038983821868896</c:v>
                </c:pt>
                <c:pt idx="8">
                  <c:v>1.4381312131881714</c:v>
                </c:pt>
                <c:pt idx="9">
                  <c:v>1.4644901752471924</c:v>
                </c:pt>
                <c:pt idx="10">
                  <c:v>-1.3539718389511108</c:v>
                </c:pt>
                <c:pt idx="11">
                  <c:v>0.90511327981948853</c:v>
                </c:pt>
                <c:pt idx="12">
                  <c:v>-1.3208080530166626</c:v>
                </c:pt>
                <c:pt idx="13">
                  <c:v>-0.42340254783630371</c:v>
                </c:pt>
                <c:pt idx="14">
                  <c:v>1.1830390691757202</c:v>
                </c:pt>
                <c:pt idx="15">
                  <c:v>-1.5394941568374634</c:v>
                </c:pt>
                <c:pt idx="16">
                  <c:v>1.3732528686523438</c:v>
                </c:pt>
                <c:pt idx="17">
                  <c:v>0.70198327302932739</c:v>
                </c:pt>
                <c:pt idx="18">
                  <c:v>0.11524518579244614</c:v>
                </c:pt>
                <c:pt idx="19">
                  <c:v>-0.1830267459154129</c:v>
                </c:pt>
                <c:pt idx="20">
                  <c:v>-0.10269919782876968</c:v>
                </c:pt>
                <c:pt idx="21">
                  <c:v>-0.16004045307636261</c:v>
                </c:pt>
                <c:pt idx="22">
                  <c:v>0.4713079035282135</c:v>
                </c:pt>
                <c:pt idx="23">
                  <c:v>0.36718088388442993</c:v>
                </c:pt>
                <c:pt idx="24">
                  <c:v>-0.49512064456939697</c:v>
                </c:pt>
                <c:pt idx="25">
                  <c:v>0.31791785359382629</c:v>
                </c:pt>
                <c:pt idx="26">
                  <c:v>-0.29411286115646362</c:v>
                </c:pt>
                <c:pt idx="27">
                  <c:v>-0.96507418155670166</c:v>
                </c:pt>
                <c:pt idx="28">
                  <c:v>-0.97991943359375</c:v>
                </c:pt>
                <c:pt idx="29">
                  <c:v>-1.04192054271698</c:v>
                </c:pt>
                <c:pt idx="30">
                  <c:v>1.4583121538162231</c:v>
                </c:pt>
                <c:pt idx="31">
                  <c:v>0.9018053412437439</c:v>
                </c:pt>
                <c:pt idx="32">
                  <c:v>-1.5287349224090576</c:v>
                </c:pt>
                <c:pt idx="33">
                  <c:v>-1.3838688135147095</c:v>
                </c:pt>
                <c:pt idx="34">
                  <c:v>1.0918170213699341</c:v>
                </c:pt>
                <c:pt idx="35">
                  <c:v>-1.5769116878509521</c:v>
                </c:pt>
                <c:pt idx="36">
                  <c:v>-0.11632202565670013</c:v>
                </c:pt>
                <c:pt idx="37">
                  <c:v>-0.51739376783370972</c:v>
                </c:pt>
                <c:pt idx="38">
                  <c:v>-1.1248090267181396</c:v>
                </c:pt>
                <c:pt idx="39">
                  <c:v>-1.4673969745635986</c:v>
                </c:pt>
                <c:pt idx="40">
                  <c:v>1.0496807098388672</c:v>
                </c:pt>
                <c:pt idx="41">
                  <c:v>-0.76758170127868652</c:v>
                </c:pt>
                <c:pt idx="42">
                  <c:v>0.4747498631477356</c:v>
                </c:pt>
                <c:pt idx="43">
                  <c:v>-1.3954648971557617</c:v>
                </c:pt>
                <c:pt idx="44">
                  <c:v>0.96630054712295532</c:v>
                </c:pt>
                <c:pt idx="45">
                  <c:v>0.9577755331993103</c:v>
                </c:pt>
                <c:pt idx="46">
                  <c:v>1.682456374168396</c:v>
                </c:pt>
                <c:pt idx="47">
                  <c:v>-1.444769024848938</c:v>
                </c:pt>
                <c:pt idx="48">
                  <c:v>0.9924970269203186</c:v>
                </c:pt>
                <c:pt idx="49">
                  <c:v>8.4205761551856995E-2</c:v>
                </c:pt>
                <c:pt idx="50">
                  <c:v>-0.28639298677444458</c:v>
                </c:pt>
                <c:pt idx="51">
                  <c:v>-1.0403258800506592</c:v>
                </c:pt>
                <c:pt idx="52">
                  <c:v>-4.608357697725296E-2</c:v>
                </c:pt>
                <c:pt idx="53">
                  <c:v>-1.962244987487793</c:v>
                </c:pt>
                <c:pt idx="54">
                  <c:v>-2.1491765975952148</c:v>
                </c:pt>
                <c:pt idx="55">
                  <c:v>1.0942745208740234</c:v>
                </c:pt>
                <c:pt idx="56">
                  <c:v>-1.2928982973098755</c:v>
                </c:pt>
                <c:pt idx="57">
                  <c:v>-0.81189316511154175</c:v>
                </c:pt>
                <c:pt idx="58">
                  <c:v>1.5846525430679321</c:v>
                </c:pt>
                <c:pt idx="59">
                  <c:v>1.2008407115936279</c:v>
                </c:pt>
                <c:pt idx="60">
                  <c:v>-0.85770004987716675</c:v>
                </c:pt>
                <c:pt idx="61">
                  <c:v>-1.2526001930236816</c:v>
                </c:pt>
                <c:pt idx="62">
                  <c:v>9.9354945123195648E-2</c:v>
                </c:pt>
                <c:pt idx="63">
                  <c:v>1.4077863693237305</c:v>
                </c:pt>
                <c:pt idx="64">
                  <c:v>0.4106585681438446</c:v>
                </c:pt>
                <c:pt idx="65">
                  <c:v>0.65381836891174316</c:v>
                </c:pt>
                <c:pt idx="66">
                  <c:v>0.81935238838195801</c:v>
                </c:pt>
                <c:pt idx="67">
                  <c:v>-0.40357473492622375</c:v>
                </c:pt>
                <c:pt idx="68">
                  <c:v>-1.0647956132888794</c:v>
                </c:pt>
                <c:pt idx="69">
                  <c:v>-1.4141944646835327</c:v>
                </c:pt>
                <c:pt idx="70">
                  <c:v>-8.7470840662717819E-3</c:v>
                </c:pt>
                <c:pt idx="71">
                  <c:v>-0.78955459594726563</c:v>
                </c:pt>
                <c:pt idx="72">
                  <c:v>-0.50730293989181519</c:v>
                </c:pt>
                <c:pt idx="73">
                  <c:v>0.70412832498550415</c:v>
                </c:pt>
                <c:pt idx="74">
                  <c:v>0.73213499784469604</c:v>
                </c:pt>
                <c:pt idx="75">
                  <c:v>1.4578932523727417</c:v>
                </c:pt>
                <c:pt idx="76">
                  <c:v>0.41172811388969421</c:v>
                </c:pt>
                <c:pt idx="77">
                  <c:v>2.5164636317640543E-3</c:v>
                </c:pt>
                <c:pt idx="78">
                  <c:v>-1.6001113653182983</c:v>
                </c:pt>
                <c:pt idx="79">
                  <c:v>-1.0964865684509277</c:v>
                </c:pt>
                <c:pt idx="80">
                  <c:v>1.312080979347229</c:v>
                </c:pt>
                <c:pt idx="81">
                  <c:v>0.63073569536209106</c:v>
                </c:pt>
                <c:pt idx="82">
                  <c:v>0.93486869335174561</c:v>
                </c:pt>
                <c:pt idx="83">
                  <c:v>0.49796345829963684</c:v>
                </c:pt>
                <c:pt idx="84">
                  <c:v>1.0998812913894653</c:v>
                </c:pt>
                <c:pt idx="85">
                  <c:v>-0.81671696901321411</c:v>
                </c:pt>
                <c:pt idx="86">
                  <c:v>-1.2243735790252686</c:v>
                </c:pt>
                <c:pt idx="87">
                  <c:v>-0.24187590181827545</c:v>
                </c:pt>
                <c:pt idx="88">
                  <c:v>0.81585896015167236</c:v>
                </c:pt>
                <c:pt idx="89">
                  <c:v>-2.1919858455657959</c:v>
                </c:pt>
                <c:pt idx="90">
                  <c:v>0.68835067749023438</c:v>
                </c:pt>
                <c:pt idx="91">
                  <c:v>-0.27022546529769897</c:v>
                </c:pt>
                <c:pt idx="92">
                  <c:v>-0.64906209707260132</c:v>
                </c:pt>
                <c:pt idx="93">
                  <c:v>-0.56544071435928345</c:v>
                </c:pt>
                <c:pt idx="94">
                  <c:v>-1.5876858234405518</c:v>
                </c:pt>
                <c:pt idx="95">
                  <c:v>0.73640942573547363</c:v>
                </c:pt>
                <c:pt idx="96">
                  <c:v>-0.44067946076393127</c:v>
                </c:pt>
                <c:pt idx="97">
                  <c:v>7.8348636627197266E-2</c:v>
                </c:pt>
                <c:pt idx="98">
                  <c:v>-0.44720283150672913</c:v>
                </c:pt>
                <c:pt idx="99">
                  <c:v>-0.99611324071884155</c:v>
                </c:pt>
                <c:pt idx="100">
                  <c:v>1.4628721475601196</c:v>
                </c:pt>
                <c:pt idx="101">
                  <c:v>0.91783714294433594</c:v>
                </c:pt>
                <c:pt idx="102">
                  <c:v>1.6100245714187622</c:v>
                </c:pt>
                <c:pt idx="103">
                  <c:v>-0.29773688316345215</c:v>
                </c:pt>
                <c:pt idx="104">
                  <c:v>-3.8272526115179062E-2</c:v>
                </c:pt>
                <c:pt idx="105">
                  <c:v>-0.78014206886291504</c:v>
                </c:pt>
                <c:pt idx="106">
                  <c:v>-0.18730795383453369</c:v>
                </c:pt>
                <c:pt idx="107">
                  <c:v>-0.32052543759346008</c:v>
                </c:pt>
                <c:pt idx="108">
                  <c:v>-0.42706394195556641</c:v>
                </c:pt>
                <c:pt idx="109">
                  <c:v>-0.30246958136558533</c:v>
                </c:pt>
                <c:pt idx="110">
                  <c:v>1.1348001956939697</c:v>
                </c:pt>
                <c:pt idx="111">
                  <c:v>1.1968603134155273</c:v>
                </c:pt>
                <c:pt idx="112">
                  <c:v>-0.93083661794662476</c:v>
                </c:pt>
                <c:pt idx="113">
                  <c:v>0.89152544736862183</c:v>
                </c:pt>
                <c:pt idx="114">
                  <c:v>7.9359062016010284E-2</c:v>
                </c:pt>
                <c:pt idx="115">
                  <c:v>1.0192474126815796</c:v>
                </c:pt>
                <c:pt idx="116">
                  <c:v>-0.10569439828395844</c:v>
                </c:pt>
                <c:pt idx="117">
                  <c:v>0.83401262760162354</c:v>
                </c:pt>
                <c:pt idx="118">
                  <c:v>7.2999700903892517E-2</c:v>
                </c:pt>
                <c:pt idx="119">
                  <c:v>0.18188983201980591</c:v>
                </c:pt>
                <c:pt idx="120">
                  <c:v>-0.7224433422088623</c:v>
                </c:pt>
                <c:pt idx="121">
                  <c:v>-0.28672105073928833</c:v>
                </c:pt>
                <c:pt idx="122">
                  <c:v>-1.4973899126052856</c:v>
                </c:pt>
                <c:pt idx="123">
                  <c:v>0.38683396577835083</c:v>
                </c:pt>
                <c:pt idx="124">
                  <c:v>1.0658317804336548</c:v>
                </c:pt>
                <c:pt idx="125">
                  <c:v>-0.56845968961715698</c:v>
                </c:pt>
                <c:pt idx="126">
                  <c:v>1.5838433504104614</c:v>
                </c:pt>
                <c:pt idx="127">
                  <c:v>1.6220579147338867</c:v>
                </c:pt>
                <c:pt idx="128">
                  <c:v>-0.44775918126106262</c:v>
                </c:pt>
                <c:pt idx="129">
                  <c:v>-0.35532829165458679</c:v>
                </c:pt>
                <c:pt idx="130">
                  <c:v>-0.74442768096923828</c:v>
                </c:pt>
                <c:pt idx="131">
                  <c:v>1.7594175338745117</c:v>
                </c:pt>
                <c:pt idx="132">
                  <c:v>-1.0018036365509033</c:v>
                </c:pt>
                <c:pt idx="133">
                  <c:v>-0.83105254173278809</c:v>
                </c:pt>
                <c:pt idx="134">
                  <c:v>1.2155786752700806</c:v>
                </c:pt>
                <c:pt idx="135">
                  <c:v>0.40841978788375854</c:v>
                </c:pt>
                <c:pt idx="136">
                  <c:v>1.7488224431872368E-2</c:v>
                </c:pt>
                <c:pt idx="137">
                  <c:v>-0.13334745168685913</c:v>
                </c:pt>
                <c:pt idx="138">
                  <c:v>3.7614025175571442E-2</c:v>
                </c:pt>
                <c:pt idx="139">
                  <c:v>-1.2128278613090515E-2</c:v>
                </c:pt>
                <c:pt idx="140">
                  <c:v>0.9729536771774292</c:v>
                </c:pt>
                <c:pt idx="141">
                  <c:v>1.0409666299819946</c:v>
                </c:pt>
                <c:pt idx="142">
                  <c:v>-0.86297929286956787</c:v>
                </c:pt>
                <c:pt idx="143">
                  <c:v>0.29095962643623352</c:v>
                </c:pt>
                <c:pt idx="144">
                  <c:v>-1.0131485462188721</c:v>
                </c:pt>
                <c:pt idx="145">
                  <c:v>-1.178788423538208</c:v>
                </c:pt>
                <c:pt idx="146">
                  <c:v>1.1401336193084717</c:v>
                </c:pt>
                <c:pt idx="147">
                  <c:v>1.1772879362106323</c:v>
                </c:pt>
                <c:pt idx="148">
                  <c:v>1.0459977388381958</c:v>
                </c:pt>
                <c:pt idx="149">
                  <c:v>0.47094151377677917</c:v>
                </c:pt>
                <c:pt idx="150">
                  <c:v>1.2062194347381592</c:v>
                </c:pt>
                <c:pt idx="151">
                  <c:v>0.10747502744197845</c:v>
                </c:pt>
                <c:pt idx="152">
                  <c:v>-1.8237768411636353</c:v>
                </c:pt>
                <c:pt idx="153">
                  <c:v>3.4599132835865021E-2</c:v>
                </c:pt>
                <c:pt idx="154">
                  <c:v>0.28628209233283997</c:v>
                </c:pt>
                <c:pt idx="155">
                  <c:v>5.7323602959513664E-3</c:v>
                </c:pt>
                <c:pt idx="156">
                  <c:v>-0.38529446721076965</c:v>
                </c:pt>
                <c:pt idx="157">
                  <c:v>6.2018100172281265E-2</c:v>
                </c:pt>
                <c:pt idx="158">
                  <c:v>0.93626224994659424</c:v>
                </c:pt>
                <c:pt idx="159">
                  <c:v>0.98151713609695435</c:v>
                </c:pt>
                <c:pt idx="160">
                  <c:v>-1.8821204081177711E-2</c:v>
                </c:pt>
                <c:pt idx="161">
                  <c:v>-2.1903326511383057</c:v>
                </c:pt>
                <c:pt idx="162">
                  <c:v>0.58215516805648804</c:v>
                </c:pt>
                <c:pt idx="163">
                  <c:v>-1.4074095487594604</c:v>
                </c:pt>
                <c:pt idx="164">
                  <c:v>0.96567505598068237</c:v>
                </c:pt>
                <c:pt idx="165">
                  <c:v>-0.61897647380828857</c:v>
                </c:pt>
                <c:pt idx="166">
                  <c:v>-1.7751208543777466</c:v>
                </c:pt>
                <c:pt idx="167">
                  <c:v>0.30605778098106384</c:v>
                </c:pt>
                <c:pt idx="168">
                  <c:v>-1.1551570892333984</c:v>
                </c:pt>
                <c:pt idx="169">
                  <c:v>1.6728148460388184</c:v>
                </c:pt>
                <c:pt idx="170">
                  <c:v>1.6496073007583618</c:v>
                </c:pt>
                <c:pt idx="171">
                  <c:v>-1.7730302810668945</c:v>
                </c:pt>
                <c:pt idx="172">
                  <c:v>0.88205534219741821</c:v>
                </c:pt>
                <c:pt idx="173">
                  <c:v>-1.4754797220230103</c:v>
                </c:pt>
                <c:pt idx="174">
                  <c:v>-0.22595661878585815</c:v>
                </c:pt>
                <c:pt idx="175">
                  <c:v>-0.43246659636497498</c:v>
                </c:pt>
                <c:pt idx="176">
                  <c:v>4.9974925816059113E-2</c:v>
                </c:pt>
                <c:pt idx="177">
                  <c:v>-0.97900718450546265</c:v>
                </c:pt>
                <c:pt idx="178">
                  <c:v>0.51358628273010254</c:v>
                </c:pt>
                <c:pt idx="179">
                  <c:v>0.44391617178916931</c:v>
                </c:pt>
                <c:pt idx="180">
                  <c:v>-0.11418800801038742</c:v>
                </c:pt>
                <c:pt idx="181">
                  <c:v>-0.26261156797409058</c:v>
                </c:pt>
                <c:pt idx="182">
                  <c:v>-2.1710250377655029</c:v>
                </c:pt>
                <c:pt idx="183">
                  <c:v>0.74477827548980713</c:v>
                </c:pt>
                <c:pt idx="184">
                  <c:v>-0.54907214641571045</c:v>
                </c:pt>
                <c:pt idx="185">
                  <c:v>-0.32557454705238342</c:v>
                </c:pt>
                <c:pt idx="186">
                  <c:v>-1.029416561126709</c:v>
                </c:pt>
                <c:pt idx="187">
                  <c:v>1.3169810771942139</c:v>
                </c:pt>
                <c:pt idx="188">
                  <c:v>1.0757720470428467</c:v>
                </c:pt>
                <c:pt idx="189">
                  <c:v>1.0664023160934448</c:v>
                </c:pt>
                <c:pt idx="190">
                  <c:v>-1.9435014724731445</c:v>
                </c:pt>
                <c:pt idx="191">
                  <c:v>0.51491749286651611</c:v>
                </c:pt>
                <c:pt idx="192">
                  <c:v>-0.95268487930297852</c:v>
                </c:pt>
                <c:pt idx="193">
                  <c:v>-1.3361901044845581</c:v>
                </c:pt>
                <c:pt idx="194">
                  <c:v>-0.86887443065643311</c:v>
                </c:pt>
                <c:pt idx="195">
                  <c:v>-1.3525716066360474</c:v>
                </c:pt>
                <c:pt idx="196">
                  <c:v>-0.11189679801464081</c:v>
                </c:pt>
                <c:pt idx="197">
                  <c:v>-1.385584831237793</c:v>
                </c:pt>
              </c:numCache>
            </c:numRef>
          </c:xVal>
          <c:yVal>
            <c:numRef>
              <c:f>ID4D!$IM$3:$IM$200</c:f>
              <c:numCache>
                <c:formatCode>0.00</c:formatCode>
                <c:ptCount val="198"/>
                <c:pt idx="0">
                  <c:v>64</c:v>
                </c:pt>
                <c:pt idx="1">
                  <c:v>72</c:v>
                </c:pt>
                <c:pt idx="2">
                  <c:v>56.000000000000007</c:v>
                </c:pt>
                <c:pt idx="3">
                  <c:v>32</c:v>
                </c:pt>
                <c:pt idx="4">
                  <c:v>72</c:v>
                </c:pt>
                <c:pt idx="5">
                  <c:v>24</c:v>
                </c:pt>
                <c:pt idx="6">
                  <c:v>80</c:v>
                </c:pt>
                <c:pt idx="7">
                  <c:v>76</c:v>
                </c:pt>
                <c:pt idx="8">
                  <c:v>56.000000000000007</c:v>
                </c:pt>
                <c:pt idx="9">
                  <c:v>72</c:v>
                </c:pt>
                <c:pt idx="10">
                  <c:v>76</c:v>
                </c:pt>
                <c:pt idx="11">
                  <c:v>56.000000000000007</c:v>
                </c:pt>
                <c:pt idx="12">
                  <c:v>60</c:v>
                </c:pt>
                <c:pt idx="13">
                  <c:v>68</c:v>
                </c:pt>
                <c:pt idx="14">
                  <c:v>60</c:v>
                </c:pt>
                <c:pt idx="15">
                  <c:v>40</c:v>
                </c:pt>
                <c:pt idx="16">
                  <c:v>88</c:v>
                </c:pt>
                <c:pt idx="17">
                  <c:v>36</c:v>
                </c:pt>
                <c:pt idx="18">
                  <c:v>40</c:v>
                </c:pt>
                <c:pt idx="19">
                  <c:v>48</c:v>
                </c:pt>
                <c:pt idx="20">
                  <c:v>52</c:v>
                </c:pt>
                <c:pt idx="21">
                  <c:v>80</c:v>
                </c:pt>
                <c:pt idx="22">
                  <c:v>56.000000000000007</c:v>
                </c:pt>
                <c:pt idx="23">
                  <c:v>80</c:v>
                </c:pt>
                <c:pt idx="24">
                  <c:v>60</c:v>
                </c:pt>
                <c:pt idx="25">
                  <c:v>72</c:v>
                </c:pt>
                <c:pt idx="26">
                  <c:v>44</c:v>
                </c:pt>
                <c:pt idx="27">
                  <c:v>56.000000000000007</c:v>
                </c:pt>
                <c:pt idx="28">
                  <c:v>52</c:v>
                </c:pt>
                <c:pt idx="29">
                  <c:v>60</c:v>
                </c:pt>
                <c:pt idx="30">
                  <c:v>52</c:v>
                </c:pt>
                <c:pt idx="31">
                  <c:v>44</c:v>
                </c:pt>
                <c:pt idx="32">
                  <c:v>36</c:v>
                </c:pt>
                <c:pt idx="33">
                  <c:v>40</c:v>
                </c:pt>
                <c:pt idx="34">
                  <c:v>96</c:v>
                </c:pt>
                <c:pt idx="35">
                  <c:v>72</c:v>
                </c:pt>
                <c:pt idx="36">
                  <c:v>76</c:v>
                </c:pt>
                <c:pt idx="37">
                  <c:v>40</c:v>
                </c:pt>
                <c:pt idx="38">
                  <c:v>52</c:v>
                </c:pt>
                <c:pt idx="39">
                  <c:v>52</c:v>
                </c:pt>
                <c:pt idx="40">
                  <c:v>72</c:v>
                </c:pt>
                <c:pt idx="41">
                  <c:v>68</c:v>
                </c:pt>
                <c:pt idx="42">
                  <c:v>84</c:v>
                </c:pt>
                <c:pt idx="43">
                  <c:v>48</c:v>
                </c:pt>
                <c:pt idx="44">
                  <c:v>56.000000000000007</c:v>
                </c:pt>
                <c:pt idx="45">
                  <c:v>84</c:v>
                </c:pt>
                <c:pt idx="46">
                  <c:v>48</c:v>
                </c:pt>
                <c:pt idx="47">
                  <c:v>48</c:v>
                </c:pt>
                <c:pt idx="48">
                  <c:v>56.000000000000007</c:v>
                </c:pt>
                <c:pt idx="49">
                  <c:v>68</c:v>
                </c:pt>
                <c:pt idx="50">
                  <c:v>60</c:v>
                </c:pt>
                <c:pt idx="51">
                  <c:v>56.000000000000007</c:v>
                </c:pt>
                <c:pt idx="52">
                  <c:v>56.000000000000007</c:v>
                </c:pt>
                <c:pt idx="53">
                  <c:v>24</c:v>
                </c:pt>
                <c:pt idx="54">
                  <c:v>36</c:v>
                </c:pt>
                <c:pt idx="55">
                  <c:v>80</c:v>
                </c:pt>
                <c:pt idx="56">
                  <c:v>40</c:v>
                </c:pt>
                <c:pt idx="57">
                  <c:v>64</c:v>
                </c:pt>
                <c:pt idx="58">
                  <c:v>80</c:v>
                </c:pt>
                <c:pt idx="59">
                  <c:v>80</c:v>
                </c:pt>
                <c:pt idx="60">
                  <c:v>60</c:v>
                </c:pt>
                <c:pt idx="61">
                  <c:v>60</c:v>
                </c:pt>
                <c:pt idx="62">
                  <c:v>84</c:v>
                </c:pt>
                <c:pt idx="63">
                  <c:v>88</c:v>
                </c:pt>
                <c:pt idx="64">
                  <c:v>76</c:v>
                </c:pt>
                <c:pt idx="65">
                  <c:v>52</c:v>
                </c:pt>
                <c:pt idx="66">
                  <c:v>56.000000000000007</c:v>
                </c:pt>
                <c:pt idx="67">
                  <c:v>60</c:v>
                </c:pt>
                <c:pt idx="68">
                  <c:v>60</c:v>
                </c:pt>
                <c:pt idx="69">
                  <c:v>48</c:v>
                </c:pt>
                <c:pt idx="70">
                  <c:v>36</c:v>
                </c:pt>
                <c:pt idx="71">
                  <c:v>52</c:v>
                </c:pt>
                <c:pt idx="72">
                  <c:v>60</c:v>
                </c:pt>
                <c:pt idx="73">
                  <c:v>84</c:v>
                </c:pt>
                <c:pt idx="74">
                  <c:v>72</c:v>
                </c:pt>
                <c:pt idx="75">
                  <c:v>52</c:v>
                </c:pt>
                <c:pt idx="76">
                  <c:v>88</c:v>
                </c:pt>
                <c:pt idx="77">
                  <c:v>60</c:v>
                </c:pt>
                <c:pt idx="78">
                  <c:v>52</c:v>
                </c:pt>
                <c:pt idx="79">
                  <c:v>60</c:v>
                </c:pt>
                <c:pt idx="80">
                  <c:v>44</c:v>
                </c:pt>
                <c:pt idx="81">
                  <c:v>72</c:v>
                </c:pt>
                <c:pt idx="82">
                  <c:v>76</c:v>
                </c:pt>
                <c:pt idx="83">
                  <c:v>64</c:v>
                </c:pt>
                <c:pt idx="84">
                  <c:v>76</c:v>
                </c:pt>
                <c:pt idx="85">
                  <c:v>60</c:v>
                </c:pt>
                <c:pt idx="86">
                  <c:v>68</c:v>
                </c:pt>
                <c:pt idx="87">
                  <c:v>64</c:v>
                </c:pt>
                <c:pt idx="88">
                  <c:v>40</c:v>
                </c:pt>
                <c:pt idx="89">
                  <c:v>48</c:v>
                </c:pt>
                <c:pt idx="90">
                  <c:v>84</c:v>
                </c:pt>
                <c:pt idx="91">
                  <c:v>72</c:v>
                </c:pt>
                <c:pt idx="92">
                  <c:v>60</c:v>
                </c:pt>
                <c:pt idx="93">
                  <c:v>72</c:v>
                </c:pt>
                <c:pt idx="94">
                  <c:v>28.000000000000004</c:v>
                </c:pt>
                <c:pt idx="95">
                  <c:v>80</c:v>
                </c:pt>
                <c:pt idx="96">
                  <c:v>48</c:v>
                </c:pt>
                <c:pt idx="97">
                  <c:v>52</c:v>
                </c:pt>
                <c:pt idx="98">
                  <c:v>44</c:v>
                </c:pt>
                <c:pt idx="99">
                  <c:v>32</c:v>
                </c:pt>
                <c:pt idx="100">
                  <c:v>72</c:v>
                </c:pt>
                <c:pt idx="101">
                  <c:v>72</c:v>
                </c:pt>
                <c:pt idx="102">
                  <c:v>80</c:v>
                </c:pt>
                <c:pt idx="103">
                  <c:v>72</c:v>
                </c:pt>
                <c:pt idx="104">
                  <c:v>72</c:v>
                </c:pt>
                <c:pt idx="105">
                  <c:v>48</c:v>
                </c:pt>
                <c:pt idx="106">
                  <c:v>44</c:v>
                </c:pt>
                <c:pt idx="107">
                  <c:v>84</c:v>
                </c:pt>
                <c:pt idx="108">
                  <c:v>40</c:v>
                </c:pt>
                <c:pt idx="109">
                  <c:v>52</c:v>
                </c:pt>
                <c:pt idx="110">
                  <c:v>80</c:v>
                </c:pt>
                <c:pt idx="111">
                  <c:v>32</c:v>
                </c:pt>
                <c:pt idx="112">
                  <c:v>56.000000000000007</c:v>
                </c:pt>
                <c:pt idx="113">
                  <c:v>76</c:v>
                </c:pt>
                <c:pt idx="114">
                  <c:v>68</c:v>
                </c:pt>
                <c:pt idx="115">
                  <c:v>16</c:v>
                </c:pt>
                <c:pt idx="116">
                  <c:v>88</c:v>
                </c:pt>
                <c:pt idx="117">
                  <c:v>84</c:v>
                </c:pt>
                <c:pt idx="118">
                  <c:v>56.000000000000007</c:v>
                </c:pt>
                <c:pt idx="119">
                  <c:v>72</c:v>
                </c:pt>
                <c:pt idx="120">
                  <c:v>72</c:v>
                </c:pt>
                <c:pt idx="121">
                  <c:v>56.000000000000007</c:v>
                </c:pt>
                <c:pt idx="122">
                  <c:v>44</c:v>
                </c:pt>
                <c:pt idx="123">
                  <c:v>44</c:v>
                </c:pt>
                <c:pt idx="124">
                  <c:v>12</c:v>
                </c:pt>
                <c:pt idx="125">
                  <c:v>80</c:v>
                </c:pt>
                <c:pt idx="126">
                  <c:v>84</c:v>
                </c:pt>
                <c:pt idx="127">
                  <c:v>56.000000000000007</c:v>
                </c:pt>
                <c:pt idx="128">
                  <c:v>68</c:v>
                </c:pt>
                <c:pt idx="129">
                  <c:v>44</c:v>
                </c:pt>
                <c:pt idx="130">
                  <c:v>80</c:v>
                </c:pt>
                <c:pt idx="131">
                  <c:v>88</c:v>
                </c:pt>
                <c:pt idx="132">
                  <c:v>76</c:v>
                </c:pt>
                <c:pt idx="133">
                  <c:v>76</c:v>
                </c:pt>
                <c:pt idx="134">
                  <c:v>24</c:v>
                </c:pt>
                <c:pt idx="135">
                  <c:v>64</c:v>
                </c:pt>
                <c:pt idx="136">
                  <c:v>44</c:v>
                </c:pt>
                <c:pt idx="137">
                  <c:v>60</c:v>
                </c:pt>
                <c:pt idx="138">
                  <c:v>64</c:v>
                </c:pt>
                <c:pt idx="139">
                  <c:v>56.000000000000007</c:v>
                </c:pt>
                <c:pt idx="140">
                  <c:v>68</c:v>
                </c:pt>
                <c:pt idx="141">
                  <c:v>80</c:v>
                </c:pt>
                <c:pt idx="142">
                  <c:v>80</c:v>
                </c:pt>
                <c:pt idx="143">
                  <c:v>88</c:v>
                </c:pt>
                <c:pt idx="144">
                  <c:v>76</c:v>
                </c:pt>
                <c:pt idx="145">
                  <c:v>56.000000000000007</c:v>
                </c:pt>
                <c:pt idx="146">
                  <c:v>40</c:v>
                </c:pt>
                <c:pt idx="147">
                  <c:v>60</c:v>
                </c:pt>
                <c:pt idx="148">
                  <c:v>56.000000000000007</c:v>
                </c:pt>
                <c:pt idx="149">
                  <c:v>20</c:v>
                </c:pt>
                <c:pt idx="150">
                  <c:v>84</c:v>
                </c:pt>
                <c:pt idx="151">
                  <c:v>12</c:v>
                </c:pt>
                <c:pt idx="152">
                  <c:v>72</c:v>
                </c:pt>
                <c:pt idx="153">
                  <c:v>68</c:v>
                </c:pt>
                <c:pt idx="154">
                  <c:v>80</c:v>
                </c:pt>
                <c:pt idx="155">
                  <c:v>68</c:v>
                </c:pt>
                <c:pt idx="156">
                  <c:v>72</c:v>
                </c:pt>
                <c:pt idx="157">
                  <c:v>84</c:v>
                </c:pt>
                <c:pt idx="158">
                  <c:v>76</c:v>
                </c:pt>
                <c:pt idx="159">
                  <c:v>88</c:v>
                </c:pt>
                <c:pt idx="160">
                  <c:v>16</c:v>
                </c:pt>
                <c:pt idx="161">
                  <c:v>48</c:v>
                </c:pt>
                <c:pt idx="162">
                  <c:v>72</c:v>
                </c:pt>
                <c:pt idx="163">
                  <c:v>56.000000000000007</c:v>
                </c:pt>
                <c:pt idx="164">
                  <c:v>76</c:v>
                </c:pt>
                <c:pt idx="165">
                  <c:v>60</c:v>
                </c:pt>
                <c:pt idx="166">
                  <c:v>60</c:v>
                </c:pt>
                <c:pt idx="167">
                  <c:v>44</c:v>
                </c:pt>
                <c:pt idx="168">
                  <c:v>28.000000000000004</c:v>
                </c:pt>
                <c:pt idx="169">
                  <c:v>88</c:v>
                </c:pt>
                <c:pt idx="170">
                  <c:v>76</c:v>
                </c:pt>
                <c:pt idx="171">
                  <c:v>28.000000000000004</c:v>
                </c:pt>
                <c:pt idx="172">
                  <c:v>60</c:v>
                </c:pt>
                <c:pt idx="173">
                  <c:v>52</c:v>
                </c:pt>
                <c:pt idx="174">
                  <c:v>52</c:v>
                </c:pt>
                <c:pt idx="175">
                  <c:v>72</c:v>
                </c:pt>
                <c:pt idx="176">
                  <c:v>48</c:v>
                </c:pt>
                <c:pt idx="177">
                  <c:v>36</c:v>
                </c:pt>
                <c:pt idx="178">
                  <c:v>32</c:v>
                </c:pt>
                <c:pt idx="179">
                  <c:v>76</c:v>
                </c:pt>
                <c:pt idx="180">
                  <c:v>64</c:v>
                </c:pt>
                <c:pt idx="181">
                  <c:v>88</c:v>
                </c:pt>
                <c:pt idx="182">
                  <c:v>20</c:v>
                </c:pt>
                <c:pt idx="183">
                  <c:v>8</c:v>
                </c:pt>
                <c:pt idx="184">
                  <c:v>64</c:v>
                </c:pt>
                <c:pt idx="185">
                  <c:v>68</c:v>
                </c:pt>
                <c:pt idx="186">
                  <c:v>84</c:v>
                </c:pt>
                <c:pt idx="187">
                  <c:v>56.000000000000007</c:v>
                </c:pt>
                <c:pt idx="188">
                  <c:v>64</c:v>
                </c:pt>
                <c:pt idx="189">
                  <c:v>96</c:v>
                </c:pt>
                <c:pt idx="190">
                  <c:v>72</c:v>
                </c:pt>
                <c:pt idx="191">
                  <c:v>28.000000000000004</c:v>
                </c:pt>
                <c:pt idx="192">
                  <c:v>60</c:v>
                </c:pt>
                <c:pt idx="193">
                  <c:v>68</c:v>
                </c:pt>
                <c:pt idx="194">
                  <c:v>28.000000000000004</c:v>
                </c:pt>
                <c:pt idx="195">
                  <c:v>60</c:v>
                </c:pt>
                <c:pt idx="196">
                  <c:v>52</c:v>
                </c:pt>
                <c:pt idx="197">
                  <c:v>52</c:v>
                </c:pt>
              </c:numCache>
            </c:numRef>
          </c:yVal>
          <c:smooth val="0"/>
        </c:ser>
        <c:dLbls>
          <c:showLegendKey val="0"/>
          <c:showVal val="0"/>
          <c:showCatName val="0"/>
          <c:showSerName val="0"/>
          <c:showPercent val="0"/>
          <c:showBubbleSize val="0"/>
        </c:dLbls>
        <c:axId val="428220168"/>
        <c:axId val="428220560"/>
      </c:scatterChart>
      <c:valAx>
        <c:axId val="428220168"/>
        <c:scaling>
          <c:orientation val="minMax"/>
          <c:max val="3"/>
          <c:min val="-3"/>
        </c:scaling>
        <c:delete val="0"/>
        <c:axPos val="b"/>
        <c:numFmt formatCode="0.00" sourceLinked="1"/>
        <c:majorTickMark val="out"/>
        <c:minorTickMark val="none"/>
        <c:tickLblPos val="nextTo"/>
        <c:spPr>
          <a:ln>
            <a:solidFill>
              <a:srgbClr val="0000CC"/>
            </a:solidFill>
          </a:ln>
        </c:spPr>
        <c:crossAx val="428220560"/>
        <c:crosses val="autoZero"/>
        <c:crossBetween val="midCat"/>
      </c:valAx>
      <c:valAx>
        <c:axId val="428220560"/>
        <c:scaling>
          <c:orientation val="minMax"/>
          <c:max val="100"/>
        </c:scaling>
        <c:delete val="0"/>
        <c:axPos val="l"/>
        <c:majorGridlines>
          <c:spPr>
            <a:ln>
              <a:solidFill>
                <a:schemeClr val="bg1">
                  <a:lumMod val="75000"/>
                </a:schemeClr>
              </a:solidFill>
            </a:ln>
          </c:spPr>
        </c:majorGridlines>
        <c:title>
          <c:tx>
            <c:rich>
              <a:bodyPr rot="-5400000" vert="horz"/>
              <a:lstStyle/>
              <a:p>
                <a:pPr>
                  <a:defRPr b="0">
                    <a:solidFill>
                      <a:srgbClr val="0000CC"/>
                    </a:solidFill>
                  </a:defRPr>
                </a:pPr>
                <a:r>
                  <a:rPr lang="en-US" b="0">
                    <a:solidFill>
                      <a:srgbClr val="0000CC"/>
                    </a:solidFill>
                  </a:rPr>
                  <a:t>ID4D</a:t>
                </a:r>
                <a:r>
                  <a:rPr lang="en-US" b="0" baseline="0">
                    <a:solidFill>
                      <a:srgbClr val="0000CC"/>
                    </a:solidFill>
                  </a:rPr>
                  <a:t> Score</a:t>
                </a:r>
                <a:endParaRPr lang="en-US" b="0">
                  <a:solidFill>
                    <a:srgbClr val="0000CC"/>
                  </a:solidFill>
                </a:endParaRPr>
              </a:p>
            </c:rich>
          </c:tx>
          <c:layout>
            <c:manualLayout>
              <c:xMode val="edge"/>
              <c:yMode val="edge"/>
              <c:x val="2.670940170940171E-3"/>
              <c:y val="0.35267388451443576"/>
            </c:manualLayout>
          </c:layout>
          <c:overlay val="0"/>
        </c:title>
        <c:numFmt formatCode="#,##0" sourceLinked="0"/>
        <c:majorTickMark val="out"/>
        <c:minorTickMark val="none"/>
        <c:tickLblPos val="low"/>
        <c:crossAx val="428220168"/>
        <c:crosses val="autoZero"/>
        <c:crossBetween val="midCat"/>
      </c:valAx>
      <c:spPr>
        <a:ln>
          <a:solidFill>
            <a:srgbClr val="0000CC"/>
          </a:solidFill>
        </a:ln>
      </c:spPr>
    </c:plotArea>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rgbClr val="0000CC"/>
                </a:solidFill>
              </a:defRPr>
            </a:pPr>
            <a:r>
              <a:rPr lang="en-US" sz="1200">
                <a:solidFill>
                  <a:srgbClr val="0000CC"/>
                </a:solidFill>
              </a:rPr>
              <a:t>WGI: Political Stability</a:t>
            </a:r>
            <a:r>
              <a:rPr lang="en-US" sz="1200" baseline="0">
                <a:solidFill>
                  <a:srgbClr val="0000CC"/>
                </a:solidFill>
              </a:rPr>
              <a:t> vs.</a:t>
            </a:r>
            <a:r>
              <a:rPr lang="en-US" sz="1200">
                <a:solidFill>
                  <a:srgbClr val="0000CC"/>
                </a:solidFill>
              </a:rPr>
              <a:t> ID4D</a:t>
            </a:r>
          </a:p>
        </c:rich>
      </c:tx>
      <c:layout>
        <c:manualLayout>
          <c:xMode val="edge"/>
          <c:yMode val="edge"/>
          <c:x val="0.28739968201090249"/>
          <c:y val="0"/>
        </c:manualLayout>
      </c:layout>
      <c:overlay val="0"/>
    </c:title>
    <c:autoTitleDeleted val="0"/>
    <c:plotArea>
      <c:layout>
        <c:manualLayout>
          <c:layoutTarget val="inner"/>
          <c:xMode val="edge"/>
          <c:yMode val="edge"/>
          <c:x val="9.4031395114072269E-2"/>
          <c:y val="0.10394013248343957"/>
          <c:w val="0.8662584544720372"/>
          <c:h val="0.79659730033745779"/>
        </c:manualLayout>
      </c:layout>
      <c:scatterChart>
        <c:scatterStyle val="lineMarker"/>
        <c:varyColors val="0"/>
        <c:ser>
          <c:idx val="0"/>
          <c:order val="0"/>
          <c:tx>
            <c:v>PS and ID4D</c:v>
          </c:tx>
          <c:spPr>
            <a:ln w="28575">
              <a:noFill/>
            </a:ln>
          </c:spPr>
          <c:marker>
            <c:symbol val="diamond"/>
            <c:size val="7"/>
            <c:spPr>
              <a:noFill/>
              <a:ln>
                <a:solidFill>
                  <a:srgbClr val="0000CC"/>
                </a:solidFill>
              </a:ln>
            </c:spPr>
          </c:marker>
          <c:trendline>
            <c:trendlineType val="log"/>
            <c:dispRSqr val="0"/>
            <c:dispEq val="0"/>
          </c:trendline>
          <c:trendline>
            <c:trendlineType val="power"/>
            <c:dispRSqr val="0"/>
            <c:dispEq val="0"/>
          </c:trendline>
          <c:trendline>
            <c:trendlineType val="log"/>
            <c:dispRSqr val="0"/>
            <c:dispEq val="0"/>
          </c:trendline>
          <c:trendline>
            <c:trendlineType val="power"/>
            <c:dispRSqr val="0"/>
            <c:dispEq val="0"/>
          </c:trendline>
          <c:trendline>
            <c:trendlineType val="linear"/>
            <c:dispRSqr val="0"/>
            <c:dispEq val="0"/>
          </c:trendline>
          <c:xVal>
            <c:numRef>
              <c:f>ID4D!$GU$3:$GU$200</c:f>
              <c:numCache>
                <c:formatCode>0.00</c:formatCode>
                <c:ptCount val="198"/>
                <c:pt idx="0">
                  <c:v>-2.4741945266723633</c:v>
                </c:pt>
                <c:pt idx="1">
                  <c:v>5.8038730174303055E-2</c:v>
                </c:pt>
                <c:pt idx="2">
                  <c:v>-1.1702249050140381</c:v>
                </c:pt>
                <c:pt idx="3">
                  <c:v>1.3230555057525635</c:v>
                </c:pt>
                <c:pt idx="4">
                  <c:v>-0.37216398119926453</c:v>
                </c:pt>
                <c:pt idx="5">
                  <c:v>0.97778099775314331</c:v>
                </c:pt>
                <c:pt idx="6">
                  <c:v>5.9716705232858658E-2</c:v>
                </c:pt>
                <c:pt idx="7">
                  <c:v>7.0397138595581055E-2</c:v>
                </c:pt>
                <c:pt idx="8">
                  <c:v>1.016480565071106</c:v>
                </c:pt>
                <c:pt idx="9">
                  <c:v>1.3427889347076416</c:v>
                </c:pt>
                <c:pt idx="10">
                  <c:v>-0.41039389371871948</c:v>
                </c:pt>
                <c:pt idx="11">
                  <c:v>1.120907187461853</c:v>
                </c:pt>
                <c:pt idx="12">
                  <c:v>-1.3421005010604858</c:v>
                </c:pt>
                <c:pt idx="13">
                  <c:v>-1.6127743721008301</c:v>
                </c:pt>
                <c:pt idx="14">
                  <c:v>1.2929487228393555</c:v>
                </c:pt>
                <c:pt idx="15">
                  <c:v>-2.5405453518033028E-2</c:v>
                </c:pt>
                <c:pt idx="16">
                  <c:v>0.9173169732093811</c:v>
                </c:pt>
                <c:pt idx="17">
                  <c:v>0.17344166338443756</c:v>
                </c:pt>
                <c:pt idx="18">
                  <c:v>0.28032535314559937</c:v>
                </c:pt>
                <c:pt idx="19">
                  <c:v>0.79980015754699707</c:v>
                </c:pt>
                <c:pt idx="20">
                  <c:v>-0.34758844971656799</c:v>
                </c:pt>
                <c:pt idx="21">
                  <c:v>-0.36593383550643921</c:v>
                </c:pt>
                <c:pt idx="22">
                  <c:v>1.0563554763793945</c:v>
                </c:pt>
                <c:pt idx="23">
                  <c:v>-0.27828651666641235</c:v>
                </c:pt>
                <c:pt idx="24">
                  <c:v>1.0825595855712891</c:v>
                </c:pt>
                <c:pt idx="25">
                  <c:v>0.17550905048847198</c:v>
                </c:pt>
                <c:pt idx="26">
                  <c:v>-0.75272607803344727</c:v>
                </c:pt>
                <c:pt idx="27">
                  <c:v>-1.2978800535202026</c:v>
                </c:pt>
                <c:pt idx="28">
                  <c:v>-0.15566757321357727</c:v>
                </c:pt>
                <c:pt idx="29">
                  <c:v>-0.51781761646270752</c:v>
                </c:pt>
                <c:pt idx="30">
                  <c:v>1.0307513475418091</c:v>
                </c:pt>
                <c:pt idx="31">
                  <c:v>0.80627542734146118</c:v>
                </c:pt>
                <c:pt idx="32">
                  <c:v>-2.1458115577697754</c:v>
                </c:pt>
                <c:pt idx="33">
                  <c:v>-1.1007781028747559</c:v>
                </c:pt>
                <c:pt idx="34">
                  <c:v>0.37345930933952332</c:v>
                </c:pt>
                <c:pt idx="35">
                  <c:v>-0.54609090089797974</c:v>
                </c:pt>
                <c:pt idx="36">
                  <c:v>-1.2685767412185669</c:v>
                </c:pt>
                <c:pt idx="37">
                  <c:v>-0.2388356477022171</c:v>
                </c:pt>
                <c:pt idx="38">
                  <c:v>-0.46612268686294556</c:v>
                </c:pt>
                <c:pt idx="39">
                  <c:v>-2.2300465106964111</c:v>
                </c:pt>
                <c:pt idx="40">
                  <c:v>0.666129469871521</c:v>
                </c:pt>
                <c:pt idx="41">
                  <c:v>-1.0512809753417969</c:v>
                </c:pt>
                <c:pt idx="42">
                  <c:v>0.61406373977661133</c:v>
                </c:pt>
                <c:pt idx="43">
                  <c:v>0.3694552481174469</c:v>
                </c:pt>
                <c:pt idx="44">
                  <c:v>0.51833212375640869</c:v>
                </c:pt>
                <c:pt idx="45">
                  <c:v>1.0525963306427002</c:v>
                </c:pt>
                <c:pt idx="46">
                  <c:v>0.94661509990692139</c:v>
                </c:pt>
                <c:pt idx="47">
                  <c:v>-0.11876150965690613</c:v>
                </c:pt>
                <c:pt idx="48">
                  <c:v>1.200676441192627</c:v>
                </c:pt>
                <c:pt idx="49">
                  <c:v>0.1865784227848053</c:v>
                </c:pt>
                <c:pt idx="50">
                  <c:v>-0.19542352855205536</c:v>
                </c:pt>
                <c:pt idx="51">
                  <c:v>-1.6198796033859253</c:v>
                </c:pt>
                <c:pt idx="52">
                  <c:v>-4.3523196130990982E-2</c:v>
                </c:pt>
                <c:pt idx="53">
                  <c:v>8.090607076883316E-2</c:v>
                </c:pt>
                <c:pt idx="54">
                  <c:v>-0.775779128074646</c:v>
                </c:pt>
                <c:pt idx="55">
                  <c:v>0.72538304328918457</c:v>
                </c:pt>
                <c:pt idx="56">
                  <c:v>-1.394188404083252</c:v>
                </c:pt>
                <c:pt idx="57">
                  <c:v>-2.6633691042661667E-2</c:v>
                </c:pt>
                <c:pt idx="58">
                  <c:v>1.3591697216033936</c:v>
                </c:pt>
                <c:pt idx="59">
                  <c:v>0.42368781566619873</c:v>
                </c:pt>
                <c:pt idx="60">
                  <c:v>0.33723980188369751</c:v>
                </c:pt>
                <c:pt idx="61">
                  <c:v>-4.6368207782506943E-2</c:v>
                </c:pt>
                <c:pt idx="62">
                  <c:v>-0.46391326189041138</c:v>
                </c:pt>
                <c:pt idx="63">
                  <c:v>0.92707729339599609</c:v>
                </c:pt>
                <c:pt idx="64">
                  <c:v>2.0406404510140419E-2</c:v>
                </c:pt>
                <c:pt idx="65">
                  <c:v>-0.19750493764877319</c:v>
                </c:pt>
                <c:pt idx="66">
                  <c:v>0.41846951842308044</c:v>
                </c:pt>
                <c:pt idx="67">
                  <c:v>-0.69491678476333618</c:v>
                </c:pt>
                <c:pt idx="68">
                  <c:v>-1.2257566452026367</c:v>
                </c:pt>
                <c:pt idx="69">
                  <c:v>-0.93212801218032837</c:v>
                </c:pt>
                <c:pt idx="70">
                  <c:v>-0.44166657328605652</c:v>
                </c:pt>
                <c:pt idx="71">
                  <c:v>-0.66289222240447998</c:v>
                </c:pt>
                <c:pt idx="72">
                  <c:v>-0.46607121825218201</c:v>
                </c:pt>
                <c:pt idx="73">
                  <c:v>0.88330894708633423</c:v>
                </c:pt>
                <c:pt idx="74">
                  <c:v>0.77946370840072632</c:v>
                </c:pt>
                <c:pt idx="75">
                  <c:v>1.260259747505188</c:v>
                </c:pt>
                <c:pt idx="76">
                  <c:v>-1.1874749660491943</c:v>
                </c:pt>
                <c:pt idx="77">
                  <c:v>-0.50047028064727783</c:v>
                </c:pt>
                <c:pt idx="78">
                  <c:v>-1.269212007522583</c:v>
                </c:pt>
                <c:pt idx="79">
                  <c:v>-1.9885441064834595</c:v>
                </c:pt>
                <c:pt idx="80">
                  <c:v>0.87775856256484985</c:v>
                </c:pt>
                <c:pt idx="81">
                  <c:v>-1.093532919883728</c:v>
                </c:pt>
                <c:pt idx="82">
                  <c:v>0.50986284017562866</c:v>
                </c:pt>
                <c:pt idx="83">
                  <c:v>0.17612482607364655</c:v>
                </c:pt>
                <c:pt idx="84">
                  <c:v>0.98158049583435059</c:v>
                </c:pt>
                <c:pt idx="85">
                  <c:v>-0.61608850955963135</c:v>
                </c:pt>
                <c:pt idx="86">
                  <c:v>-0.38138318061828613</c:v>
                </c:pt>
                <c:pt idx="87">
                  <c:v>-1.1482337713241577</c:v>
                </c:pt>
                <c:pt idx="88">
                  <c:v>1.3230555057525635</c:v>
                </c:pt>
                <c:pt idx="89">
                  <c:v>-0.53038221597671509</c:v>
                </c:pt>
                <c:pt idx="90">
                  <c:v>0.23629789054393768</c:v>
                </c:pt>
                <c:pt idx="91">
                  <c:v>-0.98484683036804199</c:v>
                </c:pt>
                <c:pt idx="92">
                  <c:v>0.1423010528087616</c:v>
                </c:pt>
                <c:pt idx="93">
                  <c:v>-0.91044151782989502</c:v>
                </c:pt>
                <c:pt idx="94">
                  <c:v>6.4782619476318359E-2</c:v>
                </c:pt>
                <c:pt idx="95">
                  <c:v>0.57266116142272949</c:v>
                </c:pt>
                <c:pt idx="96">
                  <c:v>-1.69492506980896</c:v>
                </c:pt>
                <c:pt idx="97">
                  <c:v>0.32635414600372314</c:v>
                </c:pt>
                <c:pt idx="98">
                  <c:v>-0.46151947975158691</c:v>
                </c:pt>
                <c:pt idx="99">
                  <c:v>-1.8096121549606323</c:v>
                </c:pt>
                <c:pt idx="100">
                  <c:v>1.41255784034729</c:v>
                </c:pt>
                <c:pt idx="101">
                  <c:v>0.92245030403137207</c:v>
                </c:pt>
                <c:pt idx="102">
                  <c:v>1.3321306705474854</c:v>
                </c:pt>
                <c:pt idx="103">
                  <c:v>0.76996207237243652</c:v>
                </c:pt>
                <c:pt idx="104">
                  <c:v>-0.37378472089767456</c:v>
                </c:pt>
                <c:pt idx="105">
                  <c:v>-0.71434897184371948</c:v>
                </c:pt>
                <c:pt idx="106">
                  <c:v>-0.22415845096111298</c:v>
                </c:pt>
                <c:pt idx="107">
                  <c:v>5.1782149821519852E-2</c:v>
                </c:pt>
                <c:pt idx="108">
                  <c:v>0.14191819727420807</c:v>
                </c:pt>
                <c:pt idx="109">
                  <c:v>-1.6854244470596313</c:v>
                </c:pt>
                <c:pt idx="110">
                  <c:v>1.0066624879837036</c:v>
                </c:pt>
                <c:pt idx="111">
                  <c:v>1.0969746112823486</c:v>
                </c:pt>
                <c:pt idx="112">
                  <c:v>-1.0169016122817993</c:v>
                </c:pt>
                <c:pt idx="113">
                  <c:v>0.93599307537078857</c:v>
                </c:pt>
                <c:pt idx="114">
                  <c:v>-0.73759126663208008</c:v>
                </c:pt>
                <c:pt idx="115">
                  <c:v>1.1106219291687012</c:v>
                </c:pt>
                <c:pt idx="116">
                  <c:v>-3.3760715276002884E-2</c:v>
                </c:pt>
                <c:pt idx="117">
                  <c:v>1.0605484247207642</c:v>
                </c:pt>
                <c:pt idx="118">
                  <c:v>0.49927636981010437</c:v>
                </c:pt>
                <c:pt idx="119">
                  <c:v>0.4850037693977356</c:v>
                </c:pt>
                <c:pt idx="120">
                  <c:v>-0.49997618794441223</c:v>
                </c:pt>
                <c:pt idx="121">
                  <c:v>-0.27105963230133057</c:v>
                </c:pt>
                <c:pt idx="122">
                  <c:v>-1.1548423767089844</c:v>
                </c:pt>
                <c:pt idx="123">
                  <c:v>0.92943793535232544</c:v>
                </c:pt>
                <c:pt idx="124">
                  <c:v>1.0969746112823486</c:v>
                </c:pt>
                <c:pt idx="125">
                  <c:v>-1.1414562463760376</c:v>
                </c:pt>
                <c:pt idx="126">
                  <c:v>1.1170803308486938</c:v>
                </c:pt>
                <c:pt idx="127">
                  <c:v>1.4497004747390747</c:v>
                </c:pt>
                <c:pt idx="128">
                  <c:v>-0.24700011312961578</c:v>
                </c:pt>
                <c:pt idx="129">
                  <c:v>-1.2963707447052002</c:v>
                </c:pt>
                <c:pt idx="130">
                  <c:v>-2.0793542861938477</c:v>
                </c:pt>
                <c:pt idx="131">
                  <c:v>1.331531286239624</c:v>
                </c:pt>
                <c:pt idx="132">
                  <c:v>0.47659611701965332</c:v>
                </c:pt>
                <c:pt idx="133">
                  <c:v>-2.5947163105010986</c:v>
                </c:pt>
                <c:pt idx="134">
                  <c:v>1.0969746112823486</c:v>
                </c:pt>
                <c:pt idx="135">
                  <c:v>-0.13366411626338959</c:v>
                </c:pt>
                <c:pt idx="136">
                  <c:v>-0.52454143762588501</c:v>
                </c:pt>
                <c:pt idx="137">
                  <c:v>-0.67003297805786133</c:v>
                </c:pt>
                <c:pt idx="138">
                  <c:v>-0.77206969261169434</c:v>
                </c:pt>
                <c:pt idx="139">
                  <c:v>-1.0594942569732666</c:v>
                </c:pt>
                <c:pt idx="140">
                  <c:v>0.94758880138397217</c:v>
                </c:pt>
                <c:pt idx="141">
                  <c:v>0.74059635400772095</c:v>
                </c:pt>
                <c:pt idx="142">
                  <c:v>1.2175445556640625</c:v>
                </c:pt>
                <c:pt idx="143">
                  <c:v>0.15292498469352722</c:v>
                </c:pt>
                <c:pt idx="144">
                  <c:v>-0.75042343139648438</c:v>
                </c:pt>
                <c:pt idx="145">
                  <c:v>-8.4214046597480774E-2</c:v>
                </c:pt>
                <c:pt idx="146">
                  <c:v>0.97778099775314331</c:v>
                </c:pt>
                <c:pt idx="147">
                  <c:v>0.86909371614456177</c:v>
                </c:pt>
                <c:pt idx="148">
                  <c:v>0.91567397117614746</c:v>
                </c:pt>
                <c:pt idx="149">
                  <c:v>1.0088344812393188</c:v>
                </c:pt>
                <c:pt idx="150">
                  <c:v>1.0969746112823486</c:v>
                </c:pt>
                <c:pt idx="151">
                  <c:v>0.12203626334667206</c:v>
                </c:pt>
                <c:pt idx="152">
                  <c:v>-0.40861624479293823</c:v>
                </c:pt>
                <c:pt idx="153">
                  <c:v>-8.6355820298194885E-2</c:v>
                </c:pt>
                <c:pt idx="154">
                  <c:v>-9.5441080629825592E-2</c:v>
                </c:pt>
                <c:pt idx="155">
                  <c:v>0.86937069892883301</c:v>
                </c:pt>
                <c:pt idx="156">
                  <c:v>-0.15270420908927917</c:v>
                </c:pt>
                <c:pt idx="157">
                  <c:v>1.3338669538497925</c:v>
                </c:pt>
                <c:pt idx="158">
                  <c:v>1.0998666286468506</c:v>
                </c:pt>
                <c:pt idx="159">
                  <c:v>0.86564362049102783</c:v>
                </c:pt>
                <c:pt idx="160">
                  <c:v>0.37246048450469971</c:v>
                </c:pt>
                <c:pt idx="161">
                  <c:v>-2.7475802898406982</c:v>
                </c:pt>
                <c:pt idx="162">
                  <c:v>-5.7529490441083908E-2</c:v>
                </c:pt>
                <c:pt idx="163">
                  <c:v>-1.7586312294006348</c:v>
                </c:pt>
                <c:pt idx="164">
                  <c:v>1.458944845944643E-2</c:v>
                </c:pt>
                <c:pt idx="165">
                  <c:v>-0.60628557205200195</c:v>
                </c:pt>
                <c:pt idx="166">
                  <c:v>-2.2008566856384277</c:v>
                </c:pt>
                <c:pt idx="167">
                  <c:v>0.15845102071762085</c:v>
                </c:pt>
                <c:pt idx="168">
                  <c:v>-0.43649071455001831</c:v>
                </c:pt>
                <c:pt idx="169">
                  <c:v>1.1269506216049194</c:v>
                </c:pt>
                <c:pt idx="170">
                  <c:v>1.372633695602417</c:v>
                </c:pt>
                <c:pt idx="171">
                  <c:v>-2.6848721504211426</c:v>
                </c:pt>
                <c:pt idx="172">
                  <c:v>0.86388117074966431</c:v>
                </c:pt>
                <c:pt idx="173">
                  <c:v>-1.137189507484436</c:v>
                </c:pt>
                <c:pt idx="174">
                  <c:v>-0.15160705149173737</c:v>
                </c:pt>
                <c:pt idx="175">
                  <c:v>-1.3221422433853149</c:v>
                </c:pt>
                <c:pt idx="176">
                  <c:v>-0.38774457573890686</c:v>
                </c:pt>
                <c:pt idx="177">
                  <c:v>-0.42672345042228699</c:v>
                </c:pt>
                <c:pt idx="178">
                  <c:v>0.9691540002822876</c:v>
                </c:pt>
                <c:pt idx="179">
                  <c:v>0.10165556520223618</c:v>
                </c:pt>
                <c:pt idx="180">
                  <c:v>-0.9126894474029541</c:v>
                </c:pt>
                <c:pt idx="181">
                  <c:v>-1.1948162317276001</c:v>
                </c:pt>
                <c:pt idx="182">
                  <c:v>0.17487457394599915</c:v>
                </c:pt>
                <c:pt idx="183">
                  <c:v>1.3230555057525635</c:v>
                </c:pt>
                <c:pt idx="184">
                  <c:v>-0.8406258225440979</c:v>
                </c:pt>
                <c:pt idx="185">
                  <c:v>-0.75779855251312256</c:v>
                </c:pt>
                <c:pt idx="186">
                  <c:v>0.9181857705116272</c:v>
                </c:pt>
                <c:pt idx="187">
                  <c:v>0.48337709903717041</c:v>
                </c:pt>
                <c:pt idx="188">
                  <c:v>0.60816466808319092</c:v>
                </c:pt>
                <c:pt idx="189">
                  <c:v>0.80878651142120361</c:v>
                </c:pt>
                <c:pt idx="190">
                  <c:v>-0.54892224073410034</c:v>
                </c:pt>
                <c:pt idx="191">
                  <c:v>1.1897262334823608</c:v>
                </c:pt>
                <c:pt idx="192">
                  <c:v>-1.0772242546081543</c:v>
                </c:pt>
                <c:pt idx="193">
                  <c:v>0.22413204610347748</c:v>
                </c:pt>
                <c:pt idx="194">
                  <c:v>-1.9004571437835693</c:v>
                </c:pt>
                <c:pt idx="195">
                  <c:v>-2.3490240573883057</c:v>
                </c:pt>
                <c:pt idx="196">
                  <c:v>0.38940578699111938</c:v>
                </c:pt>
                <c:pt idx="197">
                  <c:v>-0.69024169445037842</c:v>
                </c:pt>
              </c:numCache>
            </c:numRef>
          </c:xVal>
          <c:yVal>
            <c:numRef>
              <c:f>ID4D!$IM$3:$IM$200</c:f>
              <c:numCache>
                <c:formatCode>0.00</c:formatCode>
                <c:ptCount val="198"/>
                <c:pt idx="0">
                  <c:v>64</c:v>
                </c:pt>
                <c:pt idx="1">
                  <c:v>72</c:v>
                </c:pt>
                <c:pt idx="2">
                  <c:v>56.000000000000007</c:v>
                </c:pt>
                <c:pt idx="3">
                  <c:v>32</c:v>
                </c:pt>
                <c:pt idx="4">
                  <c:v>72</c:v>
                </c:pt>
                <c:pt idx="5">
                  <c:v>24</c:v>
                </c:pt>
                <c:pt idx="6">
                  <c:v>80</c:v>
                </c:pt>
                <c:pt idx="7">
                  <c:v>76</c:v>
                </c:pt>
                <c:pt idx="8">
                  <c:v>56.000000000000007</c:v>
                </c:pt>
                <c:pt idx="9">
                  <c:v>72</c:v>
                </c:pt>
                <c:pt idx="10">
                  <c:v>76</c:v>
                </c:pt>
                <c:pt idx="11">
                  <c:v>56.000000000000007</c:v>
                </c:pt>
                <c:pt idx="12">
                  <c:v>60</c:v>
                </c:pt>
                <c:pt idx="13">
                  <c:v>68</c:v>
                </c:pt>
                <c:pt idx="14">
                  <c:v>60</c:v>
                </c:pt>
                <c:pt idx="15">
                  <c:v>40</c:v>
                </c:pt>
                <c:pt idx="16">
                  <c:v>88</c:v>
                </c:pt>
                <c:pt idx="17">
                  <c:v>36</c:v>
                </c:pt>
                <c:pt idx="18">
                  <c:v>40</c:v>
                </c:pt>
                <c:pt idx="19">
                  <c:v>48</c:v>
                </c:pt>
                <c:pt idx="20">
                  <c:v>52</c:v>
                </c:pt>
                <c:pt idx="21">
                  <c:v>80</c:v>
                </c:pt>
                <c:pt idx="22">
                  <c:v>56.000000000000007</c:v>
                </c:pt>
                <c:pt idx="23">
                  <c:v>80</c:v>
                </c:pt>
                <c:pt idx="24">
                  <c:v>60</c:v>
                </c:pt>
                <c:pt idx="25">
                  <c:v>72</c:v>
                </c:pt>
                <c:pt idx="26">
                  <c:v>44</c:v>
                </c:pt>
                <c:pt idx="27">
                  <c:v>56.000000000000007</c:v>
                </c:pt>
                <c:pt idx="28">
                  <c:v>52</c:v>
                </c:pt>
                <c:pt idx="29">
                  <c:v>60</c:v>
                </c:pt>
                <c:pt idx="30">
                  <c:v>52</c:v>
                </c:pt>
                <c:pt idx="31">
                  <c:v>44</c:v>
                </c:pt>
                <c:pt idx="32">
                  <c:v>36</c:v>
                </c:pt>
                <c:pt idx="33">
                  <c:v>40</c:v>
                </c:pt>
                <c:pt idx="34">
                  <c:v>96</c:v>
                </c:pt>
                <c:pt idx="35">
                  <c:v>72</c:v>
                </c:pt>
                <c:pt idx="36">
                  <c:v>76</c:v>
                </c:pt>
                <c:pt idx="37">
                  <c:v>40</c:v>
                </c:pt>
                <c:pt idx="38">
                  <c:v>52</c:v>
                </c:pt>
                <c:pt idx="39">
                  <c:v>52</c:v>
                </c:pt>
                <c:pt idx="40">
                  <c:v>72</c:v>
                </c:pt>
                <c:pt idx="41">
                  <c:v>68</c:v>
                </c:pt>
                <c:pt idx="42">
                  <c:v>84</c:v>
                </c:pt>
                <c:pt idx="43">
                  <c:v>48</c:v>
                </c:pt>
                <c:pt idx="44">
                  <c:v>56.000000000000007</c:v>
                </c:pt>
                <c:pt idx="45">
                  <c:v>84</c:v>
                </c:pt>
                <c:pt idx="46">
                  <c:v>48</c:v>
                </c:pt>
                <c:pt idx="47">
                  <c:v>48</c:v>
                </c:pt>
                <c:pt idx="48">
                  <c:v>56.000000000000007</c:v>
                </c:pt>
                <c:pt idx="49">
                  <c:v>68</c:v>
                </c:pt>
                <c:pt idx="50">
                  <c:v>60</c:v>
                </c:pt>
                <c:pt idx="51">
                  <c:v>56.000000000000007</c:v>
                </c:pt>
                <c:pt idx="52">
                  <c:v>56.000000000000007</c:v>
                </c:pt>
                <c:pt idx="53">
                  <c:v>24</c:v>
                </c:pt>
                <c:pt idx="54">
                  <c:v>36</c:v>
                </c:pt>
                <c:pt idx="55">
                  <c:v>80</c:v>
                </c:pt>
                <c:pt idx="56">
                  <c:v>40</c:v>
                </c:pt>
                <c:pt idx="57">
                  <c:v>64</c:v>
                </c:pt>
                <c:pt idx="58">
                  <c:v>80</c:v>
                </c:pt>
                <c:pt idx="59">
                  <c:v>80</c:v>
                </c:pt>
                <c:pt idx="60">
                  <c:v>60</c:v>
                </c:pt>
                <c:pt idx="61">
                  <c:v>60</c:v>
                </c:pt>
                <c:pt idx="62">
                  <c:v>84</c:v>
                </c:pt>
                <c:pt idx="63">
                  <c:v>88</c:v>
                </c:pt>
                <c:pt idx="64">
                  <c:v>76</c:v>
                </c:pt>
                <c:pt idx="65">
                  <c:v>52</c:v>
                </c:pt>
                <c:pt idx="66">
                  <c:v>56.000000000000007</c:v>
                </c:pt>
                <c:pt idx="67">
                  <c:v>60</c:v>
                </c:pt>
                <c:pt idx="68">
                  <c:v>60</c:v>
                </c:pt>
                <c:pt idx="69">
                  <c:v>48</c:v>
                </c:pt>
                <c:pt idx="70">
                  <c:v>36</c:v>
                </c:pt>
                <c:pt idx="71">
                  <c:v>52</c:v>
                </c:pt>
                <c:pt idx="72">
                  <c:v>60</c:v>
                </c:pt>
                <c:pt idx="73">
                  <c:v>84</c:v>
                </c:pt>
                <c:pt idx="74">
                  <c:v>72</c:v>
                </c:pt>
                <c:pt idx="75">
                  <c:v>52</c:v>
                </c:pt>
                <c:pt idx="76">
                  <c:v>88</c:v>
                </c:pt>
                <c:pt idx="77">
                  <c:v>60</c:v>
                </c:pt>
                <c:pt idx="78">
                  <c:v>52</c:v>
                </c:pt>
                <c:pt idx="79">
                  <c:v>60</c:v>
                </c:pt>
                <c:pt idx="80">
                  <c:v>44</c:v>
                </c:pt>
                <c:pt idx="81">
                  <c:v>72</c:v>
                </c:pt>
                <c:pt idx="82">
                  <c:v>76</c:v>
                </c:pt>
                <c:pt idx="83">
                  <c:v>64</c:v>
                </c:pt>
                <c:pt idx="84">
                  <c:v>76</c:v>
                </c:pt>
                <c:pt idx="85">
                  <c:v>60</c:v>
                </c:pt>
                <c:pt idx="86">
                  <c:v>68</c:v>
                </c:pt>
                <c:pt idx="87">
                  <c:v>64</c:v>
                </c:pt>
                <c:pt idx="88">
                  <c:v>40</c:v>
                </c:pt>
                <c:pt idx="89">
                  <c:v>48</c:v>
                </c:pt>
                <c:pt idx="90">
                  <c:v>84</c:v>
                </c:pt>
                <c:pt idx="91">
                  <c:v>72</c:v>
                </c:pt>
                <c:pt idx="92">
                  <c:v>60</c:v>
                </c:pt>
                <c:pt idx="93">
                  <c:v>72</c:v>
                </c:pt>
                <c:pt idx="94">
                  <c:v>28.000000000000004</c:v>
                </c:pt>
                <c:pt idx="95">
                  <c:v>80</c:v>
                </c:pt>
                <c:pt idx="96">
                  <c:v>48</c:v>
                </c:pt>
                <c:pt idx="97">
                  <c:v>52</c:v>
                </c:pt>
                <c:pt idx="98">
                  <c:v>44</c:v>
                </c:pt>
                <c:pt idx="99">
                  <c:v>32</c:v>
                </c:pt>
                <c:pt idx="100">
                  <c:v>72</c:v>
                </c:pt>
                <c:pt idx="101">
                  <c:v>72</c:v>
                </c:pt>
                <c:pt idx="102">
                  <c:v>80</c:v>
                </c:pt>
                <c:pt idx="103">
                  <c:v>72</c:v>
                </c:pt>
                <c:pt idx="104">
                  <c:v>72</c:v>
                </c:pt>
                <c:pt idx="105">
                  <c:v>48</c:v>
                </c:pt>
                <c:pt idx="106">
                  <c:v>44</c:v>
                </c:pt>
                <c:pt idx="107">
                  <c:v>84</c:v>
                </c:pt>
                <c:pt idx="108">
                  <c:v>40</c:v>
                </c:pt>
                <c:pt idx="109">
                  <c:v>52</c:v>
                </c:pt>
                <c:pt idx="110">
                  <c:v>80</c:v>
                </c:pt>
                <c:pt idx="111">
                  <c:v>32</c:v>
                </c:pt>
                <c:pt idx="112">
                  <c:v>56.000000000000007</c:v>
                </c:pt>
                <c:pt idx="113">
                  <c:v>76</c:v>
                </c:pt>
                <c:pt idx="114">
                  <c:v>68</c:v>
                </c:pt>
                <c:pt idx="115">
                  <c:v>16</c:v>
                </c:pt>
                <c:pt idx="116">
                  <c:v>88</c:v>
                </c:pt>
                <c:pt idx="117">
                  <c:v>84</c:v>
                </c:pt>
                <c:pt idx="118">
                  <c:v>56.000000000000007</c:v>
                </c:pt>
                <c:pt idx="119">
                  <c:v>72</c:v>
                </c:pt>
                <c:pt idx="120">
                  <c:v>72</c:v>
                </c:pt>
                <c:pt idx="121">
                  <c:v>56.000000000000007</c:v>
                </c:pt>
                <c:pt idx="122">
                  <c:v>44</c:v>
                </c:pt>
                <c:pt idx="123">
                  <c:v>44</c:v>
                </c:pt>
                <c:pt idx="124">
                  <c:v>12</c:v>
                </c:pt>
                <c:pt idx="125">
                  <c:v>80</c:v>
                </c:pt>
                <c:pt idx="126">
                  <c:v>84</c:v>
                </c:pt>
                <c:pt idx="127">
                  <c:v>56.000000000000007</c:v>
                </c:pt>
                <c:pt idx="128">
                  <c:v>68</c:v>
                </c:pt>
                <c:pt idx="129">
                  <c:v>44</c:v>
                </c:pt>
                <c:pt idx="130">
                  <c:v>80</c:v>
                </c:pt>
                <c:pt idx="131">
                  <c:v>88</c:v>
                </c:pt>
                <c:pt idx="132">
                  <c:v>76</c:v>
                </c:pt>
                <c:pt idx="133">
                  <c:v>76</c:v>
                </c:pt>
                <c:pt idx="134">
                  <c:v>24</c:v>
                </c:pt>
                <c:pt idx="135">
                  <c:v>64</c:v>
                </c:pt>
                <c:pt idx="136">
                  <c:v>44</c:v>
                </c:pt>
                <c:pt idx="137">
                  <c:v>60</c:v>
                </c:pt>
                <c:pt idx="138">
                  <c:v>64</c:v>
                </c:pt>
                <c:pt idx="139">
                  <c:v>56.000000000000007</c:v>
                </c:pt>
                <c:pt idx="140">
                  <c:v>68</c:v>
                </c:pt>
                <c:pt idx="141">
                  <c:v>80</c:v>
                </c:pt>
                <c:pt idx="142">
                  <c:v>80</c:v>
                </c:pt>
                <c:pt idx="143">
                  <c:v>88</c:v>
                </c:pt>
                <c:pt idx="144">
                  <c:v>76</c:v>
                </c:pt>
                <c:pt idx="145">
                  <c:v>56.000000000000007</c:v>
                </c:pt>
                <c:pt idx="146">
                  <c:v>40</c:v>
                </c:pt>
                <c:pt idx="147">
                  <c:v>60</c:v>
                </c:pt>
                <c:pt idx="148">
                  <c:v>56.000000000000007</c:v>
                </c:pt>
                <c:pt idx="149">
                  <c:v>20</c:v>
                </c:pt>
                <c:pt idx="150">
                  <c:v>84</c:v>
                </c:pt>
                <c:pt idx="151">
                  <c:v>12</c:v>
                </c:pt>
                <c:pt idx="152">
                  <c:v>72</c:v>
                </c:pt>
                <c:pt idx="153">
                  <c:v>68</c:v>
                </c:pt>
                <c:pt idx="154">
                  <c:v>80</c:v>
                </c:pt>
                <c:pt idx="155">
                  <c:v>68</c:v>
                </c:pt>
                <c:pt idx="156">
                  <c:v>72</c:v>
                </c:pt>
                <c:pt idx="157">
                  <c:v>84</c:v>
                </c:pt>
                <c:pt idx="158">
                  <c:v>76</c:v>
                </c:pt>
                <c:pt idx="159">
                  <c:v>88</c:v>
                </c:pt>
                <c:pt idx="160">
                  <c:v>16</c:v>
                </c:pt>
                <c:pt idx="161">
                  <c:v>48</c:v>
                </c:pt>
                <c:pt idx="162">
                  <c:v>72</c:v>
                </c:pt>
                <c:pt idx="163">
                  <c:v>56.000000000000007</c:v>
                </c:pt>
                <c:pt idx="164">
                  <c:v>76</c:v>
                </c:pt>
                <c:pt idx="165">
                  <c:v>60</c:v>
                </c:pt>
                <c:pt idx="166">
                  <c:v>60</c:v>
                </c:pt>
                <c:pt idx="167">
                  <c:v>44</c:v>
                </c:pt>
                <c:pt idx="168">
                  <c:v>28.000000000000004</c:v>
                </c:pt>
                <c:pt idx="169">
                  <c:v>88</c:v>
                </c:pt>
                <c:pt idx="170">
                  <c:v>76</c:v>
                </c:pt>
                <c:pt idx="171">
                  <c:v>28.000000000000004</c:v>
                </c:pt>
                <c:pt idx="172">
                  <c:v>60</c:v>
                </c:pt>
                <c:pt idx="173">
                  <c:v>52</c:v>
                </c:pt>
                <c:pt idx="174">
                  <c:v>52</c:v>
                </c:pt>
                <c:pt idx="175">
                  <c:v>72</c:v>
                </c:pt>
                <c:pt idx="176">
                  <c:v>48</c:v>
                </c:pt>
                <c:pt idx="177">
                  <c:v>36</c:v>
                </c:pt>
                <c:pt idx="178">
                  <c:v>32</c:v>
                </c:pt>
                <c:pt idx="179">
                  <c:v>76</c:v>
                </c:pt>
                <c:pt idx="180">
                  <c:v>64</c:v>
                </c:pt>
                <c:pt idx="181">
                  <c:v>88</c:v>
                </c:pt>
                <c:pt idx="182">
                  <c:v>20</c:v>
                </c:pt>
                <c:pt idx="183">
                  <c:v>8</c:v>
                </c:pt>
                <c:pt idx="184">
                  <c:v>64</c:v>
                </c:pt>
                <c:pt idx="185">
                  <c:v>68</c:v>
                </c:pt>
                <c:pt idx="186">
                  <c:v>84</c:v>
                </c:pt>
                <c:pt idx="187">
                  <c:v>56.000000000000007</c:v>
                </c:pt>
                <c:pt idx="188">
                  <c:v>64</c:v>
                </c:pt>
                <c:pt idx="189">
                  <c:v>96</c:v>
                </c:pt>
                <c:pt idx="190">
                  <c:v>72</c:v>
                </c:pt>
                <c:pt idx="191">
                  <c:v>28.000000000000004</c:v>
                </c:pt>
                <c:pt idx="192">
                  <c:v>60</c:v>
                </c:pt>
                <c:pt idx="193">
                  <c:v>68</c:v>
                </c:pt>
                <c:pt idx="194">
                  <c:v>28.000000000000004</c:v>
                </c:pt>
                <c:pt idx="195">
                  <c:v>60</c:v>
                </c:pt>
                <c:pt idx="196">
                  <c:v>52</c:v>
                </c:pt>
                <c:pt idx="197">
                  <c:v>52</c:v>
                </c:pt>
              </c:numCache>
            </c:numRef>
          </c:yVal>
          <c:smooth val="0"/>
        </c:ser>
        <c:dLbls>
          <c:showLegendKey val="0"/>
          <c:showVal val="0"/>
          <c:showCatName val="0"/>
          <c:showSerName val="0"/>
          <c:showPercent val="0"/>
          <c:showBubbleSize val="0"/>
        </c:dLbls>
        <c:axId val="428221344"/>
        <c:axId val="428221736"/>
      </c:scatterChart>
      <c:valAx>
        <c:axId val="428221344"/>
        <c:scaling>
          <c:orientation val="minMax"/>
          <c:max val="3"/>
          <c:min val="-3"/>
        </c:scaling>
        <c:delete val="0"/>
        <c:axPos val="b"/>
        <c:numFmt formatCode="0.00" sourceLinked="1"/>
        <c:majorTickMark val="out"/>
        <c:minorTickMark val="none"/>
        <c:tickLblPos val="nextTo"/>
        <c:spPr>
          <a:ln>
            <a:solidFill>
              <a:srgbClr val="0000CC"/>
            </a:solidFill>
          </a:ln>
        </c:spPr>
        <c:crossAx val="428221736"/>
        <c:crosses val="autoZero"/>
        <c:crossBetween val="midCat"/>
      </c:valAx>
      <c:valAx>
        <c:axId val="428221736"/>
        <c:scaling>
          <c:orientation val="minMax"/>
          <c:max val="100"/>
        </c:scaling>
        <c:delete val="0"/>
        <c:axPos val="l"/>
        <c:majorGridlines>
          <c:spPr>
            <a:ln>
              <a:solidFill>
                <a:schemeClr val="bg1">
                  <a:lumMod val="75000"/>
                </a:schemeClr>
              </a:solidFill>
            </a:ln>
          </c:spPr>
        </c:majorGridlines>
        <c:title>
          <c:tx>
            <c:rich>
              <a:bodyPr rot="-5400000" vert="horz"/>
              <a:lstStyle/>
              <a:p>
                <a:pPr>
                  <a:defRPr b="0">
                    <a:solidFill>
                      <a:srgbClr val="0000CC"/>
                    </a:solidFill>
                  </a:defRPr>
                </a:pPr>
                <a:r>
                  <a:rPr lang="en-US" b="0">
                    <a:solidFill>
                      <a:srgbClr val="0000CC"/>
                    </a:solidFill>
                  </a:rPr>
                  <a:t>ID4D</a:t>
                </a:r>
                <a:r>
                  <a:rPr lang="en-US" b="0" baseline="0">
                    <a:solidFill>
                      <a:srgbClr val="0000CC"/>
                    </a:solidFill>
                  </a:rPr>
                  <a:t> Score</a:t>
                </a:r>
                <a:endParaRPr lang="en-US" b="0">
                  <a:solidFill>
                    <a:srgbClr val="0000CC"/>
                  </a:solidFill>
                </a:endParaRPr>
              </a:p>
            </c:rich>
          </c:tx>
          <c:layout>
            <c:manualLayout>
              <c:xMode val="edge"/>
              <c:yMode val="edge"/>
              <c:x val="2.670940170940171E-3"/>
              <c:y val="0.35267388451443576"/>
            </c:manualLayout>
          </c:layout>
          <c:overlay val="0"/>
        </c:title>
        <c:numFmt formatCode="#,##0" sourceLinked="0"/>
        <c:majorTickMark val="out"/>
        <c:minorTickMark val="none"/>
        <c:tickLblPos val="low"/>
        <c:crossAx val="428221344"/>
        <c:crosses val="autoZero"/>
        <c:crossBetween val="midCat"/>
      </c:valAx>
      <c:spPr>
        <a:ln>
          <a:solidFill>
            <a:srgbClr val="0000CC"/>
          </a:solidFill>
        </a:ln>
      </c:spPr>
    </c:plotArea>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rgbClr val="0000CC"/>
                </a:solidFill>
              </a:defRPr>
            </a:pPr>
            <a:r>
              <a:rPr lang="en-US" sz="1200">
                <a:solidFill>
                  <a:srgbClr val="0000CC"/>
                </a:solidFill>
              </a:rPr>
              <a:t>WGI: Government Effectiveness </a:t>
            </a:r>
            <a:r>
              <a:rPr lang="en-US" sz="1200" baseline="0">
                <a:solidFill>
                  <a:srgbClr val="0000CC"/>
                </a:solidFill>
              </a:rPr>
              <a:t>vs.</a:t>
            </a:r>
            <a:r>
              <a:rPr lang="en-US" sz="1200">
                <a:solidFill>
                  <a:srgbClr val="0000CC"/>
                </a:solidFill>
              </a:rPr>
              <a:t> ID4D</a:t>
            </a:r>
          </a:p>
        </c:rich>
      </c:tx>
      <c:layout>
        <c:manualLayout>
          <c:xMode val="edge"/>
          <c:yMode val="edge"/>
          <c:x val="0.20727147688269734"/>
          <c:y val="0"/>
        </c:manualLayout>
      </c:layout>
      <c:overlay val="0"/>
    </c:title>
    <c:autoTitleDeleted val="0"/>
    <c:plotArea>
      <c:layout>
        <c:manualLayout>
          <c:layoutTarget val="inner"/>
          <c:xMode val="edge"/>
          <c:yMode val="edge"/>
          <c:x val="9.4031395114072269E-2"/>
          <c:y val="0.10394013248343957"/>
          <c:w val="0.8662584544720372"/>
          <c:h val="0.79659730033745779"/>
        </c:manualLayout>
      </c:layout>
      <c:scatterChart>
        <c:scatterStyle val="lineMarker"/>
        <c:varyColors val="0"/>
        <c:ser>
          <c:idx val="0"/>
          <c:order val="0"/>
          <c:tx>
            <c:v>GE and ID4D</c:v>
          </c:tx>
          <c:spPr>
            <a:ln w="28575">
              <a:noFill/>
            </a:ln>
          </c:spPr>
          <c:marker>
            <c:symbol val="diamond"/>
            <c:size val="7"/>
            <c:spPr>
              <a:noFill/>
              <a:ln>
                <a:solidFill>
                  <a:srgbClr val="0000CC"/>
                </a:solidFill>
              </a:ln>
            </c:spPr>
          </c:marker>
          <c:trendline>
            <c:trendlineType val="log"/>
            <c:dispRSqr val="0"/>
            <c:dispEq val="0"/>
          </c:trendline>
          <c:trendline>
            <c:trendlineType val="power"/>
            <c:dispRSqr val="0"/>
            <c:dispEq val="0"/>
          </c:trendline>
          <c:trendline>
            <c:trendlineType val="log"/>
            <c:dispRSqr val="0"/>
            <c:dispEq val="0"/>
          </c:trendline>
          <c:trendline>
            <c:trendlineType val="power"/>
            <c:dispRSqr val="0"/>
            <c:dispEq val="0"/>
          </c:trendline>
          <c:trendline>
            <c:trendlineType val="linear"/>
            <c:dispRSqr val="0"/>
            <c:dispEq val="0"/>
          </c:trendline>
          <c:xVal>
            <c:numRef>
              <c:f>ID4D!$GV$3:$GV$200</c:f>
              <c:numCache>
                <c:formatCode>0.00</c:formatCode>
                <c:ptCount val="198"/>
                <c:pt idx="0">
                  <c:v>-1.4288873672485352</c:v>
                </c:pt>
                <c:pt idx="1">
                  <c:v>-0.33354252576828003</c:v>
                </c:pt>
                <c:pt idx="2">
                  <c:v>-0.6012689471244812</c:v>
                </c:pt>
                <c:pt idx="3">
                  <c:v>1.5271795988082886</c:v>
                </c:pt>
                <c:pt idx="4">
                  <c:v>-1.2555354833602905</c:v>
                </c:pt>
                <c:pt idx="5">
                  <c:v>0.48129847645759583</c:v>
                </c:pt>
                <c:pt idx="6">
                  <c:v>-0.29012247920036316</c:v>
                </c:pt>
                <c:pt idx="7">
                  <c:v>6.5453171730041504E-2</c:v>
                </c:pt>
                <c:pt idx="8">
                  <c:v>1.6246250867843628</c:v>
                </c:pt>
                <c:pt idx="9">
                  <c:v>1.5663824081420898</c:v>
                </c:pt>
                <c:pt idx="10">
                  <c:v>-0.45513376593589783</c:v>
                </c:pt>
                <c:pt idx="11">
                  <c:v>0.86234778165817261</c:v>
                </c:pt>
                <c:pt idx="12">
                  <c:v>0.58405262231826782</c:v>
                </c:pt>
                <c:pt idx="13">
                  <c:v>-0.81985312700271606</c:v>
                </c:pt>
                <c:pt idx="14">
                  <c:v>1.3450701236724854</c:v>
                </c:pt>
                <c:pt idx="15">
                  <c:v>-0.94329619407653809</c:v>
                </c:pt>
                <c:pt idx="16">
                  <c:v>1.590151309967041</c:v>
                </c:pt>
                <c:pt idx="17">
                  <c:v>-0.18518771231174469</c:v>
                </c:pt>
                <c:pt idx="18">
                  <c:v>-0.55364251136779785</c:v>
                </c:pt>
                <c:pt idx="19">
                  <c:v>0.35873487591743469</c:v>
                </c:pt>
                <c:pt idx="20">
                  <c:v>-0.39799454808235168</c:v>
                </c:pt>
                <c:pt idx="21">
                  <c:v>-0.45276486873626709</c:v>
                </c:pt>
                <c:pt idx="22">
                  <c:v>0.27771461009979248</c:v>
                </c:pt>
                <c:pt idx="23">
                  <c:v>-7.9037651419639587E-2</c:v>
                </c:pt>
                <c:pt idx="24">
                  <c:v>0.85853230953216553</c:v>
                </c:pt>
                <c:pt idx="25">
                  <c:v>0.15302065014839172</c:v>
                </c:pt>
                <c:pt idx="26">
                  <c:v>-0.61724656820297241</c:v>
                </c:pt>
                <c:pt idx="27">
                  <c:v>-1.0748013257980347</c:v>
                </c:pt>
                <c:pt idx="28">
                  <c:v>-0.92247426509857178</c:v>
                </c:pt>
                <c:pt idx="29">
                  <c:v>-0.86477208137512207</c:v>
                </c:pt>
                <c:pt idx="30">
                  <c:v>1.7713449001312256</c:v>
                </c:pt>
                <c:pt idx="31">
                  <c:v>0.12438298761844635</c:v>
                </c:pt>
                <c:pt idx="32">
                  <c:v>-1.7808928489685059</c:v>
                </c:pt>
                <c:pt idx="33">
                  <c:v>-1.4959820508956909</c:v>
                </c:pt>
                <c:pt idx="34">
                  <c:v>1.245018482208252</c:v>
                </c:pt>
                <c:pt idx="35">
                  <c:v>-2.9264414682984352E-2</c:v>
                </c:pt>
                <c:pt idx="36">
                  <c:v>4.2561005800962448E-2</c:v>
                </c:pt>
                <c:pt idx="37">
                  <c:v>-1.435276985168457</c:v>
                </c:pt>
                <c:pt idx="38">
                  <c:v>-1.2225868701934814</c:v>
                </c:pt>
                <c:pt idx="39">
                  <c:v>-1.5920511484146118</c:v>
                </c:pt>
                <c:pt idx="40">
                  <c:v>0.47016170620918274</c:v>
                </c:pt>
                <c:pt idx="41">
                  <c:v>-1.0361135005950928</c:v>
                </c:pt>
                <c:pt idx="42">
                  <c:v>0.68913173675537109</c:v>
                </c:pt>
                <c:pt idx="43">
                  <c:v>-0.44012627005577087</c:v>
                </c:pt>
                <c:pt idx="44">
                  <c:v>1.3510664701461792</c:v>
                </c:pt>
                <c:pt idx="45">
                  <c:v>0.87627589702606201</c:v>
                </c:pt>
                <c:pt idx="46">
                  <c:v>1.9710785150527954</c:v>
                </c:pt>
                <c:pt idx="47">
                  <c:v>-1.1845608949661255</c:v>
                </c:pt>
                <c:pt idx="48">
                  <c:v>0.71161550283432007</c:v>
                </c:pt>
                <c:pt idx="49">
                  <c:v>-0.49194324016571045</c:v>
                </c:pt>
                <c:pt idx="50">
                  <c:v>-0.48626500368118286</c:v>
                </c:pt>
                <c:pt idx="51">
                  <c:v>-0.89306080341339111</c:v>
                </c:pt>
                <c:pt idx="52">
                  <c:v>-0.13082781434059143</c:v>
                </c:pt>
                <c:pt idx="53">
                  <c:v>-1.5913176536560059</c:v>
                </c:pt>
                <c:pt idx="54">
                  <c:v>-1.5433948040008545</c:v>
                </c:pt>
                <c:pt idx="55">
                  <c:v>0.9840056300163269</c:v>
                </c:pt>
                <c:pt idx="56">
                  <c:v>-0.51946473121643066</c:v>
                </c:pt>
                <c:pt idx="57">
                  <c:v>-0.95745861530303955</c:v>
                </c:pt>
                <c:pt idx="58">
                  <c:v>2.1680662631988525</c:v>
                </c:pt>
                <c:pt idx="59">
                  <c:v>1.4695528745651245</c:v>
                </c:pt>
                <c:pt idx="60">
                  <c:v>-0.76872265338897705</c:v>
                </c:pt>
                <c:pt idx="61">
                  <c:v>-0.71818774938583374</c:v>
                </c:pt>
                <c:pt idx="62">
                  <c:v>0.53251934051513672</c:v>
                </c:pt>
                <c:pt idx="63">
                  <c:v>1.5184236764907837</c:v>
                </c:pt>
                <c:pt idx="64">
                  <c:v>-8.6076162755489349E-2</c:v>
                </c:pt>
                <c:pt idx="65">
                  <c:v>0.44898754358291626</c:v>
                </c:pt>
                <c:pt idx="66">
                  <c:v>0.26945886015892029</c:v>
                </c:pt>
                <c:pt idx="67">
                  <c:v>-0.71231389045715332</c:v>
                </c:pt>
                <c:pt idx="68">
                  <c:v>-1.3200429677963257</c:v>
                </c:pt>
                <c:pt idx="69">
                  <c:v>-1.4385969638824463</c:v>
                </c:pt>
                <c:pt idx="70">
                  <c:v>-0.16344861686229706</c:v>
                </c:pt>
                <c:pt idx="71">
                  <c:v>-1.5304287672042847</c:v>
                </c:pt>
                <c:pt idx="72">
                  <c:v>-0.74367678165435791</c:v>
                </c:pt>
                <c:pt idx="73">
                  <c:v>1.7334518432617187</c:v>
                </c:pt>
                <c:pt idx="74">
                  <c:v>0.64429080486297607</c:v>
                </c:pt>
                <c:pt idx="75">
                  <c:v>1.4831475019454956</c:v>
                </c:pt>
                <c:pt idx="76">
                  <c:v>-0.18987399339675903</c:v>
                </c:pt>
                <c:pt idx="77">
                  <c:v>-0.23797361552715302</c:v>
                </c:pt>
                <c:pt idx="78">
                  <c:v>-0.69653671979904175</c:v>
                </c:pt>
                <c:pt idx="79">
                  <c:v>-1.07856285572052</c:v>
                </c:pt>
                <c:pt idx="80">
                  <c:v>1.4648195505142212</c:v>
                </c:pt>
                <c:pt idx="81">
                  <c:v>1.2173752784729004</c:v>
                </c:pt>
                <c:pt idx="82">
                  <c:v>0.45150807499885559</c:v>
                </c:pt>
                <c:pt idx="83">
                  <c:v>-1.6090983524918556E-2</c:v>
                </c:pt>
                <c:pt idx="84">
                  <c:v>1.5949901342391968</c:v>
                </c:pt>
                <c:pt idx="85">
                  <c:v>-0.11210222542285919</c:v>
                </c:pt>
                <c:pt idx="86">
                  <c:v>-0.5370221734046936</c:v>
                </c:pt>
                <c:pt idx="87">
                  <c:v>-0.48642918467521667</c:v>
                </c:pt>
                <c:pt idx="88">
                  <c:v>-0.84968149662017822</c:v>
                </c:pt>
                <c:pt idx="89">
                  <c:v>-1.9275548458099365</c:v>
                </c:pt>
                <c:pt idx="90">
                  <c:v>1.1218830347061157</c:v>
                </c:pt>
                <c:pt idx="91">
                  <c:v>-0.41381102800369263</c:v>
                </c:pt>
                <c:pt idx="92">
                  <c:v>-7.3176421225070953E-2</c:v>
                </c:pt>
                <c:pt idx="93">
                  <c:v>-0.69312542676925659</c:v>
                </c:pt>
                <c:pt idx="94">
                  <c:v>-0.75852054357528687</c:v>
                </c:pt>
                <c:pt idx="95">
                  <c:v>0.88197612762451172</c:v>
                </c:pt>
                <c:pt idx="96">
                  <c:v>-0.39132723212242126</c:v>
                </c:pt>
                <c:pt idx="97">
                  <c:v>-0.38184216618537903</c:v>
                </c:pt>
                <c:pt idx="98">
                  <c:v>-1.3334478139877319</c:v>
                </c:pt>
                <c:pt idx="99">
                  <c:v>-1.4977035522460937</c:v>
                </c:pt>
                <c:pt idx="100">
                  <c:v>1.7328453063964844</c:v>
                </c:pt>
                <c:pt idx="101">
                  <c:v>0.82435619831085205</c:v>
                </c:pt>
                <c:pt idx="102">
                  <c:v>1.6155534982681274</c:v>
                </c:pt>
                <c:pt idx="103">
                  <c:v>1.0396131277084351</c:v>
                </c:pt>
                <c:pt idx="104">
                  <c:v>-6.1508603394031525E-2</c:v>
                </c:pt>
                <c:pt idx="105">
                  <c:v>-1.1237829923629761</c:v>
                </c:pt>
                <c:pt idx="106">
                  <c:v>-0.56065845489501953</c:v>
                </c:pt>
                <c:pt idx="107">
                  <c:v>1.1003822088241577</c:v>
                </c:pt>
                <c:pt idx="108">
                  <c:v>-0.28050580620765686</c:v>
                </c:pt>
                <c:pt idx="109">
                  <c:v>-0.83902931213378906</c:v>
                </c:pt>
                <c:pt idx="110">
                  <c:v>1.2482212781906128</c:v>
                </c:pt>
                <c:pt idx="111">
                  <c:v>-1.5806890726089478</c:v>
                </c:pt>
                <c:pt idx="112">
                  <c:v>-0.90269047021865845</c:v>
                </c:pt>
                <c:pt idx="113">
                  <c:v>0.87730324268341064</c:v>
                </c:pt>
                <c:pt idx="114">
                  <c:v>0.30737176537513733</c:v>
                </c:pt>
                <c:pt idx="115">
                  <c:v>-0.55926614999771118</c:v>
                </c:pt>
                <c:pt idx="116">
                  <c:v>-0.39882823824882507</c:v>
                </c:pt>
                <c:pt idx="117">
                  <c:v>#N/A</c:v>
                </c:pt>
                <c:pt idx="118">
                  <c:v>-0.54106253385543823</c:v>
                </c:pt>
                <c:pt idx="119">
                  <c:v>0.15703344345092773</c:v>
                </c:pt>
                <c:pt idx="120">
                  <c:v>-7.3494531214237213E-2</c:v>
                </c:pt>
                <c:pt idx="121">
                  <c:v>-0.6487811803817749</c:v>
                </c:pt>
                <c:pt idx="122">
                  <c:v>-1.5096619129180908</c:v>
                </c:pt>
                <c:pt idx="123">
                  <c:v>0.19342300295829773</c:v>
                </c:pt>
                <c:pt idx="124">
                  <c:v>-0.58807927370071411</c:v>
                </c:pt>
                <c:pt idx="125">
                  <c:v>-0.92736291885375977</c:v>
                </c:pt>
                <c:pt idx="126">
                  <c:v>1.7673083543777466</c:v>
                </c:pt>
                <c:pt idx="127">
                  <c:v>1.7459114789962769</c:v>
                </c:pt>
                <c:pt idx="128">
                  <c:v>-0.81650745868682861</c:v>
                </c:pt>
                <c:pt idx="129">
                  <c:v>-0.7070775032043457</c:v>
                </c:pt>
                <c:pt idx="130">
                  <c:v>-1.0093042850494385</c:v>
                </c:pt>
                <c:pt idx="131">
                  <c:v>1.8645974397659302</c:v>
                </c:pt>
                <c:pt idx="132">
                  <c:v>0.2115543931722641</c:v>
                </c:pt>
                <c:pt idx="133">
                  <c:v>-0.80031144618988037</c:v>
                </c:pt>
                <c:pt idx="134">
                  <c:v>-0.58807927370071411</c:v>
                </c:pt>
                <c:pt idx="135">
                  <c:v>0.32130077481269836</c:v>
                </c:pt>
                <c:pt idx="136">
                  <c:v>-0.71252423524856567</c:v>
                </c:pt>
                <c:pt idx="137">
                  <c:v>-0.88065069913864136</c:v>
                </c:pt>
                <c:pt idx="138">
                  <c:v>-0.14240473508834839</c:v>
                </c:pt>
                <c:pt idx="139">
                  <c:v>5.9292584657669067E-2</c:v>
                </c:pt>
                <c:pt idx="140">
                  <c:v>0.70816975831985474</c:v>
                </c:pt>
                <c:pt idx="141">
                  <c:v>1.227469801902771</c:v>
                </c:pt>
                <c:pt idx="142">
                  <c:v>1.0707777738571167</c:v>
                </c:pt>
                <c:pt idx="143">
                  <c:v>-7.3048219084739685E-2</c:v>
                </c:pt>
                <c:pt idx="144">
                  <c:v>-0.36124679446220398</c:v>
                </c:pt>
                <c:pt idx="145">
                  <c:v>-5.2136623708065599E-5</c:v>
                </c:pt>
                <c:pt idx="146">
                  <c:v>0.9003409743309021</c:v>
                </c:pt>
                <c:pt idx="147">
                  <c:v>0.96504664421081543</c:v>
                </c:pt>
                <c:pt idx="148">
                  <c:v>0.9003409743309021</c:v>
                </c:pt>
                <c:pt idx="149">
                  <c:v>0.13573737442493439</c:v>
                </c:pt>
                <c:pt idx="150">
                  <c:v>#N/A</c:v>
                </c:pt>
                <c:pt idx="151">
                  <c:v>-0.73540413379669189</c:v>
                </c:pt>
                <c:pt idx="152">
                  <c:v>6.0536958277225494E-2</c:v>
                </c:pt>
                <c:pt idx="153">
                  <c:v>-0.47856616973876953</c:v>
                </c:pt>
                <c:pt idx="154">
                  <c:v>-0.10224834084510803</c:v>
                </c:pt>
                <c:pt idx="155">
                  <c:v>0.28202110528945923</c:v>
                </c:pt>
                <c:pt idx="156">
                  <c:v>-1.144575834274292</c:v>
                </c:pt>
                <c:pt idx="157">
                  <c:v>2.0741393566131592</c:v>
                </c:pt>
                <c:pt idx="158">
                  <c:v>0.77703297138214111</c:v>
                </c:pt>
                <c:pt idx="159">
                  <c:v>1.0006476640701294</c:v>
                </c:pt>
                <c:pt idx="160">
                  <c:v>-0.85506123304367065</c:v>
                </c:pt>
                <c:pt idx="161">
                  <c:v>-2.2076852321624756</c:v>
                </c:pt>
                <c:pt idx="162">
                  <c:v>0.43402451276779175</c:v>
                </c:pt>
                <c:pt idx="163">
                  <c:v>-1.4854505062103271</c:v>
                </c:pt>
                <c:pt idx="164">
                  <c:v>1.1462633609771729</c:v>
                </c:pt>
                <c:pt idx="165">
                  <c:v>-0.23252308368682861</c:v>
                </c:pt>
                <c:pt idx="166">
                  <c:v>-1.5314011573791504</c:v>
                </c:pt>
                <c:pt idx="167">
                  <c:v>4.9731885083019733E-3</c:v>
                </c:pt>
                <c:pt idx="168">
                  <c:v>-0.44441738724708557</c:v>
                </c:pt>
                <c:pt idx="169">
                  <c:v>1.8903958797454834</c:v>
                </c:pt>
                <c:pt idx="170">
                  <c:v>1.8060568571090698</c:v>
                </c:pt>
                <c:pt idx="171">
                  <c:v>-1.3400363922119141</c:v>
                </c:pt>
                <c:pt idx="172">
                  <c:v>1.1923700571060181</c:v>
                </c:pt>
                <c:pt idx="173">
                  <c:v>-1.0760166645050049</c:v>
                </c:pt>
                <c:pt idx="174">
                  <c:v>-0.6721917986869812</c:v>
                </c:pt>
                <c:pt idx="175">
                  <c:v>0.21264445781707764</c:v>
                </c:pt>
                <c:pt idx="176">
                  <c:v>-1.2586737871170044</c:v>
                </c:pt>
                <c:pt idx="177">
                  <c:v>-1.3709260225296021</c:v>
                </c:pt>
                <c:pt idx="178">
                  <c:v>-0.20095635950565338</c:v>
                </c:pt>
                <c:pt idx="179">
                  <c:v>0.34887057542800903</c:v>
                </c:pt>
                <c:pt idx="180">
                  <c:v>-2.1371297771111131E-4</c:v>
                </c:pt>
                <c:pt idx="181">
                  <c:v>0.36734390258789063</c:v>
                </c:pt>
                <c:pt idx="182">
                  <c:v>-1.3198016881942749</c:v>
                </c:pt>
                <c:pt idx="183">
                  <c:v>-0.65382921695709229</c:v>
                </c:pt>
                <c:pt idx="184">
                  <c:v>-0.5801740288734436</c:v>
                </c:pt>
                <c:pt idx="185">
                  <c:v>-0.65008199214935303</c:v>
                </c:pt>
                <c:pt idx="186">
                  <c:v>1.1673915386199951</c:v>
                </c:pt>
                <c:pt idx="187">
                  <c:v>1.4710603952407837</c:v>
                </c:pt>
                <c:pt idx="188">
                  <c:v>1.5015720129013062</c:v>
                </c:pt>
                <c:pt idx="189">
                  <c:v>0.40524104237556458</c:v>
                </c:pt>
                <c:pt idx="190">
                  <c:v>-0.93606066703796387</c:v>
                </c:pt>
                <c:pt idx="191">
                  <c:v>-0.21368579566478729</c:v>
                </c:pt>
                <c:pt idx="192">
                  <c:v>-1.136284351348877</c:v>
                </c:pt>
                <c:pt idx="193">
                  <c:v>-0.29934275150299072</c:v>
                </c:pt>
                <c:pt idx="194">
                  <c:v>-0.7752259373664856</c:v>
                </c:pt>
                <c:pt idx="195">
                  <c:v>-1.20396888256073</c:v>
                </c:pt>
                <c:pt idx="196">
                  <c:v>-0.47539421916007996</c:v>
                </c:pt>
                <c:pt idx="197">
                  <c:v>-1.1385077238082886</c:v>
                </c:pt>
              </c:numCache>
            </c:numRef>
          </c:xVal>
          <c:yVal>
            <c:numRef>
              <c:f>ID4D!$IM$3:$IM$200</c:f>
              <c:numCache>
                <c:formatCode>0.00</c:formatCode>
                <c:ptCount val="198"/>
                <c:pt idx="0">
                  <c:v>64</c:v>
                </c:pt>
                <c:pt idx="1">
                  <c:v>72</c:v>
                </c:pt>
                <c:pt idx="2">
                  <c:v>56.000000000000007</c:v>
                </c:pt>
                <c:pt idx="3">
                  <c:v>32</c:v>
                </c:pt>
                <c:pt idx="4">
                  <c:v>72</c:v>
                </c:pt>
                <c:pt idx="5">
                  <c:v>24</c:v>
                </c:pt>
                <c:pt idx="6">
                  <c:v>80</c:v>
                </c:pt>
                <c:pt idx="7">
                  <c:v>76</c:v>
                </c:pt>
                <c:pt idx="8">
                  <c:v>56.000000000000007</c:v>
                </c:pt>
                <c:pt idx="9">
                  <c:v>72</c:v>
                </c:pt>
                <c:pt idx="10">
                  <c:v>76</c:v>
                </c:pt>
                <c:pt idx="11">
                  <c:v>56.000000000000007</c:v>
                </c:pt>
                <c:pt idx="12">
                  <c:v>60</c:v>
                </c:pt>
                <c:pt idx="13">
                  <c:v>68</c:v>
                </c:pt>
                <c:pt idx="14">
                  <c:v>60</c:v>
                </c:pt>
                <c:pt idx="15">
                  <c:v>40</c:v>
                </c:pt>
                <c:pt idx="16">
                  <c:v>88</c:v>
                </c:pt>
                <c:pt idx="17">
                  <c:v>36</c:v>
                </c:pt>
                <c:pt idx="18">
                  <c:v>40</c:v>
                </c:pt>
                <c:pt idx="19">
                  <c:v>48</c:v>
                </c:pt>
                <c:pt idx="20">
                  <c:v>52</c:v>
                </c:pt>
                <c:pt idx="21">
                  <c:v>80</c:v>
                </c:pt>
                <c:pt idx="22">
                  <c:v>56.000000000000007</c:v>
                </c:pt>
                <c:pt idx="23">
                  <c:v>80</c:v>
                </c:pt>
                <c:pt idx="24">
                  <c:v>60</c:v>
                </c:pt>
                <c:pt idx="25">
                  <c:v>72</c:v>
                </c:pt>
                <c:pt idx="26">
                  <c:v>44</c:v>
                </c:pt>
                <c:pt idx="27">
                  <c:v>56.000000000000007</c:v>
                </c:pt>
                <c:pt idx="28">
                  <c:v>52</c:v>
                </c:pt>
                <c:pt idx="29">
                  <c:v>60</c:v>
                </c:pt>
                <c:pt idx="30">
                  <c:v>52</c:v>
                </c:pt>
                <c:pt idx="31">
                  <c:v>44</c:v>
                </c:pt>
                <c:pt idx="32">
                  <c:v>36</c:v>
                </c:pt>
                <c:pt idx="33">
                  <c:v>40</c:v>
                </c:pt>
                <c:pt idx="34">
                  <c:v>96</c:v>
                </c:pt>
                <c:pt idx="35">
                  <c:v>72</c:v>
                </c:pt>
                <c:pt idx="36">
                  <c:v>76</c:v>
                </c:pt>
                <c:pt idx="37">
                  <c:v>40</c:v>
                </c:pt>
                <c:pt idx="38">
                  <c:v>52</c:v>
                </c:pt>
                <c:pt idx="39">
                  <c:v>52</c:v>
                </c:pt>
                <c:pt idx="40">
                  <c:v>72</c:v>
                </c:pt>
                <c:pt idx="41">
                  <c:v>68</c:v>
                </c:pt>
                <c:pt idx="42">
                  <c:v>84</c:v>
                </c:pt>
                <c:pt idx="43">
                  <c:v>48</c:v>
                </c:pt>
                <c:pt idx="44">
                  <c:v>56.000000000000007</c:v>
                </c:pt>
                <c:pt idx="45">
                  <c:v>84</c:v>
                </c:pt>
                <c:pt idx="46">
                  <c:v>48</c:v>
                </c:pt>
                <c:pt idx="47">
                  <c:v>48</c:v>
                </c:pt>
                <c:pt idx="48">
                  <c:v>56.000000000000007</c:v>
                </c:pt>
                <c:pt idx="49">
                  <c:v>68</c:v>
                </c:pt>
                <c:pt idx="50">
                  <c:v>60</c:v>
                </c:pt>
                <c:pt idx="51">
                  <c:v>56.000000000000007</c:v>
                </c:pt>
                <c:pt idx="52">
                  <c:v>56.000000000000007</c:v>
                </c:pt>
                <c:pt idx="53">
                  <c:v>24</c:v>
                </c:pt>
                <c:pt idx="54">
                  <c:v>36</c:v>
                </c:pt>
                <c:pt idx="55">
                  <c:v>80</c:v>
                </c:pt>
                <c:pt idx="56">
                  <c:v>40</c:v>
                </c:pt>
                <c:pt idx="57">
                  <c:v>64</c:v>
                </c:pt>
                <c:pt idx="58">
                  <c:v>80</c:v>
                </c:pt>
                <c:pt idx="59">
                  <c:v>80</c:v>
                </c:pt>
                <c:pt idx="60">
                  <c:v>60</c:v>
                </c:pt>
                <c:pt idx="61">
                  <c:v>60</c:v>
                </c:pt>
                <c:pt idx="62">
                  <c:v>84</c:v>
                </c:pt>
                <c:pt idx="63">
                  <c:v>88</c:v>
                </c:pt>
                <c:pt idx="64">
                  <c:v>76</c:v>
                </c:pt>
                <c:pt idx="65">
                  <c:v>52</c:v>
                </c:pt>
                <c:pt idx="66">
                  <c:v>56.000000000000007</c:v>
                </c:pt>
                <c:pt idx="67">
                  <c:v>60</c:v>
                </c:pt>
                <c:pt idx="68">
                  <c:v>60</c:v>
                </c:pt>
                <c:pt idx="69">
                  <c:v>48</c:v>
                </c:pt>
                <c:pt idx="70">
                  <c:v>36</c:v>
                </c:pt>
                <c:pt idx="71">
                  <c:v>52</c:v>
                </c:pt>
                <c:pt idx="72">
                  <c:v>60</c:v>
                </c:pt>
                <c:pt idx="73">
                  <c:v>84</c:v>
                </c:pt>
                <c:pt idx="74">
                  <c:v>72</c:v>
                </c:pt>
                <c:pt idx="75">
                  <c:v>52</c:v>
                </c:pt>
                <c:pt idx="76">
                  <c:v>88</c:v>
                </c:pt>
                <c:pt idx="77">
                  <c:v>60</c:v>
                </c:pt>
                <c:pt idx="78">
                  <c:v>52</c:v>
                </c:pt>
                <c:pt idx="79">
                  <c:v>60</c:v>
                </c:pt>
                <c:pt idx="80">
                  <c:v>44</c:v>
                </c:pt>
                <c:pt idx="81">
                  <c:v>72</c:v>
                </c:pt>
                <c:pt idx="82">
                  <c:v>76</c:v>
                </c:pt>
                <c:pt idx="83">
                  <c:v>64</c:v>
                </c:pt>
                <c:pt idx="84">
                  <c:v>76</c:v>
                </c:pt>
                <c:pt idx="85">
                  <c:v>60</c:v>
                </c:pt>
                <c:pt idx="86">
                  <c:v>68</c:v>
                </c:pt>
                <c:pt idx="87">
                  <c:v>64</c:v>
                </c:pt>
                <c:pt idx="88">
                  <c:v>40</c:v>
                </c:pt>
                <c:pt idx="89">
                  <c:v>48</c:v>
                </c:pt>
                <c:pt idx="90">
                  <c:v>84</c:v>
                </c:pt>
                <c:pt idx="91">
                  <c:v>72</c:v>
                </c:pt>
                <c:pt idx="92">
                  <c:v>60</c:v>
                </c:pt>
                <c:pt idx="93">
                  <c:v>72</c:v>
                </c:pt>
                <c:pt idx="94">
                  <c:v>28.000000000000004</c:v>
                </c:pt>
                <c:pt idx="95">
                  <c:v>80</c:v>
                </c:pt>
                <c:pt idx="96">
                  <c:v>48</c:v>
                </c:pt>
                <c:pt idx="97">
                  <c:v>52</c:v>
                </c:pt>
                <c:pt idx="98">
                  <c:v>44</c:v>
                </c:pt>
                <c:pt idx="99">
                  <c:v>32</c:v>
                </c:pt>
                <c:pt idx="100">
                  <c:v>72</c:v>
                </c:pt>
                <c:pt idx="101">
                  <c:v>72</c:v>
                </c:pt>
                <c:pt idx="102">
                  <c:v>80</c:v>
                </c:pt>
                <c:pt idx="103">
                  <c:v>72</c:v>
                </c:pt>
                <c:pt idx="104">
                  <c:v>72</c:v>
                </c:pt>
                <c:pt idx="105">
                  <c:v>48</c:v>
                </c:pt>
                <c:pt idx="106">
                  <c:v>44</c:v>
                </c:pt>
                <c:pt idx="107">
                  <c:v>84</c:v>
                </c:pt>
                <c:pt idx="108">
                  <c:v>40</c:v>
                </c:pt>
                <c:pt idx="109">
                  <c:v>52</c:v>
                </c:pt>
                <c:pt idx="110">
                  <c:v>80</c:v>
                </c:pt>
                <c:pt idx="111">
                  <c:v>32</c:v>
                </c:pt>
                <c:pt idx="112">
                  <c:v>56.000000000000007</c:v>
                </c:pt>
                <c:pt idx="113">
                  <c:v>76</c:v>
                </c:pt>
                <c:pt idx="114">
                  <c:v>68</c:v>
                </c:pt>
                <c:pt idx="115">
                  <c:v>16</c:v>
                </c:pt>
                <c:pt idx="116">
                  <c:v>88</c:v>
                </c:pt>
                <c:pt idx="117">
                  <c:v>84</c:v>
                </c:pt>
                <c:pt idx="118">
                  <c:v>56.000000000000007</c:v>
                </c:pt>
                <c:pt idx="119">
                  <c:v>72</c:v>
                </c:pt>
                <c:pt idx="120">
                  <c:v>72</c:v>
                </c:pt>
                <c:pt idx="121">
                  <c:v>56.000000000000007</c:v>
                </c:pt>
                <c:pt idx="122">
                  <c:v>44</c:v>
                </c:pt>
                <c:pt idx="123">
                  <c:v>44</c:v>
                </c:pt>
                <c:pt idx="124">
                  <c:v>12</c:v>
                </c:pt>
                <c:pt idx="125">
                  <c:v>80</c:v>
                </c:pt>
                <c:pt idx="126">
                  <c:v>84</c:v>
                </c:pt>
                <c:pt idx="127">
                  <c:v>56.000000000000007</c:v>
                </c:pt>
                <c:pt idx="128">
                  <c:v>68</c:v>
                </c:pt>
                <c:pt idx="129">
                  <c:v>44</c:v>
                </c:pt>
                <c:pt idx="130">
                  <c:v>80</c:v>
                </c:pt>
                <c:pt idx="131">
                  <c:v>88</c:v>
                </c:pt>
                <c:pt idx="132">
                  <c:v>76</c:v>
                </c:pt>
                <c:pt idx="133">
                  <c:v>76</c:v>
                </c:pt>
                <c:pt idx="134">
                  <c:v>24</c:v>
                </c:pt>
                <c:pt idx="135">
                  <c:v>64</c:v>
                </c:pt>
                <c:pt idx="136">
                  <c:v>44</c:v>
                </c:pt>
                <c:pt idx="137">
                  <c:v>60</c:v>
                </c:pt>
                <c:pt idx="138">
                  <c:v>64</c:v>
                </c:pt>
                <c:pt idx="139">
                  <c:v>56.000000000000007</c:v>
                </c:pt>
                <c:pt idx="140">
                  <c:v>68</c:v>
                </c:pt>
                <c:pt idx="141">
                  <c:v>80</c:v>
                </c:pt>
                <c:pt idx="142">
                  <c:v>80</c:v>
                </c:pt>
                <c:pt idx="143">
                  <c:v>88</c:v>
                </c:pt>
                <c:pt idx="144">
                  <c:v>76</c:v>
                </c:pt>
                <c:pt idx="145">
                  <c:v>56.000000000000007</c:v>
                </c:pt>
                <c:pt idx="146">
                  <c:v>40</c:v>
                </c:pt>
                <c:pt idx="147">
                  <c:v>60</c:v>
                </c:pt>
                <c:pt idx="148">
                  <c:v>56.000000000000007</c:v>
                </c:pt>
                <c:pt idx="149">
                  <c:v>20</c:v>
                </c:pt>
                <c:pt idx="150">
                  <c:v>84</c:v>
                </c:pt>
                <c:pt idx="151">
                  <c:v>12</c:v>
                </c:pt>
                <c:pt idx="152">
                  <c:v>72</c:v>
                </c:pt>
                <c:pt idx="153">
                  <c:v>68</c:v>
                </c:pt>
                <c:pt idx="154">
                  <c:v>80</c:v>
                </c:pt>
                <c:pt idx="155">
                  <c:v>68</c:v>
                </c:pt>
                <c:pt idx="156">
                  <c:v>72</c:v>
                </c:pt>
                <c:pt idx="157">
                  <c:v>84</c:v>
                </c:pt>
                <c:pt idx="158">
                  <c:v>76</c:v>
                </c:pt>
                <c:pt idx="159">
                  <c:v>88</c:v>
                </c:pt>
                <c:pt idx="160">
                  <c:v>16</c:v>
                </c:pt>
                <c:pt idx="161">
                  <c:v>48</c:v>
                </c:pt>
                <c:pt idx="162">
                  <c:v>72</c:v>
                </c:pt>
                <c:pt idx="163">
                  <c:v>56.000000000000007</c:v>
                </c:pt>
                <c:pt idx="164">
                  <c:v>76</c:v>
                </c:pt>
                <c:pt idx="165">
                  <c:v>60</c:v>
                </c:pt>
                <c:pt idx="166">
                  <c:v>60</c:v>
                </c:pt>
                <c:pt idx="167">
                  <c:v>44</c:v>
                </c:pt>
                <c:pt idx="168">
                  <c:v>28.000000000000004</c:v>
                </c:pt>
                <c:pt idx="169">
                  <c:v>88</c:v>
                </c:pt>
                <c:pt idx="170">
                  <c:v>76</c:v>
                </c:pt>
                <c:pt idx="171">
                  <c:v>28.000000000000004</c:v>
                </c:pt>
                <c:pt idx="172">
                  <c:v>60</c:v>
                </c:pt>
                <c:pt idx="173">
                  <c:v>52</c:v>
                </c:pt>
                <c:pt idx="174">
                  <c:v>52</c:v>
                </c:pt>
                <c:pt idx="175">
                  <c:v>72</c:v>
                </c:pt>
                <c:pt idx="176">
                  <c:v>48</c:v>
                </c:pt>
                <c:pt idx="177">
                  <c:v>36</c:v>
                </c:pt>
                <c:pt idx="178">
                  <c:v>32</c:v>
                </c:pt>
                <c:pt idx="179">
                  <c:v>76</c:v>
                </c:pt>
                <c:pt idx="180">
                  <c:v>64</c:v>
                </c:pt>
                <c:pt idx="181">
                  <c:v>88</c:v>
                </c:pt>
                <c:pt idx="182">
                  <c:v>20</c:v>
                </c:pt>
                <c:pt idx="183">
                  <c:v>8</c:v>
                </c:pt>
                <c:pt idx="184">
                  <c:v>64</c:v>
                </c:pt>
                <c:pt idx="185">
                  <c:v>68</c:v>
                </c:pt>
                <c:pt idx="186">
                  <c:v>84</c:v>
                </c:pt>
                <c:pt idx="187">
                  <c:v>56.000000000000007</c:v>
                </c:pt>
                <c:pt idx="188">
                  <c:v>64</c:v>
                </c:pt>
                <c:pt idx="189">
                  <c:v>96</c:v>
                </c:pt>
                <c:pt idx="190">
                  <c:v>72</c:v>
                </c:pt>
                <c:pt idx="191">
                  <c:v>28.000000000000004</c:v>
                </c:pt>
                <c:pt idx="192">
                  <c:v>60</c:v>
                </c:pt>
                <c:pt idx="193">
                  <c:v>68</c:v>
                </c:pt>
                <c:pt idx="194">
                  <c:v>28.000000000000004</c:v>
                </c:pt>
                <c:pt idx="195">
                  <c:v>60</c:v>
                </c:pt>
                <c:pt idx="196">
                  <c:v>52</c:v>
                </c:pt>
                <c:pt idx="197">
                  <c:v>52</c:v>
                </c:pt>
              </c:numCache>
            </c:numRef>
          </c:yVal>
          <c:smooth val="0"/>
        </c:ser>
        <c:dLbls>
          <c:showLegendKey val="0"/>
          <c:showVal val="0"/>
          <c:showCatName val="0"/>
          <c:showSerName val="0"/>
          <c:showPercent val="0"/>
          <c:showBubbleSize val="0"/>
        </c:dLbls>
        <c:axId val="428222520"/>
        <c:axId val="428222912"/>
      </c:scatterChart>
      <c:valAx>
        <c:axId val="428222520"/>
        <c:scaling>
          <c:orientation val="minMax"/>
        </c:scaling>
        <c:delete val="0"/>
        <c:axPos val="b"/>
        <c:numFmt formatCode="0.00" sourceLinked="1"/>
        <c:majorTickMark val="out"/>
        <c:minorTickMark val="none"/>
        <c:tickLblPos val="nextTo"/>
        <c:spPr>
          <a:ln>
            <a:solidFill>
              <a:srgbClr val="0000CC"/>
            </a:solidFill>
          </a:ln>
        </c:spPr>
        <c:crossAx val="428222912"/>
        <c:crosses val="autoZero"/>
        <c:crossBetween val="midCat"/>
      </c:valAx>
      <c:valAx>
        <c:axId val="428222912"/>
        <c:scaling>
          <c:orientation val="minMax"/>
          <c:max val="100"/>
        </c:scaling>
        <c:delete val="0"/>
        <c:axPos val="l"/>
        <c:majorGridlines>
          <c:spPr>
            <a:ln>
              <a:solidFill>
                <a:schemeClr val="bg1">
                  <a:lumMod val="75000"/>
                </a:schemeClr>
              </a:solidFill>
            </a:ln>
          </c:spPr>
        </c:majorGridlines>
        <c:title>
          <c:tx>
            <c:rich>
              <a:bodyPr rot="-5400000" vert="horz"/>
              <a:lstStyle/>
              <a:p>
                <a:pPr>
                  <a:defRPr b="0">
                    <a:solidFill>
                      <a:srgbClr val="0000CC"/>
                    </a:solidFill>
                  </a:defRPr>
                </a:pPr>
                <a:r>
                  <a:rPr lang="en-US" b="0">
                    <a:solidFill>
                      <a:srgbClr val="0000CC"/>
                    </a:solidFill>
                  </a:rPr>
                  <a:t>ID4D</a:t>
                </a:r>
                <a:r>
                  <a:rPr lang="en-US" b="0" baseline="0">
                    <a:solidFill>
                      <a:srgbClr val="0000CC"/>
                    </a:solidFill>
                  </a:rPr>
                  <a:t> Score</a:t>
                </a:r>
                <a:endParaRPr lang="en-US" b="0">
                  <a:solidFill>
                    <a:srgbClr val="0000CC"/>
                  </a:solidFill>
                </a:endParaRPr>
              </a:p>
            </c:rich>
          </c:tx>
          <c:layout>
            <c:manualLayout>
              <c:xMode val="edge"/>
              <c:yMode val="edge"/>
              <c:x val="2.670940170940171E-3"/>
              <c:y val="0.35267388451443576"/>
            </c:manualLayout>
          </c:layout>
          <c:overlay val="0"/>
        </c:title>
        <c:numFmt formatCode="#,##0" sourceLinked="0"/>
        <c:majorTickMark val="out"/>
        <c:minorTickMark val="none"/>
        <c:tickLblPos val="low"/>
        <c:crossAx val="428222520"/>
        <c:crosses val="autoZero"/>
        <c:crossBetween val="midCat"/>
      </c:valAx>
      <c:spPr>
        <a:ln>
          <a:solidFill>
            <a:srgbClr val="0000CC"/>
          </a:solidFill>
        </a:ln>
      </c:spPr>
    </c:plotArea>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rgbClr val="0000CC"/>
                </a:solidFill>
              </a:defRPr>
            </a:pPr>
            <a:r>
              <a:rPr lang="en-US" sz="1200">
                <a:solidFill>
                  <a:srgbClr val="0000CC"/>
                </a:solidFill>
              </a:rPr>
              <a:t>WGI: Regulatory Quality </a:t>
            </a:r>
            <a:r>
              <a:rPr lang="en-US" sz="1200" baseline="0">
                <a:solidFill>
                  <a:srgbClr val="0000CC"/>
                </a:solidFill>
              </a:rPr>
              <a:t>vs.</a:t>
            </a:r>
            <a:r>
              <a:rPr lang="en-US" sz="1200">
                <a:solidFill>
                  <a:srgbClr val="0000CC"/>
                </a:solidFill>
              </a:rPr>
              <a:t> ID4D</a:t>
            </a:r>
          </a:p>
        </c:rich>
      </c:tx>
      <c:layout>
        <c:manualLayout>
          <c:xMode val="edge"/>
          <c:yMode val="edge"/>
          <c:x val="0.27137404098526147"/>
          <c:y val="0"/>
        </c:manualLayout>
      </c:layout>
      <c:overlay val="0"/>
    </c:title>
    <c:autoTitleDeleted val="0"/>
    <c:plotArea>
      <c:layout>
        <c:manualLayout>
          <c:layoutTarget val="inner"/>
          <c:xMode val="edge"/>
          <c:yMode val="edge"/>
          <c:x val="9.4031395114072269E-2"/>
          <c:y val="0.10394013248343957"/>
          <c:w val="0.8662584544720372"/>
          <c:h val="0.79659730033745779"/>
        </c:manualLayout>
      </c:layout>
      <c:scatterChart>
        <c:scatterStyle val="lineMarker"/>
        <c:varyColors val="0"/>
        <c:ser>
          <c:idx val="0"/>
          <c:order val="0"/>
          <c:tx>
            <c:v>RQ and ID4D</c:v>
          </c:tx>
          <c:spPr>
            <a:ln w="28575">
              <a:noFill/>
            </a:ln>
          </c:spPr>
          <c:marker>
            <c:symbol val="diamond"/>
            <c:size val="7"/>
            <c:spPr>
              <a:noFill/>
              <a:ln>
                <a:solidFill>
                  <a:srgbClr val="0000CC"/>
                </a:solidFill>
              </a:ln>
            </c:spPr>
          </c:marker>
          <c:trendline>
            <c:trendlineType val="log"/>
            <c:dispRSqr val="0"/>
            <c:dispEq val="0"/>
          </c:trendline>
          <c:trendline>
            <c:trendlineType val="power"/>
            <c:dispRSqr val="0"/>
            <c:dispEq val="0"/>
          </c:trendline>
          <c:trendline>
            <c:trendlineType val="log"/>
            <c:dispRSqr val="0"/>
            <c:dispEq val="0"/>
          </c:trendline>
          <c:trendline>
            <c:trendlineType val="power"/>
            <c:dispRSqr val="0"/>
            <c:dispEq val="0"/>
          </c:trendline>
          <c:trendline>
            <c:trendlineType val="linear"/>
            <c:dispRSqr val="0"/>
            <c:dispEq val="0"/>
          </c:trendline>
          <c:xVal>
            <c:numRef>
              <c:f>ID4D!$GW$3:$GW$200</c:f>
              <c:numCache>
                <c:formatCode>0.00</c:formatCode>
                <c:ptCount val="198"/>
                <c:pt idx="0">
                  <c:v>-1.2122533321380615</c:v>
                </c:pt>
                <c:pt idx="1">
                  <c:v>0.17541241645812988</c:v>
                </c:pt>
                <c:pt idx="2">
                  <c:v>-1.1862273216247559</c:v>
                </c:pt>
                <c:pt idx="3">
                  <c:v>1.5465918779373169</c:v>
                </c:pt>
                <c:pt idx="4">
                  <c:v>-1.0521498918533325</c:v>
                </c:pt>
                <c:pt idx="5">
                  <c:v>0.59754198789596558</c:v>
                </c:pt>
                <c:pt idx="6">
                  <c:v>-0.98913514614105225</c:v>
                </c:pt>
                <c:pt idx="7">
                  <c:v>0.22855187952518463</c:v>
                </c:pt>
                <c:pt idx="8">
                  <c:v>1.7893579006195068</c:v>
                </c:pt>
                <c:pt idx="9">
                  <c:v>1.4784309864044189</c:v>
                </c:pt>
                <c:pt idx="10">
                  <c:v>-0.42655724287033081</c:v>
                </c:pt>
                <c:pt idx="11">
                  <c:v>0.15620195865631104</c:v>
                </c:pt>
                <c:pt idx="12">
                  <c:v>0.60090500116348267</c:v>
                </c:pt>
                <c:pt idx="13">
                  <c:v>-0.92749875783920288</c:v>
                </c:pt>
                <c:pt idx="14">
                  <c:v>0.42688986659049988</c:v>
                </c:pt>
                <c:pt idx="15">
                  <c:v>-1.093110203742981</c:v>
                </c:pt>
                <c:pt idx="16">
                  <c:v>1.2914557456970215</c:v>
                </c:pt>
                <c:pt idx="17">
                  <c:v>-0.49239137768745422</c:v>
                </c:pt>
                <c:pt idx="18">
                  <c:v>-0.42389330267906189</c:v>
                </c:pt>
                <c:pt idx="19">
                  <c:v>-1.0974836349487305</c:v>
                </c:pt>
                <c:pt idx="20">
                  <c:v>-0.78808808326721191</c:v>
                </c:pt>
                <c:pt idx="21">
                  <c:v>-8.300231397151947E-2</c:v>
                </c:pt>
                <c:pt idx="22">
                  <c:v>0.65586107969284058</c:v>
                </c:pt>
                <c:pt idx="23">
                  <c:v>6.5406553447246552E-2</c:v>
                </c:pt>
                <c:pt idx="24">
                  <c:v>1.0973128080368042</c:v>
                </c:pt>
                <c:pt idx="25">
                  <c:v>0.51947492361068726</c:v>
                </c:pt>
                <c:pt idx="26">
                  <c:v>-0.16716399788856506</c:v>
                </c:pt>
                <c:pt idx="27">
                  <c:v>-0.87122142314910889</c:v>
                </c:pt>
                <c:pt idx="28">
                  <c:v>-0.351663738489151</c:v>
                </c:pt>
                <c:pt idx="29">
                  <c:v>-0.92971539497375488</c:v>
                </c:pt>
                <c:pt idx="30">
                  <c:v>1.7149943113327026</c:v>
                </c:pt>
                <c:pt idx="31">
                  <c:v>-0.11925558745861053</c:v>
                </c:pt>
                <c:pt idx="32">
                  <c:v>-1.1283259391784668</c:v>
                </c:pt>
                <c:pt idx="33">
                  <c:v>-1.0154626369476318</c:v>
                </c:pt>
                <c:pt idx="34">
                  <c:v>1.4807983636856079</c:v>
                </c:pt>
                <c:pt idx="35">
                  <c:v>-0.30694115161895752</c:v>
                </c:pt>
                <c:pt idx="36">
                  <c:v>0.38784414529800415</c:v>
                </c:pt>
                <c:pt idx="37">
                  <c:v>-1.2609561681747437</c:v>
                </c:pt>
                <c:pt idx="38">
                  <c:v>-1.3572151660919189</c:v>
                </c:pt>
                <c:pt idx="39">
                  <c:v>-1.2807377576828003</c:v>
                </c:pt>
                <c:pt idx="40">
                  <c:v>0.57642221450805664</c:v>
                </c:pt>
                <c:pt idx="41">
                  <c:v>-0.73115050792694092</c:v>
                </c:pt>
                <c:pt idx="42">
                  <c:v>0.4402124285697937</c:v>
                </c:pt>
                <c:pt idx="43">
                  <c:v>-1.6193597316741943</c:v>
                </c:pt>
                <c:pt idx="44">
                  <c:v>0.91109567880630493</c:v>
                </c:pt>
                <c:pt idx="45">
                  <c:v>1.0873984098434448</c:v>
                </c:pt>
                <c:pt idx="46">
                  <c:v>1.8021895885467529</c:v>
                </c:pt>
                <c:pt idx="47">
                  <c:v>-0.54540067911148071</c:v>
                </c:pt>
                <c:pt idx="48">
                  <c:v>0.26890251040458679</c:v>
                </c:pt>
                <c:pt idx="49">
                  <c:v>-0.10697241872549057</c:v>
                </c:pt>
                <c:pt idx="50">
                  <c:v>-0.94281107187271118</c:v>
                </c:pt>
                <c:pt idx="51">
                  <c:v>-0.69587165117263794</c:v>
                </c:pt>
                <c:pt idx="52">
                  <c:v>0.30621066689491272</c:v>
                </c:pt>
                <c:pt idx="53">
                  <c:v>-1.4368792772293091</c:v>
                </c:pt>
                <c:pt idx="54">
                  <c:v>-2.2307236194610596</c:v>
                </c:pt>
                <c:pt idx="55">
                  <c:v>1.4291390180587769</c:v>
                </c:pt>
                <c:pt idx="56">
                  <c:v>-1.1341695785522461</c:v>
                </c:pt>
                <c:pt idx="57">
                  <c:v>-0.57245975732803345</c:v>
                </c:pt>
                <c:pt idx="58">
                  <c:v>1.8487647771835327</c:v>
                </c:pt>
                <c:pt idx="59">
                  <c:v>1.1482467651367187</c:v>
                </c:pt>
                <c:pt idx="60">
                  <c:v>-0.5647236704826355</c:v>
                </c:pt>
                <c:pt idx="61">
                  <c:v>-0.36699727177619934</c:v>
                </c:pt>
                <c:pt idx="62">
                  <c:v>0.7352873682975769</c:v>
                </c:pt>
                <c:pt idx="63">
                  <c:v>1.5509365797042847</c:v>
                </c:pt>
                <c:pt idx="64">
                  <c:v>7.7964797616004944E-2</c:v>
                </c:pt>
                <c:pt idx="65">
                  <c:v>0.61688339710235596</c:v>
                </c:pt>
                <c:pt idx="66">
                  <c:v>0.35477730631828308</c:v>
                </c:pt>
                <c:pt idx="67">
                  <c:v>-0.2120913565158844</c:v>
                </c:pt>
                <c:pt idx="68">
                  <c:v>-1.0078763961791992</c:v>
                </c:pt>
                <c:pt idx="69">
                  <c:v>-1.3012367486953735</c:v>
                </c:pt>
                <c:pt idx="70">
                  <c:v>-0.61500352621078491</c:v>
                </c:pt>
                <c:pt idx="71">
                  <c:v>-0.94587862491607666</c:v>
                </c:pt>
                <c:pt idx="72">
                  <c:v>-0.19942346215248108</c:v>
                </c:pt>
                <c:pt idx="73">
                  <c:v>1.925817608833313</c:v>
                </c:pt>
                <c:pt idx="74">
                  <c:v>0.88760280609130859</c:v>
                </c:pt>
                <c:pt idx="75">
                  <c:v>1.0913155078887939</c:v>
                </c:pt>
                <c:pt idx="76">
                  <c:v>-0.47332155704498291</c:v>
                </c:pt>
                <c:pt idx="77">
                  <c:v>-0.19714158773422241</c:v>
                </c:pt>
                <c:pt idx="78">
                  <c:v>-1.4989084005355835</c:v>
                </c:pt>
                <c:pt idx="79">
                  <c:v>-1.2580001354217529</c:v>
                </c:pt>
                <c:pt idx="80">
                  <c:v>1.5793559551239014</c:v>
                </c:pt>
                <c:pt idx="81">
                  <c:v>1.1550329923629761</c:v>
                </c:pt>
                <c:pt idx="82">
                  <c:v>0.7690272331237793</c:v>
                </c:pt>
                <c:pt idx="83">
                  <c:v>0.22610543668270111</c:v>
                </c:pt>
                <c:pt idx="84">
                  <c:v>1.102057933807373</c:v>
                </c:pt>
                <c:pt idx="85">
                  <c:v>0.11452990770339966</c:v>
                </c:pt>
                <c:pt idx="86">
                  <c:v>-0.3830450177192688</c:v>
                </c:pt>
                <c:pt idx="87">
                  <c:v>-0.35348868370056152</c:v>
                </c:pt>
                <c:pt idx="88">
                  <c:v>-1.376677393913269</c:v>
                </c:pt>
                <c:pt idx="89">
                  <c:v>-2.517986536026001</c:v>
                </c:pt>
                <c:pt idx="90">
                  <c:v>0.98153698444366455</c:v>
                </c:pt>
                <c:pt idx="91">
                  <c:v>-4.4097181409597397E-2</c:v>
                </c:pt>
                <c:pt idx="92">
                  <c:v>-8.5887081921100616E-2</c:v>
                </c:pt>
                <c:pt idx="93">
                  <c:v>-0.3290979266166687</c:v>
                </c:pt>
                <c:pt idx="94">
                  <c:v>-0.84973806142807007</c:v>
                </c:pt>
                <c:pt idx="95">
                  <c:v>1.026598334312439</c:v>
                </c:pt>
                <c:pt idx="96">
                  <c:v>-8.6206056177616119E-2</c:v>
                </c:pt>
                <c:pt idx="97">
                  <c:v>-0.35156849026679993</c:v>
                </c:pt>
                <c:pt idx="98">
                  <c:v>-0.91605013608932495</c:v>
                </c:pt>
                <c:pt idx="99">
                  <c:v>-1.8294030427932739</c:v>
                </c:pt>
                <c:pt idx="100">
                  <c:v>1.5571442842483521</c:v>
                </c:pt>
                <c:pt idx="101">
                  <c:v>1.1311988830566406</c:v>
                </c:pt>
                <c:pt idx="102">
                  <c:v>1.7623633146286011</c:v>
                </c:pt>
                <c:pt idx="103">
                  <c:v>1.332642674446106</c:v>
                </c:pt>
                <c:pt idx="104">
                  <c:v>0.32372704148292542</c:v>
                </c:pt>
                <c:pt idx="105">
                  <c:v>-0.66955476999282837</c:v>
                </c:pt>
                <c:pt idx="106">
                  <c:v>-0.68002557754516602</c:v>
                </c:pt>
                <c:pt idx="107">
                  <c:v>0.61653310060501099</c:v>
                </c:pt>
                <c:pt idx="108">
                  <c:v>-0.39384862780570984</c:v>
                </c:pt>
                <c:pt idx="109">
                  <c:v>-0.50220733880996704</c:v>
                </c:pt>
                <c:pt idx="110">
                  <c:v>1.2872507572174072</c:v>
                </c:pt>
                <c:pt idx="111">
                  <c:v>-1.1039924621582031</c:v>
                </c:pt>
                <c:pt idx="112">
                  <c:v>-0.69623476266860962</c:v>
                </c:pt>
                <c:pt idx="113">
                  <c:v>0.93892079591751099</c:v>
                </c:pt>
                <c:pt idx="114">
                  <c:v>0.45819807052612305</c:v>
                </c:pt>
                <c:pt idx="115">
                  <c:v>-0.96833431720733643</c:v>
                </c:pt>
                <c:pt idx="116">
                  <c:v>-8.6876533925533295E-2</c:v>
                </c:pt>
                <c:pt idx="117">
                  <c:v>#N/A</c:v>
                </c:pt>
                <c:pt idx="118">
                  <c:v>-0.28594869375228882</c:v>
                </c:pt>
                <c:pt idx="119">
                  <c:v>4.9160495400428772E-2</c:v>
                </c:pt>
                <c:pt idx="120">
                  <c:v>-0.16925565898418427</c:v>
                </c:pt>
                <c:pt idx="121">
                  <c:v>-0.41240876913070679</c:v>
                </c:pt>
                <c:pt idx="122">
                  <c:v>-1.509480357170105</c:v>
                </c:pt>
                <c:pt idx="123">
                  <c:v>5.2132133394479752E-2</c:v>
                </c:pt>
                <c:pt idx="124">
                  <c:v>-1.3881545066833496</c:v>
                </c:pt>
                <c:pt idx="125">
                  <c:v>-0.86582499742507935</c:v>
                </c:pt>
                <c:pt idx="126">
                  <c:v>1.7661480903625488</c:v>
                </c:pt>
                <c:pt idx="127">
                  <c:v>1.8140907287597656</c:v>
                </c:pt>
                <c:pt idx="128">
                  <c:v>-0.30476102232933044</c:v>
                </c:pt>
                <c:pt idx="129">
                  <c:v>-0.60919606685638428</c:v>
                </c:pt>
                <c:pt idx="130">
                  <c:v>-0.70594626665115356</c:v>
                </c:pt>
                <c:pt idx="131">
                  <c:v>1.6546535491943359</c:v>
                </c:pt>
                <c:pt idx="132">
                  <c:v>0.47115674614906311</c:v>
                </c:pt>
                <c:pt idx="133">
                  <c:v>-0.71327441930770874</c:v>
                </c:pt>
                <c:pt idx="134">
                  <c:v>-1.0062103271484375</c:v>
                </c:pt>
                <c:pt idx="135">
                  <c:v>0.37016358971595764</c:v>
                </c:pt>
                <c:pt idx="136">
                  <c:v>-0.51984000205993652</c:v>
                </c:pt>
                <c:pt idx="137">
                  <c:v>-0.31971809267997742</c:v>
                </c:pt>
                <c:pt idx="138">
                  <c:v>0.45202887058258057</c:v>
                </c:pt>
                <c:pt idx="139">
                  <c:v>-7.1659818291664124E-2</c:v>
                </c:pt>
                <c:pt idx="140">
                  <c:v>1.0480937957763672</c:v>
                </c:pt>
                <c:pt idx="141">
                  <c:v>0.78678429126739502</c:v>
                </c:pt>
                <c:pt idx="142">
                  <c:v>0.74076825380325317</c:v>
                </c:pt>
                <c:pt idx="143">
                  <c:v>0.58881789445877075</c:v>
                </c:pt>
                <c:pt idx="144">
                  <c:v>-0.36933249235153198</c:v>
                </c:pt>
                <c:pt idx="145">
                  <c:v>3.295367956161499E-2</c:v>
                </c:pt>
                <c:pt idx="146">
                  <c:v>0.40207138657569885</c:v>
                </c:pt>
                <c:pt idx="147">
                  <c:v>0.41810289025306702</c:v>
                </c:pt>
                <c:pt idx="148">
                  <c:v>0.3129216730594635</c:v>
                </c:pt>
                <c:pt idx="149">
                  <c:v>-0.23428522050380707</c:v>
                </c:pt>
                <c:pt idx="150">
                  <c:v>#N/A</c:v>
                </c:pt>
                <c:pt idx="151">
                  <c:v>-0.81422299146652222</c:v>
                </c:pt>
                <c:pt idx="152">
                  <c:v>7.7040068805217743E-2</c:v>
                </c:pt>
                <c:pt idx="153">
                  <c:v>-4.8149283975362778E-2</c:v>
                </c:pt>
                <c:pt idx="154">
                  <c:v>-7.4908822774887085E-2</c:v>
                </c:pt>
                <c:pt idx="155">
                  <c:v>-0.29335296154022217</c:v>
                </c:pt>
                <c:pt idx="156">
                  <c:v>-0.68941646814346313</c:v>
                </c:pt>
                <c:pt idx="157">
                  <c:v>1.9603413343429565</c:v>
                </c:pt>
                <c:pt idx="158">
                  <c:v>0.91470295190811157</c:v>
                </c:pt>
                <c:pt idx="159">
                  <c:v>0.60731571912765503</c:v>
                </c:pt>
                <c:pt idx="160">
                  <c:v>-1.1328575611114502</c:v>
                </c:pt>
                <c:pt idx="161">
                  <c:v>-2.2146487236022949</c:v>
                </c:pt>
                <c:pt idx="162">
                  <c:v>0.40744313597679138</c:v>
                </c:pt>
                <c:pt idx="163">
                  <c:v>-1.5146365165710449</c:v>
                </c:pt>
                <c:pt idx="164">
                  <c:v>0.93066024780273438</c:v>
                </c:pt>
                <c:pt idx="165">
                  <c:v>-0.16177132725715637</c:v>
                </c:pt>
                <c:pt idx="166">
                  <c:v>-1.4437365531921387</c:v>
                </c:pt>
                <c:pt idx="167">
                  <c:v>-0.34177368879318237</c:v>
                </c:pt>
                <c:pt idx="168">
                  <c:v>-0.36239925026893616</c:v>
                </c:pt>
                <c:pt idx="169">
                  <c:v>1.8901981115341187</c:v>
                </c:pt>
                <c:pt idx="170">
                  <c:v>1.633915901184082</c:v>
                </c:pt>
                <c:pt idx="171">
                  <c:v>-1.6055283546447754</c:v>
                </c:pt>
                <c:pt idx="172">
                  <c:v>1.1393070220947266</c:v>
                </c:pt>
                <c:pt idx="173">
                  <c:v>-1.0685796737670898</c:v>
                </c:pt>
                <c:pt idx="174">
                  <c:v>-0.3418104350566864</c:v>
                </c:pt>
                <c:pt idx="175">
                  <c:v>0.21308885514736176</c:v>
                </c:pt>
                <c:pt idx="176">
                  <c:v>-0.99292081594467163</c:v>
                </c:pt>
                <c:pt idx="177">
                  <c:v>-0.95087802410125732</c:v>
                </c:pt>
                <c:pt idx="178">
                  <c:v>-0.59445929527282715</c:v>
                </c:pt>
                <c:pt idx="179">
                  <c:v>0.24500684440135956</c:v>
                </c:pt>
                <c:pt idx="180">
                  <c:v>-0.34625780582427979</c:v>
                </c:pt>
                <c:pt idx="181">
                  <c:v>0.4249805212020874</c:v>
                </c:pt>
                <c:pt idx="182">
                  <c:v>-2.1169009208679199</c:v>
                </c:pt>
                <c:pt idx="183">
                  <c:v>-1.316985011100769</c:v>
                </c:pt>
                <c:pt idx="184">
                  <c:v>-0.23669642210006714</c:v>
                </c:pt>
                <c:pt idx="185">
                  <c:v>-0.63841933012008667</c:v>
                </c:pt>
                <c:pt idx="186">
                  <c:v>0.77827703952789307</c:v>
                </c:pt>
                <c:pt idx="187">
                  <c:v>1.765687108039856</c:v>
                </c:pt>
                <c:pt idx="188">
                  <c:v>1.2578444480895996</c:v>
                </c:pt>
                <c:pt idx="189">
                  <c:v>0.52224761247634888</c:v>
                </c:pt>
                <c:pt idx="190">
                  <c:v>-1.631834864616394</c:v>
                </c:pt>
                <c:pt idx="191">
                  <c:v>-0.55249053239822388</c:v>
                </c:pt>
                <c:pt idx="192">
                  <c:v>-1.6428266763687134</c:v>
                </c:pt>
                <c:pt idx="193">
                  <c:v>-0.65493541955947876</c:v>
                </c:pt>
                <c:pt idx="194">
                  <c:v>0.15254800021648407</c:v>
                </c:pt>
                <c:pt idx="195">
                  <c:v>-0.7351837158203125</c:v>
                </c:pt>
                <c:pt idx="196">
                  <c:v>-0.46777227520942688</c:v>
                </c:pt>
                <c:pt idx="197">
                  <c:v>-1.7961570024490356</c:v>
                </c:pt>
              </c:numCache>
            </c:numRef>
          </c:xVal>
          <c:yVal>
            <c:numRef>
              <c:f>ID4D!$IM$3:$IM$200</c:f>
              <c:numCache>
                <c:formatCode>0.00</c:formatCode>
                <c:ptCount val="198"/>
                <c:pt idx="0">
                  <c:v>64</c:v>
                </c:pt>
                <c:pt idx="1">
                  <c:v>72</c:v>
                </c:pt>
                <c:pt idx="2">
                  <c:v>56.000000000000007</c:v>
                </c:pt>
                <c:pt idx="3">
                  <c:v>32</c:v>
                </c:pt>
                <c:pt idx="4">
                  <c:v>72</c:v>
                </c:pt>
                <c:pt idx="5">
                  <c:v>24</c:v>
                </c:pt>
                <c:pt idx="6">
                  <c:v>80</c:v>
                </c:pt>
                <c:pt idx="7">
                  <c:v>76</c:v>
                </c:pt>
                <c:pt idx="8">
                  <c:v>56.000000000000007</c:v>
                </c:pt>
                <c:pt idx="9">
                  <c:v>72</c:v>
                </c:pt>
                <c:pt idx="10">
                  <c:v>76</c:v>
                </c:pt>
                <c:pt idx="11">
                  <c:v>56.000000000000007</c:v>
                </c:pt>
                <c:pt idx="12">
                  <c:v>60</c:v>
                </c:pt>
                <c:pt idx="13">
                  <c:v>68</c:v>
                </c:pt>
                <c:pt idx="14">
                  <c:v>60</c:v>
                </c:pt>
                <c:pt idx="15">
                  <c:v>40</c:v>
                </c:pt>
                <c:pt idx="16">
                  <c:v>88</c:v>
                </c:pt>
                <c:pt idx="17">
                  <c:v>36</c:v>
                </c:pt>
                <c:pt idx="18">
                  <c:v>40</c:v>
                </c:pt>
                <c:pt idx="19">
                  <c:v>48</c:v>
                </c:pt>
                <c:pt idx="20">
                  <c:v>52</c:v>
                </c:pt>
                <c:pt idx="21">
                  <c:v>80</c:v>
                </c:pt>
                <c:pt idx="22">
                  <c:v>56.000000000000007</c:v>
                </c:pt>
                <c:pt idx="23">
                  <c:v>80</c:v>
                </c:pt>
                <c:pt idx="24">
                  <c:v>60</c:v>
                </c:pt>
                <c:pt idx="25">
                  <c:v>72</c:v>
                </c:pt>
                <c:pt idx="26">
                  <c:v>44</c:v>
                </c:pt>
                <c:pt idx="27">
                  <c:v>56.000000000000007</c:v>
                </c:pt>
                <c:pt idx="28">
                  <c:v>52</c:v>
                </c:pt>
                <c:pt idx="29">
                  <c:v>60</c:v>
                </c:pt>
                <c:pt idx="30">
                  <c:v>52</c:v>
                </c:pt>
                <c:pt idx="31">
                  <c:v>44</c:v>
                </c:pt>
                <c:pt idx="32">
                  <c:v>36</c:v>
                </c:pt>
                <c:pt idx="33">
                  <c:v>40</c:v>
                </c:pt>
                <c:pt idx="34">
                  <c:v>96</c:v>
                </c:pt>
                <c:pt idx="35">
                  <c:v>72</c:v>
                </c:pt>
                <c:pt idx="36">
                  <c:v>76</c:v>
                </c:pt>
                <c:pt idx="37">
                  <c:v>40</c:v>
                </c:pt>
                <c:pt idx="38">
                  <c:v>52</c:v>
                </c:pt>
                <c:pt idx="39">
                  <c:v>52</c:v>
                </c:pt>
                <c:pt idx="40">
                  <c:v>72</c:v>
                </c:pt>
                <c:pt idx="41">
                  <c:v>68</c:v>
                </c:pt>
                <c:pt idx="42">
                  <c:v>84</c:v>
                </c:pt>
                <c:pt idx="43">
                  <c:v>48</c:v>
                </c:pt>
                <c:pt idx="44">
                  <c:v>56.000000000000007</c:v>
                </c:pt>
                <c:pt idx="45">
                  <c:v>84</c:v>
                </c:pt>
                <c:pt idx="46">
                  <c:v>48</c:v>
                </c:pt>
                <c:pt idx="47">
                  <c:v>48</c:v>
                </c:pt>
                <c:pt idx="48">
                  <c:v>56.000000000000007</c:v>
                </c:pt>
                <c:pt idx="49">
                  <c:v>68</c:v>
                </c:pt>
                <c:pt idx="50">
                  <c:v>60</c:v>
                </c:pt>
                <c:pt idx="51">
                  <c:v>56.000000000000007</c:v>
                </c:pt>
                <c:pt idx="52">
                  <c:v>56.000000000000007</c:v>
                </c:pt>
                <c:pt idx="53">
                  <c:v>24</c:v>
                </c:pt>
                <c:pt idx="54">
                  <c:v>36</c:v>
                </c:pt>
                <c:pt idx="55">
                  <c:v>80</c:v>
                </c:pt>
                <c:pt idx="56">
                  <c:v>40</c:v>
                </c:pt>
                <c:pt idx="57">
                  <c:v>64</c:v>
                </c:pt>
                <c:pt idx="58">
                  <c:v>80</c:v>
                </c:pt>
                <c:pt idx="59">
                  <c:v>80</c:v>
                </c:pt>
                <c:pt idx="60">
                  <c:v>60</c:v>
                </c:pt>
                <c:pt idx="61">
                  <c:v>60</c:v>
                </c:pt>
                <c:pt idx="62">
                  <c:v>84</c:v>
                </c:pt>
                <c:pt idx="63">
                  <c:v>88</c:v>
                </c:pt>
                <c:pt idx="64">
                  <c:v>76</c:v>
                </c:pt>
                <c:pt idx="65">
                  <c:v>52</c:v>
                </c:pt>
                <c:pt idx="66">
                  <c:v>56.000000000000007</c:v>
                </c:pt>
                <c:pt idx="67">
                  <c:v>60</c:v>
                </c:pt>
                <c:pt idx="68">
                  <c:v>60</c:v>
                </c:pt>
                <c:pt idx="69">
                  <c:v>48</c:v>
                </c:pt>
                <c:pt idx="70">
                  <c:v>36</c:v>
                </c:pt>
                <c:pt idx="71">
                  <c:v>52</c:v>
                </c:pt>
                <c:pt idx="72">
                  <c:v>60</c:v>
                </c:pt>
                <c:pt idx="73">
                  <c:v>84</c:v>
                </c:pt>
                <c:pt idx="74">
                  <c:v>72</c:v>
                </c:pt>
                <c:pt idx="75">
                  <c:v>52</c:v>
                </c:pt>
                <c:pt idx="76">
                  <c:v>88</c:v>
                </c:pt>
                <c:pt idx="77">
                  <c:v>60</c:v>
                </c:pt>
                <c:pt idx="78">
                  <c:v>52</c:v>
                </c:pt>
                <c:pt idx="79">
                  <c:v>60</c:v>
                </c:pt>
                <c:pt idx="80">
                  <c:v>44</c:v>
                </c:pt>
                <c:pt idx="81">
                  <c:v>72</c:v>
                </c:pt>
                <c:pt idx="82">
                  <c:v>76</c:v>
                </c:pt>
                <c:pt idx="83">
                  <c:v>64</c:v>
                </c:pt>
                <c:pt idx="84">
                  <c:v>76</c:v>
                </c:pt>
                <c:pt idx="85">
                  <c:v>60</c:v>
                </c:pt>
                <c:pt idx="86">
                  <c:v>68</c:v>
                </c:pt>
                <c:pt idx="87">
                  <c:v>64</c:v>
                </c:pt>
                <c:pt idx="88">
                  <c:v>40</c:v>
                </c:pt>
                <c:pt idx="89">
                  <c:v>48</c:v>
                </c:pt>
                <c:pt idx="90">
                  <c:v>84</c:v>
                </c:pt>
                <c:pt idx="91">
                  <c:v>72</c:v>
                </c:pt>
                <c:pt idx="92">
                  <c:v>60</c:v>
                </c:pt>
                <c:pt idx="93">
                  <c:v>72</c:v>
                </c:pt>
                <c:pt idx="94">
                  <c:v>28.000000000000004</c:v>
                </c:pt>
                <c:pt idx="95">
                  <c:v>80</c:v>
                </c:pt>
                <c:pt idx="96">
                  <c:v>48</c:v>
                </c:pt>
                <c:pt idx="97">
                  <c:v>52</c:v>
                </c:pt>
                <c:pt idx="98">
                  <c:v>44</c:v>
                </c:pt>
                <c:pt idx="99">
                  <c:v>32</c:v>
                </c:pt>
                <c:pt idx="100">
                  <c:v>72</c:v>
                </c:pt>
                <c:pt idx="101">
                  <c:v>72</c:v>
                </c:pt>
                <c:pt idx="102">
                  <c:v>80</c:v>
                </c:pt>
                <c:pt idx="103">
                  <c:v>72</c:v>
                </c:pt>
                <c:pt idx="104">
                  <c:v>72</c:v>
                </c:pt>
                <c:pt idx="105">
                  <c:v>48</c:v>
                </c:pt>
                <c:pt idx="106">
                  <c:v>44</c:v>
                </c:pt>
                <c:pt idx="107">
                  <c:v>84</c:v>
                </c:pt>
                <c:pt idx="108">
                  <c:v>40</c:v>
                </c:pt>
                <c:pt idx="109">
                  <c:v>52</c:v>
                </c:pt>
                <c:pt idx="110">
                  <c:v>80</c:v>
                </c:pt>
                <c:pt idx="111">
                  <c:v>32</c:v>
                </c:pt>
                <c:pt idx="112">
                  <c:v>56.000000000000007</c:v>
                </c:pt>
                <c:pt idx="113">
                  <c:v>76</c:v>
                </c:pt>
                <c:pt idx="114">
                  <c:v>68</c:v>
                </c:pt>
                <c:pt idx="115">
                  <c:v>16</c:v>
                </c:pt>
                <c:pt idx="116">
                  <c:v>88</c:v>
                </c:pt>
                <c:pt idx="117">
                  <c:v>84</c:v>
                </c:pt>
                <c:pt idx="118">
                  <c:v>56.000000000000007</c:v>
                </c:pt>
                <c:pt idx="119">
                  <c:v>72</c:v>
                </c:pt>
                <c:pt idx="120">
                  <c:v>72</c:v>
                </c:pt>
                <c:pt idx="121">
                  <c:v>56.000000000000007</c:v>
                </c:pt>
                <c:pt idx="122">
                  <c:v>44</c:v>
                </c:pt>
                <c:pt idx="123">
                  <c:v>44</c:v>
                </c:pt>
                <c:pt idx="124">
                  <c:v>12</c:v>
                </c:pt>
                <c:pt idx="125">
                  <c:v>80</c:v>
                </c:pt>
                <c:pt idx="126">
                  <c:v>84</c:v>
                </c:pt>
                <c:pt idx="127">
                  <c:v>56.000000000000007</c:v>
                </c:pt>
                <c:pt idx="128">
                  <c:v>68</c:v>
                </c:pt>
                <c:pt idx="129">
                  <c:v>44</c:v>
                </c:pt>
                <c:pt idx="130">
                  <c:v>80</c:v>
                </c:pt>
                <c:pt idx="131">
                  <c:v>88</c:v>
                </c:pt>
                <c:pt idx="132">
                  <c:v>76</c:v>
                </c:pt>
                <c:pt idx="133">
                  <c:v>76</c:v>
                </c:pt>
                <c:pt idx="134">
                  <c:v>24</c:v>
                </c:pt>
                <c:pt idx="135">
                  <c:v>64</c:v>
                </c:pt>
                <c:pt idx="136">
                  <c:v>44</c:v>
                </c:pt>
                <c:pt idx="137">
                  <c:v>60</c:v>
                </c:pt>
                <c:pt idx="138">
                  <c:v>64</c:v>
                </c:pt>
                <c:pt idx="139">
                  <c:v>56.000000000000007</c:v>
                </c:pt>
                <c:pt idx="140">
                  <c:v>68</c:v>
                </c:pt>
                <c:pt idx="141">
                  <c:v>80</c:v>
                </c:pt>
                <c:pt idx="142">
                  <c:v>80</c:v>
                </c:pt>
                <c:pt idx="143">
                  <c:v>88</c:v>
                </c:pt>
                <c:pt idx="144">
                  <c:v>76</c:v>
                </c:pt>
                <c:pt idx="145">
                  <c:v>56.000000000000007</c:v>
                </c:pt>
                <c:pt idx="146">
                  <c:v>40</c:v>
                </c:pt>
                <c:pt idx="147">
                  <c:v>60</c:v>
                </c:pt>
                <c:pt idx="148">
                  <c:v>56.000000000000007</c:v>
                </c:pt>
                <c:pt idx="149">
                  <c:v>20</c:v>
                </c:pt>
                <c:pt idx="150">
                  <c:v>84</c:v>
                </c:pt>
                <c:pt idx="151">
                  <c:v>12</c:v>
                </c:pt>
                <c:pt idx="152">
                  <c:v>72</c:v>
                </c:pt>
                <c:pt idx="153">
                  <c:v>68</c:v>
                </c:pt>
                <c:pt idx="154">
                  <c:v>80</c:v>
                </c:pt>
                <c:pt idx="155">
                  <c:v>68</c:v>
                </c:pt>
                <c:pt idx="156">
                  <c:v>72</c:v>
                </c:pt>
                <c:pt idx="157">
                  <c:v>84</c:v>
                </c:pt>
                <c:pt idx="158">
                  <c:v>76</c:v>
                </c:pt>
                <c:pt idx="159">
                  <c:v>88</c:v>
                </c:pt>
                <c:pt idx="160">
                  <c:v>16</c:v>
                </c:pt>
                <c:pt idx="161">
                  <c:v>48</c:v>
                </c:pt>
                <c:pt idx="162">
                  <c:v>72</c:v>
                </c:pt>
                <c:pt idx="163">
                  <c:v>56.000000000000007</c:v>
                </c:pt>
                <c:pt idx="164">
                  <c:v>76</c:v>
                </c:pt>
                <c:pt idx="165">
                  <c:v>60</c:v>
                </c:pt>
                <c:pt idx="166">
                  <c:v>60</c:v>
                </c:pt>
                <c:pt idx="167">
                  <c:v>44</c:v>
                </c:pt>
                <c:pt idx="168">
                  <c:v>28.000000000000004</c:v>
                </c:pt>
                <c:pt idx="169">
                  <c:v>88</c:v>
                </c:pt>
                <c:pt idx="170">
                  <c:v>76</c:v>
                </c:pt>
                <c:pt idx="171">
                  <c:v>28.000000000000004</c:v>
                </c:pt>
                <c:pt idx="172">
                  <c:v>60</c:v>
                </c:pt>
                <c:pt idx="173">
                  <c:v>52</c:v>
                </c:pt>
                <c:pt idx="174">
                  <c:v>52</c:v>
                </c:pt>
                <c:pt idx="175">
                  <c:v>72</c:v>
                </c:pt>
                <c:pt idx="176">
                  <c:v>48</c:v>
                </c:pt>
                <c:pt idx="177">
                  <c:v>36</c:v>
                </c:pt>
                <c:pt idx="178">
                  <c:v>32</c:v>
                </c:pt>
                <c:pt idx="179">
                  <c:v>76</c:v>
                </c:pt>
                <c:pt idx="180">
                  <c:v>64</c:v>
                </c:pt>
                <c:pt idx="181">
                  <c:v>88</c:v>
                </c:pt>
                <c:pt idx="182">
                  <c:v>20</c:v>
                </c:pt>
                <c:pt idx="183">
                  <c:v>8</c:v>
                </c:pt>
                <c:pt idx="184">
                  <c:v>64</c:v>
                </c:pt>
                <c:pt idx="185">
                  <c:v>68</c:v>
                </c:pt>
                <c:pt idx="186">
                  <c:v>84</c:v>
                </c:pt>
                <c:pt idx="187">
                  <c:v>56.000000000000007</c:v>
                </c:pt>
                <c:pt idx="188">
                  <c:v>64</c:v>
                </c:pt>
                <c:pt idx="189">
                  <c:v>96</c:v>
                </c:pt>
                <c:pt idx="190">
                  <c:v>72</c:v>
                </c:pt>
                <c:pt idx="191">
                  <c:v>28.000000000000004</c:v>
                </c:pt>
                <c:pt idx="192">
                  <c:v>60</c:v>
                </c:pt>
                <c:pt idx="193">
                  <c:v>68</c:v>
                </c:pt>
                <c:pt idx="194">
                  <c:v>28.000000000000004</c:v>
                </c:pt>
                <c:pt idx="195">
                  <c:v>60</c:v>
                </c:pt>
                <c:pt idx="196">
                  <c:v>52</c:v>
                </c:pt>
                <c:pt idx="197">
                  <c:v>52</c:v>
                </c:pt>
              </c:numCache>
            </c:numRef>
          </c:yVal>
          <c:smooth val="0"/>
        </c:ser>
        <c:dLbls>
          <c:showLegendKey val="0"/>
          <c:showVal val="0"/>
          <c:showCatName val="0"/>
          <c:showSerName val="0"/>
          <c:showPercent val="0"/>
          <c:showBubbleSize val="0"/>
        </c:dLbls>
        <c:axId val="428223696"/>
        <c:axId val="428224088"/>
      </c:scatterChart>
      <c:valAx>
        <c:axId val="428223696"/>
        <c:scaling>
          <c:orientation val="minMax"/>
        </c:scaling>
        <c:delete val="0"/>
        <c:axPos val="b"/>
        <c:numFmt formatCode="0.00" sourceLinked="1"/>
        <c:majorTickMark val="out"/>
        <c:minorTickMark val="none"/>
        <c:tickLblPos val="nextTo"/>
        <c:spPr>
          <a:ln>
            <a:solidFill>
              <a:srgbClr val="0000CC"/>
            </a:solidFill>
          </a:ln>
        </c:spPr>
        <c:crossAx val="428224088"/>
        <c:crosses val="autoZero"/>
        <c:crossBetween val="midCat"/>
      </c:valAx>
      <c:valAx>
        <c:axId val="428224088"/>
        <c:scaling>
          <c:orientation val="minMax"/>
          <c:max val="100"/>
        </c:scaling>
        <c:delete val="0"/>
        <c:axPos val="l"/>
        <c:majorGridlines>
          <c:spPr>
            <a:ln>
              <a:solidFill>
                <a:schemeClr val="bg1">
                  <a:lumMod val="75000"/>
                </a:schemeClr>
              </a:solidFill>
            </a:ln>
          </c:spPr>
        </c:majorGridlines>
        <c:title>
          <c:tx>
            <c:rich>
              <a:bodyPr rot="-5400000" vert="horz"/>
              <a:lstStyle/>
              <a:p>
                <a:pPr>
                  <a:defRPr b="0">
                    <a:solidFill>
                      <a:srgbClr val="0000CC"/>
                    </a:solidFill>
                  </a:defRPr>
                </a:pPr>
                <a:r>
                  <a:rPr lang="en-US" b="0">
                    <a:solidFill>
                      <a:srgbClr val="0000CC"/>
                    </a:solidFill>
                  </a:rPr>
                  <a:t>ID4D</a:t>
                </a:r>
                <a:r>
                  <a:rPr lang="en-US" b="0" baseline="0">
                    <a:solidFill>
                      <a:srgbClr val="0000CC"/>
                    </a:solidFill>
                  </a:rPr>
                  <a:t> Score</a:t>
                </a:r>
                <a:endParaRPr lang="en-US" b="0">
                  <a:solidFill>
                    <a:srgbClr val="0000CC"/>
                  </a:solidFill>
                </a:endParaRPr>
              </a:p>
            </c:rich>
          </c:tx>
          <c:layout>
            <c:manualLayout>
              <c:xMode val="edge"/>
              <c:yMode val="edge"/>
              <c:x val="2.670940170940171E-3"/>
              <c:y val="0.35267388451443576"/>
            </c:manualLayout>
          </c:layout>
          <c:overlay val="0"/>
        </c:title>
        <c:numFmt formatCode="#,##0" sourceLinked="0"/>
        <c:majorTickMark val="out"/>
        <c:minorTickMark val="none"/>
        <c:tickLblPos val="low"/>
        <c:crossAx val="428223696"/>
        <c:crosses val="autoZero"/>
        <c:crossBetween val="midCat"/>
      </c:valAx>
      <c:spPr>
        <a:ln>
          <a:solidFill>
            <a:srgbClr val="0000CC"/>
          </a:solidFill>
        </a:ln>
      </c:spPr>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CC"/>
                </a:solidFill>
              </a:defRPr>
            </a:pPr>
            <a:r>
              <a:rPr lang="en-US"/>
              <a:t># of Unregistered Births (0-4) ['000]</a:t>
            </a:r>
          </a:p>
        </c:rich>
      </c:tx>
      <c:layout>
        <c:manualLayout>
          <c:xMode val="edge"/>
          <c:yMode val="edge"/>
          <c:x val="0.12985929365987081"/>
          <c:y val="5.3333333333333332E-3"/>
        </c:manualLayout>
      </c:layout>
      <c:overlay val="0"/>
    </c:title>
    <c:autoTitleDeleted val="0"/>
    <c:plotArea>
      <c:layout>
        <c:manualLayout>
          <c:layoutTarget val="inner"/>
          <c:xMode val="edge"/>
          <c:yMode val="edge"/>
          <c:x val="0.16238274035190045"/>
          <c:y val="0.17560750218722659"/>
          <c:w val="0.78956401283172939"/>
          <c:h val="0.68848862642169728"/>
        </c:manualLayout>
      </c:layout>
      <c:barChart>
        <c:barDir val="col"/>
        <c:grouping val="clustered"/>
        <c:varyColors val="0"/>
        <c:ser>
          <c:idx val="0"/>
          <c:order val="0"/>
          <c:tx>
            <c:strRef>
              <c:f>'ID4D Stats'!$U$63</c:f>
              <c:strCache>
                <c:ptCount val="1"/>
                <c:pt idx="0">
                  <c:v># of Unregistered Births (Pop 0-4) Dec'15 ['000]</c:v>
                </c:pt>
              </c:strCache>
            </c:strRef>
          </c:tx>
          <c:spPr>
            <a:solidFill>
              <a:srgbClr val="00B0F0"/>
            </a:solidFill>
            <a:ln>
              <a:solidFill>
                <a:srgbClr val="0000CC"/>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'ID4D Stats'!$T$64:$T$67</c:f>
              <c:strCache>
                <c:ptCount val="4"/>
                <c:pt idx="0">
                  <c:v>LIC (34)</c:v>
                </c:pt>
                <c:pt idx="1">
                  <c:v>LMIC (50)</c:v>
                </c:pt>
                <c:pt idx="2">
                  <c:v>UMIC (55)</c:v>
                </c:pt>
                <c:pt idx="3">
                  <c:v>HIC (59)</c:v>
                </c:pt>
              </c:strCache>
            </c:strRef>
          </c:cat>
          <c:val>
            <c:numRef>
              <c:f>'ID4D Stats'!$U$64:$U$67</c:f>
              <c:numCache>
                <c:formatCode>#,##0</c:formatCode>
                <c:ptCount val="4"/>
                <c:pt idx="0">
                  <c:v>76348.125551000019</c:v>
                </c:pt>
                <c:pt idx="1">
                  <c:v>84231.269535000029</c:v>
                </c:pt>
                <c:pt idx="2">
                  <c:v>10820.282825</c:v>
                </c:pt>
                <c:pt idx="3">
                  <c:v>1028.5383079999999</c:v>
                </c:pt>
              </c:numCache>
            </c:numRef>
          </c:val>
        </c:ser>
        <c:dLbls>
          <c:showLegendKey val="0"/>
          <c:showVal val="0"/>
          <c:showCatName val="0"/>
          <c:showSerName val="0"/>
          <c:showPercent val="0"/>
          <c:showBubbleSize val="0"/>
        </c:dLbls>
        <c:gapWidth val="150"/>
        <c:axId val="425649648"/>
        <c:axId val="425650040"/>
      </c:barChart>
      <c:catAx>
        <c:axId val="425649648"/>
        <c:scaling>
          <c:orientation val="minMax"/>
        </c:scaling>
        <c:delete val="0"/>
        <c:axPos val="b"/>
        <c:numFmt formatCode="General" sourceLinked="0"/>
        <c:majorTickMark val="out"/>
        <c:minorTickMark val="none"/>
        <c:tickLblPos val="nextTo"/>
        <c:crossAx val="425650040"/>
        <c:crosses val="autoZero"/>
        <c:auto val="1"/>
        <c:lblAlgn val="ctr"/>
        <c:lblOffset val="100"/>
        <c:noMultiLvlLbl val="0"/>
      </c:catAx>
      <c:valAx>
        <c:axId val="425650040"/>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crossAx val="425649648"/>
        <c:crosses val="autoZero"/>
        <c:crossBetween val="between"/>
      </c:valAx>
      <c:spPr>
        <a:ln>
          <a:solidFill>
            <a:schemeClr val="tx1">
              <a:lumMod val="50000"/>
              <a:lumOff val="50000"/>
            </a:schemeClr>
          </a:solidFill>
        </a:ln>
      </c:spPr>
    </c:plotArea>
    <c:plotVisOnly val="1"/>
    <c:dispBlanksAs val="gap"/>
    <c:showDLblsOverMax val="0"/>
  </c:chart>
  <c:txPr>
    <a:bodyPr/>
    <a:lstStyle/>
    <a:p>
      <a:pPr>
        <a:defRPr sz="900"/>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rgbClr val="0000CC"/>
                </a:solidFill>
              </a:defRPr>
            </a:pPr>
            <a:r>
              <a:rPr lang="en-US" sz="1200">
                <a:solidFill>
                  <a:srgbClr val="0000CC"/>
                </a:solidFill>
              </a:rPr>
              <a:t>WGI: Rule of Law </a:t>
            </a:r>
            <a:r>
              <a:rPr lang="en-US" sz="1200" baseline="0">
                <a:solidFill>
                  <a:srgbClr val="0000CC"/>
                </a:solidFill>
              </a:rPr>
              <a:t>vs.</a:t>
            </a:r>
            <a:r>
              <a:rPr lang="en-US" sz="1200">
                <a:solidFill>
                  <a:srgbClr val="0000CC"/>
                </a:solidFill>
              </a:rPr>
              <a:t> ID4D</a:t>
            </a:r>
          </a:p>
        </c:rich>
      </c:tx>
      <c:layout>
        <c:manualLayout>
          <c:xMode val="edge"/>
          <c:yMode val="edge"/>
          <c:x val="0.32479284440406486"/>
          <c:y val="0"/>
        </c:manualLayout>
      </c:layout>
      <c:overlay val="0"/>
    </c:title>
    <c:autoTitleDeleted val="0"/>
    <c:plotArea>
      <c:layout>
        <c:manualLayout>
          <c:layoutTarget val="inner"/>
          <c:xMode val="edge"/>
          <c:yMode val="edge"/>
          <c:x val="9.4031395114072269E-2"/>
          <c:y val="0.10394013248343957"/>
          <c:w val="0.8662584544720372"/>
          <c:h val="0.79659730033745779"/>
        </c:manualLayout>
      </c:layout>
      <c:scatterChart>
        <c:scatterStyle val="lineMarker"/>
        <c:varyColors val="0"/>
        <c:ser>
          <c:idx val="0"/>
          <c:order val="0"/>
          <c:tx>
            <c:v>RoL and ID4D</c:v>
          </c:tx>
          <c:spPr>
            <a:ln w="28575">
              <a:noFill/>
            </a:ln>
          </c:spPr>
          <c:marker>
            <c:symbol val="diamond"/>
            <c:size val="7"/>
            <c:spPr>
              <a:noFill/>
              <a:ln>
                <a:solidFill>
                  <a:srgbClr val="0000CC"/>
                </a:solidFill>
              </a:ln>
            </c:spPr>
          </c:marker>
          <c:trendline>
            <c:trendlineType val="log"/>
            <c:dispRSqr val="0"/>
            <c:dispEq val="0"/>
          </c:trendline>
          <c:trendline>
            <c:trendlineType val="power"/>
            <c:dispRSqr val="0"/>
            <c:dispEq val="0"/>
          </c:trendline>
          <c:trendline>
            <c:trendlineType val="log"/>
            <c:dispRSqr val="0"/>
            <c:dispEq val="0"/>
          </c:trendline>
          <c:trendline>
            <c:trendlineType val="power"/>
            <c:dispRSqr val="0"/>
            <c:dispEq val="0"/>
          </c:trendline>
          <c:trendline>
            <c:trendlineType val="linear"/>
            <c:dispRSqr val="0"/>
            <c:dispEq val="0"/>
          </c:trendline>
          <c:xVal>
            <c:numRef>
              <c:f>ID4D!$GX$3:$GX$200</c:f>
              <c:numCache>
                <c:formatCode>0.00</c:formatCode>
                <c:ptCount val="198"/>
                <c:pt idx="0">
                  <c:v>-1.6711688041687012</c:v>
                </c:pt>
                <c:pt idx="1">
                  <c:v>-0.57411551475524902</c:v>
                </c:pt>
                <c:pt idx="2">
                  <c:v>-0.68056273460388184</c:v>
                </c:pt>
                <c:pt idx="3">
                  <c:v>1.431373119354248</c:v>
                </c:pt>
                <c:pt idx="4">
                  <c:v>-1.2796025276184082</c:v>
                </c:pt>
                <c:pt idx="5">
                  <c:v>0.8620147705078125</c:v>
                </c:pt>
                <c:pt idx="6">
                  <c:v>-0.73170936107635498</c:v>
                </c:pt>
                <c:pt idx="7">
                  <c:v>-0.31475764513015747</c:v>
                </c:pt>
                <c:pt idx="8">
                  <c:v>1.7536464929580688</c:v>
                </c:pt>
                <c:pt idx="9">
                  <c:v>1.8288122415542603</c:v>
                </c:pt>
                <c:pt idx="10">
                  <c:v>-0.67366319894790649</c:v>
                </c:pt>
                <c:pt idx="11">
                  <c:v>0.59814250469207764</c:v>
                </c:pt>
                <c:pt idx="12">
                  <c:v>0.35160991549491882</c:v>
                </c:pt>
                <c:pt idx="13">
                  <c:v>-0.83167016506195068</c:v>
                </c:pt>
                <c:pt idx="14">
                  <c:v>0.99901491403579712</c:v>
                </c:pt>
                <c:pt idx="15">
                  <c:v>-0.88880389928817749</c:v>
                </c:pt>
                <c:pt idx="16">
                  <c:v>1.4032244682312012</c:v>
                </c:pt>
                <c:pt idx="17">
                  <c:v>-0.44881483912467957</c:v>
                </c:pt>
                <c:pt idx="18">
                  <c:v>-0.63234573602676392</c:v>
                </c:pt>
                <c:pt idx="19">
                  <c:v>0.24319683015346527</c:v>
                </c:pt>
                <c:pt idx="20">
                  <c:v>-1.0710729360580444</c:v>
                </c:pt>
                <c:pt idx="21">
                  <c:v>-0.16539673507213593</c:v>
                </c:pt>
                <c:pt idx="22">
                  <c:v>0.59308719635009766</c:v>
                </c:pt>
                <c:pt idx="23">
                  <c:v>-0.11938825249671936</c:v>
                </c:pt>
                <c:pt idx="24">
                  <c:v>0.61238980293273926</c:v>
                </c:pt>
                <c:pt idx="25">
                  <c:v>-0.13734309375286102</c:v>
                </c:pt>
                <c:pt idx="26">
                  <c:v>-0.52660852670669556</c:v>
                </c:pt>
                <c:pt idx="27">
                  <c:v>-1.0620208978652954</c:v>
                </c:pt>
                <c:pt idx="28">
                  <c:v>-0.98978906869888306</c:v>
                </c:pt>
                <c:pt idx="29">
                  <c:v>-1.0458563566207886</c:v>
                </c:pt>
                <c:pt idx="30">
                  <c:v>1.7398825883865356</c:v>
                </c:pt>
                <c:pt idx="31">
                  <c:v>0.48163485527038574</c:v>
                </c:pt>
                <c:pt idx="32">
                  <c:v>-1.8342373371124268</c:v>
                </c:pt>
                <c:pt idx="33">
                  <c:v>-1.3724688291549683</c:v>
                </c:pt>
                <c:pt idx="34">
                  <c:v>1.3384380340576172</c:v>
                </c:pt>
                <c:pt idx="35">
                  <c:v>-0.45593065023422241</c:v>
                </c:pt>
                <c:pt idx="36">
                  <c:v>-0.4485432505607605</c:v>
                </c:pt>
                <c:pt idx="37">
                  <c:v>-0.98600620031356812</c:v>
                </c:pt>
                <c:pt idx="38">
                  <c:v>-1.0923951864242554</c:v>
                </c:pt>
                <c:pt idx="39">
                  <c:v>-1.549072265625</c:v>
                </c:pt>
                <c:pt idx="40">
                  <c:v>0.49555924534797668</c:v>
                </c:pt>
                <c:pt idx="41">
                  <c:v>-0.93198961019515991</c:v>
                </c:pt>
                <c:pt idx="42">
                  <c:v>0.26469108462333679</c:v>
                </c:pt>
                <c:pt idx="43">
                  <c:v>-0.62753498554229736</c:v>
                </c:pt>
                <c:pt idx="44">
                  <c:v>0.99828946590423584</c:v>
                </c:pt>
                <c:pt idx="45">
                  <c:v>1.0022605657577515</c:v>
                </c:pt>
                <c:pt idx="46">
                  <c:v>1.8732744455337524</c:v>
                </c:pt>
                <c:pt idx="47">
                  <c:v>-0.75569522380828857</c:v>
                </c:pt>
                <c:pt idx="48">
                  <c:v>0.63390141725540161</c:v>
                </c:pt>
                <c:pt idx="49">
                  <c:v>-0.53252327442169189</c:v>
                </c:pt>
                <c:pt idx="50">
                  <c:v>-0.95037126541137695</c:v>
                </c:pt>
                <c:pt idx="51">
                  <c:v>-0.60204219818115234</c:v>
                </c:pt>
                <c:pt idx="52">
                  <c:v>-0.67533719539642334</c:v>
                </c:pt>
                <c:pt idx="53">
                  <c:v>-1.3177694082260132</c:v>
                </c:pt>
                <c:pt idx="54">
                  <c:v>-1.3893728256225586</c:v>
                </c:pt>
                <c:pt idx="55">
                  <c:v>1.1649566888809204</c:v>
                </c:pt>
                <c:pt idx="56">
                  <c:v>-0.62172514200210571</c:v>
                </c:pt>
                <c:pt idx="57">
                  <c:v>-0.84139895439147949</c:v>
                </c:pt>
                <c:pt idx="58">
                  <c:v>1.9256919622421265</c:v>
                </c:pt>
                <c:pt idx="59">
                  <c:v>1.3982659578323364</c:v>
                </c:pt>
                <c:pt idx="60">
                  <c:v>-0.51648277044296265</c:v>
                </c:pt>
                <c:pt idx="61">
                  <c:v>-0.58685719966888428</c:v>
                </c:pt>
                <c:pt idx="62">
                  <c:v>-2.4865627288818359E-2</c:v>
                </c:pt>
                <c:pt idx="63">
                  <c:v>1.6154125928878784</c:v>
                </c:pt>
                <c:pt idx="64">
                  <c:v>0.10850994288921356</c:v>
                </c:pt>
                <c:pt idx="65">
                  <c:v>0.43818497657775879</c:v>
                </c:pt>
                <c:pt idx="66">
                  <c:v>0.15664847195148468</c:v>
                </c:pt>
                <c:pt idx="67">
                  <c:v>-1.1117172241210937</c:v>
                </c:pt>
                <c:pt idx="68">
                  <c:v>-1.4214503765106201</c:v>
                </c:pt>
                <c:pt idx="69">
                  <c:v>-1.6227242946624756</c:v>
                </c:pt>
                <c:pt idx="70">
                  <c:v>-0.52498370409011841</c:v>
                </c:pt>
                <c:pt idx="71">
                  <c:v>-1.2992122173309326</c:v>
                </c:pt>
                <c:pt idx="72">
                  <c:v>-1.2284866571426392</c:v>
                </c:pt>
                <c:pt idx="73">
                  <c:v>1.5434002876281738</c:v>
                </c:pt>
                <c:pt idx="74">
                  <c:v>0.56341630220413208</c:v>
                </c:pt>
                <c:pt idx="75">
                  <c:v>1.6451395750045776</c:v>
                </c:pt>
                <c:pt idx="76">
                  <c:v>-9.8995424807071686E-2</c:v>
                </c:pt>
                <c:pt idx="77">
                  <c:v>-0.55442750453948975</c:v>
                </c:pt>
                <c:pt idx="78">
                  <c:v>-0.98273158073425293</c:v>
                </c:pt>
                <c:pt idx="79">
                  <c:v>-1.4714291095733643</c:v>
                </c:pt>
                <c:pt idx="80">
                  <c:v>1.7208665609359741</c:v>
                </c:pt>
                <c:pt idx="81">
                  <c:v>0.95247608423233032</c:v>
                </c:pt>
                <c:pt idx="82">
                  <c:v>0.35697352886199951</c:v>
                </c:pt>
                <c:pt idx="83">
                  <c:v>-0.38703241944313049</c:v>
                </c:pt>
                <c:pt idx="84">
                  <c:v>1.4094862937927246</c:v>
                </c:pt>
                <c:pt idx="85">
                  <c:v>0.38729506731033325</c:v>
                </c:pt>
                <c:pt idx="86">
                  <c:v>-0.66697525978088379</c:v>
                </c:pt>
                <c:pt idx="87">
                  <c:v>-0.7438962459564209</c:v>
                </c:pt>
                <c:pt idx="88">
                  <c:v>0.14013822376728058</c:v>
                </c:pt>
                <c:pt idx="89">
                  <c:v>-1.2859936952590942</c:v>
                </c:pt>
                <c:pt idx="90">
                  <c:v>0.9373629093170166</c:v>
                </c:pt>
                <c:pt idx="91">
                  <c:v>-0.56979662179946899</c:v>
                </c:pt>
                <c:pt idx="92">
                  <c:v>0.38760179281234741</c:v>
                </c:pt>
                <c:pt idx="93">
                  <c:v>-1.1385891437530518</c:v>
                </c:pt>
                <c:pt idx="94">
                  <c:v>-0.76938045024871826</c:v>
                </c:pt>
                <c:pt idx="95">
                  <c:v>0.74585670232772827</c:v>
                </c:pt>
                <c:pt idx="96">
                  <c:v>-0.77628809213638306</c:v>
                </c:pt>
                <c:pt idx="97">
                  <c:v>-0.26018881797790527</c:v>
                </c:pt>
                <c:pt idx="98">
                  <c:v>-0.91562843322753906</c:v>
                </c:pt>
                <c:pt idx="99">
                  <c:v>-1.3631532192230225</c:v>
                </c:pt>
                <c:pt idx="100">
                  <c:v>1.5856434106826782</c:v>
                </c:pt>
                <c:pt idx="101">
                  <c:v>0.79100668430328369</c:v>
                </c:pt>
                <c:pt idx="102">
                  <c:v>1.7876087427139282</c:v>
                </c:pt>
                <c:pt idx="103">
                  <c:v>0.629874587059021</c:v>
                </c:pt>
                <c:pt idx="104">
                  <c:v>-0.20096820592880249</c:v>
                </c:pt>
                <c:pt idx="105">
                  <c:v>-0.89731436967849731</c:v>
                </c:pt>
                <c:pt idx="106">
                  <c:v>-0.19043238461017609</c:v>
                </c:pt>
                <c:pt idx="107">
                  <c:v>0.47590911388397217</c:v>
                </c:pt>
                <c:pt idx="108">
                  <c:v>-0.68204653263092041</c:v>
                </c:pt>
                <c:pt idx="109">
                  <c:v>-0.74970912933349609</c:v>
                </c:pt>
                <c:pt idx="110">
                  <c:v>1.3218344449996948</c:v>
                </c:pt>
                <c:pt idx="111">
                  <c:v>0.12508969008922577</c:v>
                </c:pt>
                <c:pt idx="112">
                  <c:v>-0.94676613807678223</c:v>
                </c:pt>
                <c:pt idx="113">
                  <c:v>0.90168052911758423</c:v>
                </c:pt>
                <c:pt idx="114">
                  <c:v>-0.57790684700012207</c:v>
                </c:pt>
                <c:pt idx="115">
                  <c:v>7.4277207255363464E-2</c:v>
                </c:pt>
                <c:pt idx="116">
                  <c:v>-0.41016432642936707</c:v>
                </c:pt>
                <c:pt idx="117">
                  <c:v>0.94137513637542725</c:v>
                </c:pt>
                <c:pt idx="118">
                  <c:v>-0.36965698003768921</c:v>
                </c:pt>
                <c:pt idx="119">
                  <c:v>2.008335292339325E-2</c:v>
                </c:pt>
                <c:pt idx="120">
                  <c:v>-0.24764178693294525</c:v>
                </c:pt>
                <c:pt idx="121">
                  <c:v>-0.84657299518585205</c:v>
                </c:pt>
                <c:pt idx="122">
                  <c:v>-1.2201098203659058</c:v>
                </c:pt>
                <c:pt idx="123">
                  <c:v>0.24934184551239014</c:v>
                </c:pt>
                <c:pt idx="124">
                  <c:v>0.58017295598983765</c:v>
                </c:pt>
                <c:pt idx="125">
                  <c:v>-0.75577330589294434</c:v>
                </c:pt>
                <c:pt idx="126">
                  <c:v>1.8088915348052979</c:v>
                </c:pt>
                <c:pt idx="127">
                  <c:v>1.8600655794143677</c:v>
                </c:pt>
                <c:pt idx="128">
                  <c:v>-0.64647763967514038</c:v>
                </c:pt>
                <c:pt idx="129">
                  <c:v>-0.7452852725982666</c:v>
                </c:pt>
                <c:pt idx="130">
                  <c:v>-1.1576594114303589</c:v>
                </c:pt>
                <c:pt idx="131">
                  <c:v>1.9680243730545044</c:v>
                </c:pt>
                <c:pt idx="132">
                  <c:v>0.55621421337127686</c:v>
                </c:pt>
                <c:pt idx="133">
                  <c:v>-0.87924885749816895</c:v>
                </c:pt>
                <c:pt idx="134">
                  <c:v>0.90055704116821289</c:v>
                </c:pt>
                <c:pt idx="135">
                  <c:v>-0.23974256217479706</c:v>
                </c:pt>
                <c:pt idx="136">
                  <c:v>-0.97733235359191895</c:v>
                </c:pt>
                <c:pt idx="137">
                  <c:v>-0.82271867990493774</c:v>
                </c:pt>
                <c:pt idx="138">
                  <c:v>-0.60944223403930664</c:v>
                </c:pt>
                <c:pt idx="139">
                  <c:v>-0.4270918071269989</c:v>
                </c:pt>
                <c:pt idx="140">
                  <c:v>0.78531491756439209</c:v>
                </c:pt>
                <c:pt idx="141">
                  <c:v>1.03294837474823</c:v>
                </c:pt>
                <c:pt idx="142">
                  <c:v>1.0435861349105835</c:v>
                </c:pt>
                <c:pt idx="143">
                  <c:v>0.10646047443151474</c:v>
                </c:pt>
                <c:pt idx="144">
                  <c:v>-0.7835966944694519</c:v>
                </c:pt>
                <c:pt idx="145">
                  <c:v>-0.14770473539829254</c:v>
                </c:pt>
                <c:pt idx="146">
                  <c:v>0.72733807563781738</c:v>
                </c:pt>
                <c:pt idx="147">
                  <c:v>0.74519360065460205</c:v>
                </c:pt>
                <c:pt idx="148">
                  <c:v>0.85766142606735229</c:v>
                </c:pt>
                <c:pt idx="149">
                  <c:v>0.71896731853485107</c:v>
                </c:pt>
                <c:pt idx="150">
                  <c:v>0.94137513637542725</c:v>
                </c:pt>
                <c:pt idx="151">
                  <c:v>-0.82349950075149536</c:v>
                </c:pt>
                <c:pt idx="152">
                  <c:v>0.26479586958885193</c:v>
                </c:pt>
                <c:pt idx="153">
                  <c:v>-0.27289211750030518</c:v>
                </c:pt>
                <c:pt idx="154">
                  <c:v>-0.342977374792099</c:v>
                </c:pt>
                <c:pt idx="155">
                  <c:v>4.2723555117845535E-2</c:v>
                </c:pt>
                <c:pt idx="156">
                  <c:v>-0.87730908393859863</c:v>
                </c:pt>
                <c:pt idx="157">
                  <c:v>1.7431162595748901</c:v>
                </c:pt>
                <c:pt idx="158">
                  <c:v>0.44625633955001831</c:v>
                </c:pt>
                <c:pt idx="159">
                  <c:v>0.96852403879165649</c:v>
                </c:pt>
                <c:pt idx="160">
                  <c:v>-0.60345649719238281</c:v>
                </c:pt>
                <c:pt idx="161">
                  <c:v>-2.4434440135955811</c:v>
                </c:pt>
                <c:pt idx="162">
                  <c:v>0.12699155509471893</c:v>
                </c:pt>
                <c:pt idx="163">
                  <c:v>-1.4397648572921753</c:v>
                </c:pt>
                <c:pt idx="164">
                  <c:v>0.99634546041488647</c:v>
                </c:pt>
                <c:pt idx="165">
                  <c:v>-0.27145808935165405</c:v>
                </c:pt>
                <c:pt idx="166">
                  <c:v>-1.2524936199188232</c:v>
                </c:pt>
                <c:pt idx="167">
                  <c:v>-8.8782548904418945E-2</c:v>
                </c:pt>
                <c:pt idx="168">
                  <c:v>-0.42297843098640442</c:v>
                </c:pt>
                <c:pt idx="169">
                  <c:v>1.9540903568267822</c:v>
                </c:pt>
                <c:pt idx="170">
                  <c:v>1.7905142307281494</c:v>
                </c:pt>
                <c:pt idx="171">
                  <c:v>-1.4766747951507568</c:v>
                </c:pt>
                <c:pt idx="172">
                  <c:v>1.044350266456604</c:v>
                </c:pt>
                <c:pt idx="173">
                  <c:v>-1.239100456237793</c:v>
                </c:pt>
                <c:pt idx="174">
                  <c:v>-0.50403982400894165</c:v>
                </c:pt>
                <c:pt idx="175">
                  <c:v>-0.13342045247554779</c:v>
                </c:pt>
                <c:pt idx="176">
                  <c:v>-1.268952488899231</c:v>
                </c:pt>
                <c:pt idx="177">
                  <c:v>-1.0089588165283203</c:v>
                </c:pt>
                <c:pt idx="178">
                  <c:v>7.8357502818107605E-2</c:v>
                </c:pt>
                <c:pt idx="179">
                  <c:v>-0.22312884032726288</c:v>
                </c:pt>
                <c:pt idx="180">
                  <c:v>-0.20146887004375458</c:v>
                </c:pt>
                <c:pt idx="181">
                  <c:v>7.9689569771289825E-2</c:v>
                </c:pt>
                <c:pt idx="182">
                  <c:v>-1.3604741096496582</c:v>
                </c:pt>
                <c:pt idx="183">
                  <c:v>0.49187994003295898</c:v>
                </c:pt>
                <c:pt idx="184">
                  <c:v>-0.35707482695579529</c:v>
                </c:pt>
                <c:pt idx="185">
                  <c:v>-0.82528936862945557</c:v>
                </c:pt>
                <c:pt idx="186">
                  <c:v>0.64305514097213745</c:v>
                </c:pt>
                <c:pt idx="187">
                  <c:v>1.6732847690582275</c:v>
                </c:pt>
                <c:pt idx="188">
                  <c:v>1.5356947183609009</c:v>
                </c:pt>
                <c:pt idx="189">
                  <c:v>0.50333994626998901</c:v>
                </c:pt>
                <c:pt idx="190">
                  <c:v>-1.2041685581207275</c:v>
                </c:pt>
                <c:pt idx="191">
                  <c:v>0.27983322739601135</c:v>
                </c:pt>
                <c:pt idx="192">
                  <c:v>-1.7902894020080566</c:v>
                </c:pt>
                <c:pt idx="193">
                  <c:v>-0.48722907900810242</c:v>
                </c:pt>
                <c:pt idx="194">
                  <c:v>-0.43996623158454895</c:v>
                </c:pt>
                <c:pt idx="195">
                  <c:v>-1.15868079662323</c:v>
                </c:pt>
                <c:pt idx="196">
                  <c:v>-0.30641353130340576</c:v>
                </c:pt>
                <c:pt idx="197">
                  <c:v>-1.5678373575210571</c:v>
                </c:pt>
              </c:numCache>
            </c:numRef>
          </c:xVal>
          <c:yVal>
            <c:numRef>
              <c:f>ID4D!$IM$3:$IM$200</c:f>
              <c:numCache>
                <c:formatCode>0.00</c:formatCode>
                <c:ptCount val="198"/>
                <c:pt idx="0">
                  <c:v>64</c:v>
                </c:pt>
                <c:pt idx="1">
                  <c:v>72</c:v>
                </c:pt>
                <c:pt idx="2">
                  <c:v>56.000000000000007</c:v>
                </c:pt>
                <c:pt idx="3">
                  <c:v>32</c:v>
                </c:pt>
                <c:pt idx="4">
                  <c:v>72</c:v>
                </c:pt>
                <c:pt idx="5">
                  <c:v>24</c:v>
                </c:pt>
                <c:pt idx="6">
                  <c:v>80</c:v>
                </c:pt>
                <c:pt idx="7">
                  <c:v>76</c:v>
                </c:pt>
                <c:pt idx="8">
                  <c:v>56.000000000000007</c:v>
                </c:pt>
                <c:pt idx="9">
                  <c:v>72</c:v>
                </c:pt>
                <c:pt idx="10">
                  <c:v>76</c:v>
                </c:pt>
                <c:pt idx="11">
                  <c:v>56.000000000000007</c:v>
                </c:pt>
                <c:pt idx="12">
                  <c:v>60</c:v>
                </c:pt>
                <c:pt idx="13">
                  <c:v>68</c:v>
                </c:pt>
                <c:pt idx="14">
                  <c:v>60</c:v>
                </c:pt>
                <c:pt idx="15">
                  <c:v>40</c:v>
                </c:pt>
                <c:pt idx="16">
                  <c:v>88</c:v>
                </c:pt>
                <c:pt idx="17">
                  <c:v>36</c:v>
                </c:pt>
                <c:pt idx="18">
                  <c:v>40</c:v>
                </c:pt>
                <c:pt idx="19">
                  <c:v>48</c:v>
                </c:pt>
                <c:pt idx="20">
                  <c:v>52</c:v>
                </c:pt>
                <c:pt idx="21">
                  <c:v>80</c:v>
                </c:pt>
                <c:pt idx="22">
                  <c:v>56.000000000000007</c:v>
                </c:pt>
                <c:pt idx="23">
                  <c:v>80</c:v>
                </c:pt>
                <c:pt idx="24">
                  <c:v>60</c:v>
                </c:pt>
                <c:pt idx="25">
                  <c:v>72</c:v>
                </c:pt>
                <c:pt idx="26">
                  <c:v>44</c:v>
                </c:pt>
                <c:pt idx="27">
                  <c:v>56.000000000000007</c:v>
                </c:pt>
                <c:pt idx="28">
                  <c:v>52</c:v>
                </c:pt>
                <c:pt idx="29">
                  <c:v>60</c:v>
                </c:pt>
                <c:pt idx="30">
                  <c:v>52</c:v>
                </c:pt>
                <c:pt idx="31">
                  <c:v>44</c:v>
                </c:pt>
                <c:pt idx="32">
                  <c:v>36</c:v>
                </c:pt>
                <c:pt idx="33">
                  <c:v>40</c:v>
                </c:pt>
                <c:pt idx="34">
                  <c:v>96</c:v>
                </c:pt>
                <c:pt idx="35">
                  <c:v>72</c:v>
                </c:pt>
                <c:pt idx="36">
                  <c:v>76</c:v>
                </c:pt>
                <c:pt idx="37">
                  <c:v>40</c:v>
                </c:pt>
                <c:pt idx="38">
                  <c:v>52</c:v>
                </c:pt>
                <c:pt idx="39">
                  <c:v>52</c:v>
                </c:pt>
                <c:pt idx="40">
                  <c:v>72</c:v>
                </c:pt>
                <c:pt idx="41">
                  <c:v>68</c:v>
                </c:pt>
                <c:pt idx="42">
                  <c:v>84</c:v>
                </c:pt>
                <c:pt idx="43">
                  <c:v>48</c:v>
                </c:pt>
                <c:pt idx="44">
                  <c:v>56.000000000000007</c:v>
                </c:pt>
                <c:pt idx="45">
                  <c:v>84</c:v>
                </c:pt>
                <c:pt idx="46">
                  <c:v>48</c:v>
                </c:pt>
                <c:pt idx="47">
                  <c:v>48</c:v>
                </c:pt>
                <c:pt idx="48">
                  <c:v>56.000000000000007</c:v>
                </c:pt>
                <c:pt idx="49">
                  <c:v>68</c:v>
                </c:pt>
                <c:pt idx="50">
                  <c:v>60</c:v>
                </c:pt>
                <c:pt idx="51">
                  <c:v>56.000000000000007</c:v>
                </c:pt>
                <c:pt idx="52">
                  <c:v>56.000000000000007</c:v>
                </c:pt>
                <c:pt idx="53">
                  <c:v>24</c:v>
                </c:pt>
                <c:pt idx="54">
                  <c:v>36</c:v>
                </c:pt>
                <c:pt idx="55">
                  <c:v>80</c:v>
                </c:pt>
                <c:pt idx="56">
                  <c:v>40</c:v>
                </c:pt>
                <c:pt idx="57">
                  <c:v>64</c:v>
                </c:pt>
                <c:pt idx="58">
                  <c:v>80</c:v>
                </c:pt>
                <c:pt idx="59">
                  <c:v>80</c:v>
                </c:pt>
                <c:pt idx="60">
                  <c:v>60</c:v>
                </c:pt>
                <c:pt idx="61">
                  <c:v>60</c:v>
                </c:pt>
                <c:pt idx="62">
                  <c:v>84</c:v>
                </c:pt>
                <c:pt idx="63">
                  <c:v>88</c:v>
                </c:pt>
                <c:pt idx="64">
                  <c:v>76</c:v>
                </c:pt>
                <c:pt idx="65">
                  <c:v>52</c:v>
                </c:pt>
                <c:pt idx="66">
                  <c:v>56.000000000000007</c:v>
                </c:pt>
                <c:pt idx="67">
                  <c:v>60</c:v>
                </c:pt>
                <c:pt idx="68">
                  <c:v>60</c:v>
                </c:pt>
                <c:pt idx="69">
                  <c:v>48</c:v>
                </c:pt>
                <c:pt idx="70">
                  <c:v>36</c:v>
                </c:pt>
                <c:pt idx="71">
                  <c:v>52</c:v>
                </c:pt>
                <c:pt idx="72">
                  <c:v>60</c:v>
                </c:pt>
                <c:pt idx="73">
                  <c:v>84</c:v>
                </c:pt>
                <c:pt idx="74">
                  <c:v>72</c:v>
                </c:pt>
                <c:pt idx="75">
                  <c:v>52</c:v>
                </c:pt>
                <c:pt idx="76">
                  <c:v>88</c:v>
                </c:pt>
                <c:pt idx="77">
                  <c:v>60</c:v>
                </c:pt>
                <c:pt idx="78">
                  <c:v>52</c:v>
                </c:pt>
                <c:pt idx="79">
                  <c:v>60</c:v>
                </c:pt>
                <c:pt idx="80">
                  <c:v>44</c:v>
                </c:pt>
                <c:pt idx="81">
                  <c:v>72</c:v>
                </c:pt>
                <c:pt idx="82">
                  <c:v>76</c:v>
                </c:pt>
                <c:pt idx="83">
                  <c:v>64</c:v>
                </c:pt>
                <c:pt idx="84">
                  <c:v>76</c:v>
                </c:pt>
                <c:pt idx="85">
                  <c:v>60</c:v>
                </c:pt>
                <c:pt idx="86">
                  <c:v>68</c:v>
                </c:pt>
                <c:pt idx="87">
                  <c:v>64</c:v>
                </c:pt>
                <c:pt idx="88">
                  <c:v>40</c:v>
                </c:pt>
                <c:pt idx="89">
                  <c:v>48</c:v>
                </c:pt>
                <c:pt idx="90">
                  <c:v>84</c:v>
                </c:pt>
                <c:pt idx="91">
                  <c:v>72</c:v>
                </c:pt>
                <c:pt idx="92">
                  <c:v>60</c:v>
                </c:pt>
                <c:pt idx="93">
                  <c:v>72</c:v>
                </c:pt>
                <c:pt idx="94">
                  <c:v>28.000000000000004</c:v>
                </c:pt>
                <c:pt idx="95">
                  <c:v>80</c:v>
                </c:pt>
                <c:pt idx="96">
                  <c:v>48</c:v>
                </c:pt>
                <c:pt idx="97">
                  <c:v>52</c:v>
                </c:pt>
                <c:pt idx="98">
                  <c:v>44</c:v>
                </c:pt>
                <c:pt idx="99">
                  <c:v>32</c:v>
                </c:pt>
                <c:pt idx="100">
                  <c:v>72</c:v>
                </c:pt>
                <c:pt idx="101">
                  <c:v>72</c:v>
                </c:pt>
                <c:pt idx="102">
                  <c:v>80</c:v>
                </c:pt>
                <c:pt idx="103">
                  <c:v>72</c:v>
                </c:pt>
                <c:pt idx="104">
                  <c:v>72</c:v>
                </c:pt>
                <c:pt idx="105">
                  <c:v>48</c:v>
                </c:pt>
                <c:pt idx="106">
                  <c:v>44</c:v>
                </c:pt>
                <c:pt idx="107">
                  <c:v>84</c:v>
                </c:pt>
                <c:pt idx="108">
                  <c:v>40</c:v>
                </c:pt>
                <c:pt idx="109">
                  <c:v>52</c:v>
                </c:pt>
                <c:pt idx="110">
                  <c:v>80</c:v>
                </c:pt>
                <c:pt idx="111">
                  <c:v>32</c:v>
                </c:pt>
                <c:pt idx="112">
                  <c:v>56.000000000000007</c:v>
                </c:pt>
                <c:pt idx="113">
                  <c:v>76</c:v>
                </c:pt>
                <c:pt idx="114">
                  <c:v>68</c:v>
                </c:pt>
                <c:pt idx="115">
                  <c:v>16</c:v>
                </c:pt>
                <c:pt idx="116">
                  <c:v>88</c:v>
                </c:pt>
                <c:pt idx="117">
                  <c:v>84</c:v>
                </c:pt>
                <c:pt idx="118">
                  <c:v>56.000000000000007</c:v>
                </c:pt>
                <c:pt idx="119">
                  <c:v>72</c:v>
                </c:pt>
                <c:pt idx="120">
                  <c:v>72</c:v>
                </c:pt>
                <c:pt idx="121">
                  <c:v>56.000000000000007</c:v>
                </c:pt>
                <c:pt idx="122">
                  <c:v>44</c:v>
                </c:pt>
                <c:pt idx="123">
                  <c:v>44</c:v>
                </c:pt>
                <c:pt idx="124">
                  <c:v>12</c:v>
                </c:pt>
                <c:pt idx="125">
                  <c:v>80</c:v>
                </c:pt>
                <c:pt idx="126">
                  <c:v>84</c:v>
                </c:pt>
                <c:pt idx="127">
                  <c:v>56.000000000000007</c:v>
                </c:pt>
                <c:pt idx="128">
                  <c:v>68</c:v>
                </c:pt>
                <c:pt idx="129">
                  <c:v>44</c:v>
                </c:pt>
                <c:pt idx="130">
                  <c:v>80</c:v>
                </c:pt>
                <c:pt idx="131">
                  <c:v>88</c:v>
                </c:pt>
                <c:pt idx="132">
                  <c:v>76</c:v>
                </c:pt>
                <c:pt idx="133">
                  <c:v>76</c:v>
                </c:pt>
                <c:pt idx="134">
                  <c:v>24</c:v>
                </c:pt>
                <c:pt idx="135">
                  <c:v>64</c:v>
                </c:pt>
                <c:pt idx="136">
                  <c:v>44</c:v>
                </c:pt>
                <c:pt idx="137">
                  <c:v>60</c:v>
                </c:pt>
                <c:pt idx="138">
                  <c:v>64</c:v>
                </c:pt>
                <c:pt idx="139">
                  <c:v>56.000000000000007</c:v>
                </c:pt>
                <c:pt idx="140">
                  <c:v>68</c:v>
                </c:pt>
                <c:pt idx="141">
                  <c:v>80</c:v>
                </c:pt>
                <c:pt idx="142">
                  <c:v>80</c:v>
                </c:pt>
                <c:pt idx="143">
                  <c:v>88</c:v>
                </c:pt>
                <c:pt idx="144">
                  <c:v>76</c:v>
                </c:pt>
                <c:pt idx="145">
                  <c:v>56.000000000000007</c:v>
                </c:pt>
                <c:pt idx="146">
                  <c:v>40</c:v>
                </c:pt>
                <c:pt idx="147">
                  <c:v>60</c:v>
                </c:pt>
                <c:pt idx="148">
                  <c:v>56.000000000000007</c:v>
                </c:pt>
                <c:pt idx="149">
                  <c:v>20</c:v>
                </c:pt>
                <c:pt idx="150">
                  <c:v>84</c:v>
                </c:pt>
                <c:pt idx="151">
                  <c:v>12</c:v>
                </c:pt>
                <c:pt idx="152">
                  <c:v>72</c:v>
                </c:pt>
                <c:pt idx="153">
                  <c:v>68</c:v>
                </c:pt>
                <c:pt idx="154">
                  <c:v>80</c:v>
                </c:pt>
                <c:pt idx="155">
                  <c:v>68</c:v>
                </c:pt>
                <c:pt idx="156">
                  <c:v>72</c:v>
                </c:pt>
                <c:pt idx="157">
                  <c:v>84</c:v>
                </c:pt>
                <c:pt idx="158">
                  <c:v>76</c:v>
                </c:pt>
                <c:pt idx="159">
                  <c:v>88</c:v>
                </c:pt>
                <c:pt idx="160">
                  <c:v>16</c:v>
                </c:pt>
                <c:pt idx="161">
                  <c:v>48</c:v>
                </c:pt>
                <c:pt idx="162">
                  <c:v>72</c:v>
                </c:pt>
                <c:pt idx="163">
                  <c:v>56.000000000000007</c:v>
                </c:pt>
                <c:pt idx="164">
                  <c:v>76</c:v>
                </c:pt>
                <c:pt idx="165">
                  <c:v>60</c:v>
                </c:pt>
                <c:pt idx="166">
                  <c:v>60</c:v>
                </c:pt>
                <c:pt idx="167">
                  <c:v>44</c:v>
                </c:pt>
                <c:pt idx="168">
                  <c:v>28.000000000000004</c:v>
                </c:pt>
                <c:pt idx="169">
                  <c:v>88</c:v>
                </c:pt>
                <c:pt idx="170">
                  <c:v>76</c:v>
                </c:pt>
                <c:pt idx="171">
                  <c:v>28.000000000000004</c:v>
                </c:pt>
                <c:pt idx="172">
                  <c:v>60</c:v>
                </c:pt>
                <c:pt idx="173">
                  <c:v>52</c:v>
                </c:pt>
                <c:pt idx="174">
                  <c:v>52</c:v>
                </c:pt>
                <c:pt idx="175">
                  <c:v>72</c:v>
                </c:pt>
                <c:pt idx="176">
                  <c:v>48</c:v>
                </c:pt>
                <c:pt idx="177">
                  <c:v>36</c:v>
                </c:pt>
                <c:pt idx="178">
                  <c:v>32</c:v>
                </c:pt>
                <c:pt idx="179">
                  <c:v>76</c:v>
                </c:pt>
                <c:pt idx="180">
                  <c:v>64</c:v>
                </c:pt>
                <c:pt idx="181">
                  <c:v>88</c:v>
                </c:pt>
                <c:pt idx="182">
                  <c:v>20</c:v>
                </c:pt>
                <c:pt idx="183">
                  <c:v>8</c:v>
                </c:pt>
                <c:pt idx="184">
                  <c:v>64</c:v>
                </c:pt>
                <c:pt idx="185">
                  <c:v>68</c:v>
                </c:pt>
                <c:pt idx="186">
                  <c:v>84</c:v>
                </c:pt>
                <c:pt idx="187">
                  <c:v>56.000000000000007</c:v>
                </c:pt>
                <c:pt idx="188">
                  <c:v>64</c:v>
                </c:pt>
                <c:pt idx="189">
                  <c:v>96</c:v>
                </c:pt>
                <c:pt idx="190">
                  <c:v>72</c:v>
                </c:pt>
                <c:pt idx="191">
                  <c:v>28.000000000000004</c:v>
                </c:pt>
                <c:pt idx="192">
                  <c:v>60</c:v>
                </c:pt>
                <c:pt idx="193">
                  <c:v>68</c:v>
                </c:pt>
                <c:pt idx="194">
                  <c:v>28.000000000000004</c:v>
                </c:pt>
                <c:pt idx="195">
                  <c:v>60</c:v>
                </c:pt>
                <c:pt idx="196">
                  <c:v>52</c:v>
                </c:pt>
                <c:pt idx="197">
                  <c:v>52</c:v>
                </c:pt>
              </c:numCache>
            </c:numRef>
          </c:yVal>
          <c:smooth val="0"/>
        </c:ser>
        <c:dLbls>
          <c:showLegendKey val="0"/>
          <c:showVal val="0"/>
          <c:showCatName val="0"/>
          <c:showSerName val="0"/>
          <c:showPercent val="0"/>
          <c:showBubbleSize val="0"/>
        </c:dLbls>
        <c:axId val="428224872"/>
        <c:axId val="428225264"/>
      </c:scatterChart>
      <c:valAx>
        <c:axId val="428224872"/>
        <c:scaling>
          <c:orientation val="minMax"/>
        </c:scaling>
        <c:delete val="0"/>
        <c:axPos val="b"/>
        <c:numFmt formatCode="0.00" sourceLinked="1"/>
        <c:majorTickMark val="out"/>
        <c:minorTickMark val="none"/>
        <c:tickLblPos val="nextTo"/>
        <c:spPr>
          <a:ln>
            <a:solidFill>
              <a:srgbClr val="0000CC"/>
            </a:solidFill>
          </a:ln>
        </c:spPr>
        <c:crossAx val="428225264"/>
        <c:crosses val="autoZero"/>
        <c:crossBetween val="midCat"/>
      </c:valAx>
      <c:valAx>
        <c:axId val="428225264"/>
        <c:scaling>
          <c:orientation val="minMax"/>
          <c:max val="100"/>
        </c:scaling>
        <c:delete val="0"/>
        <c:axPos val="l"/>
        <c:majorGridlines>
          <c:spPr>
            <a:ln>
              <a:solidFill>
                <a:schemeClr val="bg1">
                  <a:lumMod val="75000"/>
                </a:schemeClr>
              </a:solidFill>
            </a:ln>
          </c:spPr>
        </c:majorGridlines>
        <c:title>
          <c:tx>
            <c:rich>
              <a:bodyPr rot="-5400000" vert="horz"/>
              <a:lstStyle/>
              <a:p>
                <a:pPr>
                  <a:defRPr b="0">
                    <a:solidFill>
                      <a:srgbClr val="0000CC"/>
                    </a:solidFill>
                  </a:defRPr>
                </a:pPr>
                <a:r>
                  <a:rPr lang="en-US" b="0">
                    <a:solidFill>
                      <a:srgbClr val="0000CC"/>
                    </a:solidFill>
                  </a:rPr>
                  <a:t>ID4D</a:t>
                </a:r>
                <a:r>
                  <a:rPr lang="en-US" b="0" baseline="0">
                    <a:solidFill>
                      <a:srgbClr val="0000CC"/>
                    </a:solidFill>
                  </a:rPr>
                  <a:t> Score</a:t>
                </a:r>
                <a:endParaRPr lang="en-US" b="0">
                  <a:solidFill>
                    <a:srgbClr val="0000CC"/>
                  </a:solidFill>
                </a:endParaRPr>
              </a:p>
            </c:rich>
          </c:tx>
          <c:layout>
            <c:manualLayout>
              <c:xMode val="edge"/>
              <c:yMode val="edge"/>
              <c:x val="2.670940170940171E-3"/>
              <c:y val="0.35267388451443576"/>
            </c:manualLayout>
          </c:layout>
          <c:overlay val="0"/>
        </c:title>
        <c:numFmt formatCode="#,##0" sourceLinked="0"/>
        <c:majorTickMark val="out"/>
        <c:minorTickMark val="none"/>
        <c:tickLblPos val="low"/>
        <c:crossAx val="428224872"/>
        <c:crosses val="autoZero"/>
        <c:crossBetween val="midCat"/>
      </c:valAx>
      <c:spPr>
        <a:ln>
          <a:solidFill>
            <a:srgbClr val="0000CC"/>
          </a:solidFill>
        </a:ln>
      </c:spPr>
    </c:plotArea>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rgbClr val="0000CC"/>
                </a:solidFill>
              </a:defRPr>
            </a:pPr>
            <a:r>
              <a:rPr lang="en-US" sz="1200">
                <a:solidFill>
                  <a:srgbClr val="0000CC"/>
                </a:solidFill>
              </a:rPr>
              <a:t>WGI: Control</a:t>
            </a:r>
            <a:r>
              <a:rPr lang="en-US" sz="1200" baseline="0">
                <a:solidFill>
                  <a:srgbClr val="0000CC"/>
                </a:solidFill>
              </a:rPr>
              <a:t> of Corruption</a:t>
            </a:r>
            <a:r>
              <a:rPr lang="en-US" sz="1200">
                <a:solidFill>
                  <a:srgbClr val="0000CC"/>
                </a:solidFill>
              </a:rPr>
              <a:t> </a:t>
            </a:r>
            <a:r>
              <a:rPr lang="en-US" sz="1200" baseline="0">
                <a:solidFill>
                  <a:srgbClr val="0000CC"/>
                </a:solidFill>
              </a:rPr>
              <a:t>vs.</a:t>
            </a:r>
            <a:r>
              <a:rPr lang="en-US" sz="1200">
                <a:solidFill>
                  <a:srgbClr val="0000CC"/>
                </a:solidFill>
              </a:rPr>
              <a:t> ID4D</a:t>
            </a:r>
          </a:p>
        </c:rich>
      </c:tx>
      <c:layout>
        <c:manualLayout>
          <c:xMode val="edge"/>
          <c:yMode val="edge"/>
          <c:x val="0.2580193401305606"/>
          <c:y val="0"/>
        </c:manualLayout>
      </c:layout>
      <c:overlay val="0"/>
    </c:title>
    <c:autoTitleDeleted val="0"/>
    <c:plotArea>
      <c:layout>
        <c:manualLayout>
          <c:layoutTarget val="inner"/>
          <c:xMode val="edge"/>
          <c:yMode val="edge"/>
          <c:x val="9.4031395114072269E-2"/>
          <c:y val="0.10394013248343957"/>
          <c:w val="0.8662584544720372"/>
          <c:h val="0.79659730033745779"/>
        </c:manualLayout>
      </c:layout>
      <c:scatterChart>
        <c:scatterStyle val="lineMarker"/>
        <c:varyColors val="0"/>
        <c:ser>
          <c:idx val="0"/>
          <c:order val="0"/>
          <c:tx>
            <c:v>CoC and ID4D</c:v>
          </c:tx>
          <c:spPr>
            <a:ln w="28575">
              <a:noFill/>
            </a:ln>
          </c:spPr>
          <c:marker>
            <c:symbol val="diamond"/>
            <c:size val="7"/>
            <c:spPr>
              <a:noFill/>
              <a:ln>
                <a:solidFill>
                  <a:srgbClr val="0000CC"/>
                </a:solidFill>
              </a:ln>
            </c:spPr>
          </c:marker>
          <c:trendline>
            <c:trendlineType val="log"/>
            <c:dispRSqr val="0"/>
            <c:dispEq val="0"/>
          </c:trendline>
          <c:trendline>
            <c:trendlineType val="power"/>
            <c:dispRSqr val="0"/>
            <c:dispEq val="0"/>
          </c:trendline>
          <c:trendline>
            <c:trendlineType val="log"/>
            <c:dispRSqr val="0"/>
            <c:dispEq val="0"/>
          </c:trendline>
          <c:trendline>
            <c:trendlineType val="power"/>
            <c:dispRSqr val="0"/>
            <c:dispEq val="0"/>
          </c:trendline>
          <c:trendline>
            <c:trendlineType val="linear"/>
            <c:dispRSqr val="0"/>
            <c:dispEq val="0"/>
          </c:trendline>
          <c:xVal>
            <c:numRef>
              <c:f>ID4D!$GY$3:$GY$200</c:f>
              <c:numCache>
                <c:formatCode>0.00</c:formatCode>
                <c:ptCount val="198"/>
                <c:pt idx="0">
                  <c:v>-1.4264214038848877</c:v>
                </c:pt>
                <c:pt idx="1">
                  <c:v>-0.71658492088317871</c:v>
                </c:pt>
                <c:pt idx="2">
                  <c:v>-0.47877040505409241</c:v>
                </c:pt>
                <c:pt idx="3">
                  <c:v>1.2859820127487183</c:v>
                </c:pt>
                <c:pt idx="4">
                  <c:v>-1.3247987031936646</c:v>
                </c:pt>
                <c:pt idx="5">
                  <c:v>1.2859820127487183</c:v>
                </c:pt>
                <c:pt idx="6">
                  <c:v>-0.45917874574661255</c:v>
                </c:pt>
                <c:pt idx="7">
                  <c:v>-0.46610239148139954</c:v>
                </c:pt>
                <c:pt idx="8">
                  <c:v>1.7606610059738159</c:v>
                </c:pt>
                <c:pt idx="9">
                  <c:v>1.5065270662307739</c:v>
                </c:pt>
                <c:pt idx="10">
                  <c:v>-0.90131652355194092</c:v>
                </c:pt>
                <c:pt idx="11">
                  <c:v>1.3565871715545654</c:v>
                </c:pt>
                <c:pt idx="12">
                  <c:v>0.45250546932220459</c:v>
                </c:pt>
                <c:pt idx="13">
                  <c:v>-0.89083665609359741</c:v>
                </c:pt>
                <c:pt idx="14">
                  <c:v>1.6100748777389526</c:v>
                </c:pt>
                <c:pt idx="15">
                  <c:v>-0.51814579963684082</c:v>
                </c:pt>
                <c:pt idx="16">
                  <c:v>1.6297614574432373</c:v>
                </c:pt>
                <c:pt idx="17">
                  <c:v>1.8382901325821877E-2</c:v>
                </c:pt>
                <c:pt idx="18">
                  <c:v>-0.825234055519104</c:v>
                </c:pt>
                <c:pt idx="19">
                  <c:v>0.82372254133224487</c:v>
                </c:pt>
                <c:pt idx="20">
                  <c:v>-0.58881908655166626</c:v>
                </c:pt>
                <c:pt idx="21">
                  <c:v>-0.22317834198474884</c:v>
                </c:pt>
                <c:pt idx="22">
                  <c:v>0.92223060131072998</c:v>
                </c:pt>
                <c:pt idx="23">
                  <c:v>-0.11527151614427567</c:v>
                </c:pt>
                <c:pt idx="24">
                  <c:v>0.72216993570327759</c:v>
                </c:pt>
                <c:pt idx="25">
                  <c:v>-0.29260116815567017</c:v>
                </c:pt>
                <c:pt idx="26">
                  <c:v>-0.57933026552200317</c:v>
                </c:pt>
                <c:pt idx="27">
                  <c:v>-1.3862658739089966</c:v>
                </c:pt>
                <c:pt idx="28">
                  <c:v>-1.0130703449249268</c:v>
                </c:pt>
                <c:pt idx="29">
                  <c:v>-1.1921844482421875</c:v>
                </c:pt>
                <c:pt idx="30">
                  <c:v>1.874397873878479</c:v>
                </c:pt>
                <c:pt idx="31">
                  <c:v>0.76906144618988037</c:v>
                </c:pt>
                <c:pt idx="32">
                  <c:v>-1.0414586067199707</c:v>
                </c:pt>
                <c:pt idx="33">
                  <c:v>-1.2849448919296265</c:v>
                </c:pt>
                <c:pt idx="34">
                  <c:v>1.5170445442199707</c:v>
                </c:pt>
                <c:pt idx="35">
                  <c:v>-0.35417136549949646</c:v>
                </c:pt>
                <c:pt idx="36">
                  <c:v>-0.43738386034965515</c:v>
                </c:pt>
                <c:pt idx="37">
                  <c:v>-0.72770512104034424</c:v>
                </c:pt>
                <c:pt idx="38">
                  <c:v>-1.1871302127838135</c:v>
                </c:pt>
                <c:pt idx="39">
                  <c:v>-1.2977684736251831</c:v>
                </c:pt>
                <c:pt idx="40">
                  <c:v>0.59387540817260742</c:v>
                </c:pt>
                <c:pt idx="41">
                  <c:v>-0.78714555501937866</c:v>
                </c:pt>
                <c:pt idx="42">
                  <c:v>0.10712494701147079</c:v>
                </c:pt>
                <c:pt idx="43">
                  <c:v>0.1231253519654274</c:v>
                </c:pt>
                <c:pt idx="44">
                  <c:v>1.2355309724807739</c:v>
                </c:pt>
                <c:pt idx="45">
                  <c:v>0.1902933269739151</c:v>
                </c:pt>
                <c:pt idx="46">
                  <c:v>2.4107282161712646</c:v>
                </c:pt>
                <c:pt idx="47">
                  <c:v>-0.44067952036857605</c:v>
                </c:pt>
                <c:pt idx="48">
                  <c:v>0.69384735822677612</c:v>
                </c:pt>
                <c:pt idx="49">
                  <c:v>-0.84626591205596924</c:v>
                </c:pt>
                <c:pt idx="50">
                  <c:v>-0.60957825183868408</c:v>
                </c:pt>
                <c:pt idx="51">
                  <c:v>-0.59902602434158325</c:v>
                </c:pt>
                <c:pt idx="52">
                  <c:v>-0.34808540344238281</c:v>
                </c:pt>
                <c:pt idx="53">
                  <c:v>-1.6088148355484009</c:v>
                </c:pt>
                <c:pt idx="54">
                  <c:v>-0.79470270872116089</c:v>
                </c:pt>
                <c:pt idx="55">
                  <c:v>1.1091399192810059</c:v>
                </c:pt>
                <c:pt idx="56">
                  <c:v>-0.50280857086181641</c:v>
                </c:pt>
                <c:pt idx="57">
                  <c:v>-0.40324515104293823</c:v>
                </c:pt>
                <c:pt idx="58">
                  <c:v>2.1921367645263672</c:v>
                </c:pt>
                <c:pt idx="59">
                  <c:v>1.3030450344085693</c:v>
                </c:pt>
                <c:pt idx="60">
                  <c:v>-0.55725061893463135</c:v>
                </c:pt>
                <c:pt idx="61">
                  <c:v>-0.70093679428100586</c:v>
                </c:pt>
                <c:pt idx="62">
                  <c:v>0.35516422986984253</c:v>
                </c:pt>
                <c:pt idx="63">
                  <c:v>1.777997612953186</c:v>
                </c:pt>
                <c:pt idx="64">
                  <c:v>-7.4241228401660919E-2</c:v>
                </c:pt>
                <c:pt idx="65">
                  <c:v>-0.10656367987394333</c:v>
                </c:pt>
                <c:pt idx="66">
                  <c:v>0.41117992997169495</c:v>
                </c:pt>
                <c:pt idx="67">
                  <c:v>-0.5769960880279541</c:v>
                </c:pt>
                <c:pt idx="68">
                  <c:v>-1.0600458383560181</c:v>
                </c:pt>
                <c:pt idx="69">
                  <c:v>-1.3298572301864624</c:v>
                </c:pt>
                <c:pt idx="70">
                  <c:v>-0.64495724439620972</c:v>
                </c:pt>
                <c:pt idx="71">
                  <c:v>-1.1548581123352051</c:v>
                </c:pt>
                <c:pt idx="72">
                  <c:v>-0.95028030872344971</c:v>
                </c:pt>
                <c:pt idx="73">
                  <c:v>1.631432056427002</c:v>
                </c:pt>
                <c:pt idx="74">
                  <c:v>0.28822383284568787</c:v>
                </c:pt>
                <c:pt idx="75">
                  <c:v>1.8996330499649048</c:v>
                </c:pt>
                <c:pt idx="76">
                  <c:v>-0.55983805656433105</c:v>
                </c:pt>
                <c:pt idx="77">
                  <c:v>-0.62189257144927979</c:v>
                </c:pt>
                <c:pt idx="78">
                  <c:v>-0.68019735813140869</c:v>
                </c:pt>
                <c:pt idx="79">
                  <c:v>-1.2459168434143066</c:v>
                </c:pt>
                <c:pt idx="80">
                  <c:v>1.537993311882019</c:v>
                </c:pt>
                <c:pt idx="81">
                  <c:v>0.84246653318405151</c:v>
                </c:pt>
                <c:pt idx="82">
                  <c:v>-3.7337947636842728E-2</c:v>
                </c:pt>
                <c:pt idx="83">
                  <c:v>-0.36755746603012085</c:v>
                </c:pt>
                <c:pt idx="84">
                  <c:v>1.6461528539657593</c:v>
                </c:pt>
                <c:pt idx="85">
                  <c:v>8.6076445877552032E-2</c:v>
                </c:pt>
                <c:pt idx="86">
                  <c:v>-0.89843583106994629</c:v>
                </c:pt>
                <c:pt idx="87">
                  <c:v>-1.0640664100646973</c:v>
                </c:pt>
                <c:pt idx="88">
                  <c:v>-4.0476474910974503E-2</c:v>
                </c:pt>
                <c:pt idx="89">
                  <c:v>-1.3577980995178223</c:v>
                </c:pt>
                <c:pt idx="90">
                  <c:v>0.54755353927612305</c:v>
                </c:pt>
                <c:pt idx="91">
                  <c:v>-0.64154326915740967</c:v>
                </c:pt>
                <c:pt idx="92">
                  <c:v>-0.15402252972126007</c:v>
                </c:pt>
                <c:pt idx="93">
                  <c:v>-1.1249353885650635</c:v>
                </c:pt>
                <c:pt idx="94">
                  <c:v>-0.89936977624893188</c:v>
                </c:pt>
                <c:pt idx="95">
                  <c:v>0.26569867134094238</c:v>
                </c:pt>
                <c:pt idx="96">
                  <c:v>-0.92491239309310913</c:v>
                </c:pt>
                <c:pt idx="97">
                  <c:v>0.22980020940303802</c:v>
                </c:pt>
                <c:pt idx="98">
                  <c:v>-0.67755973339080811</c:v>
                </c:pt>
                <c:pt idx="99">
                  <c:v>-1.5157136917114258</c:v>
                </c:pt>
                <c:pt idx="100">
                  <c:v>1.8335716724395752</c:v>
                </c:pt>
                <c:pt idx="101">
                  <c:v>0.36356371641159058</c:v>
                </c:pt>
                <c:pt idx="102">
                  <c:v>2.1148431301116943</c:v>
                </c:pt>
                <c:pt idx="103">
                  <c:v>0.5893593430519104</c:v>
                </c:pt>
                <c:pt idx="104">
                  <c:v>2.116113156080246E-2</c:v>
                </c:pt>
                <c:pt idx="105">
                  <c:v>-0.68909555673599243</c:v>
                </c:pt>
                <c:pt idx="106">
                  <c:v>-0.63648265600204468</c:v>
                </c:pt>
                <c:pt idx="107">
                  <c:v>0.40656179189682007</c:v>
                </c:pt>
                <c:pt idx="108">
                  <c:v>-0.51175802946090698</c:v>
                </c:pt>
                <c:pt idx="109">
                  <c:v>-0.72532027959823608</c:v>
                </c:pt>
                <c:pt idx="110">
                  <c:v>0.99050706624984741</c:v>
                </c:pt>
                <c:pt idx="111">
                  <c:v>-2.007962204515934E-2</c:v>
                </c:pt>
                <c:pt idx="112">
                  <c:v>-0.67925357818603516</c:v>
                </c:pt>
                <c:pt idx="113">
                  <c:v>0.30249342322349548</c:v>
                </c:pt>
                <c:pt idx="114">
                  <c:v>-0.47636392712593079</c:v>
                </c:pt>
                <c:pt idx="115">
                  <c:v>-0.16874107718467712</c:v>
                </c:pt>
                <c:pt idx="116">
                  <c:v>-0.73916435241699219</c:v>
                </c:pt>
                <c:pt idx="117">
                  <c:v>#N/A</c:v>
                </c:pt>
                <c:pt idx="118">
                  <c:v>-0.46223738789558411</c:v>
                </c:pt>
                <c:pt idx="119">
                  <c:v>-0.2474798709154129</c:v>
                </c:pt>
                <c:pt idx="120">
                  <c:v>-0.35616001486778259</c:v>
                </c:pt>
                <c:pt idx="121">
                  <c:v>-0.64969909191131592</c:v>
                </c:pt>
                <c:pt idx="122">
                  <c:v>-1.06778883934021</c:v>
                </c:pt>
                <c:pt idx="123">
                  <c:v>0.29580089449882507</c:v>
                </c:pt>
                <c:pt idx="124">
                  <c:v>-0.57633638381958008</c:v>
                </c:pt>
                <c:pt idx="125">
                  <c:v>-0.67726731300354004</c:v>
                </c:pt>
                <c:pt idx="126">
                  <c:v>2.0462131500244141</c:v>
                </c:pt>
                <c:pt idx="127">
                  <c:v>2.3476817607879639</c:v>
                </c:pt>
                <c:pt idx="128">
                  <c:v>-0.73106354475021362</c:v>
                </c:pt>
                <c:pt idx="129">
                  <c:v>-0.57010990381240845</c:v>
                </c:pt>
                <c:pt idx="130">
                  <c:v>-1.1967065334320068</c:v>
                </c:pt>
                <c:pt idx="131">
                  <c:v>2.2855260372161865</c:v>
                </c:pt>
                <c:pt idx="132">
                  <c:v>7.8189000487327576E-2</c:v>
                </c:pt>
                <c:pt idx="133">
                  <c:v>-0.93354696035385132</c:v>
                </c:pt>
                <c:pt idx="134">
                  <c:v>-0.57633638381958008</c:v>
                </c:pt>
                <c:pt idx="135">
                  <c:v>-0.36137080192565918</c:v>
                </c:pt>
                <c:pt idx="136">
                  <c:v>-1.0388617515563965</c:v>
                </c:pt>
                <c:pt idx="137">
                  <c:v>-1.037989616394043</c:v>
                </c:pt>
                <c:pt idx="138">
                  <c:v>-0.43786224722862244</c:v>
                </c:pt>
                <c:pt idx="139">
                  <c:v>-0.40074402093887329</c:v>
                </c:pt>
                <c:pt idx="140">
                  <c:v>0.54821187257766724</c:v>
                </c:pt>
                <c:pt idx="141">
                  <c:v>0.91559857130050659</c:v>
                </c:pt>
                <c:pt idx="142">
                  <c:v>1.2365845441818237</c:v>
                </c:pt>
                <c:pt idx="143">
                  <c:v>-0.20338164269924164</c:v>
                </c:pt>
                <c:pt idx="144">
                  <c:v>-0.99341022968292236</c:v>
                </c:pt>
                <c:pt idx="145">
                  <c:v>0.64729511737823486</c:v>
                </c:pt>
                <c:pt idx="146">
                  <c:v>0.97651481628417969</c:v>
                </c:pt>
                <c:pt idx="147">
                  <c:v>1.1732051372528076</c:v>
                </c:pt>
                <c:pt idx="148">
                  <c:v>0.97651481628417969</c:v>
                </c:pt>
                <c:pt idx="149">
                  <c:v>0.19516046345233917</c:v>
                </c:pt>
                <c:pt idx="150">
                  <c:v>#N/A</c:v>
                </c:pt>
                <c:pt idx="151">
                  <c:v>-0.38216298818588257</c:v>
                </c:pt>
                <c:pt idx="152">
                  <c:v>-8.0722123384475708E-3</c:v>
                </c:pt>
                <c:pt idx="153">
                  <c:v>-0.28196507692337036</c:v>
                </c:pt>
                <c:pt idx="154">
                  <c:v>-0.27401041984558105</c:v>
                </c:pt>
                <c:pt idx="155">
                  <c:v>0.38587310910224915</c:v>
                </c:pt>
                <c:pt idx="156">
                  <c:v>-0.89972198009490967</c:v>
                </c:pt>
                <c:pt idx="157">
                  <c:v>2.0799944400787354</c:v>
                </c:pt>
                <c:pt idx="158">
                  <c:v>5.8034248650074005E-2</c:v>
                </c:pt>
                <c:pt idx="159">
                  <c:v>0.70180833339691162</c:v>
                </c:pt>
                <c:pt idx="160">
                  <c:v>-0.4515451192855835</c:v>
                </c:pt>
                <c:pt idx="161">
                  <c:v>-1.5839486122131348</c:v>
                </c:pt>
                <c:pt idx="162">
                  <c:v>-0.11970674246549606</c:v>
                </c:pt>
                <c:pt idx="163">
                  <c:v>-1.3555991649627686</c:v>
                </c:pt>
                <c:pt idx="164">
                  <c:v>0.81422001123428345</c:v>
                </c:pt>
                <c:pt idx="165">
                  <c:v>-0.22708702087402344</c:v>
                </c:pt>
                <c:pt idx="166">
                  <c:v>-1.4882465600967407</c:v>
                </c:pt>
                <c:pt idx="167">
                  <c:v>-0.38153088092803955</c:v>
                </c:pt>
                <c:pt idx="168">
                  <c:v>-0.33666700124740601</c:v>
                </c:pt>
                <c:pt idx="169">
                  <c:v>2.2857012748718262</c:v>
                </c:pt>
                <c:pt idx="170">
                  <c:v>2.1307199001312256</c:v>
                </c:pt>
                <c:pt idx="171">
                  <c:v>-1.2392866611480713</c:v>
                </c:pt>
                <c:pt idx="172">
                  <c:v>0.67925041913986206</c:v>
                </c:pt>
                <c:pt idx="173">
                  <c:v>-1.1914055347442627</c:v>
                </c:pt>
                <c:pt idx="174">
                  <c:v>-0.82216185331344604</c:v>
                </c:pt>
                <c:pt idx="175">
                  <c:v>-0.3302399218082428</c:v>
                </c:pt>
                <c:pt idx="176">
                  <c:v>-0.84354525804519653</c:v>
                </c:pt>
                <c:pt idx="177">
                  <c:v>-1.0446861982345581</c:v>
                </c:pt>
                <c:pt idx="178">
                  <c:v>-7.6593652367591858E-2</c:v>
                </c:pt>
                <c:pt idx="179">
                  <c:v>-0.35169988870620728</c:v>
                </c:pt>
                <c:pt idx="180">
                  <c:v>-0.14782576262950897</c:v>
                </c:pt>
                <c:pt idx="181">
                  <c:v>0.11388041824102402</c:v>
                </c:pt>
                <c:pt idx="182">
                  <c:v>-1.3386058807373047</c:v>
                </c:pt>
                <c:pt idx="183">
                  <c:v>-0.34834778308868408</c:v>
                </c:pt>
                <c:pt idx="184">
                  <c:v>-1.0506607294082642</c:v>
                </c:pt>
                <c:pt idx="185">
                  <c:v>-1.0917834043502808</c:v>
                </c:pt>
                <c:pt idx="186">
                  <c:v>1.2931500673294067</c:v>
                </c:pt>
                <c:pt idx="187">
                  <c:v>1.681486964225769</c:v>
                </c:pt>
                <c:pt idx="188">
                  <c:v>1.2826782464981079</c:v>
                </c:pt>
                <c:pt idx="189">
                  <c:v>1.3355363607406616</c:v>
                </c:pt>
                <c:pt idx="190">
                  <c:v>-1.2260184288024902</c:v>
                </c:pt>
                <c:pt idx="191">
                  <c:v>0.37616285681724548</c:v>
                </c:pt>
                <c:pt idx="192">
                  <c:v>-1.275205135345459</c:v>
                </c:pt>
                <c:pt idx="193">
                  <c:v>-0.53402566909790039</c:v>
                </c:pt>
                <c:pt idx="194">
                  <c:v>-0.71473544836044312</c:v>
                </c:pt>
                <c:pt idx="195">
                  <c:v>-1.2027156352996826</c:v>
                </c:pt>
                <c:pt idx="196">
                  <c:v>-0.38686278462409973</c:v>
                </c:pt>
                <c:pt idx="197">
                  <c:v>-1.3651399612426758</c:v>
                </c:pt>
              </c:numCache>
            </c:numRef>
          </c:xVal>
          <c:yVal>
            <c:numRef>
              <c:f>ID4D!$IM$3:$IM$200</c:f>
              <c:numCache>
                <c:formatCode>0.00</c:formatCode>
                <c:ptCount val="198"/>
                <c:pt idx="0">
                  <c:v>64</c:v>
                </c:pt>
                <c:pt idx="1">
                  <c:v>72</c:v>
                </c:pt>
                <c:pt idx="2">
                  <c:v>56.000000000000007</c:v>
                </c:pt>
                <c:pt idx="3">
                  <c:v>32</c:v>
                </c:pt>
                <c:pt idx="4">
                  <c:v>72</c:v>
                </c:pt>
                <c:pt idx="5">
                  <c:v>24</c:v>
                </c:pt>
                <c:pt idx="6">
                  <c:v>80</c:v>
                </c:pt>
                <c:pt idx="7">
                  <c:v>76</c:v>
                </c:pt>
                <c:pt idx="8">
                  <c:v>56.000000000000007</c:v>
                </c:pt>
                <c:pt idx="9">
                  <c:v>72</c:v>
                </c:pt>
                <c:pt idx="10">
                  <c:v>76</c:v>
                </c:pt>
                <c:pt idx="11">
                  <c:v>56.000000000000007</c:v>
                </c:pt>
                <c:pt idx="12">
                  <c:v>60</c:v>
                </c:pt>
                <c:pt idx="13">
                  <c:v>68</c:v>
                </c:pt>
                <c:pt idx="14">
                  <c:v>60</c:v>
                </c:pt>
                <c:pt idx="15">
                  <c:v>40</c:v>
                </c:pt>
                <c:pt idx="16">
                  <c:v>88</c:v>
                </c:pt>
                <c:pt idx="17">
                  <c:v>36</c:v>
                </c:pt>
                <c:pt idx="18">
                  <c:v>40</c:v>
                </c:pt>
                <c:pt idx="19">
                  <c:v>48</c:v>
                </c:pt>
                <c:pt idx="20">
                  <c:v>52</c:v>
                </c:pt>
                <c:pt idx="21">
                  <c:v>80</c:v>
                </c:pt>
                <c:pt idx="22">
                  <c:v>56.000000000000007</c:v>
                </c:pt>
                <c:pt idx="23">
                  <c:v>80</c:v>
                </c:pt>
                <c:pt idx="24">
                  <c:v>60</c:v>
                </c:pt>
                <c:pt idx="25">
                  <c:v>72</c:v>
                </c:pt>
                <c:pt idx="26">
                  <c:v>44</c:v>
                </c:pt>
                <c:pt idx="27">
                  <c:v>56.000000000000007</c:v>
                </c:pt>
                <c:pt idx="28">
                  <c:v>52</c:v>
                </c:pt>
                <c:pt idx="29">
                  <c:v>60</c:v>
                </c:pt>
                <c:pt idx="30">
                  <c:v>52</c:v>
                </c:pt>
                <c:pt idx="31">
                  <c:v>44</c:v>
                </c:pt>
                <c:pt idx="32">
                  <c:v>36</c:v>
                </c:pt>
                <c:pt idx="33">
                  <c:v>40</c:v>
                </c:pt>
                <c:pt idx="34">
                  <c:v>96</c:v>
                </c:pt>
                <c:pt idx="35">
                  <c:v>72</c:v>
                </c:pt>
                <c:pt idx="36">
                  <c:v>76</c:v>
                </c:pt>
                <c:pt idx="37">
                  <c:v>40</c:v>
                </c:pt>
                <c:pt idx="38">
                  <c:v>52</c:v>
                </c:pt>
                <c:pt idx="39">
                  <c:v>52</c:v>
                </c:pt>
                <c:pt idx="40">
                  <c:v>72</c:v>
                </c:pt>
                <c:pt idx="41">
                  <c:v>68</c:v>
                </c:pt>
                <c:pt idx="42">
                  <c:v>84</c:v>
                </c:pt>
                <c:pt idx="43">
                  <c:v>48</c:v>
                </c:pt>
                <c:pt idx="44">
                  <c:v>56.000000000000007</c:v>
                </c:pt>
                <c:pt idx="45">
                  <c:v>84</c:v>
                </c:pt>
                <c:pt idx="46">
                  <c:v>48</c:v>
                </c:pt>
                <c:pt idx="47">
                  <c:v>48</c:v>
                </c:pt>
                <c:pt idx="48">
                  <c:v>56.000000000000007</c:v>
                </c:pt>
                <c:pt idx="49">
                  <c:v>68</c:v>
                </c:pt>
                <c:pt idx="50">
                  <c:v>60</c:v>
                </c:pt>
                <c:pt idx="51">
                  <c:v>56.000000000000007</c:v>
                </c:pt>
                <c:pt idx="52">
                  <c:v>56.000000000000007</c:v>
                </c:pt>
                <c:pt idx="53">
                  <c:v>24</c:v>
                </c:pt>
                <c:pt idx="54">
                  <c:v>36</c:v>
                </c:pt>
                <c:pt idx="55">
                  <c:v>80</c:v>
                </c:pt>
                <c:pt idx="56">
                  <c:v>40</c:v>
                </c:pt>
                <c:pt idx="57">
                  <c:v>64</c:v>
                </c:pt>
                <c:pt idx="58">
                  <c:v>80</c:v>
                </c:pt>
                <c:pt idx="59">
                  <c:v>80</c:v>
                </c:pt>
                <c:pt idx="60">
                  <c:v>60</c:v>
                </c:pt>
                <c:pt idx="61">
                  <c:v>60</c:v>
                </c:pt>
                <c:pt idx="62">
                  <c:v>84</c:v>
                </c:pt>
                <c:pt idx="63">
                  <c:v>88</c:v>
                </c:pt>
                <c:pt idx="64">
                  <c:v>76</c:v>
                </c:pt>
                <c:pt idx="65">
                  <c:v>52</c:v>
                </c:pt>
                <c:pt idx="66">
                  <c:v>56.000000000000007</c:v>
                </c:pt>
                <c:pt idx="67">
                  <c:v>60</c:v>
                </c:pt>
                <c:pt idx="68">
                  <c:v>60</c:v>
                </c:pt>
                <c:pt idx="69">
                  <c:v>48</c:v>
                </c:pt>
                <c:pt idx="70">
                  <c:v>36</c:v>
                </c:pt>
                <c:pt idx="71">
                  <c:v>52</c:v>
                </c:pt>
                <c:pt idx="72">
                  <c:v>60</c:v>
                </c:pt>
                <c:pt idx="73">
                  <c:v>84</c:v>
                </c:pt>
                <c:pt idx="74">
                  <c:v>72</c:v>
                </c:pt>
                <c:pt idx="75">
                  <c:v>52</c:v>
                </c:pt>
                <c:pt idx="76">
                  <c:v>88</c:v>
                </c:pt>
                <c:pt idx="77">
                  <c:v>60</c:v>
                </c:pt>
                <c:pt idx="78">
                  <c:v>52</c:v>
                </c:pt>
                <c:pt idx="79">
                  <c:v>60</c:v>
                </c:pt>
                <c:pt idx="80">
                  <c:v>44</c:v>
                </c:pt>
                <c:pt idx="81">
                  <c:v>72</c:v>
                </c:pt>
                <c:pt idx="82">
                  <c:v>76</c:v>
                </c:pt>
                <c:pt idx="83">
                  <c:v>64</c:v>
                </c:pt>
                <c:pt idx="84">
                  <c:v>76</c:v>
                </c:pt>
                <c:pt idx="85">
                  <c:v>60</c:v>
                </c:pt>
                <c:pt idx="86">
                  <c:v>68</c:v>
                </c:pt>
                <c:pt idx="87">
                  <c:v>64</c:v>
                </c:pt>
                <c:pt idx="88">
                  <c:v>40</c:v>
                </c:pt>
                <c:pt idx="89">
                  <c:v>48</c:v>
                </c:pt>
                <c:pt idx="90">
                  <c:v>84</c:v>
                </c:pt>
                <c:pt idx="91">
                  <c:v>72</c:v>
                </c:pt>
                <c:pt idx="92">
                  <c:v>60</c:v>
                </c:pt>
                <c:pt idx="93">
                  <c:v>72</c:v>
                </c:pt>
                <c:pt idx="94">
                  <c:v>28.000000000000004</c:v>
                </c:pt>
                <c:pt idx="95">
                  <c:v>80</c:v>
                </c:pt>
                <c:pt idx="96">
                  <c:v>48</c:v>
                </c:pt>
                <c:pt idx="97">
                  <c:v>52</c:v>
                </c:pt>
                <c:pt idx="98">
                  <c:v>44</c:v>
                </c:pt>
                <c:pt idx="99">
                  <c:v>32</c:v>
                </c:pt>
                <c:pt idx="100">
                  <c:v>72</c:v>
                </c:pt>
                <c:pt idx="101">
                  <c:v>72</c:v>
                </c:pt>
                <c:pt idx="102">
                  <c:v>80</c:v>
                </c:pt>
                <c:pt idx="103">
                  <c:v>72</c:v>
                </c:pt>
                <c:pt idx="104">
                  <c:v>72</c:v>
                </c:pt>
                <c:pt idx="105">
                  <c:v>48</c:v>
                </c:pt>
                <c:pt idx="106">
                  <c:v>44</c:v>
                </c:pt>
                <c:pt idx="107">
                  <c:v>84</c:v>
                </c:pt>
                <c:pt idx="108">
                  <c:v>40</c:v>
                </c:pt>
                <c:pt idx="109">
                  <c:v>52</c:v>
                </c:pt>
                <c:pt idx="110">
                  <c:v>80</c:v>
                </c:pt>
                <c:pt idx="111">
                  <c:v>32</c:v>
                </c:pt>
                <c:pt idx="112">
                  <c:v>56.000000000000007</c:v>
                </c:pt>
                <c:pt idx="113">
                  <c:v>76</c:v>
                </c:pt>
                <c:pt idx="114">
                  <c:v>68</c:v>
                </c:pt>
                <c:pt idx="115">
                  <c:v>16</c:v>
                </c:pt>
                <c:pt idx="116">
                  <c:v>88</c:v>
                </c:pt>
                <c:pt idx="117">
                  <c:v>84</c:v>
                </c:pt>
                <c:pt idx="118">
                  <c:v>56.000000000000007</c:v>
                </c:pt>
                <c:pt idx="119">
                  <c:v>72</c:v>
                </c:pt>
                <c:pt idx="120">
                  <c:v>72</c:v>
                </c:pt>
                <c:pt idx="121">
                  <c:v>56.000000000000007</c:v>
                </c:pt>
                <c:pt idx="122">
                  <c:v>44</c:v>
                </c:pt>
                <c:pt idx="123">
                  <c:v>44</c:v>
                </c:pt>
                <c:pt idx="124">
                  <c:v>12</c:v>
                </c:pt>
                <c:pt idx="125">
                  <c:v>80</c:v>
                </c:pt>
                <c:pt idx="126">
                  <c:v>84</c:v>
                </c:pt>
                <c:pt idx="127">
                  <c:v>56.000000000000007</c:v>
                </c:pt>
                <c:pt idx="128">
                  <c:v>68</c:v>
                </c:pt>
                <c:pt idx="129">
                  <c:v>44</c:v>
                </c:pt>
                <c:pt idx="130">
                  <c:v>80</c:v>
                </c:pt>
                <c:pt idx="131">
                  <c:v>88</c:v>
                </c:pt>
                <c:pt idx="132">
                  <c:v>76</c:v>
                </c:pt>
                <c:pt idx="133">
                  <c:v>76</c:v>
                </c:pt>
                <c:pt idx="134">
                  <c:v>24</c:v>
                </c:pt>
                <c:pt idx="135">
                  <c:v>64</c:v>
                </c:pt>
                <c:pt idx="136">
                  <c:v>44</c:v>
                </c:pt>
                <c:pt idx="137">
                  <c:v>60</c:v>
                </c:pt>
                <c:pt idx="138">
                  <c:v>64</c:v>
                </c:pt>
                <c:pt idx="139">
                  <c:v>56.000000000000007</c:v>
                </c:pt>
                <c:pt idx="140">
                  <c:v>68</c:v>
                </c:pt>
                <c:pt idx="141">
                  <c:v>80</c:v>
                </c:pt>
                <c:pt idx="142">
                  <c:v>80</c:v>
                </c:pt>
                <c:pt idx="143">
                  <c:v>88</c:v>
                </c:pt>
                <c:pt idx="144">
                  <c:v>76</c:v>
                </c:pt>
                <c:pt idx="145">
                  <c:v>56.000000000000007</c:v>
                </c:pt>
                <c:pt idx="146">
                  <c:v>40</c:v>
                </c:pt>
                <c:pt idx="147">
                  <c:v>60</c:v>
                </c:pt>
                <c:pt idx="148">
                  <c:v>56.000000000000007</c:v>
                </c:pt>
                <c:pt idx="149">
                  <c:v>20</c:v>
                </c:pt>
                <c:pt idx="150">
                  <c:v>84</c:v>
                </c:pt>
                <c:pt idx="151">
                  <c:v>12</c:v>
                </c:pt>
                <c:pt idx="152">
                  <c:v>72</c:v>
                </c:pt>
                <c:pt idx="153">
                  <c:v>68</c:v>
                </c:pt>
                <c:pt idx="154">
                  <c:v>80</c:v>
                </c:pt>
                <c:pt idx="155">
                  <c:v>68</c:v>
                </c:pt>
                <c:pt idx="156">
                  <c:v>72</c:v>
                </c:pt>
                <c:pt idx="157">
                  <c:v>84</c:v>
                </c:pt>
                <c:pt idx="158">
                  <c:v>76</c:v>
                </c:pt>
                <c:pt idx="159">
                  <c:v>88</c:v>
                </c:pt>
                <c:pt idx="160">
                  <c:v>16</c:v>
                </c:pt>
                <c:pt idx="161">
                  <c:v>48</c:v>
                </c:pt>
                <c:pt idx="162">
                  <c:v>72</c:v>
                </c:pt>
                <c:pt idx="163">
                  <c:v>56.000000000000007</c:v>
                </c:pt>
                <c:pt idx="164">
                  <c:v>76</c:v>
                </c:pt>
                <c:pt idx="165">
                  <c:v>60</c:v>
                </c:pt>
                <c:pt idx="166">
                  <c:v>60</c:v>
                </c:pt>
                <c:pt idx="167">
                  <c:v>44</c:v>
                </c:pt>
                <c:pt idx="168">
                  <c:v>28.000000000000004</c:v>
                </c:pt>
                <c:pt idx="169">
                  <c:v>88</c:v>
                </c:pt>
                <c:pt idx="170">
                  <c:v>76</c:v>
                </c:pt>
                <c:pt idx="171">
                  <c:v>28.000000000000004</c:v>
                </c:pt>
                <c:pt idx="172">
                  <c:v>60</c:v>
                </c:pt>
                <c:pt idx="173">
                  <c:v>52</c:v>
                </c:pt>
                <c:pt idx="174">
                  <c:v>52</c:v>
                </c:pt>
                <c:pt idx="175">
                  <c:v>72</c:v>
                </c:pt>
                <c:pt idx="176">
                  <c:v>48</c:v>
                </c:pt>
                <c:pt idx="177">
                  <c:v>36</c:v>
                </c:pt>
                <c:pt idx="178">
                  <c:v>32</c:v>
                </c:pt>
                <c:pt idx="179">
                  <c:v>76</c:v>
                </c:pt>
                <c:pt idx="180">
                  <c:v>64</c:v>
                </c:pt>
                <c:pt idx="181">
                  <c:v>88</c:v>
                </c:pt>
                <c:pt idx="182">
                  <c:v>20</c:v>
                </c:pt>
                <c:pt idx="183">
                  <c:v>8</c:v>
                </c:pt>
                <c:pt idx="184">
                  <c:v>64</c:v>
                </c:pt>
                <c:pt idx="185">
                  <c:v>68</c:v>
                </c:pt>
                <c:pt idx="186">
                  <c:v>84</c:v>
                </c:pt>
                <c:pt idx="187">
                  <c:v>56.000000000000007</c:v>
                </c:pt>
                <c:pt idx="188">
                  <c:v>64</c:v>
                </c:pt>
                <c:pt idx="189">
                  <c:v>96</c:v>
                </c:pt>
                <c:pt idx="190">
                  <c:v>72</c:v>
                </c:pt>
                <c:pt idx="191">
                  <c:v>28.000000000000004</c:v>
                </c:pt>
                <c:pt idx="192">
                  <c:v>60</c:v>
                </c:pt>
                <c:pt idx="193">
                  <c:v>68</c:v>
                </c:pt>
                <c:pt idx="194">
                  <c:v>28.000000000000004</c:v>
                </c:pt>
                <c:pt idx="195">
                  <c:v>60</c:v>
                </c:pt>
                <c:pt idx="196">
                  <c:v>52</c:v>
                </c:pt>
                <c:pt idx="197">
                  <c:v>52</c:v>
                </c:pt>
              </c:numCache>
            </c:numRef>
          </c:yVal>
          <c:smooth val="0"/>
        </c:ser>
        <c:dLbls>
          <c:showLegendKey val="0"/>
          <c:showVal val="0"/>
          <c:showCatName val="0"/>
          <c:showSerName val="0"/>
          <c:showPercent val="0"/>
          <c:showBubbleSize val="0"/>
        </c:dLbls>
        <c:axId val="428226048"/>
        <c:axId val="428226440"/>
      </c:scatterChart>
      <c:valAx>
        <c:axId val="428226048"/>
        <c:scaling>
          <c:orientation val="minMax"/>
          <c:max val="3"/>
          <c:min val="-3"/>
        </c:scaling>
        <c:delete val="0"/>
        <c:axPos val="b"/>
        <c:numFmt formatCode="0.00" sourceLinked="1"/>
        <c:majorTickMark val="out"/>
        <c:minorTickMark val="none"/>
        <c:tickLblPos val="nextTo"/>
        <c:spPr>
          <a:ln>
            <a:solidFill>
              <a:srgbClr val="0000CC"/>
            </a:solidFill>
          </a:ln>
        </c:spPr>
        <c:crossAx val="428226440"/>
        <c:crosses val="autoZero"/>
        <c:crossBetween val="midCat"/>
      </c:valAx>
      <c:valAx>
        <c:axId val="428226440"/>
        <c:scaling>
          <c:orientation val="minMax"/>
          <c:max val="100"/>
        </c:scaling>
        <c:delete val="0"/>
        <c:axPos val="l"/>
        <c:majorGridlines>
          <c:spPr>
            <a:ln>
              <a:solidFill>
                <a:schemeClr val="bg1">
                  <a:lumMod val="75000"/>
                </a:schemeClr>
              </a:solidFill>
            </a:ln>
          </c:spPr>
        </c:majorGridlines>
        <c:title>
          <c:tx>
            <c:rich>
              <a:bodyPr rot="-5400000" vert="horz"/>
              <a:lstStyle/>
              <a:p>
                <a:pPr>
                  <a:defRPr b="0">
                    <a:solidFill>
                      <a:srgbClr val="0000CC"/>
                    </a:solidFill>
                  </a:defRPr>
                </a:pPr>
                <a:r>
                  <a:rPr lang="en-US" b="0">
                    <a:solidFill>
                      <a:srgbClr val="0000CC"/>
                    </a:solidFill>
                  </a:rPr>
                  <a:t>ID4D</a:t>
                </a:r>
                <a:r>
                  <a:rPr lang="en-US" b="0" baseline="0">
                    <a:solidFill>
                      <a:srgbClr val="0000CC"/>
                    </a:solidFill>
                  </a:rPr>
                  <a:t> Score</a:t>
                </a:r>
                <a:endParaRPr lang="en-US" b="0">
                  <a:solidFill>
                    <a:srgbClr val="0000CC"/>
                  </a:solidFill>
                </a:endParaRPr>
              </a:p>
            </c:rich>
          </c:tx>
          <c:layout>
            <c:manualLayout>
              <c:xMode val="edge"/>
              <c:yMode val="edge"/>
              <c:x val="2.670940170940171E-3"/>
              <c:y val="0.35267388451443576"/>
            </c:manualLayout>
          </c:layout>
          <c:overlay val="0"/>
        </c:title>
        <c:numFmt formatCode="#,##0" sourceLinked="0"/>
        <c:majorTickMark val="out"/>
        <c:minorTickMark val="none"/>
        <c:tickLblPos val="low"/>
        <c:crossAx val="428226048"/>
        <c:crosses val="autoZero"/>
        <c:crossBetween val="midCat"/>
      </c:valAx>
      <c:spPr>
        <a:ln>
          <a:solidFill>
            <a:srgbClr val="0000CC"/>
          </a:solidFill>
        </a:ln>
      </c:spPr>
    </c:plotArea>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rgbClr val="0000CC"/>
                </a:solidFill>
              </a:defRPr>
            </a:pPr>
            <a:r>
              <a:rPr lang="en-US" sz="1200">
                <a:solidFill>
                  <a:srgbClr val="0000CC"/>
                </a:solidFill>
              </a:rPr>
              <a:t>Freedom of the Press </a:t>
            </a:r>
            <a:r>
              <a:rPr lang="en-US" sz="1200" baseline="0">
                <a:solidFill>
                  <a:srgbClr val="0000CC"/>
                </a:solidFill>
              </a:rPr>
              <a:t>vs.</a:t>
            </a:r>
            <a:r>
              <a:rPr lang="en-US" sz="1200">
                <a:solidFill>
                  <a:srgbClr val="0000CC"/>
                </a:solidFill>
              </a:rPr>
              <a:t> ID4D</a:t>
            </a:r>
          </a:p>
        </c:rich>
      </c:tx>
      <c:layout>
        <c:manualLayout>
          <c:xMode val="edge"/>
          <c:yMode val="edge"/>
          <c:x val="0.2580193401305606"/>
          <c:y val="0"/>
        </c:manualLayout>
      </c:layout>
      <c:overlay val="0"/>
    </c:title>
    <c:autoTitleDeleted val="0"/>
    <c:plotArea>
      <c:layout>
        <c:manualLayout>
          <c:layoutTarget val="inner"/>
          <c:xMode val="edge"/>
          <c:yMode val="edge"/>
          <c:x val="0.10514260717410323"/>
          <c:y val="6.84790398540608E-2"/>
          <c:w val="0.85514741907261582"/>
          <c:h val="0.87047430241432577"/>
        </c:manualLayout>
      </c:layout>
      <c:scatterChart>
        <c:scatterStyle val="lineMarker"/>
        <c:varyColors val="0"/>
        <c:ser>
          <c:idx val="0"/>
          <c:order val="0"/>
          <c:tx>
            <c:v>CoC and ID4D</c:v>
          </c:tx>
          <c:spPr>
            <a:ln w="28575">
              <a:noFill/>
            </a:ln>
          </c:spPr>
          <c:marker>
            <c:symbol val="diamond"/>
            <c:size val="7"/>
            <c:spPr>
              <a:noFill/>
              <a:ln>
                <a:solidFill>
                  <a:srgbClr val="0000CC"/>
                </a:solidFill>
              </a:ln>
            </c:spPr>
          </c:marker>
          <c:trendline>
            <c:trendlineType val="linear"/>
            <c:dispRSqr val="0"/>
            <c:dispEq val="0"/>
          </c:trendline>
          <c:xVal>
            <c:numRef>
              <c:f>ID4D!$GO$3:$GO$200</c:f>
              <c:numCache>
                <c:formatCode>General</c:formatCode>
                <c:ptCount val="198"/>
                <c:pt idx="0">
                  <c:v>66</c:v>
                </c:pt>
                <c:pt idx="1">
                  <c:v>49</c:v>
                </c:pt>
                <c:pt idx="2">
                  <c:v>59</c:v>
                </c:pt>
                <c:pt idx="3">
                  <c:v>13</c:v>
                </c:pt>
                <c:pt idx="4">
                  <c:v>69</c:v>
                </c:pt>
                <c:pt idx="5">
                  <c:v>39</c:v>
                </c:pt>
                <c:pt idx="6">
                  <c:v>51</c:v>
                </c:pt>
                <c:pt idx="7">
                  <c:v>62</c:v>
                </c:pt>
                <c:pt idx="8">
                  <c:v>22</c:v>
                </c:pt>
                <c:pt idx="9">
                  <c:v>21</c:v>
                </c:pt>
                <c:pt idx="10">
                  <c:v>84</c:v>
                </c:pt>
                <c:pt idx="11">
                  <c:v>20</c:v>
                </c:pt>
                <c:pt idx="12">
                  <c:v>87</c:v>
                </c:pt>
                <c:pt idx="13">
                  <c:v>54</c:v>
                </c:pt>
                <c:pt idx="14">
                  <c:v>18</c:v>
                </c:pt>
                <c:pt idx="15">
                  <c:v>93</c:v>
                </c:pt>
                <c:pt idx="16">
                  <c:v>11</c:v>
                </c:pt>
                <c:pt idx="17">
                  <c:v>22</c:v>
                </c:pt>
                <c:pt idx="18">
                  <c:v>36</c:v>
                </c:pt>
                <c:pt idx="19">
                  <c:v>59</c:v>
                </c:pt>
                <c:pt idx="20">
                  <c:v>48</c:v>
                </c:pt>
                <c:pt idx="21">
                  <c:v>50</c:v>
                </c:pt>
                <c:pt idx="22">
                  <c:v>41</c:v>
                </c:pt>
                <c:pt idx="23">
                  <c:v>45</c:v>
                </c:pt>
                <c:pt idx="24">
                  <c:v>75</c:v>
                </c:pt>
                <c:pt idx="25">
                  <c:v>39</c:v>
                </c:pt>
                <c:pt idx="26">
                  <c:v>44</c:v>
                </c:pt>
                <c:pt idx="27">
                  <c:v>74</c:v>
                </c:pt>
                <c:pt idx="28">
                  <c:v>66</c:v>
                </c:pt>
                <c:pt idx="29">
                  <c:v>66</c:v>
                </c:pt>
                <c:pt idx="30">
                  <c:v>19</c:v>
                </c:pt>
                <c:pt idx="31">
                  <c:v>27</c:v>
                </c:pt>
                <c:pt idx="32">
                  <c:v>77</c:v>
                </c:pt>
                <c:pt idx="33">
                  <c:v>75</c:v>
                </c:pt>
                <c:pt idx="34">
                  <c:v>31</c:v>
                </c:pt>
                <c:pt idx="35">
                  <c:v>84</c:v>
                </c:pt>
                <c:pt idx="36">
                  <c:v>54</c:v>
                </c:pt>
                <c:pt idx="37">
                  <c:v>49</c:v>
                </c:pt>
                <c:pt idx="38">
                  <c:v>57</c:v>
                </c:pt>
                <c:pt idx="39">
                  <c:v>79</c:v>
                </c:pt>
                <c:pt idx="40">
                  <c:v>18</c:v>
                </c:pt>
                <c:pt idx="41">
                  <c:v>55</c:v>
                </c:pt>
                <c:pt idx="42">
                  <c:v>40</c:v>
                </c:pt>
                <c:pt idx="43">
                  <c:v>90</c:v>
                </c:pt>
                <c:pt idx="44">
                  <c:v>25</c:v>
                </c:pt>
                <c:pt idx="45">
                  <c:v>20</c:v>
                </c:pt>
                <c:pt idx="46">
                  <c:v>12</c:v>
                </c:pt>
                <c:pt idx="47">
                  <c:v>75</c:v>
                </c:pt>
                <c:pt idx="48">
                  <c:v>25</c:v>
                </c:pt>
                <c:pt idx="49">
                  <c:v>41</c:v>
                </c:pt>
                <c:pt idx="50">
                  <c:v>62</c:v>
                </c:pt>
                <c:pt idx="51">
                  <c:v>68</c:v>
                </c:pt>
                <c:pt idx="52">
                  <c:v>39</c:v>
                </c:pt>
                <c:pt idx="53">
                  <c:v>90</c:v>
                </c:pt>
                <c:pt idx="54">
                  <c:v>94</c:v>
                </c:pt>
                <c:pt idx="55">
                  <c:v>16</c:v>
                </c:pt>
                <c:pt idx="56">
                  <c:v>81</c:v>
                </c:pt>
                <c:pt idx="57">
                  <c:v>54</c:v>
                </c:pt>
                <c:pt idx="58">
                  <c:v>11</c:v>
                </c:pt>
                <c:pt idx="59">
                  <c:v>22</c:v>
                </c:pt>
                <c:pt idx="60">
                  <c:v>70</c:v>
                </c:pt>
                <c:pt idx="61">
                  <c:v>83</c:v>
                </c:pt>
                <c:pt idx="62">
                  <c:v>47</c:v>
                </c:pt>
                <c:pt idx="63">
                  <c:v>17</c:v>
                </c:pt>
                <c:pt idx="64">
                  <c:v>28</c:v>
                </c:pt>
                <c:pt idx="65">
                  <c:v>46</c:v>
                </c:pt>
                <c:pt idx="66">
                  <c:v>24</c:v>
                </c:pt>
                <c:pt idx="67">
                  <c:v>60</c:v>
                </c:pt>
                <c:pt idx="68">
                  <c:v>64</c:v>
                </c:pt>
                <c:pt idx="69">
                  <c:v>67</c:v>
                </c:pt>
                <c:pt idx="70">
                  <c:v>34</c:v>
                </c:pt>
                <c:pt idx="71">
                  <c:v>50</c:v>
                </c:pt>
                <c:pt idx="72">
                  <c:v>64</c:v>
                </c:pt>
                <c:pt idx="73">
                  <c:v>37</c:v>
                </c:pt>
                <c:pt idx="74">
                  <c:v>35</c:v>
                </c:pt>
                <c:pt idx="75">
                  <c:v>12</c:v>
                </c:pt>
                <c:pt idx="76">
                  <c:v>39</c:v>
                </c:pt>
                <c:pt idx="77">
                  <c:v>49</c:v>
                </c:pt>
                <c:pt idx="78">
                  <c:v>90</c:v>
                </c:pt>
                <c:pt idx="79">
                  <c:v>69</c:v>
                </c:pt>
                <c:pt idx="80">
                  <c:v>16</c:v>
                </c:pt>
                <c:pt idx="81">
                  <c:v>30</c:v>
                </c:pt>
                <c:pt idx="82">
                  <c:v>31</c:v>
                </c:pt>
                <c:pt idx="83">
                  <c:v>17</c:v>
                </c:pt>
                <c:pt idx="84">
                  <c:v>25</c:v>
                </c:pt>
                <c:pt idx="85">
                  <c:v>68</c:v>
                </c:pt>
                <c:pt idx="86">
                  <c:v>85</c:v>
                </c:pt>
                <c:pt idx="87">
                  <c:v>57</c:v>
                </c:pt>
                <c:pt idx="88">
                  <c:v>29</c:v>
                </c:pt>
                <c:pt idx="89">
                  <c:v>97</c:v>
                </c:pt>
                <c:pt idx="90">
                  <c:v>32</c:v>
                </c:pt>
                <c:pt idx="91">
                  <c:v>49</c:v>
                </c:pt>
                <c:pt idx="92">
                  <c:v>59</c:v>
                </c:pt>
                <c:pt idx="93">
                  <c:v>66</c:v>
                </c:pt>
                <c:pt idx="94">
                  <c:v>84</c:v>
                </c:pt>
                <c:pt idx="95">
                  <c:v>27</c:v>
                </c:pt>
                <c:pt idx="96">
                  <c:v>53</c:v>
                </c:pt>
                <c:pt idx="97">
                  <c:v>47</c:v>
                </c:pt>
                <c:pt idx="98">
                  <c:v>58</c:v>
                </c:pt>
                <c:pt idx="99">
                  <c:v>62</c:v>
                </c:pt>
                <c:pt idx="100">
                  <c:v>14</c:v>
                </c:pt>
                <c:pt idx="101">
                  <c:v>24</c:v>
                </c:pt>
                <c:pt idx="102">
                  <c:v>12</c:v>
                </c:pt>
                <c:pt idx="103">
                  <c:v>59</c:v>
                </c:pt>
                <c:pt idx="104">
                  <c:v>57</c:v>
                </c:pt>
                <c:pt idx="105">
                  <c:v>63</c:v>
                </c:pt>
                <c:pt idx="106">
                  <c:v>51</c:v>
                </c:pt>
                <c:pt idx="107">
                  <c:v>64</c:v>
                </c:pt>
                <c:pt idx="108">
                  <c:v>55</c:v>
                </c:pt>
                <c:pt idx="109">
                  <c:v>37</c:v>
                </c:pt>
                <c:pt idx="110">
                  <c:v>23</c:v>
                </c:pt>
                <c:pt idx="111">
                  <c:v>17</c:v>
                </c:pt>
                <c:pt idx="112">
                  <c:v>48</c:v>
                </c:pt>
                <c:pt idx="113">
                  <c:v>30</c:v>
                </c:pt>
                <c:pt idx="114">
                  <c:v>61</c:v>
                </c:pt>
                <c:pt idx="115">
                  <c:v>21</c:v>
                </c:pt>
                <c:pt idx="116">
                  <c:v>53</c:v>
                </c:pt>
                <c:pt idx="117">
                  <c:v>15</c:v>
                </c:pt>
                <c:pt idx="118">
                  <c:v>37</c:v>
                </c:pt>
                <c:pt idx="119">
                  <c:v>39</c:v>
                </c:pt>
                <c:pt idx="120">
                  <c:v>66</c:v>
                </c:pt>
                <c:pt idx="121">
                  <c:v>45</c:v>
                </c:pt>
                <c:pt idx="122">
                  <c:v>70</c:v>
                </c:pt>
                <c:pt idx="123">
                  <c:v>31</c:v>
                </c:pt>
                <c:pt idx="124">
                  <c:v>31</c:v>
                </c:pt>
                <c:pt idx="125">
                  <c:v>55</c:v>
                </c:pt>
                <c:pt idx="126">
                  <c:v>10</c:v>
                </c:pt>
                <c:pt idx="127">
                  <c:v>18</c:v>
                </c:pt>
                <c:pt idx="128">
                  <c:v>52</c:v>
                </c:pt>
                <c:pt idx="129">
                  <c:v>52</c:v>
                </c:pt>
                <c:pt idx="130">
                  <c:v>51</c:v>
                </c:pt>
                <c:pt idx="131">
                  <c:v>10</c:v>
                </c:pt>
                <c:pt idx="132">
                  <c:v>71</c:v>
                </c:pt>
                <c:pt idx="133">
                  <c:v>64</c:v>
                </c:pt>
                <c:pt idx="134">
                  <c:v>15</c:v>
                </c:pt>
                <c:pt idx="135">
                  <c:v>50</c:v>
                </c:pt>
                <c:pt idx="136">
                  <c:v>29</c:v>
                </c:pt>
                <c:pt idx="137">
                  <c:v>59</c:v>
                </c:pt>
                <c:pt idx="138">
                  <c:v>44</c:v>
                </c:pt>
                <c:pt idx="139">
                  <c:v>44</c:v>
                </c:pt>
                <c:pt idx="140">
                  <c:v>27</c:v>
                </c:pt>
                <c:pt idx="141">
                  <c:v>18</c:v>
                </c:pt>
                <c:pt idx="142">
                  <c:v>67</c:v>
                </c:pt>
                <c:pt idx="143">
                  <c:v>41</c:v>
                </c:pt>
                <c:pt idx="144">
                  <c:v>81</c:v>
                </c:pt>
                <c:pt idx="145">
                  <c:v>79</c:v>
                </c:pt>
                <c:pt idx="146">
                  <c:v>20</c:v>
                </c:pt>
                <c:pt idx="147">
                  <c:v>15</c:v>
                </c:pt>
                <c:pt idx="148">
                  <c:v>17</c:v>
                </c:pt>
                <c:pt idx="149">
                  <c:v>29</c:v>
                </c:pt>
                <c:pt idx="150">
                  <c:v>16</c:v>
                </c:pt>
                <c:pt idx="151">
                  <c:v>28</c:v>
                </c:pt>
                <c:pt idx="152">
                  <c:v>83</c:v>
                </c:pt>
                <c:pt idx="153">
                  <c:v>48</c:v>
                </c:pt>
                <c:pt idx="154">
                  <c:v>37</c:v>
                </c:pt>
                <c:pt idx="155">
                  <c:v>52</c:v>
                </c:pt>
                <c:pt idx="156">
                  <c:v>49</c:v>
                </c:pt>
                <c:pt idx="157">
                  <c:v>67</c:v>
                </c:pt>
                <c:pt idx="158">
                  <c:v>23</c:v>
                </c:pt>
                <c:pt idx="159">
                  <c:v>24</c:v>
                </c:pt>
                <c:pt idx="160">
                  <c:v>28</c:v>
                </c:pt>
                <c:pt idx="161">
                  <c:v>82</c:v>
                </c:pt>
                <c:pt idx="162">
                  <c:v>33</c:v>
                </c:pt>
                <c:pt idx="163">
                  <c:v>62</c:v>
                </c:pt>
                <c:pt idx="164">
                  <c:v>28</c:v>
                </c:pt>
                <c:pt idx="165">
                  <c:v>76</c:v>
                </c:pt>
                <c:pt idx="166">
                  <c:v>81</c:v>
                </c:pt>
                <c:pt idx="167">
                  <c:v>28</c:v>
                </c:pt>
                <c:pt idx="168">
                  <c:v>78</c:v>
                </c:pt>
                <c:pt idx="169">
                  <c:v>10</c:v>
                </c:pt>
                <c:pt idx="170">
                  <c:v>12</c:v>
                </c:pt>
                <c:pt idx="171">
                  <c:v>89</c:v>
                </c:pt>
                <c:pt idx="172">
                  <c:v>26</c:v>
                </c:pt>
                <c:pt idx="173">
                  <c:v>80</c:v>
                </c:pt>
                <c:pt idx="174">
                  <c:v>55</c:v>
                </c:pt>
                <c:pt idx="175">
                  <c:v>64</c:v>
                </c:pt>
                <c:pt idx="176">
                  <c:v>35</c:v>
                </c:pt>
                <c:pt idx="177">
                  <c:v>65</c:v>
                </c:pt>
                <c:pt idx="178">
                  <c:v>29</c:v>
                </c:pt>
                <c:pt idx="179">
                  <c:v>25</c:v>
                </c:pt>
                <c:pt idx="180">
                  <c:v>53</c:v>
                </c:pt>
                <c:pt idx="181">
                  <c:v>62</c:v>
                </c:pt>
                <c:pt idx="182">
                  <c:v>95</c:v>
                </c:pt>
                <c:pt idx="183">
                  <c:v>27</c:v>
                </c:pt>
                <c:pt idx="184">
                  <c:v>58</c:v>
                </c:pt>
                <c:pt idx="185">
                  <c:v>63</c:v>
                </c:pt>
                <c:pt idx="186">
                  <c:v>76</c:v>
                </c:pt>
                <c:pt idx="187">
                  <c:v>23</c:v>
                </c:pt>
                <c:pt idx="188">
                  <c:v>21</c:v>
                </c:pt>
                <c:pt idx="189">
                  <c:v>26</c:v>
                </c:pt>
                <c:pt idx="190">
                  <c:v>95</c:v>
                </c:pt>
                <c:pt idx="191">
                  <c:v>25</c:v>
                </c:pt>
                <c:pt idx="192">
                  <c:v>78</c:v>
                </c:pt>
                <c:pt idx="193">
                  <c:v>84</c:v>
                </c:pt>
                <c:pt idx="194">
                  <c:v>82</c:v>
                </c:pt>
                <c:pt idx="195">
                  <c:v>76</c:v>
                </c:pt>
                <c:pt idx="196">
                  <c:v>61</c:v>
                </c:pt>
                <c:pt idx="197">
                  <c:v>73</c:v>
                </c:pt>
              </c:numCache>
            </c:numRef>
          </c:xVal>
          <c:yVal>
            <c:numRef>
              <c:f>ID4D!$IM$3:$IM$200</c:f>
              <c:numCache>
                <c:formatCode>0.00</c:formatCode>
                <c:ptCount val="198"/>
                <c:pt idx="0">
                  <c:v>64</c:v>
                </c:pt>
                <c:pt idx="1">
                  <c:v>72</c:v>
                </c:pt>
                <c:pt idx="2">
                  <c:v>56.000000000000007</c:v>
                </c:pt>
                <c:pt idx="3">
                  <c:v>32</c:v>
                </c:pt>
                <c:pt idx="4">
                  <c:v>72</c:v>
                </c:pt>
                <c:pt idx="5">
                  <c:v>24</c:v>
                </c:pt>
                <c:pt idx="6">
                  <c:v>80</c:v>
                </c:pt>
                <c:pt idx="7">
                  <c:v>76</c:v>
                </c:pt>
                <c:pt idx="8">
                  <c:v>56.000000000000007</c:v>
                </c:pt>
                <c:pt idx="9">
                  <c:v>72</c:v>
                </c:pt>
                <c:pt idx="10">
                  <c:v>76</c:v>
                </c:pt>
                <c:pt idx="11">
                  <c:v>56.000000000000007</c:v>
                </c:pt>
                <c:pt idx="12">
                  <c:v>60</c:v>
                </c:pt>
                <c:pt idx="13">
                  <c:v>68</c:v>
                </c:pt>
                <c:pt idx="14">
                  <c:v>60</c:v>
                </c:pt>
                <c:pt idx="15">
                  <c:v>40</c:v>
                </c:pt>
                <c:pt idx="16">
                  <c:v>88</c:v>
                </c:pt>
                <c:pt idx="17">
                  <c:v>36</c:v>
                </c:pt>
                <c:pt idx="18">
                  <c:v>40</c:v>
                </c:pt>
                <c:pt idx="19">
                  <c:v>48</c:v>
                </c:pt>
                <c:pt idx="20">
                  <c:v>52</c:v>
                </c:pt>
                <c:pt idx="21">
                  <c:v>80</c:v>
                </c:pt>
                <c:pt idx="22">
                  <c:v>56.000000000000007</c:v>
                </c:pt>
                <c:pt idx="23">
                  <c:v>80</c:v>
                </c:pt>
                <c:pt idx="24">
                  <c:v>60</c:v>
                </c:pt>
                <c:pt idx="25">
                  <c:v>72</c:v>
                </c:pt>
                <c:pt idx="26">
                  <c:v>44</c:v>
                </c:pt>
                <c:pt idx="27">
                  <c:v>56.000000000000007</c:v>
                </c:pt>
                <c:pt idx="28">
                  <c:v>52</c:v>
                </c:pt>
                <c:pt idx="29">
                  <c:v>60</c:v>
                </c:pt>
                <c:pt idx="30">
                  <c:v>52</c:v>
                </c:pt>
                <c:pt idx="31">
                  <c:v>44</c:v>
                </c:pt>
                <c:pt idx="32">
                  <c:v>36</c:v>
                </c:pt>
                <c:pt idx="33">
                  <c:v>40</c:v>
                </c:pt>
                <c:pt idx="34">
                  <c:v>96</c:v>
                </c:pt>
                <c:pt idx="35">
                  <c:v>72</c:v>
                </c:pt>
                <c:pt idx="36">
                  <c:v>76</c:v>
                </c:pt>
                <c:pt idx="37">
                  <c:v>40</c:v>
                </c:pt>
                <c:pt idx="38">
                  <c:v>52</c:v>
                </c:pt>
                <c:pt idx="39">
                  <c:v>52</c:v>
                </c:pt>
                <c:pt idx="40">
                  <c:v>72</c:v>
                </c:pt>
                <c:pt idx="41">
                  <c:v>68</c:v>
                </c:pt>
                <c:pt idx="42">
                  <c:v>84</c:v>
                </c:pt>
                <c:pt idx="43">
                  <c:v>48</c:v>
                </c:pt>
                <c:pt idx="44">
                  <c:v>56.000000000000007</c:v>
                </c:pt>
                <c:pt idx="45">
                  <c:v>84</c:v>
                </c:pt>
                <c:pt idx="46">
                  <c:v>48</c:v>
                </c:pt>
                <c:pt idx="47">
                  <c:v>48</c:v>
                </c:pt>
                <c:pt idx="48">
                  <c:v>56.000000000000007</c:v>
                </c:pt>
                <c:pt idx="49">
                  <c:v>68</c:v>
                </c:pt>
                <c:pt idx="50">
                  <c:v>60</c:v>
                </c:pt>
                <c:pt idx="51">
                  <c:v>56.000000000000007</c:v>
                </c:pt>
                <c:pt idx="52">
                  <c:v>56.000000000000007</c:v>
                </c:pt>
                <c:pt idx="53">
                  <c:v>24</c:v>
                </c:pt>
                <c:pt idx="54">
                  <c:v>36</c:v>
                </c:pt>
                <c:pt idx="55">
                  <c:v>80</c:v>
                </c:pt>
                <c:pt idx="56">
                  <c:v>40</c:v>
                </c:pt>
                <c:pt idx="57">
                  <c:v>64</c:v>
                </c:pt>
                <c:pt idx="58">
                  <c:v>80</c:v>
                </c:pt>
                <c:pt idx="59">
                  <c:v>80</c:v>
                </c:pt>
                <c:pt idx="60">
                  <c:v>60</c:v>
                </c:pt>
                <c:pt idx="61">
                  <c:v>60</c:v>
                </c:pt>
                <c:pt idx="62">
                  <c:v>84</c:v>
                </c:pt>
                <c:pt idx="63">
                  <c:v>88</c:v>
                </c:pt>
                <c:pt idx="64">
                  <c:v>76</c:v>
                </c:pt>
                <c:pt idx="65">
                  <c:v>52</c:v>
                </c:pt>
                <c:pt idx="66">
                  <c:v>56.000000000000007</c:v>
                </c:pt>
                <c:pt idx="67">
                  <c:v>60</c:v>
                </c:pt>
                <c:pt idx="68">
                  <c:v>60</c:v>
                </c:pt>
                <c:pt idx="69">
                  <c:v>48</c:v>
                </c:pt>
                <c:pt idx="70">
                  <c:v>36</c:v>
                </c:pt>
                <c:pt idx="71">
                  <c:v>52</c:v>
                </c:pt>
                <c:pt idx="72">
                  <c:v>60</c:v>
                </c:pt>
                <c:pt idx="73">
                  <c:v>84</c:v>
                </c:pt>
                <c:pt idx="74">
                  <c:v>72</c:v>
                </c:pt>
                <c:pt idx="75">
                  <c:v>52</c:v>
                </c:pt>
                <c:pt idx="76">
                  <c:v>88</c:v>
                </c:pt>
                <c:pt idx="77">
                  <c:v>60</c:v>
                </c:pt>
                <c:pt idx="78">
                  <c:v>52</c:v>
                </c:pt>
                <c:pt idx="79">
                  <c:v>60</c:v>
                </c:pt>
                <c:pt idx="80">
                  <c:v>44</c:v>
                </c:pt>
                <c:pt idx="81">
                  <c:v>72</c:v>
                </c:pt>
                <c:pt idx="82">
                  <c:v>76</c:v>
                </c:pt>
                <c:pt idx="83">
                  <c:v>64</c:v>
                </c:pt>
                <c:pt idx="84">
                  <c:v>76</c:v>
                </c:pt>
                <c:pt idx="85">
                  <c:v>60</c:v>
                </c:pt>
                <c:pt idx="86">
                  <c:v>68</c:v>
                </c:pt>
                <c:pt idx="87">
                  <c:v>64</c:v>
                </c:pt>
                <c:pt idx="88">
                  <c:v>40</c:v>
                </c:pt>
                <c:pt idx="89">
                  <c:v>48</c:v>
                </c:pt>
                <c:pt idx="90">
                  <c:v>84</c:v>
                </c:pt>
                <c:pt idx="91">
                  <c:v>72</c:v>
                </c:pt>
                <c:pt idx="92">
                  <c:v>60</c:v>
                </c:pt>
                <c:pt idx="93">
                  <c:v>72</c:v>
                </c:pt>
                <c:pt idx="94">
                  <c:v>28.000000000000004</c:v>
                </c:pt>
                <c:pt idx="95">
                  <c:v>80</c:v>
                </c:pt>
                <c:pt idx="96">
                  <c:v>48</c:v>
                </c:pt>
                <c:pt idx="97">
                  <c:v>52</c:v>
                </c:pt>
                <c:pt idx="98">
                  <c:v>44</c:v>
                </c:pt>
                <c:pt idx="99">
                  <c:v>32</c:v>
                </c:pt>
                <c:pt idx="100">
                  <c:v>72</c:v>
                </c:pt>
                <c:pt idx="101">
                  <c:v>72</c:v>
                </c:pt>
                <c:pt idx="102">
                  <c:v>80</c:v>
                </c:pt>
                <c:pt idx="103">
                  <c:v>72</c:v>
                </c:pt>
                <c:pt idx="104">
                  <c:v>72</c:v>
                </c:pt>
                <c:pt idx="105">
                  <c:v>48</c:v>
                </c:pt>
                <c:pt idx="106">
                  <c:v>44</c:v>
                </c:pt>
                <c:pt idx="107">
                  <c:v>84</c:v>
                </c:pt>
                <c:pt idx="108">
                  <c:v>40</c:v>
                </c:pt>
                <c:pt idx="109">
                  <c:v>52</c:v>
                </c:pt>
                <c:pt idx="110">
                  <c:v>80</c:v>
                </c:pt>
                <c:pt idx="111">
                  <c:v>32</c:v>
                </c:pt>
                <c:pt idx="112">
                  <c:v>56.000000000000007</c:v>
                </c:pt>
                <c:pt idx="113">
                  <c:v>76</c:v>
                </c:pt>
                <c:pt idx="114">
                  <c:v>68</c:v>
                </c:pt>
                <c:pt idx="115">
                  <c:v>16</c:v>
                </c:pt>
                <c:pt idx="116">
                  <c:v>88</c:v>
                </c:pt>
                <c:pt idx="117">
                  <c:v>84</c:v>
                </c:pt>
                <c:pt idx="118">
                  <c:v>56.000000000000007</c:v>
                </c:pt>
                <c:pt idx="119">
                  <c:v>72</c:v>
                </c:pt>
                <c:pt idx="120">
                  <c:v>72</c:v>
                </c:pt>
                <c:pt idx="121">
                  <c:v>56.000000000000007</c:v>
                </c:pt>
                <c:pt idx="122">
                  <c:v>44</c:v>
                </c:pt>
                <c:pt idx="123">
                  <c:v>44</c:v>
                </c:pt>
                <c:pt idx="124">
                  <c:v>12</c:v>
                </c:pt>
                <c:pt idx="125">
                  <c:v>80</c:v>
                </c:pt>
                <c:pt idx="126">
                  <c:v>84</c:v>
                </c:pt>
                <c:pt idx="127">
                  <c:v>56.000000000000007</c:v>
                </c:pt>
                <c:pt idx="128">
                  <c:v>68</c:v>
                </c:pt>
                <c:pt idx="129">
                  <c:v>44</c:v>
                </c:pt>
                <c:pt idx="130">
                  <c:v>80</c:v>
                </c:pt>
                <c:pt idx="131">
                  <c:v>88</c:v>
                </c:pt>
                <c:pt idx="132">
                  <c:v>76</c:v>
                </c:pt>
                <c:pt idx="133">
                  <c:v>76</c:v>
                </c:pt>
                <c:pt idx="134">
                  <c:v>24</c:v>
                </c:pt>
                <c:pt idx="135">
                  <c:v>64</c:v>
                </c:pt>
                <c:pt idx="136">
                  <c:v>44</c:v>
                </c:pt>
                <c:pt idx="137">
                  <c:v>60</c:v>
                </c:pt>
                <c:pt idx="138">
                  <c:v>64</c:v>
                </c:pt>
                <c:pt idx="139">
                  <c:v>56.000000000000007</c:v>
                </c:pt>
                <c:pt idx="140">
                  <c:v>68</c:v>
                </c:pt>
                <c:pt idx="141">
                  <c:v>80</c:v>
                </c:pt>
                <c:pt idx="142">
                  <c:v>80</c:v>
                </c:pt>
                <c:pt idx="143">
                  <c:v>88</c:v>
                </c:pt>
                <c:pt idx="144">
                  <c:v>76</c:v>
                </c:pt>
                <c:pt idx="145">
                  <c:v>56.000000000000007</c:v>
                </c:pt>
                <c:pt idx="146">
                  <c:v>40</c:v>
                </c:pt>
                <c:pt idx="147">
                  <c:v>60</c:v>
                </c:pt>
                <c:pt idx="148">
                  <c:v>56.000000000000007</c:v>
                </c:pt>
                <c:pt idx="149">
                  <c:v>20</c:v>
                </c:pt>
                <c:pt idx="150">
                  <c:v>84</c:v>
                </c:pt>
                <c:pt idx="151">
                  <c:v>12</c:v>
                </c:pt>
                <c:pt idx="152">
                  <c:v>72</c:v>
                </c:pt>
                <c:pt idx="153">
                  <c:v>68</c:v>
                </c:pt>
                <c:pt idx="154">
                  <c:v>80</c:v>
                </c:pt>
                <c:pt idx="155">
                  <c:v>68</c:v>
                </c:pt>
                <c:pt idx="156">
                  <c:v>72</c:v>
                </c:pt>
                <c:pt idx="157">
                  <c:v>84</c:v>
                </c:pt>
                <c:pt idx="158">
                  <c:v>76</c:v>
                </c:pt>
                <c:pt idx="159">
                  <c:v>88</c:v>
                </c:pt>
                <c:pt idx="160">
                  <c:v>16</c:v>
                </c:pt>
                <c:pt idx="161">
                  <c:v>48</c:v>
                </c:pt>
                <c:pt idx="162">
                  <c:v>72</c:v>
                </c:pt>
                <c:pt idx="163">
                  <c:v>56.000000000000007</c:v>
                </c:pt>
                <c:pt idx="164">
                  <c:v>76</c:v>
                </c:pt>
                <c:pt idx="165">
                  <c:v>60</c:v>
                </c:pt>
                <c:pt idx="166">
                  <c:v>60</c:v>
                </c:pt>
                <c:pt idx="167">
                  <c:v>44</c:v>
                </c:pt>
                <c:pt idx="168">
                  <c:v>28.000000000000004</c:v>
                </c:pt>
                <c:pt idx="169">
                  <c:v>88</c:v>
                </c:pt>
                <c:pt idx="170">
                  <c:v>76</c:v>
                </c:pt>
                <c:pt idx="171">
                  <c:v>28.000000000000004</c:v>
                </c:pt>
                <c:pt idx="172">
                  <c:v>60</c:v>
                </c:pt>
                <c:pt idx="173">
                  <c:v>52</c:v>
                </c:pt>
                <c:pt idx="174">
                  <c:v>52</c:v>
                </c:pt>
                <c:pt idx="175">
                  <c:v>72</c:v>
                </c:pt>
                <c:pt idx="176">
                  <c:v>48</c:v>
                </c:pt>
                <c:pt idx="177">
                  <c:v>36</c:v>
                </c:pt>
                <c:pt idx="178">
                  <c:v>32</c:v>
                </c:pt>
                <c:pt idx="179">
                  <c:v>76</c:v>
                </c:pt>
                <c:pt idx="180">
                  <c:v>64</c:v>
                </c:pt>
                <c:pt idx="181">
                  <c:v>88</c:v>
                </c:pt>
                <c:pt idx="182">
                  <c:v>20</c:v>
                </c:pt>
                <c:pt idx="183">
                  <c:v>8</c:v>
                </c:pt>
                <c:pt idx="184">
                  <c:v>64</c:v>
                </c:pt>
                <c:pt idx="185">
                  <c:v>68</c:v>
                </c:pt>
                <c:pt idx="186">
                  <c:v>84</c:v>
                </c:pt>
                <c:pt idx="187">
                  <c:v>56.000000000000007</c:v>
                </c:pt>
                <c:pt idx="188">
                  <c:v>64</c:v>
                </c:pt>
                <c:pt idx="189">
                  <c:v>96</c:v>
                </c:pt>
                <c:pt idx="190">
                  <c:v>72</c:v>
                </c:pt>
                <c:pt idx="191">
                  <c:v>28.000000000000004</c:v>
                </c:pt>
                <c:pt idx="192">
                  <c:v>60</c:v>
                </c:pt>
                <c:pt idx="193">
                  <c:v>68</c:v>
                </c:pt>
                <c:pt idx="194">
                  <c:v>28.000000000000004</c:v>
                </c:pt>
                <c:pt idx="195">
                  <c:v>60</c:v>
                </c:pt>
                <c:pt idx="196">
                  <c:v>52</c:v>
                </c:pt>
                <c:pt idx="197">
                  <c:v>52</c:v>
                </c:pt>
              </c:numCache>
            </c:numRef>
          </c:yVal>
          <c:smooth val="0"/>
        </c:ser>
        <c:dLbls>
          <c:showLegendKey val="0"/>
          <c:showVal val="0"/>
          <c:showCatName val="0"/>
          <c:showSerName val="0"/>
          <c:showPercent val="0"/>
          <c:showBubbleSize val="0"/>
        </c:dLbls>
        <c:axId val="428525504"/>
        <c:axId val="428525896"/>
      </c:scatterChart>
      <c:valAx>
        <c:axId val="428525504"/>
        <c:scaling>
          <c:orientation val="minMax"/>
          <c:max val="100"/>
        </c:scaling>
        <c:delete val="0"/>
        <c:axPos val="b"/>
        <c:numFmt formatCode="General" sourceLinked="1"/>
        <c:majorTickMark val="out"/>
        <c:minorTickMark val="none"/>
        <c:tickLblPos val="nextTo"/>
        <c:spPr>
          <a:ln>
            <a:solidFill>
              <a:srgbClr val="0000CC"/>
            </a:solidFill>
          </a:ln>
        </c:spPr>
        <c:crossAx val="428525896"/>
        <c:crosses val="autoZero"/>
        <c:crossBetween val="midCat"/>
        <c:majorUnit val="10"/>
      </c:valAx>
      <c:valAx>
        <c:axId val="428525896"/>
        <c:scaling>
          <c:orientation val="minMax"/>
          <c:max val="100"/>
        </c:scaling>
        <c:delete val="0"/>
        <c:axPos val="l"/>
        <c:majorGridlines>
          <c:spPr>
            <a:ln>
              <a:solidFill>
                <a:schemeClr val="bg1">
                  <a:lumMod val="75000"/>
                </a:schemeClr>
              </a:solidFill>
            </a:ln>
          </c:spPr>
        </c:majorGridlines>
        <c:title>
          <c:tx>
            <c:rich>
              <a:bodyPr rot="-5400000" vert="horz"/>
              <a:lstStyle/>
              <a:p>
                <a:pPr>
                  <a:defRPr b="0">
                    <a:solidFill>
                      <a:srgbClr val="0000CC"/>
                    </a:solidFill>
                  </a:defRPr>
                </a:pPr>
                <a:r>
                  <a:rPr lang="en-US" b="0">
                    <a:solidFill>
                      <a:srgbClr val="0000CC"/>
                    </a:solidFill>
                  </a:rPr>
                  <a:t>ID4D</a:t>
                </a:r>
                <a:r>
                  <a:rPr lang="en-US" b="0" baseline="0">
                    <a:solidFill>
                      <a:srgbClr val="0000CC"/>
                    </a:solidFill>
                  </a:rPr>
                  <a:t> Score</a:t>
                </a:r>
                <a:endParaRPr lang="en-US" b="0">
                  <a:solidFill>
                    <a:srgbClr val="0000CC"/>
                  </a:solidFill>
                </a:endParaRPr>
              </a:p>
            </c:rich>
          </c:tx>
          <c:layout>
            <c:manualLayout>
              <c:xMode val="edge"/>
              <c:yMode val="edge"/>
              <c:x val="2.670940170940171E-3"/>
              <c:y val="0.35267388451443576"/>
            </c:manualLayout>
          </c:layout>
          <c:overlay val="0"/>
        </c:title>
        <c:numFmt formatCode="#,##0" sourceLinked="0"/>
        <c:majorTickMark val="out"/>
        <c:minorTickMark val="none"/>
        <c:tickLblPos val="low"/>
        <c:crossAx val="428525504"/>
        <c:crosses val="autoZero"/>
        <c:crossBetween val="midCat"/>
      </c:valAx>
      <c:spPr>
        <a:ln>
          <a:solidFill>
            <a:srgbClr val="0000CC"/>
          </a:solidFill>
        </a:ln>
      </c:spPr>
    </c:plotArea>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rgbClr val="0000CC"/>
                </a:solidFill>
              </a:defRPr>
            </a:pPr>
            <a:r>
              <a:rPr lang="en-US" sz="1200">
                <a:solidFill>
                  <a:srgbClr val="0000CC"/>
                </a:solidFill>
              </a:rPr>
              <a:t>Polity IV </a:t>
            </a:r>
            <a:r>
              <a:rPr lang="en-US" sz="1200" baseline="0">
                <a:solidFill>
                  <a:srgbClr val="0000CC"/>
                </a:solidFill>
              </a:rPr>
              <a:t>vs.</a:t>
            </a:r>
            <a:r>
              <a:rPr lang="en-US" sz="1200">
                <a:solidFill>
                  <a:srgbClr val="0000CC"/>
                </a:solidFill>
              </a:rPr>
              <a:t> ID4D</a:t>
            </a:r>
          </a:p>
        </c:rich>
      </c:tx>
      <c:layout>
        <c:manualLayout>
          <c:xMode val="edge"/>
          <c:yMode val="edge"/>
          <c:x val="0.37190813648293963"/>
          <c:y val="0"/>
        </c:manualLayout>
      </c:layout>
      <c:overlay val="0"/>
    </c:title>
    <c:autoTitleDeleted val="0"/>
    <c:plotArea>
      <c:layout>
        <c:manualLayout>
          <c:layoutTarget val="inner"/>
          <c:xMode val="edge"/>
          <c:yMode val="edge"/>
          <c:x val="0.10514260717410323"/>
          <c:y val="6.84790398540608E-2"/>
          <c:w val="0.85514741907261582"/>
          <c:h val="0.87047430241432577"/>
        </c:manualLayout>
      </c:layout>
      <c:scatterChart>
        <c:scatterStyle val="lineMarker"/>
        <c:varyColors val="0"/>
        <c:ser>
          <c:idx val="1"/>
          <c:order val="0"/>
          <c:tx>
            <c:v>Polity vs. ID4D</c:v>
          </c:tx>
          <c:spPr>
            <a:ln w="28575">
              <a:noFill/>
            </a:ln>
          </c:spPr>
          <c:marker>
            <c:symbol val="diamond"/>
            <c:size val="7"/>
            <c:spPr>
              <a:noFill/>
              <a:ln>
                <a:solidFill>
                  <a:srgbClr val="0000CC"/>
                </a:solidFill>
              </a:ln>
            </c:spPr>
          </c:marker>
          <c:trendline>
            <c:trendlineType val="poly"/>
            <c:order val="2"/>
            <c:dispRSqr val="0"/>
            <c:dispEq val="0"/>
          </c:trendline>
          <c:xVal>
            <c:numRef>
              <c:f>ID4D!$GS$3:$GS$200</c:f>
              <c:numCache>
                <c:formatCode>General</c:formatCode>
                <c:ptCount val="198"/>
                <c:pt idx="0">
                  <c:v>-6</c:v>
                </c:pt>
                <c:pt idx="1">
                  <c:v>9</c:v>
                </c:pt>
                <c:pt idx="2">
                  <c:v>2</c:v>
                </c:pt>
                <c:pt idx="4">
                  <c:v>-2</c:v>
                </c:pt>
                <c:pt idx="6">
                  <c:v>8</c:v>
                </c:pt>
                <c:pt idx="7">
                  <c:v>7</c:v>
                </c:pt>
                <c:pt idx="8">
                  <c:v>10</c:v>
                </c:pt>
                <c:pt idx="9">
                  <c:v>10</c:v>
                </c:pt>
                <c:pt idx="10">
                  <c:v>1</c:v>
                </c:pt>
                <c:pt idx="12">
                  <c:v>-5</c:v>
                </c:pt>
                <c:pt idx="13">
                  <c:v>8</c:v>
                </c:pt>
                <c:pt idx="15">
                  <c:v>7</c:v>
                </c:pt>
                <c:pt idx="16">
                  <c:v>10</c:v>
                </c:pt>
                <c:pt idx="18">
                  <c:v>7</c:v>
                </c:pt>
                <c:pt idx="19">
                  <c:v>5</c:v>
                </c:pt>
                <c:pt idx="20">
                  <c:v>9</c:v>
                </c:pt>
                <c:pt idx="21">
                  <c:v>-6</c:v>
                </c:pt>
                <c:pt idx="22">
                  <c:v>8</c:v>
                </c:pt>
                <c:pt idx="23">
                  <c:v>8</c:v>
                </c:pt>
                <c:pt idx="25">
                  <c:v>9</c:v>
                </c:pt>
                <c:pt idx="26">
                  <c:v>5</c:v>
                </c:pt>
                <c:pt idx="27">
                  <c:v>6</c:v>
                </c:pt>
                <c:pt idx="28">
                  <c:v>2</c:v>
                </c:pt>
                <c:pt idx="29">
                  <c:v>-4</c:v>
                </c:pt>
                <c:pt idx="30">
                  <c:v>10</c:v>
                </c:pt>
                <c:pt idx="31">
                  <c:v>10</c:v>
                </c:pt>
                <c:pt idx="32">
                  <c:v>5</c:v>
                </c:pt>
                <c:pt idx="33">
                  <c:v>-2</c:v>
                </c:pt>
                <c:pt idx="34">
                  <c:v>10</c:v>
                </c:pt>
                <c:pt idx="35">
                  <c:v>2</c:v>
                </c:pt>
                <c:pt idx="36">
                  <c:v>9</c:v>
                </c:pt>
                <c:pt idx="37">
                  <c:v>9</c:v>
                </c:pt>
                <c:pt idx="38">
                  <c:v>5</c:v>
                </c:pt>
                <c:pt idx="39">
                  <c:v>5</c:v>
                </c:pt>
                <c:pt idx="40">
                  <c:v>10</c:v>
                </c:pt>
                <c:pt idx="41">
                  <c:v>4</c:v>
                </c:pt>
                <c:pt idx="42">
                  <c:v>9</c:v>
                </c:pt>
                <c:pt idx="43">
                  <c:v>3</c:v>
                </c:pt>
                <c:pt idx="44">
                  <c:v>10</c:v>
                </c:pt>
                <c:pt idx="45">
                  <c:v>10</c:v>
                </c:pt>
                <c:pt idx="46">
                  <c:v>10</c:v>
                </c:pt>
                <c:pt idx="47">
                  <c:v>4</c:v>
                </c:pt>
                <c:pt idx="49">
                  <c:v>8</c:v>
                </c:pt>
                <c:pt idx="50">
                  <c:v>9</c:v>
                </c:pt>
                <c:pt idx="51">
                  <c:v>4</c:v>
                </c:pt>
                <c:pt idx="52">
                  <c:v>8</c:v>
                </c:pt>
                <c:pt idx="53">
                  <c:v>2</c:v>
                </c:pt>
                <c:pt idx="54">
                  <c:v>-6</c:v>
                </c:pt>
                <c:pt idx="55">
                  <c:v>10</c:v>
                </c:pt>
                <c:pt idx="56">
                  <c:v>4</c:v>
                </c:pt>
                <c:pt idx="57">
                  <c:v>9</c:v>
                </c:pt>
                <c:pt idx="58">
                  <c:v>10</c:v>
                </c:pt>
                <c:pt idx="59">
                  <c:v>10</c:v>
                </c:pt>
                <c:pt idx="60">
                  <c:v>3</c:v>
                </c:pt>
                <c:pt idx="61">
                  <c:v>8</c:v>
                </c:pt>
                <c:pt idx="62">
                  <c:v>7</c:v>
                </c:pt>
                <c:pt idx="63">
                  <c:v>10</c:v>
                </c:pt>
                <c:pt idx="64">
                  <c:v>8</c:v>
                </c:pt>
                <c:pt idx="65">
                  <c:v>10</c:v>
                </c:pt>
                <c:pt idx="67">
                  <c:v>8</c:v>
                </c:pt>
                <c:pt idx="68">
                  <c:v>4</c:v>
                </c:pt>
                <c:pt idx="69">
                  <c:v>6</c:v>
                </c:pt>
                <c:pt idx="70">
                  <c:v>6</c:v>
                </c:pt>
                <c:pt idx="71">
                  <c:v>7</c:v>
                </c:pt>
                <c:pt idx="72">
                  <c:v>7</c:v>
                </c:pt>
                <c:pt idx="74">
                  <c:v>10</c:v>
                </c:pt>
                <c:pt idx="76">
                  <c:v>9</c:v>
                </c:pt>
                <c:pt idx="77">
                  <c:v>8</c:v>
                </c:pt>
                <c:pt idx="78">
                  <c:v>3</c:v>
                </c:pt>
                <c:pt idx="79">
                  <c:v>3</c:v>
                </c:pt>
                <c:pt idx="80">
                  <c:v>10</c:v>
                </c:pt>
                <c:pt idx="81">
                  <c:v>10</c:v>
                </c:pt>
                <c:pt idx="82">
                  <c:v>10</c:v>
                </c:pt>
                <c:pt idx="83">
                  <c:v>10</c:v>
                </c:pt>
                <c:pt idx="84">
                  <c:v>10</c:v>
                </c:pt>
                <c:pt idx="85">
                  <c:v>-1</c:v>
                </c:pt>
                <c:pt idx="86">
                  <c:v>-3</c:v>
                </c:pt>
                <c:pt idx="87">
                  <c:v>9</c:v>
                </c:pt>
                <c:pt idx="89">
                  <c:v>-7</c:v>
                </c:pt>
                <c:pt idx="90">
                  <c:v>8</c:v>
                </c:pt>
                <c:pt idx="91">
                  <c:v>8</c:v>
                </c:pt>
                <c:pt idx="92">
                  <c:v>-7</c:v>
                </c:pt>
                <c:pt idx="93">
                  <c:v>7</c:v>
                </c:pt>
                <c:pt idx="94">
                  <c:v>8</c:v>
                </c:pt>
                <c:pt idx="95">
                  <c:v>8</c:v>
                </c:pt>
                <c:pt idx="96">
                  <c:v>6</c:v>
                </c:pt>
                <c:pt idx="97">
                  <c:v>9</c:v>
                </c:pt>
                <c:pt idx="98">
                  <c:v>6</c:v>
                </c:pt>
                <c:pt idx="99">
                  <c:v>-7</c:v>
                </c:pt>
                <c:pt idx="101">
                  <c:v>10</c:v>
                </c:pt>
                <c:pt idx="102">
                  <c:v>10</c:v>
                </c:pt>
                <c:pt idx="104">
                  <c:v>9</c:v>
                </c:pt>
                <c:pt idx="105">
                  <c:v>9</c:v>
                </c:pt>
                <c:pt idx="106">
                  <c:v>6</c:v>
                </c:pt>
                <c:pt idx="107">
                  <c:v>10</c:v>
                </c:pt>
                <c:pt idx="109">
                  <c:v>7</c:v>
                </c:pt>
                <c:pt idx="112">
                  <c:v>4</c:v>
                </c:pt>
                <c:pt idx="113">
                  <c:v>10</c:v>
                </c:pt>
                <c:pt idx="114">
                  <c:v>8</c:v>
                </c:pt>
                <c:pt idx="116">
                  <c:v>9</c:v>
                </c:pt>
                <c:pt idx="118">
                  <c:v>10</c:v>
                </c:pt>
                <c:pt idx="119">
                  <c:v>9</c:v>
                </c:pt>
                <c:pt idx="120">
                  <c:v>-3</c:v>
                </c:pt>
                <c:pt idx="121">
                  <c:v>5</c:v>
                </c:pt>
                <c:pt idx="122">
                  <c:v>8</c:v>
                </c:pt>
                <c:pt idx="123">
                  <c:v>6</c:v>
                </c:pt>
                <c:pt idx="125">
                  <c:v>6</c:v>
                </c:pt>
                <c:pt idx="126">
                  <c:v>10</c:v>
                </c:pt>
                <c:pt idx="127">
                  <c:v>10</c:v>
                </c:pt>
                <c:pt idx="128">
                  <c:v>9</c:v>
                </c:pt>
                <c:pt idx="129">
                  <c:v>8</c:v>
                </c:pt>
                <c:pt idx="130">
                  <c:v>8</c:v>
                </c:pt>
                <c:pt idx="131">
                  <c:v>10</c:v>
                </c:pt>
                <c:pt idx="132">
                  <c:v>-6</c:v>
                </c:pt>
                <c:pt idx="133">
                  <c:v>8</c:v>
                </c:pt>
                <c:pt idx="135">
                  <c:v>9</c:v>
                </c:pt>
                <c:pt idx="136">
                  <c:v>5</c:v>
                </c:pt>
                <c:pt idx="137">
                  <c:v>9</c:v>
                </c:pt>
                <c:pt idx="138">
                  <c:v>9</c:v>
                </c:pt>
                <c:pt idx="139">
                  <c:v>8</c:v>
                </c:pt>
                <c:pt idx="140">
                  <c:v>10</c:v>
                </c:pt>
                <c:pt idx="141">
                  <c:v>10</c:v>
                </c:pt>
                <c:pt idx="142">
                  <c:v>-10</c:v>
                </c:pt>
                <c:pt idx="143">
                  <c:v>9</c:v>
                </c:pt>
                <c:pt idx="144">
                  <c:v>6</c:v>
                </c:pt>
                <c:pt idx="145">
                  <c:v>-3</c:v>
                </c:pt>
                <c:pt idx="152">
                  <c:v>-10</c:v>
                </c:pt>
                <c:pt idx="153">
                  <c:v>8</c:v>
                </c:pt>
                <c:pt idx="154">
                  <c:v>8</c:v>
                </c:pt>
                <c:pt idx="156">
                  <c:v>7</c:v>
                </c:pt>
                <c:pt idx="157">
                  <c:v>7</c:v>
                </c:pt>
                <c:pt idx="158">
                  <c:v>10</c:v>
                </c:pt>
                <c:pt idx="159">
                  <c:v>10</c:v>
                </c:pt>
                <c:pt idx="160">
                  <c:v>8</c:v>
                </c:pt>
                <c:pt idx="161">
                  <c:v>7</c:v>
                </c:pt>
                <c:pt idx="162">
                  <c:v>9</c:v>
                </c:pt>
                <c:pt idx="163">
                  <c:v>0</c:v>
                </c:pt>
                <c:pt idx="164">
                  <c:v>10</c:v>
                </c:pt>
                <c:pt idx="165">
                  <c:v>8</c:v>
                </c:pt>
                <c:pt idx="166">
                  <c:v>8</c:v>
                </c:pt>
                <c:pt idx="167">
                  <c:v>5</c:v>
                </c:pt>
                <c:pt idx="168">
                  <c:v>0</c:v>
                </c:pt>
                <c:pt idx="169">
                  <c:v>10</c:v>
                </c:pt>
                <c:pt idx="170">
                  <c:v>10</c:v>
                </c:pt>
                <c:pt idx="171">
                  <c:v>7</c:v>
                </c:pt>
                <c:pt idx="172">
                  <c:v>10</c:v>
                </c:pt>
                <c:pt idx="173">
                  <c:v>-1</c:v>
                </c:pt>
                <c:pt idx="174">
                  <c:v>-1</c:v>
                </c:pt>
                <c:pt idx="175">
                  <c:v>9</c:v>
                </c:pt>
                <c:pt idx="176">
                  <c:v>7</c:v>
                </c:pt>
                <c:pt idx="177">
                  <c:v>-2</c:v>
                </c:pt>
                <c:pt idx="179">
                  <c:v>10</c:v>
                </c:pt>
                <c:pt idx="180">
                  <c:v>-3</c:v>
                </c:pt>
                <c:pt idx="181">
                  <c:v>9</c:v>
                </c:pt>
                <c:pt idx="182">
                  <c:v>-8</c:v>
                </c:pt>
                <c:pt idx="184">
                  <c:v>7</c:v>
                </c:pt>
                <c:pt idx="185">
                  <c:v>7</c:v>
                </c:pt>
                <c:pt idx="186">
                  <c:v>-8</c:v>
                </c:pt>
                <c:pt idx="187">
                  <c:v>10</c:v>
                </c:pt>
                <c:pt idx="188">
                  <c:v>10</c:v>
                </c:pt>
                <c:pt idx="189">
                  <c:v>10</c:v>
                </c:pt>
                <c:pt idx="190">
                  <c:v>-9</c:v>
                </c:pt>
                <c:pt idx="192">
                  <c:v>9</c:v>
                </c:pt>
                <c:pt idx="193">
                  <c:v>-7</c:v>
                </c:pt>
                <c:pt idx="195">
                  <c:v>3</c:v>
                </c:pt>
                <c:pt idx="196">
                  <c:v>7</c:v>
                </c:pt>
                <c:pt idx="197">
                  <c:v>4</c:v>
                </c:pt>
              </c:numCache>
            </c:numRef>
          </c:xVal>
          <c:yVal>
            <c:numRef>
              <c:f>ID4D!$IM$3:$IM$200</c:f>
              <c:numCache>
                <c:formatCode>0.00</c:formatCode>
                <c:ptCount val="198"/>
                <c:pt idx="0">
                  <c:v>64</c:v>
                </c:pt>
                <c:pt idx="1">
                  <c:v>72</c:v>
                </c:pt>
                <c:pt idx="2">
                  <c:v>56.000000000000007</c:v>
                </c:pt>
                <c:pt idx="3">
                  <c:v>32</c:v>
                </c:pt>
                <c:pt idx="4">
                  <c:v>72</c:v>
                </c:pt>
                <c:pt idx="5">
                  <c:v>24</c:v>
                </c:pt>
                <c:pt idx="6">
                  <c:v>80</c:v>
                </c:pt>
                <c:pt idx="7">
                  <c:v>76</c:v>
                </c:pt>
                <c:pt idx="8">
                  <c:v>56.000000000000007</c:v>
                </c:pt>
                <c:pt idx="9">
                  <c:v>72</c:v>
                </c:pt>
                <c:pt idx="10">
                  <c:v>76</c:v>
                </c:pt>
                <c:pt idx="11">
                  <c:v>56.000000000000007</c:v>
                </c:pt>
                <c:pt idx="12">
                  <c:v>60</c:v>
                </c:pt>
                <c:pt idx="13">
                  <c:v>68</c:v>
                </c:pt>
                <c:pt idx="14">
                  <c:v>60</c:v>
                </c:pt>
                <c:pt idx="15">
                  <c:v>40</c:v>
                </c:pt>
                <c:pt idx="16">
                  <c:v>88</c:v>
                </c:pt>
                <c:pt idx="17">
                  <c:v>36</c:v>
                </c:pt>
                <c:pt idx="18">
                  <c:v>40</c:v>
                </c:pt>
                <c:pt idx="19">
                  <c:v>48</c:v>
                </c:pt>
                <c:pt idx="20">
                  <c:v>52</c:v>
                </c:pt>
                <c:pt idx="21">
                  <c:v>80</c:v>
                </c:pt>
                <c:pt idx="22">
                  <c:v>56.000000000000007</c:v>
                </c:pt>
                <c:pt idx="23">
                  <c:v>80</c:v>
                </c:pt>
                <c:pt idx="24">
                  <c:v>60</c:v>
                </c:pt>
                <c:pt idx="25">
                  <c:v>72</c:v>
                </c:pt>
                <c:pt idx="26">
                  <c:v>44</c:v>
                </c:pt>
                <c:pt idx="27">
                  <c:v>56.000000000000007</c:v>
                </c:pt>
                <c:pt idx="28">
                  <c:v>52</c:v>
                </c:pt>
                <c:pt idx="29">
                  <c:v>60</c:v>
                </c:pt>
                <c:pt idx="30">
                  <c:v>52</c:v>
                </c:pt>
                <c:pt idx="31">
                  <c:v>44</c:v>
                </c:pt>
                <c:pt idx="32">
                  <c:v>36</c:v>
                </c:pt>
                <c:pt idx="33">
                  <c:v>40</c:v>
                </c:pt>
                <c:pt idx="34">
                  <c:v>96</c:v>
                </c:pt>
                <c:pt idx="35">
                  <c:v>72</c:v>
                </c:pt>
                <c:pt idx="36">
                  <c:v>76</c:v>
                </c:pt>
                <c:pt idx="37">
                  <c:v>40</c:v>
                </c:pt>
                <c:pt idx="38">
                  <c:v>52</c:v>
                </c:pt>
                <c:pt idx="39">
                  <c:v>52</c:v>
                </c:pt>
                <c:pt idx="40">
                  <c:v>72</c:v>
                </c:pt>
                <c:pt idx="41">
                  <c:v>68</c:v>
                </c:pt>
                <c:pt idx="42">
                  <c:v>84</c:v>
                </c:pt>
                <c:pt idx="43">
                  <c:v>48</c:v>
                </c:pt>
                <c:pt idx="44">
                  <c:v>56.000000000000007</c:v>
                </c:pt>
                <c:pt idx="45">
                  <c:v>84</c:v>
                </c:pt>
                <c:pt idx="46">
                  <c:v>48</c:v>
                </c:pt>
                <c:pt idx="47">
                  <c:v>48</c:v>
                </c:pt>
                <c:pt idx="48">
                  <c:v>56.000000000000007</c:v>
                </c:pt>
                <c:pt idx="49">
                  <c:v>68</c:v>
                </c:pt>
                <c:pt idx="50">
                  <c:v>60</c:v>
                </c:pt>
                <c:pt idx="51">
                  <c:v>56.000000000000007</c:v>
                </c:pt>
                <c:pt idx="52">
                  <c:v>56.000000000000007</c:v>
                </c:pt>
                <c:pt idx="53">
                  <c:v>24</c:v>
                </c:pt>
                <c:pt idx="54">
                  <c:v>36</c:v>
                </c:pt>
                <c:pt idx="55">
                  <c:v>80</c:v>
                </c:pt>
                <c:pt idx="56">
                  <c:v>40</c:v>
                </c:pt>
                <c:pt idx="57">
                  <c:v>64</c:v>
                </c:pt>
                <c:pt idx="58">
                  <c:v>80</c:v>
                </c:pt>
                <c:pt idx="59">
                  <c:v>80</c:v>
                </c:pt>
                <c:pt idx="60">
                  <c:v>60</c:v>
                </c:pt>
                <c:pt idx="61">
                  <c:v>60</c:v>
                </c:pt>
                <c:pt idx="62">
                  <c:v>84</c:v>
                </c:pt>
                <c:pt idx="63">
                  <c:v>88</c:v>
                </c:pt>
                <c:pt idx="64">
                  <c:v>76</c:v>
                </c:pt>
                <c:pt idx="65">
                  <c:v>52</c:v>
                </c:pt>
                <c:pt idx="66">
                  <c:v>56.000000000000007</c:v>
                </c:pt>
                <c:pt idx="67">
                  <c:v>60</c:v>
                </c:pt>
                <c:pt idx="68">
                  <c:v>60</c:v>
                </c:pt>
                <c:pt idx="69">
                  <c:v>48</c:v>
                </c:pt>
                <c:pt idx="70">
                  <c:v>36</c:v>
                </c:pt>
                <c:pt idx="71">
                  <c:v>52</c:v>
                </c:pt>
                <c:pt idx="72">
                  <c:v>60</c:v>
                </c:pt>
                <c:pt idx="73">
                  <c:v>84</c:v>
                </c:pt>
                <c:pt idx="74">
                  <c:v>72</c:v>
                </c:pt>
                <c:pt idx="75">
                  <c:v>52</c:v>
                </c:pt>
                <c:pt idx="76">
                  <c:v>88</c:v>
                </c:pt>
                <c:pt idx="77">
                  <c:v>60</c:v>
                </c:pt>
                <c:pt idx="78">
                  <c:v>52</c:v>
                </c:pt>
                <c:pt idx="79">
                  <c:v>60</c:v>
                </c:pt>
                <c:pt idx="80">
                  <c:v>44</c:v>
                </c:pt>
                <c:pt idx="81">
                  <c:v>72</c:v>
                </c:pt>
                <c:pt idx="82">
                  <c:v>76</c:v>
                </c:pt>
                <c:pt idx="83">
                  <c:v>64</c:v>
                </c:pt>
                <c:pt idx="84">
                  <c:v>76</c:v>
                </c:pt>
                <c:pt idx="85">
                  <c:v>60</c:v>
                </c:pt>
                <c:pt idx="86">
                  <c:v>68</c:v>
                </c:pt>
                <c:pt idx="87">
                  <c:v>64</c:v>
                </c:pt>
                <c:pt idx="88">
                  <c:v>40</c:v>
                </c:pt>
                <c:pt idx="89">
                  <c:v>48</c:v>
                </c:pt>
                <c:pt idx="90">
                  <c:v>84</c:v>
                </c:pt>
                <c:pt idx="91">
                  <c:v>72</c:v>
                </c:pt>
                <c:pt idx="92">
                  <c:v>60</c:v>
                </c:pt>
                <c:pt idx="93">
                  <c:v>72</c:v>
                </c:pt>
                <c:pt idx="94">
                  <c:v>28.000000000000004</c:v>
                </c:pt>
                <c:pt idx="95">
                  <c:v>80</c:v>
                </c:pt>
                <c:pt idx="96">
                  <c:v>48</c:v>
                </c:pt>
                <c:pt idx="97">
                  <c:v>52</c:v>
                </c:pt>
                <c:pt idx="98">
                  <c:v>44</c:v>
                </c:pt>
                <c:pt idx="99">
                  <c:v>32</c:v>
                </c:pt>
                <c:pt idx="100">
                  <c:v>72</c:v>
                </c:pt>
                <c:pt idx="101">
                  <c:v>72</c:v>
                </c:pt>
                <c:pt idx="102">
                  <c:v>80</c:v>
                </c:pt>
                <c:pt idx="103">
                  <c:v>72</c:v>
                </c:pt>
                <c:pt idx="104">
                  <c:v>72</c:v>
                </c:pt>
                <c:pt idx="105">
                  <c:v>48</c:v>
                </c:pt>
                <c:pt idx="106">
                  <c:v>44</c:v>
                </c:pt>
                <c:pt idx="107">
                  <c:v>84</c:v>
                </c:pt>
                <c:pt idx="108">
                  <c:v>40</c:v>
                </c:pt>
                <c:pt idx="109">
                  <c:v>52</c:v>
                </c:pt>
                <c:pt idx="110">
                  <c:v>80</c:v>
                </c:pt>
                <c:pt idx="111">
                  <c:v>32</c:v>
                </c:pt>
                <c:pt idx="112">
                  <c:v>56.000000000000007</c:v>
                </c:pt>
                <c:pt idx="113">
                  <c:v>76</c:v>
                </c:pt>
                <c:pt idx="114">
                  <c:v>68</c:v>
                </c:pt>
                <c:pt idx="115">
                  <c:v>16</c:v>
                </c:pt>
                <c:pt idx="116">
                  <c:v>88</c:v>
                </c:pt>
                <c:pt idx="117">
                  <c:v>84</c:v>
                </c:pt>
                <c:pt idx="118">
                  <c:v>56.000000000000007</c:v>
                </c:pt>
                <c:pt idx="119">
                  <c:v>72</c:v>
                </c:pt>
                <c:pt idx="120">
                  <c:v>72</c:v>
                </c:pt>
                <c:pt idx="121">
                  <c:v>56.000000000000007</c:v>
                </c:pt>
                <c:pt idx="122">
                  <c:v>44</c:v>
                </c:pt>
                <c:pt idx="123">
                  <c:v>44</c:v>
                </c:pt>
                <c:pt idx="124">
                  <c:v>12</c:v>
                </c:pt>
                <c:pt idx="125">
                  <c:v>80</c:v>
                </c:pt>
                <c:pt idx="126">
                  <c:v>84</c:v>
                </c:pt>
                <c:pt idx="127">
                  <c:v>56.000000000000007</c:v>
                </c:pt>
                <c:pt idx="128">
                  <c:v>68</c:v>
                </c:pt>
                <c:pt idx="129">
                  <c:v>44</c:v>
                </c:pt>
                <c:pt idx="130">
                  <c:v>80</c:v>
                </c:pt>
                <c:pt idx="131">
                  <c:v>88</c:v>
                </c:pt>
                <c:pt idx="132">
                  <c:v>76</c:v>
                </c:pt>
                <c:pt idx="133">
                  <c:v>76</c:v>
                </c:pt>
                <c:pt idx="134">
                  <c:v>24</c:v>
                </c:pt>
                <c:pt idx="135">
                  <c:v>64</c:v>
                </c:pt>
                <c:pt idx="136">
                  <c:v>44</c:v>
                </c:pt>
                <c:pt idx="137">
                  <c:v>60</c:v>
                </c:pt>
                <c:pt idx="138">
                  <c:v>64</c:v>
                </c:pt>
                <c:pt idx="139">
                  <c:v>56.000000000000007</c:v>
                </c:pt>
                <c:pt idx="140">
                  <c:v>68</c:v>
                </c:pt>
                <c:pt idx="141">
                  <c:v>80</c:v>
                </c:pt>
                <c:pt idx="142">
                  <c:v>80</c:v>
                </c:pt>
                <c:pt idx="143">
                  <c:v>88</c:v>
                </c:pt>
                <c:pt idx="144">
                  <c:v>76</c:v>
                </c:pt>
                <c:pt idx="145">
                  <c:v>56.000000000000007</c:v>
                </c:pt>
                <c:pt idx="146">
                  <c:v>40</c:v>
                </c:pt>
                <c:pt idx="147">
                  <c:v>60</c:v>
                </c:pt>
                <c:pt idx="148">
                  <c:v>56.000000000000007</c:v>
                </c:pt>
                <c:pt idx="149">
                  <c:v>20</c:v>
                </c:pt>
                <c:pt idx="150">
                  <c:v>84</c:v>
                </c:pt>
                <c:pt idx="151">
                  <c:v>12</c:v>
                </c:pt>
                <c:pt idx="152">
                  <c:v>72</c:v>
                </c:pt>
                <c:pt idx="153">
                  <c:v>68</c:v>
                </c:pt>
                <c:pt idx="154">
                  <c:v>80</c:v>
                </c:pt>
                <c:pt idx="155">
                  <c:v>68</c:v>
                </c:pt>
                <c:pt idx="156">
                  <c:v>72</c:v>
                </c:pt>
                <c:pt idx="157">
                  <c:v>84</c:v>
                </c:pt>
                <c:pt idx="158">
                  <c:v>76</c:v>
                </c:pt>
                <c:pt idx="159">
                  <c:v>88</c:v>
                </c:pt>
                <c:pt idx="160">
                  <c:v>16</c:v>
                </c:pt>
                <c:pt idx="161">
                  <c:v>48</c:v>
                </c:pt>
                <c:pt idx="162">
                  <c:v>72</c:v>
                </c:pt>
                <c:pt idx="163">
                  <c:v>56.000000000000007</c:v>
                </c:pt>
                <c:pt idx="164">
                  <c:v>76</c:v>
                </c:pt>
                <c:pt idx="165">
                  <c:v>60</c:v>
                </c:pt>
                <c:pt idx="166">
                  <c:v>60</c:v>
                </c:pt>
                <c:pt idx="167">
                  <c:v>44</c:v>
                </c:pt>
                <c:pt idx="168">
                  <c:v>28.000000000000004</c:v>
                </c:pt>
                <c:pt idx="169">
                  <c:v>88</c:v>
                </c:pt>
                <c:pt idx="170">
                  <c:v>76</c:v>
                </c:pt>
                <c:pt idx="171">
                  <c:v>28.000000000000004</c:v>
                </c:pt>
                <c:pt idx="172">
                  <c:v>60</c:v>
                </c:pt>
                <c:pt idx="173">
                  <c:v>52</c:v>
                </c:pt>
                <c:pt idx="174">
                  <c:v>52</c:v>
                </c:pt>
                <c:pt idx="175">
                  <c:v>72</c:v>
                </c:pt>
                <c:pt idx="176">
                  <c:v>48</c:v>
                </c:pt>
                <c:pt idx="177">
                  <c:v>36</c:v>
                </c:pt>
                <c:pt idx="178">
                  <c:v>32</c:v>
                </c:pt>
                <c:pt idx="179">
                  <c:v>76</c:v>
                </c:pt>
                <c:pt idx="180">
                  <c:v>64</c:v>
                </c:pt>
                <c:pt idx="181">
                  <c:v>88</c:v>
                </c:pt>
                <c:pt idx="182">
                  <c:v>20</c:v>
                </c:pt>
                <c:pt idx="183">
                  <c:v>8</c:v>
                </c:pt>
                <c:pt idx="184">
                  <c:v>64</c:v>
                </c:pt>
                <c:pt idx="185">
                  <c:v>68</c:v>
                </c:pt>
                <c:pt idx="186">
                  <c:v>84</c:v>
                </c:pt>
                <c:pt idx="187">
                  <c:v>56.000000000000007</c:v>
                </c:pt>
                <c:pt idx="188">
                  <c:v>64</c:v>
                </c:pt>
                <c:pt idx="189">
                  <c:v>96</c:v>
                </c:pt>
                <c:pt idx="190">
                  <c:v>72</c:v>
                </c:pt>
                <c:pt idx="191">
                  <c:v>28.000000000000004</c:v>
                </c:pt>
                <c:pt idx="192">
                  <c:v>60</c:v>
                </c:pt>
                <c:pt idx="193">
                  <c:v>68</c:v>
                </c:pt>
                <c:pt idx="194">
                  <c:v>28.000000000000004</c:v>
                </c:pt>
                <c:pt idx="195">
                  <c:v>60</c:v>
                </c:pt>
                <c:pt idx="196">
                  <c:v>52</c:v>
                </c:pt>
                <c:pt idx="197">
                  <c:v>52</c:v>
                </c:pt>
              </c:numCache>
            </c:numRef>
          </c:yVal>
          <c:smooth val="0"/>
        </c:ser>
        <c:dLbls>
          <c:showLegendKey val="0"/>
          <c:showVal val="0"/>
          <c:showCatName val="0"/>
          <c:showSerName val="0"/>
          <c:showPercent val="0"/>
          <c:showBubbleSize val="0"/>
        </c:dLbls>
        <c:axId val="428526680"/>
        <c:axId val="428527072"/>
      </c:scatterChart>
      <c:valAx>
        <c:axId val="428526680"/>
        <c:scaling>
          <c:orientation val="minMax"/>
          <c:max val="10"/>
          <c:min val="-10"/>
        </c:scaling>
        <c:delete val="0"/>
        <c:axPos val="b"/>
        <c:numFmt formatCode="General" sourceLinked="1"/>
        <c:majorTickMark val="out"/>
        <c:minorTickMark val="none"/>
        <c:tickLblPos val="nextTo"/>
        <c:spPr>
          <a:ln>
            <a:solidFill>
              <a:srgbClr val="0000CC"/>
            </a:solidFill>
          </a:ln>
        </c:spPr>
        <c:crossAx val="428527072"/>
        <c:crosses val="autoZero"/>
        <c:crossBetween val="midCat"/>
        <c:majorUnit val="2.5"/>
      </c:valAx>
      <c:valAx>
        <c:axId val="428527072"/>
        <c:scaling>
          <c:orientation val="minMax"/>
          <c:max val="100"/>
        </c:scaling>
        <c:delete val="0"/>
        <c:axPos val="l"/>
        <c:majorGridlines>
          <c:spPr>
            <a:ln>
              <a:solidFill>
                <a:schemeClr val="bg1">
                  <a:lumMod val="75000"/>
                </a:schemeClr>
              </a:solidFill>
            </a:ln>
          </c:spPr>
        </c:majorGridlines>
        <c:title>
          <c:tx>
            <c:rich>
              <a:bodyPr rot="-5400000" vert="horz"/>
              <a:lstStyle/>
              <a:p>
                <a:pPr>
                  <a:defRPr b="0">
                    <a:solidFill>
                      <a:srgbClr val="0000CC"/>
                    </a:solidFill>
                  </a:defRPr>
                </a:pPr>
                <a:r>
                  <a:rPr lang="en-US" b="0">
                    <a:solidFill>
                      <a:srgbClr val="0000CC"/>
                    </a:solidFill>
                  </a:rPr>
                  <a:t>ID4D</a:t>
                </a:r>
                <a:r>
                  <a:rPr lang="en-US" b="0" baseline="0">
                    <a:solidFill>
                      <a:srgbClr val="0000CC"/>
                    </a:solidFill>
                  </a:rPr>
                  <a:t> Score</a:t>
                </a:r>
                <a:endParaRPr lang="en-US" b="0">
                  <a:solidFill>
                    <a:srgbClr val="0000CC"/>
                  </a:solidFill>
                </a:endParaRPr>
              </a:p>
            </c:rich>
          </c:tx>
          <c:layout>
            <c:manualLayout>
              <c:xMode val="edge"/>
              <c:yMode val="edge"/>
              <c:x val="2.670940170940171E-3"/>
              <c:y val="0.35267388451443576"/>
            </c:manualLayout>
          </c:layout>
          <c:overlay val="0"/>
        </c:title>
        <c:numFmt formatCode="#,##0" sourceLinked="0"/>
        <c:majorTickMark val="out"/>
        <c:minorTickMark val="none"/>
        <c:tickLblPos val="low"/>
        <c:crossAx val="428526680"/>
        <c:crosses val="autoZero"/>
        <c:crossBetween val="midCat"/>
      </c:valAx>
      <c:spPr>
        <a:ln>
          <a:solidFill>
            <a:srgbClr val="0000CC"/>
          </a:solidFill>
        </a:ln>
      </c:spPr>
    </c:plotArea>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solidFill>
                  <a:srgbClr val="0000CC"/>
                </a:solidFill>
              </a:defRPr>
            </a:pPr>
            <a:r>
              <a:rPr lang="en-US" sz="1100" b="1">
                <a:solidFill>
                  <a:srgbClr val="0000CC"/>
                </a:solidFill>
              </a:rPr>
              <a:t>Legal System</a:t>
            </a:r>
          </a:p>
        </c:rich>
      </c:tx>
      <c:layout>
        <c:manualLayout>
          <c:xMode val="edge"/>
          <c:yMode val="edge"/>
          <c:x val="0.4086596675415573"/>
          <c:y val="8.1634326959130112E-3"/>
        </c:manualLayout>
      </c:layout>
      <c:overlay val="1"/>
    </c:title>
    <c:autoTitleDeleted val="0"/>
    <c:plotArea>
      <c:layout>
        <c:manualLayout>
          <c:layoutTarget val="inner"/>
          <c:xMode val="edge"/>
          <c:yMode val="edge"/>
          <c:x val="9.6988407699037618E-2"/>
          <c:y val="0.10203719652230971"/>
          <c:w val="0.88445713035870521"/>
          <c:h val="0.75763615485564306"/>
        </c:manualLayout>
      </c:layout>
      <c:barChart>
        <c:barDir val="col"/>
        <c:grouping val="clustered"/>
        <c:varyColors val="0"/>
        <c:ser>
          <c:idx val="0"/>
          <c:order val="0"/>
          <c:tx>
            <c:strRef>
              <c:f>'ID4D Stats'!$DR$47</c:f>
              <c:strCache>
                <c:ptCount val="1"/>
                <c:pt idx="0">
                  <c:v>No NID</c:v>
                </c:pt>
              </c:strCache>
            </c:strRef>
          </c:tx>
          <c:spPr>
            <a:solidFill>
              <a:srgbClr val="FF0000"/>
            </a:solidFill>
            <a:ln>
              <a:solidFill>
                <a:srgbClr val="0000CC"/>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'ID4D Stats'!$DQ$48:$DQ$50</c:f>
              <c:strCache>
                <c:ptCount val="3"/>
                <c:pt idx="0">
                  <c:v>Civil (116)</c:v>
                </c:pt>
                <c:pt idx="1">
                  <c:v>Common (55)</c:v>
                </c:pt>
                <c:pt idx="2">
                  <c:v>Religious (27)</c:v>
                </c:pt>
              </c:strCache>
            </c:strRef>
          </c:cat>
          <c:val>
            <c:numRef>
              <c:f>'ID4D Stats'!$DR$48:$DR$50</c:f>
              <c:numCache>
                <c:formatCode>#,##0</c:formatCode>
                <c:ptCount val="3"/>
                <c:pt idx="0">
                  <c:v>5</c:v>
                </c:pt>
                <c:pt idx="1">
                  <c:v>12</c:v>
                </c:pt>
                <c:pt idx="2">
                  <c:v>0</c:v>
                </c:pt>
              </c:numCache>
            </c:numRef>
          </c:val>
        </c:ser>
        <c:ser>
          <c:idx val="1"/>
          <c:order val="1"/>
          <c:tx>
            <c:strRef>
              <c:f>'ID4D Stats'!$DS$47</c:f>
              <c:strCache>
                <c:ptCount val="1"/>
                <c:pt idx="0">
                  <c:v>NID</c:v>
                </c:pt>
              </c:strCache>
            </c:strRef>
          </c:tx>
          <c:spPr>
            <a:solidFill>
              <a:schemeClr val="accent3">
                <a:lumMod val="60000"/>
                <a:lumOff val="40000"/>
              </a:schemeClr>
            </a:solidFill>
            <a:ln>
              <a:solidFill>
                <a:srgbClr val="0000CC"/>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'ID4D Stats'!$DQ$48:$DQ$50</c:f>
              <c:strCache>
                <c:ptCount val="3"/>
                <c:pt idx="0">
                  <c:v>Civil (116)</c:v>
                </c:pt>
                <c:pt idx="1">
                  <c:v>Common (55)</c:v>
                </c:pt>
                <c:pt idx="2">
                  <c:v>Religious (27)</c:v>
                </c:pt>
              </c:strCache>
            </c:strRef>
          </c:cat>
          <c:val>
            <c:numRef>
              <c:f>'ID4D Stats'!$DS$48:$DS$50</c:f>
              <c:numCache>
                <c:formatCode>#,##0</c:formatCode>
                <c:ptCount val="3"/>
                <c:pt idx="0">
                  <c:v>17</c:v>
                </c:pt>
                <c:pt idx="1">
                  <c:v>12</c:v>
                </c:pt>
                <c:pt idx="2">
                  <c:v>4</c:v>
                </c:pt>
              </c:numCache>
            </c:numRef>
          </c:val>
        </c:ser>
        <c:ser>
          <c:idx val="2"/>
          <c:order val="2"/>
          <c:tx>
            <c:strRef>
              <c:f>'ID4D Stats'!$DT$47</c:f>
              <c:strCache>
                <c:ptCount val="1"/>
                <c:pt idx="0">
                  <c:v>e-ID</c:v>
                </c:pt>
              </c:strCache>
            </c:strRef>
          </c:tx>
          <c:spPr>
            <a:solidFill>
              <a:srgbClr val="FFC000"/>
            </a:solidFill>
            <a:ln>
              <a:solidFill>
                <a:srgbClr val="0000CC"/>
              </a:solidFill>
            </a:ln>
          </c:spPr>
          <c:invertIfNegative val="0"/>
          <c:dLbls>
            <c:dLbl>
              <c:idx val="3"/>
              <c:layout>
                <c:manualLayout>
                  <c:x val="0"/>
                  <c:y val="1.457194621154258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'ID4D Stats'!$DQ$48:$DQ$50</c:f>
              <c:strCache>
                <c:ptCount val="3"/>
                <c:pt idx="0">
                  <c:v>Civil (116)</c:v>
                </c:pt>
                <c:pt idx="1">
                  <c:v>Common (55)</c:v>
                </c:pt>
                <c:pt idx="2">
                  <c:v>Religious (27)</c:v>
                </c:pt>
              </c:strCache>
            </c:strRef>
          </c:cat>
          <c:val>
            <c:numRef>
              <c:f>'ID4D Stats'!$DT$48:$DT$50</c:f>
              <c:numCache>
                <c:formatCode>#,##0</c:formatCode>
                <c:ptCount val="3"/>
                <c:pt idx="0">
                  <c:v>28</c:v>
                </c:pt>
                <c:pt idx="1">
                  <c:v>6</c:v>
                </c:pt>
                <c:pt idx="2">
                  <c:v>3</c:v>
                </c:pt>
              </c:numCache>
            </c:numRef>
          </c:val>
        </c:ser>
        <c:ser>
          <c:idx val="3"/>
          <c:order val="3"/>
          <c:tx>
            <c:strRef>
              <c:f>'ID4D Stats'!$DU$47</c:f>
              <c:strCache>
                <c:ptCount val="1"/>
                <c:pt idx="0">
                  <c:v>Biometric e-ID</c:v>
                </c:pt>
              </c:strCache>
            </c:strRef>
          </c:tx>
          <c:spPr>
            <a:solidFill>
              <a:srgbClr val="00B0F0"/>
            </a:solidFill>
            <a:ln>
              <a:solidFill>
                <a:srgbClr val="0000CC"/>
              </a:solidFill>
            </a:ln>
          </c:spPr>
          <c:invertIfNegative val="0"/>
          <c:dLbls>
            <c:dLbl>
              <c:idx val="0"/>
              <c:layout>
                <c:manualLayout>
                  <c:x val="0"/>
                  <c:y val="2.9761904761904774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2.4801196725409314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'ID4D Stats'!$DQ$48:$DQ$50</c:f>
              <c:strCache>
                <c:ptCount val="3"/>
                <c:pt idx="0">
                  <c:v>Civil (116)</c:v>
                </c:pt>
                <c:pt idx="1">
                  <c:v>Common (55)</c:v>
                </c:pt>
                <c:pt idx="2">
                  <c:v>Religious (27)</c:v>
                </c:pt>
              </c:strCache>
            </c:strRef>
          </c:cat>
          <c:val>
            <c:numRef>
              <c:f>'ID4D Stats'!$DU$48:$DU$50</c:f>
              <c:numCache>
                <c:formatCode>#,##0</c:formatCode>
                <c:ptCount val="3"/>
                <c:pt idx="0">
                  <c:v>66</c:v>
                </c:pt>
                <c:pt idx="1">
                  <c:v>25</c:v>
                </c:pt>
                <c:pt idx="2">
                  <c:v>20</c:v>
                </c:pt>
              </c:numCache>
            </c:numRef>
          </c:val>
        </c:ser>
        <c:dLbls>
          <c:showLegendKey val="0"/>
          <c:showVal val="0"/>
          <c:showCatName val="0"/>
          <c:showSerName val="0"/>
          <c:showPercent val="0"/>
          <c:showBubbleSize val="0"/>
        </c:dLbls>
        <c:gapWidth val="100"/>
        <c:overlap val="-20"/>
        <c:axId val="428527856"/>
        <c:axId val="428528248"/>
      </c:barChart>
      <c:catAx>
        <c:axId val="428527856"/>
        <c:scaling>
          <c:orientation val="minMax"/>
        </c:scaling>
        <c:delete val="0"/>
        <c:axPos val="b"/>
        <c:title>
          <c:tx>
            <c:rich>
              <a:bodyPr/>
              <a:lstStyle/>
              <a:p>
                <a:pPr>
                  <a:defRPr b="0">
                    <a:solidFill>
                      <a:srgbClr val="0000CC"/>
                    </a:solidFill>
                  </a:defRPr>
                </a:pPr>
                <a:r>
                  <a:rPr lang="en-US" b="0">
                    <a:solidFill>
                      <a:srgbClr val="0000CC"/>
                    </a:solidFill>
                  </a:rPr>
                  <a:t>Legal code</a:t>
                </a:r>
              </a:p>
            </c:rich>
          </c:tx>
          <c:layout>
            <c:manualLayout>
              <c:xMode val="edge"/>
              <c:yMode val="edge"/>
              <c:x val="0.86205030621172352"/>
              <c:y val="0.92457817772778406"/>
            </c:manualLayout>
          </c:layout>
          <c:overlay val="0"/>
        </c:title>
        <c:numFmt formatCode="General" sourceLinked="0"/>
        <c:majorTickMark val="out"/>
        <c:minorTickMark val="none"/>
        <c:tickLblPos val="nextTo"/>
        <c:spPr>
          <a:ln>
            <a:solidFill>
              <a:srgbClr val="0000CC"/>
            </a:solidFill>
          </a:ln>
        </c:spPr>
        <c:crossAx val="428528248"/>
        <c:crosses val="autoZero"/>
        <c:auto val="1"/>
        <c:lblAlgn val="ctr"/>
        <c:lblOffset val="100"/>
        <c:noMultiLvlLbl val="0"/>
      </c:catAx>
      <c:valAx>
        <c:axId val="428528248"/>
        <c:scaling>
          <c:orientation val="minMax"/>
        </c:scaling>
        <c:delete val="0"/>
        <c:axPos val="l"/>
        <c:majorGridlines>
          <c:spPr>
            <a:ln>
              <a:solidFill>
                <a:schemeClr val="bg1">
                  <a:lumMod val="75000"/>
                </a:schemeClr>
              </a:solidFill>
            </a:ln>
          </c:spPr>
        </c:majorGridlines>
        <c:title>
          <c:tx>
            <c:rich>
              <a:bodyPr rot="-5400000" vert="horz"/>
              <a:lstStyle/>
              <a:p>
                <a:pPr>
                  <a:defRPr b="0">
                    <a:solidFill>
                      <a:srgbClr val="0000CC"/>
                    </a:solidFill>
                  </a:defRPr>
                </a:pPr>
                <a:r>
                  <a:rPr lang="en-US" b="0">
                    <a:solidFill>
                      <a:srgbClr val="0000CC"/>
                    </a:solidFill>
                  </a:rPr>
                  <a:t>Economies</a:t>
                </a:r>
              </a:p>
            </c:rich>
          </c:tx>
          <c:layout>
            <c:manualLayout>
              <c:xMode val="edge"/>
              <c:yMode val="edge"/>
              <c:x val="2.2082239720034999E-3"/>
              <c:y val="0.10553573381452315"/>
            </c:manualLayout>
          </c:layout>
          <c:overlay val="0"/>
        </c:title>
        <c:numFmt formatCode="#,##0" sourceLinked="1"/>
        <c:majorTickMark val="out"/>
        <c:minorTickMark val="none"/>
        <c:tickLblPos val="nextTo"/>
        <c:spPr>
          <a:ln>
            <a:solidFill>
              <a:srgbClr val="0000CC"/>
            </a:solidFill>
          </a:ln>
        </c:spPr>
        <c:crossAx val="428527856"/>
        <c:crosses val="autoZero"/>
        <c:crossBetween val="between"/>
      </c:valAx>
      <c:spPr>
        <a:ln>
          <a:solidFill>
            <a:srgbClr val="0000CC"/>
          </a:solidFill>
        </a:ln>
      </c:spPr>
    </c:plotArea>
    <c:legend>
      <c:legendPos val="r"/>
      <c:layout>
        <c:manualLayout>
          <c:xMode val="edge"/>
          <c:yMode val="edge"/>
          <c:x val="0.803667760279965"/>
          <c:y val="0.10856611673540807"/>
          <c:w val="0.171332239720035"/>
          <c:h val="0.1980881296087989"/>
        </c:manualLayout>
      </c:layout>
      <c:overlay val="0"/>
      <c:spPr>
        <a:solidFill>
          <a:schemeClr val="bg1"/>
        </a:solidFill>
      </c:spPr>
      <c:txPr>
        <a:bodyPr/>
        <a:lstStyle/>
        <a:p>
          <a:pPr>
            <a:defRPr sz="800"/>
          </a:pPr>
          <a:endParaRPr lang="en-US"/>
        </a:p>
      </c:txPr>
    </c:legend>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solidFill>
                  <a:srgbClr val="0000CC"/>
                </a:solidFill>
              </a:defRPr>
            </a:pPr>
            <a:r>
              <a:rPr lang="en-US" sz="1100" b="1">
                <a:solidFill>
                  <a:srgbClr val="0000CC"/>
                </a:solidFill>
              </a:rPr>
              <a:t>Freedom</a:t>
            </a:r>
            <a:r>
              <a:rPr lang="en-US" sz="1100" b="1" baseline="0">
                <a:solidFill>
                  <a:srgbClr val="0000CC"/>
                </a:solidFill>
              </a:rPr>
              <a:t> in the World (2014)</a:t>
            </a:r>
            <a:endParaRPr lang="en-US" sz="1100" b="1">
              <a:solidFill>
                <a:srgbClr val="0000CC"/>
              </a:solidFill>
            </a:endParaRPr>
          </a:p>
        </c:rich>
      </c:tx>
      <c:layout>
        <c:manualLayout>
          <c:xMode val="edge"/>
          <c:yMode val="edge"/>
          <c:x val="0.31143744531933509"/>
          <c:y val="8.1634326959130112E-3"/>
        </c:manualLayout>
      </c:layout>
      <c:overlay val="1"/>
    </c:title>
    <c:autoTitleDeleted val="0"/>
    <c:plotArea>
      <c:layout>
        <c:manualLayout>
          <c:layoutTarget val="inner"/>
          <c:xMode val="edge"/>
          <c:yMode val="edge"/>
          <c:x val="9.6988407699037618E-2"/>
          <c:y val="0.10203719652230971"/>
          <c:w val="0.88445713035870521"/>
          <c:h val="0.75763615485564306"/>
        </c:manualLayout>
      </c:layout>
      <c:barChart>
        <c:barDir val="col"/>
        <c:grouping val="clustered"/>
        <c:varyColors val="0"/>
        <c:ser>
          <c:idx val="0"/>
          <c:order val="0"/>
          <c:tx>
            <c:strRef>
              <c:f>'ID4D Stats'!$DR$61</c:f>
              <c:strCache>
                <c:ptCount val="1"/>
                <c:pt idx="0">
                  <c:v>No NID</c:v>
                </c:pt>
              </c:strCache>
            </c:strRef>
          </c:tx>
          <c:spPr>
            <a:solidFill>
              <a:srgbClr val="FF0000"/>
            </a:solidFill>
            <a:ln>
              <a:solidFill>
                <a:srgbClr val="0000CC"/>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'ID4D Stats'!$DQ$62:$DQ$64</c:f>
              <c:strCache>
                <c:ptCount val="3"/>
                <c:pt idx="0">
                  <c:v>Free (88)</c:v>
                </c:pt>
                <c:pt idx="1">
                  <c:v>Partially Free (61)</c:v>
                </c:pt>
                <c:pt idx="2">
                  <c:v>Not Free (49)</c:v>
                </c:pt>
              </c:strCache>
            </c:strRef>
          </c:cat>
          <c:val>
            <c:numRef>
              <c:f>'ID4D Stats'!$DR$62:$DR$64</c:f>
              <c:numCache>
                <c:formatCode>#,##0</c:formatCode>
                <c:ptCount val="3"/>
                <c:pt idx="0">
                  <c:v>15</c:v>
                </c:pt>
                <c:pt idx="1">
                  <c:v>1</c:v>
                </c:pt>
                <c:pt idx="2">
                  <c:v>1</c:v>
                </c:pt>
              </c:numCache>
            </c:numRef>
          </c:val>
        </c:ser>
        <c:ser>
          <c:idx val="1"/>
          <c:order val="1"/>
          <c:tx>
            <c:strRef>
              <c:f>'ID4D Stats'!$DS$61</c:f>
              <c:strCache>
                <c:ptCount val="1"/>
                <c:pt idx="0">
                  <c:v>NID</c:v>
                </c:pt>
              </c:strCache>
            </c:strRef>
          </c:tx>
          <c:spPr>
            <a:solidFill>
              <a:schemeClr val="accent3">
                <a:lumMod val="60000"/>
                <a:lumOff val="40000"/>
              </a:schemeClr>
            </a:solidFill>
            <a:ln>
              <a:solidFill>
                <a:srgbClr val="0000CC"/>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'ID4D Stats'!$DQ$62:$DQ$64</c:f>
              <c:strCache>
                <c:ptCount val="3"/>
                <c:pt idx="0">
                  <c:v>Free (88)</c:v>
                </c:pt>
                <c:pt idx="1">
                  <c:v>Partially Free (61)</c:v>
                </c:pt>
                <c:pt idx="2">
                  <c:v>Not Free (49)</c:v>
                </c:pt>
              </c:strCache>
            </c:strRef>
          </c:cat>
          <c:val>
            <c:numRef>
              <c:f>'ID4D Stats'!$DS$62:$DS$64</c:f>
              <c:numCache>
                <c:formatCode>#,##0</c:formatCode>
                <c:ptCount val="3"/>
                <c:pt idx="0">
                  <c:v>14</c:v>
                </c:pt>
                <c:pt idx="1">
                  <c:v>10</c:v>
                </c:pt>
                <c:pt idx="2">
                  <c:v>9</c:v>
                </c:pt>
              </c:numCache>
            </c:numRef>
          </c:val>
        </c:ser>
        <c:ser>
          <c:idx val="2"/>
          <c:order val="2"/>
          <c:tx>
            <c:strRef>
              <c:f>'ID4D Stats'!$DT$61</c:f>
              <c:strCache>
                <c:ptCount val="1"/>
                <c:pt idx="0">
                  <c:v>e-ID</c:v>
                </c:pt>
              </c:strCache>
            </c:strRef>
          </c:tx>
          <c:spPr>
            <a:solidFill>
              <a:srgbClr val="FFC000"/>
            </a:solidFill>
            <a:ln>
              <a:solidFill>
                <a:srgbClr val="0000CC"/>
              </a:solidFill>
            </a:ln>
          </c:spPr>
          <c:invertIfNegative val="0"/>
          <c:dLbls>
            <c:dLbl>
              <c:idx val="3"/>
              <c:layout>
                <c:manualLayout>
                  <c:x val="0"/>
                  <c:y val="1.457194621154258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'ID4D Stats'!$DQ$62:$DQ$64</c:f>
              <c:strCache>
                <c:ptCount val="3"/>
                <c:pt idx="0">
                  <c:v>Free (88)</c:v>
                </c:pt>
                <c:pt idx="1">
                  <c:v>Partially Free (61)</c:v>
                </c:pt>
                <c:pt idx="2">
                  <c:v>Not Free (49)</c:v>
                </c:pt>
              </c:strCache>
            </c:strRef>
          </c:cat>
          <c:val>
            <c:numRef>
              <c:f>'ID4D Stats'!$DT$62:$DT$64</c:f>
              <c:numCache>
                <c:formatCode>#,##0</c:formatCode>
                <c:ptCount val="3"/>
                <c:pt idx="0">
                  <c:v>22</c:v>
                </c:pt>
                <c:pt idx="1">
                  <c:v>10</c:v>
                </c:pt>
                <c:pt idx="2">
                  <c:v>5</c:v>
                </c:pt>
              </c:numCache>
            </c:numRef>
          </c:val>
        </c:ser>
        <c:ser>
          <c:idx val="3"/>
          <c:order val="3"/>
          <c:tx>
            <c:strRef>
              <c:f>'ID4D Stats'!$DU$61</c:f>
              <c:strCache>
                <c:ptCount val="1"/>
                <c:pt idx="0">
                  <c:v>Biometric e-ID</c:v>
                </c:pt>
              </c:strCache>
            </c:strRef>
          </c:tx>
          <c:spPr>
            <a:solidFill>
              <a:srgbClr val="00B0F0"/>
            </a:solidFill>
            <a:ln>
              <a:solidFill>
                <a:srgbClr val="0000CC"/>
              </a:solidFill>
            </a:ln>
          </c:spPr>
          <c:invertIfNegative val="0"/>
          <c:dLbls>
            <c:dLbl>
              <c:idx val="0"/>
              <c:layout>
                <c:manualLayout>
                  <c:x val="0"/>
                  <c:y val="1.488095238095238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2.4801196725409314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'ID4D Stats'!$DQ$62:$DQ$64</c:f>
              <c:strCache>
                <c:ptCount val="3"/>
                <c:pt idx="0">
                  <c:v>Free (88)</c:v>
                </c:pt>
                <c:pt idx="1">
                  <c:v>Partially Free (61)</c:v>
                </c:pt>
                <c:pt idx="2">
                  <c:v>Not Free (49)</c:v>
                </c:pt>
              </c:strCache>
            </c:strRef>
          </c:cat>
          <c:val>
            <c:numRef>
              <c:f>'ID4D Stats'!$DU$62:$DU$64</c:f>
              <c:numCache>
                <c:formatCode>#,##0</c:formatCode>
                <c:ptCount val="3"/>
                <c:pt idx="0">
                  <c:v>37</c:v>
                </c:pt>
                <c:pt idx="1">
                  <c:v>40</c:v>
                </c:pt>
                <c:pt idx="2">
                  <c:v>34</c:v>
                </c:pt>
              </c:numCache>
            </c:numRef>
          </c:val>
        </c:ser>
        <c:dLbls>
          <c:showLegendKey val="0"/>
          <c:showVal val="0"/>
          <c:showCatName val="0"/>
          <c:showSerName val="0"/>
          <c:showPercent val="0"/>
          <c:showBubbleSize val="0"/>
        </c:dLbls>
        <c:gapWidth val="100"/>
        <c:overlap val="-20"/>
        <c:axId val="428529032"/>
        <c:axId val="428529424"/>
      </c:barChart>
      <c:catAx>
        <c:axId val="428529032"/>
        <c:scaling>
          <c:orientation val="minMax"/>
        </c:scaling>
        <c:delete val="0"/>
        <c:axPos val="b"/>
        <c:title>
          <c:tx>
            <c:rich>
              <a:bodyPr/>
              <a:lstStyle/>
              <a:p>
                <a:pPr>
                  <a:defRPr b="0">
                    <a:solidFill>
                      <a:srgbClr val="0000CC"/>
                    </a:solidFill>
                  </a:defRPr>
                </a:pPr>
                <a:r>
                  <a:rPr lang="en-US" b="0">
                    <a:solidFill>
                      <a:srgbClr val="0000CC"/>
                    </a:solidFill>
                  </a:rPr>
                  <a:t>FIW</a:t>
                </a:r>
              </a:p>
            </c:rich>
          </c:tx>
          <c:layout>
            <c:manualLayout>
              <c:xMode val="edge"/>
              <c:yMode val="edge"/>
              <c:x val="0.92038363954505686"/>
              <c:y val="0.92457817772778406"/>
            </c:manualLayout>
          </c:layout>
          <c:overlay val="0"/>
        </c:title>
        <c:numFmt formatCode="General" sourceLinked="0"/>
        <c:majorTickMark val="out"/>
        <c:minorTickMark val="none"/>
        <c:tickLblPos val="nextTo"/>
        <c:spPr>
          <a:ln>
            <a:solidFill>
              <a:srgbClr val="0000CC"/>
            </a:solidFill>
          </a:ln>
        </c:spPr>
        <c:crossAx val="428529424"/>
        <c:crosses val="autoZero"/>
        <c:auto val="1"/>
        <c:lblAlgn val="ctr"/>
        <c:lblOffset val="100"/>
        <c:noMultiLvlLbl val="0"/>
      </c:catAx>
      <c:valAx>
        <c:axId val="428529424"/>
        <c:scaling>
          <c:orientation val="minMax"/>
        </c:scaling>
        <c:delete val="0"/>
        <c:axPos val="l"/>
        <c:majorGridlines>
          <c:spPr>
            <a:ln>
              <a:solidFill>
                <a:schemeClr val="bg1">
                  <a:lumMod val="75000"/>
                </a:schemeClr>
              </a:solidFill>
            </a:ln>
          </c:spPr>
        </c:majorGridlines>
        <c:title>
          <c:tx>
            <c:rich>
              <a:bodyPr rot="-5400000" vert="horz"/>
              <a:lstStyle/>
              <a:p>
                <a:pPr>
                  <a:defRPr b="0">
                    <a:solidFill>
                      <a:srgbClr val="0000CC"/>
                    </a:solidFill>
                  </a:defRPr>
                </a:pPr>
                <a:r>
                  <a:rPr lang="en-US" b="0">
                    <a:solidFill>
                      <a:srgbClr val="0000CC"/>
                    </a:solidFill>
                  </a:rPr>
                  <a:t>Economies</a:t>
                </a:r>
              </a:p>
            </c:rich>
          </c:tx>
          <c:layout>
            <c:manualLayout>
              <c:xMode val="edge"/>
              <c:yMode val="edge"/>
              <c:x val="2.2082239720034999E-3"/>
              <c:y val="0.10553573381452315"/>
            </c:manualLayout>
          </c:layout>
          <c:overlay val="0"/>
        </c:title>
        <c:numFmt formatCode="#,##0" sourceLinked="1"/>
        <c:majorTickMark val="out"/>
        <c:minorTickMark val="none"/>
        <c:tickLblPos val="nextTo"/>
        <c:spPr>
          <a:ln>
            <a:solidFill>
              <a:srgbClr val="0000CC"/>
            </a:solidFill>
          </a:ln>
        </c:spPr>
        <c:crossAx val="428529032"/>
        <c:crosses val="autoZero"/>
        <c:crossBetween val="between"/>
      </c:valAx>
      <c:spPr>
        <a:ln>
          <a:solidFill>
            <a:srgbClr val="0000CC"/>
          </a:solidFill>
        </a:ln>
      </c:spPr>
    </c:plotArea>
    <c:legend>
      <c:legendPos val="r"/>
      <c:layout>
        <c:manualLayout>
          <c:xMode val="edge"/>
          <c:yMode val="edge"/>
          <c:x val="0.10088998250218724"/>
          <c:y val="0.10856611673540807"/>
          <c:w val="0.171332239720035"/>
          <c:h val="0.1980881296087989"/>
        </c:manualLayout>
      </c:layout>
      <c:overlay val="0"/>
      <c:spPr>
        <a:solidFill>
          <a:schemeClr val="bg1"/>
        </a:solidFill>
      </c:spPr>
      <c:txPr>
        <a:bodyPr/>
        <a:lstStyle/>
        <a:p>
          <a:pPr>
            <a:defRPr sz="800"/>
          </a:pPr>
          <a:endParaRPr lang="en-US"/>
        </a:p>
      </c:txPr>
    </c:legend>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solidFill>
                  <a:srgbClr val="0000CC"/>
                </a:solidFill>
              </a:defRPr>
            </a:pPr>
            <a:r>
              <a:rPr lang="en-US" sz="1100" b="1">
                <a:solidFill>
                  <a:srgbClr val="0000CC"/>
                </a:solidFill>
              </a:rPr>
              <a:t>Freedom</a:t>
            </a:r>
            <a:r>
              <a:rPr lang="en-US" sz="1100" b="1" baseline="0">
                <a:solidFill>
                  <a:srgbClr val="0000CC"/>
                </a:solidFill>
              </a:rPr>
              <a:t> of the Press (2014)</a:t>
            </a:r>
            <a:endParaRPr lang="en-US" sz="1100" b="1">
              <a:solidFill>
                <a:srgbClr val="0000CC"/>
              </a:solidFill>
            </a:endParaRPr>
          </a:p>
        </c:rich>
      </c:tx>
      <c:layout>
        <c:manualLayout>
          <c:xMode val="edge"/>
          <c:yMode val="edge"/>
          <c:x val="0.31143744531933509"/>
          <c:y val="8.1634326959130112E-3"/>
        </c:manualLayout>
      </c:layout>
      <c:overlay val="1"/>
    </c:title>
    <c:autoTitleDeleted val="0"/>
    <c:plotArea>
      <c:layout>
        <c:manualLayout>
          <c:layoutTarget val="inner"/>
          <c:xMode val="edge"/>
          <c:yMode val="edge"/>
          <c:x val="9.6988407699037618E-2"/>
          <c:y val="0.10203719652230971"/>
          <c:w val="0.88445713035870521"/>
          <c:h val="0.75763615485564306"/>
        </c:manualLayout>
      </c:layout>
      <c:barChart>
        <c:barDir val="col"/>
        <c:grouping val="clustered"/>
        <c:varyColors val="0"/>
        <c:ser>
          <c:idx val="0"/>
          <c:order val="0"/>
          <c:tx>
            <c:strRef>
              <c:f>'ID4D Stats'!$DR$89</c:f>
              <c:strCache>
                <c:ptCount val="1"/>
                <c:pt idx="0">
                  <c:v>No NID</c:v>
                </c:pt>
              </c:strCache>
            </c:strRef>
          </c:tx>
          <c:spPr>
            <a:solidFill>
              <a:srgbClr val="FF0000"/>
            </a:solidFill>
            <a:ln>
              <a:solidFill>
                <a:srgbClr val="0000CC"/>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'ID4D Stats'!$DQ$90:$DQ$92</c:f>
              <c:strCache>
                <c:ptCount val="3"/>
                <c:pt idx="0">
                  <c:v>Free (63)</c:v>
                </c:pt>
                <c:pt idx="1">
                  <c:v>Partially Free (69)</c:v>
                </c:pt>
                <c:pt idx="2">
                  <c:v>Not Free (66)</c:v>
                </c:pt>
              </c:strCache>
            </c:strRef>
          </c:cat>
          <c:val>
            <c:numRef>
              <c:f>'ID4D Stats'!$DR$90:$DR$92</c:f>
              <c:numCache>
                <c:formatCode>#,##0</c:formatCode>
                <c:ptCount val="3"/>
                <c:pt idx="0">
                  <c:v>14</c:v>
                </c:pt>
                <c:pt idx="1">
                  <c:v>2</c:v>
                </c:pt>
                <c:pt idx="2">
                  <c:v>1</c:v>
                </c:pt>
              </c:numCache>
            </c:numRef>
          </c:val>
        </c:ser>
        <c:ser>
          <c:idx val="1"/>
          <c:order val="1"/>
          <c:tx>
            <c:strRef>
              <c:f>'ID4D Stats'!$DS$89</c:f>
              <c:strCache>
                <c:ptCount val="1"/>
                <c:pt idx="0">
                  <c:v>NID</c:v>
                </c:pt>
              </c:strCache>
            </c:strRef>
          </c:tx>
          <c:spPr>
            <a:solidFill>
              <a:schemeClr val="accent3">
                <a:lumMod val="60000"/>
                <a:lumOff val="40000"/>
              </a:schemeClr>
            </a:solidFill>
            <a:ln>
              <a:solidFill>
                <a:srgbClr val="0000CC"/>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'ID4D Stats'!$DQ$90:$DQ$92</c:f>
              <c:strCache>
                <c:ptCount val="3"/>
                <c:pt idx="0">
                  <c:v>Free (63)</c:v>
                </c:pt>
                <c:pt idx="1">
                  <c:v>Partially Free (69)</c:v>
                </c:pt>
                <c:pt idx="2">
                  <c:v>Not Free (66)</c:v>
                </c:pt>
              </c:strCache>
            </c:strRef>
          </c:cat>
          <c:val>
            <c:numRef>
              <c:f>'ID4D Stats'!$DS$90:$DS$92</c:f>
              <c:numCache>
                <c:formatCode>#,##0</c:formatCode>
                <c:ptCount val="3"/>
                <c:pt idx="0">
                  <c:v>11</c:v>
                </c:pt>
                <c:pt idx="1">
                  <c:v>10</c:v>
                </c:pt>
                <c:pt idx="2">
                  <c:v>12</c:v>
                </c:pt>
              </c:numCache>
            </c:numRef>
          </c:val>
        </c:ser>
        <c:ser>
          <c:idx val="2"/>
          <c:order val="2"/>
          <c:tx>
            <c:strRef>
              <c:f>'ID4D Stats'!$DT$89</c:f>
              <c:strCache>
                <c:ptCount val="1"/>
                <c:pt idx="0">
                  <c:v>e-ID</c:v>
                </c:pt>
              </c:strCache>
            </c:strRef>
          </c:tx>
          <c:spPr>
            <a:solidFill>
              <a:srgbClr val="FFC000"/>
            </a:solidFill>
            <a:ln>
              <a:solidFill>
                <a:srgbClr val="0000CC"/>
              </a:solidFill>
            </a:ln>
          </c:spPr>
          <c:invertIfNegative val="0"/>
          <c:dLbls>
            <c:dLbl>
              <c:idx val="3"/>
              <c:layout>
                <c:manualLayout>
                  <c:x val="0"/>
                  <c:y val="1.457194621154258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'ID4D Stats'!$DQ$90:$DQ$92</c:f>
              <c:strCache>
                <c:ptCount val="3"/>
                <c:pt idx="0">
                  <c:v>Free (63)</c:v>
                </c:pt>
                <c:pt idx="1">
                  <c:v>Partially Free (69)</c:v>
                </c:pt>
                <c:pt idx="2">
                  <c:v>Not Free (66)</c:v>
                </c:pt>
              </c:strCache>
            </c:strRef>
          </c:cat>
          <c:val>
            <c:numRef>
              <c:f>'ID4D Stats'!$DT$90:$DT$92</c:f>
              <c:numCache>
                <c:formatCode>#,##0</c:formatCode>
                <c:ptCount val="3"/>
                <c:pt idx="0">
                  <c:v>15</c:v>
                </c:pt>
                <c:pt idx="1">
                  <c:v>15</c:v>
                </c:pt>
                <c:pt idx="2">
                  <c:v>7</c:v>
                </c:pt>
              </c:numCache>
            </c:numRef>
          </c:val>
        </c:ser>
        <c:ser>
          <c:idx val="3"/>
          <c:order val="3"/>
          <c:tx>
            <c:strRef>
              <c:f>'ID4D Stats'!$DU$89</c:f>
              <c:strCache>
                <c:ptCount val="1"/>
                <c:pt idx="0">
                  <c:v>Biometric e-ID</c:v>
                </c:pt>
              </c:strCache>
            </c:strRef>
          </c:tx>
          <c:spPr>
            <a:solidFill>
              <a:srgbClr val="00B0F0"/>
            </a:solidFill>
            <a:ln>
              <a:solidFill>
                <a:srgbClr val="0000CC"/>
              </a:solidFill>
            </a:ln>
          </c:spPr>
          <c:invertIfNegative val="0"/>
          <c:dLbls>
            <c:dLbl>
              <c:idx val="0"/>
              <c:layout>
                <c:manualLayout>
                  <c:x val="0"/>
                  <c:y val="1.488095238095238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2.4801196725409314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'ID4D Stats'!$DQ$90:$DQ$92</c:f>
              <c:strCache>
                <c:ptCount val="3"/>
                <c:pt idx="0">
                  <c:v>Free (63)</c:v>
                </c:pt>
                <c:pt idx="1">
                  <c:v>Partially Free (69)</c:v>
                </c:pt>
                <c:pt idx="2">
                  <c:v>Not Free (66)</c:v>
                </c:pt>
              </c:strCache>
            </c:strRef>
          </c:cat>
          <c:val>
            <c:numRef>
              <c:f>'ID4D Stats'!$DU$90:$DU$92</c:f>
              <c:numCache>
                <c:formatCode>#,##0</c:formatCode>
                <c:ptCount val="3"/>
                <c:pt idx="0">
                  <c:v>23</c:v>
                </c:pt>
                <c:pt idx="1">
                  <c:v>42</c:v>
                </c:pt>
                <c:pt idx="2">
                  <c:v>46</c:v>
                </c:pt>
              </c:numCache>
            </c:numRef>
          </c:val>
        </c:ser>
        <c:dLbls>
          <c:showLegendKey val="0"/>
          <c:showVal val="0"/>
          <c:showCatName val="0"/>
          <c:showSerName val="0"/>
          <c:showPercent val="0"/>
          <c:showBubbleSize val="0"/>
        </c:dLbls>
        <c:gapWidth val="100"/>
        <c:overlap val="-20"/>
        <c:axId val="428530208"/>
        <c:axId val="428530600"/>
      </c:barChart>
      <c:catAx>
        <c:axId val="428530208"/>
        <c:scaling>
          <c:orientation val="minMax"/>
        </c:scaling>
        <c:delete val="0"/>
        <c:axPos val="b"/>
        <c:title>
          <c:tx>
            <c:rich>
              <a:bodyPr/>
              <a:lstStyle/>
              <a:p>
                <a:pPr>
                  <a:defRPr b="0">
                    <a:solidFill>
                      <a:srgbClr val="0000CC"/>
                    </a:solidFill>
                  </a:defRPr>
                </a:pPr>
                <a:r>
                  <a:rPr lang="en-US" b="0">
                    <a:solidFill>
                      <a:srgbClr val="0000CC"/>
                    </a:solidFill>
                  </a:rPr>
                  <a:t>FIW</a:t>
                </a:r>
              </a:p>
            </c:rich>
          </c:tx>
          <c:layout>
            <c:manualLayout>
              <c:xMode val="edge"/>
              <c:yMode val="edge"/>
              <c:x val="0.92038363954505686"/>
              <c:y val="0.92457817772778406"/>
            </c:manualLayout>
          </c:layout>
          <c:overlay val="0"/>
        </c:title>
        <c:numFmt formatCode="General" sourceLinked="0"/>
        <c:majorTickMark val="out"/>
        <c:minorTickMark val="none"/>
        <c:tickLblPos val="nextTo"/>
        <c:spPr>
          <a:ln>
            <a:solidFill>
              <a:srgbClr val="0000CC"/>
            </a:solidFill>
          </a:ln>
        </c:spPr>
        <c:crossAx val="428530600"/>
        <c:crosses val="autoZero"/>
        <c:auto val="1"/>
        <c:lblAlgn val="ctr"/>
        <c:lblOffset val="100"/>
        <c:noMultiLvlLbl val="0"/>
      </c:catAx>
      <c:valAx>
        <c:axId val="428530600"/>
        <c:scaling>
          <c:orientation val="minMax"/>
        </c:scaling>
        <c:delete val="0"/>
        <c:axPos val="l"/>
        <c:majorGridlines>
          <c:spPr>
            <a:ln>
              <a:solidFill>
                <a:schemeClr val="bg1">
                  <a:lumMod val="75000"/>
                </a:schemeClr>
              </a:solidFill>
            </a:ln>
          </c:spPr>
        </c:majorGridlines>
        <c:title>
          <c:tx>
            <c:rich>
              <a:bodyPr rot="-5400000" vert="horz"/>
              <a:lstStyle/>
              <a:p>
                <a:pPr>
                  <a:defRPr b="0">
                    <a:solidFill>
                      <a:srgbClr val="0000CC"/>
                    </a:solidFill>
                  </a:defRPr>
                </a:pPr>
                <a:r>
                  <a:rPr lang="en-US" b="0">
                    <a:solidFill>
                      <a:srgbClr val="0000CC"/>
                    </a:solidFill>
                  </a:rPr>
                  <a:t>Economies</a:t>
                </a:r>
              </a:p>
            </c:rich>
          </c:tx>
          <c:layout>
            <c:manualLayout>
              <c:xMode val="edge"/>
              <c:yMode val="edge"/>
              <c:x val="2.2082239720034999E-3"/>
              <c:y val="0.10553573381452315"/>
            </c:manualLayout>
          </c:layout>
          <c:overlay val="0"/>
        </c:title>
        <c:numFmt formatCode="#,##0" sourceLinked="1"/>
        <c:majorTickMark val="out"/>
        <c:minorTickMark val="none"/>
        <c:tickLblPos val="nextTo"/>
        <c:spPr>
          <a:ln>
            <a:solidFill>
              <a:srgbClr val="0000CC"/>
            </a:solidFill>
          </a:ln>
        </c:spPr>
        <c:crossAx val="428530208"/>
        <c:crosses val="autoZero"/>
        <c:crossBetween val="between"/>
      </c:valAx>
      <c:spPr>
        <a:ln>
          <a:solidFill>
            <a:srgbClr val="0000CC"/>
          </a:solidFill>
        </a:ln>
      </c:spPr>
    </c:plotArea>
    <c:legend>
      <c:legendPos val="r"/>
      <c:layout>
        <c:manualLayout>
          <c:xMode val="edge"/>
          <c:yMode val="edge"/>
          <c:x val="0.10088998250218724"/>
          <c:y val="0.10856611673540807"/>
          <c:w val="0.171332239720035"/>
          <c:h val="0.1980881296087989"/>
        </c:manualLayout>
      </c:layout>
      <c:overlay val="0"/>
      <c:spPr>
        <a:solidFill>
          <a:schemeClr val="bg1"/>
        </a:solidFill>
      </c:spPr>
      <c:txPr>
        <a:bodyPr/>
        <a:lstStyle/>
        <a:p>
          <a:pPr>
            <a:defRPr sz="800"/>
          </a:pPr>
          <a:endParaRPr lang="en-US"/>
        </a:p>
      </c:txPr>
    </c:legend>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solidFill>
                  <a:srgbClr val="0000CC"/>
                </a:solidFill>
              </a:defRPr>
            </a:pPr>
            <a:r>
              <a:rPr lang="en-US" sz="1100" b="1">
                <a:solidFill>
                  <a:srgbClr val="0000CC"/>
                </a:solidFill>
              </a:rPr>
              <a:t>Freedom</a:t>
            </a:r>
            <a:r>
              <a:rPr lang="en-US" sz="1100" b="1" baseline="0">
                <a:solidFill>
                  <a:srgbClr val="0000CC"/>
                </a:solidFill>
              </a:rPr>
              <a:t> of the Net (2014)</a:t>
            </a:r>
            <a:endParaRPr lang="en-US" sz="1100" b="1">
              <a:solidFill>
                <a:srgbClr val="0000CC"/>
              </a:solidFill>
            </a:endParaRPr>
          </a:p>
        </c:rich>
      </c:tx>
      <c:layout>
        <c:manualLayout>
          <c:xMode val="edge"/>
          <c:yMode val="edge"/>
          <c:x val="0.33088188976377952"/>
          <c:y val="3.2031152355955512E-3"/>
        </c:manualLayout>
      </c:layout>
      <c:overlay val="1"/>
    </c:title>
    <c:autoTitleDeleted val="0"/>
    <c:plotArea>
      <c:layout>
        <c:manualLayout>
          <c:layoutTarget val="inner"/>
          <c:xMode val="edge"/>
          <c:yMode val="edge"/>
          <c:x val="9.6988407699037618E-2"/>
          <c:y val="0.10203719652230971"/>
          <c:w val="0.88445713035870521"/>
          <c:h val="0.75763615485564306"/>
        </c:manualLayout>
      </c:layout>
      <c:barChart>
        <c:barDir val="col"/>
        <c:grouping val="clustered"/>
        <c:varyColors val="0"/>
        <c:ser>
          <c:idx val="0"/>
          <c:order val="0"/>
          <c:tx>
            <c:strRef>
              <c:f>'ID4D Stats'!$DR$75</c:f>
              <c:strCache>
                <c:ptCount val="1"/>
                <c:pt idx="0">
                  <c:v>No NID</c:v>
                </c:pt>
              </c:strCache>
            </c:strRef>
          </c:tx>
          <c:spPr>
            <a:solidFill>
              <a:srgbClr val="FF0000"/>
            </a:solidFill>
            <a:ln>
              <a:solidFill>
                <a:srgbClr val="0000CC"/>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'ID4D Stats'!$DQ$76:$DQ$78</c:f>
              <c:strCache>
                <c:ptCount val="3"/>
                <c:pt idx="0">
                  <c:v>Free (19)</c:v>
                </c:pt>
                <c:pt idx="1">
                  <c:v>Partially Free (31)</c:v>
                </c:pt>
                <c:pt idx="2">
                  <c:v>Not Free (15)</c:v>
                </c:pt>
              </c:strCache>
            </c:strRef>
          </c:cat>
          <c:val>
            <c:numRef>
              <c:f>'ID4D Stats'!$DR$76:$DR$78</c:f>
              <c:numCache>
                <c:formatCode>#,##0</c:formatCode>
                <c:ptCount val="3"/>
                <c:pt idx="0">
                  <c:v>3</c:v>
                </c:pt>
                <c:pt idx="1">
                  <c:v>0</c:v>
                </c:pt>
                <c:pt idx="2">
                  <c:v>0</c:v>
                </c:pt>
              </c:numCache>
            </c:numRef>
          </c:val>
        </c:ser>
        <c:ser>
          <c:idx val="1"/>
          <c:order val="1"/>
          <c:tx>
            <c:strRef>
              <c:f>'ID4D Stats'!$DS$75</c:f>
              <c:strCache>
                <c:ptCount val="1"/>
                <c:pt idx="0">
                  <c:v>NID</c:v>
                </c:pt>
              </c:strCache>
            </c:strRef>
          </c:tx>
          <c:spPr>
            <a:solidFill>
              <a:schemeClr val="accent3">
                <a:lumMod val="60000"/>
                <a:lumOff val="40000"/>
              </a:schemeClr>
            </a:solidFill>
            <a:ln>
              <a:solidFill>
                <a:srgbClr val="0000CC"/>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'ID4D Stats'!$DQ$76:$DQ$78</c:f>
              <c:strCache>
                <c:ptCount val="3"/>
                <c:pt idx="0">
                  <c:v>Free (19)</c:v>
                </c:pt>
                <c:pt idx="1">
                  <c:v>Partially Free (31)</c:v>
                </c:pt>
                <c:pt idx="2">
                  <c:v>Not Free (15)</c:v>
                </c:pt>
              </c:strCache>
            </c:strRef>
          </c:cat>
          <c:val>
            <c:numRef>
              <c:f>'ID4D Stats'!$DS$76:$DS$78</c:f>
              <c:numCache>
                <c:formatCode>#,##0</c:formatCode>
                <c:ptCount val="3"/>
                <c:pt idx="0">
                  <c:v>2</c:v>
                </c:pt>
                <c:pt idx="1">
                  <c:v>3</c:v>
                </c:pt>
                <c:pt idx="2">
                  <c:v>3</c:v>
                </c:pt>
              </c:numCache>
            </c:numRef>
          </c:val>
        </c:ser>
        <c:ser>
          <c:idx val="2"/>
          <c:order val="2"/>
          <c:tx>
            <c:strRef>
              <c:f>'ID4D Stats'!$DT$75</c:f>
              <c:strCache>
                <c:ptCount val="1"/>
                <c:pt idx="0">
                  <c:v>e-ID</c:v>
                </c:pt>
              </c:strCache>
            </c:strRef>
          </c:tx>
          <c:spPr>
            <a:solidFill>
              <a:srgbClr val="FFC000"/>
            </a:solidFill>
            <a:ln>
              <a:solidFill>
                <a:srgbClr val="0000CC"/>
              </a:solidFill>
            </a:ln>
          </c:spPr>
          <c:invertIfNegative val="0"/>
          <c:dLbls>
            <c:dLbl>
              <c:idx val="3"/>
              <c:layout>
                <c:manualLayout>
                  <c:x val="0"/>
                  <c:y val="1.457194621154258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'ID4D Stats'!$DQ$76:$DQ$78</c:f>
              <c:strCache>
                <c:ptCount val="3"/>
                <c:pt idx="0">
                  <c:v>Free (19)</c:v>
                </c:pt>
                <c:pt idx="1">
                  <c:v>Partially Free (31)</c:v>
                </c:pt>
                <c:pt idx="2">
                  <c:v>Not Free (15)</c:v>
                </c:pt>
              </c:strCache>
            </c:strRef>
          </c:cat>
          <c:val>
            <c:numRef>
              <c:f>'ID4D Stats'!$DT$76:$DT$78</c:f>
              <c:numCache>
                <c:formatCode>#,##0</c:formatCode>
                <c:ptCount val="3"/>
                <c:pt idx="0">
                  <c:v>1</c:v>
                </c:pt>
                <c:pt idx="1">
                  <c:v>2</c:v>
                </c:pt>
                <c:pt idx="2">
                  <c:v>2</c:v>
                </c:pt>
              </c:numCache>
            </c:numRef>
          </c:val>
        </c:ser>
        <c:ser>
          <c:idx val="3"/>
          <c:order val="3"/>
          <c:tx>
            <c:strRef>
              <c:f>'ID4D Stats'!$DU$75</c:f>
              <c:strCache>
                <c:ptCount val="1"/>
                <c:pt idx="0">
                  <c:v>Biometric e-ID</c:v>
                </c:pt>
              </c:strCache>
            </c:strRef>
          </c:tx>
          <c:spPr>
            <a:solidFill>
              <a:srgbClr val="00B0F0"/>
            </a:solidFill>
            <a:ln>
              <a:solidFill>
                <a:srgbClr val="0000CC"/>
              </a:solidFill>
            </a:ln>
          </c:spPr>
          <c:invertIfNegative val="0"/>
          <c:dLbls>
            <c:dLbl>
              <c:idx val="0"/>
              <c:layout>
                <c:manualLayout>
                  <c:x val="0"/>
                  <c:y val="1.488095238095238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2.4801196725409314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'ID4D Stats'!$DQ$76:$DQ$78</c:f>
              <c:strCache>
                <c:ptCount val="3"/>
                <c:pt idx="0">
                  <c:v>Free (19)</c:v>
                </c:pt>
                <c:pt idx="1">
                  <c:v>Partially Free (31)</c:v>
                </c:pt>
                <c:pt idx="2">
                  <c:v>Not Free (15)</c:v>
                </c:pt>
              </c:strCache>
            </c:strRef>
          </c:cat>
          <c:val>
            <c:numRef>
              <c:f>'ID4D Stats'!$DU$76:$DU$78</c:f>
              <c:numCache>
                <c:formatCode>#,##0</c:formatCode>
                <c:ptCount val="3"/>
                <c:pt idx="0">
                  <c:v>13</c:v>
                </c:pt>
                <c:pt idx="1">
                  <c:v>26</c:v>
                </c:pt>
                <c:pt idx="2">
                  <c:v>10</c:v>
                </c:pt>
              </c:numCache>
            </c:numRef>
          </c:val>
        </c:ser>
        <c:dLbls>
          <c:showLegendKey val="0"/>
          <c:showVal val="0"/>
          <c:showCatName val="0"/>
          <c:showSerName val="0"/>
          <c:showPercent val="0"/>
          <c:showBubbleSize val="0"/>
        </c:dLbls>
        <c:gapWidth val="100"/>
        <c:overlap val="-20"/>
        <c:axId val="428531384"/>
        <c:axId val="428531776"/>
      </c:barChart>
      <c:catAx>
        <c:axId val="428531384"/>
        <c:scaling>
          <c:orientation val="minMax"/>
        </c:scaling>
        <c:delete val="0"/>
        <c:axPos val="b"/>
        <c:title>
          <c:tx>
            <c:rich>
              <a:bodyPr/>
              <a:lstStyle/>
              <a:p>
                <a:pPr>
                  <a:defRPr b="0">
                    <a:solidFill>
                      <a:srgbClr val="0000CC"/>
                    </a:solidFill>
                  </a:defRPr>
                </a:pPr>
                <a:r>
                  <a:rPr lang="en-US" b="0">
                    <a:solidFill>
                      <a:srgbClr val="0000CC"/>
                    </a:solidFill>
                  </a:rPr>
                  <a:t>FIW</a:t>
                </a:r>
              </a:p>
            </c:rich>
          </c:tx>
          <c:layout>
            <c:manualLayout>
              <c:xMode val="edge"/>
              <c:yMode val="edge"/>
              <c:x val="0.92038363954505686"/>
              <c:y val="0.92457817772778406"/>
            </c:manualLayout>
          </c:layout>
          <c:overlay val="0"/>
        </c:title>
        <c:numFmt formatCode="General" sourceLinked="0"/>
        <c:majorTickMark val="out"/>
        <c:minorTickMark val="none"/>
        <c:tickLblPos val="nextTo"/>
        <c:spPr>
          <a:ln>
            <a:solidFill>
              <a:srgbClr val="0000CC"/>
            </a:solidFill>
          </a:ln>
        </c:spPr>
        <c:crossAx val="428531776"/>
        <c:crosses val="autoZero"/>
        <c:auto val="1"/>
        <c:lblAlgn val="ctr"/>
        <c:lblOffset val="100"/>
        <c:noMultiLvlLbl val="0"/>
      </c:catAx>
      <c:valAx>
        <c:axId val="428531776"/>
        <c:scaling>
          <c:orientation val="minMax"/>
        </c:scaling>
        <c:delete val="0"/>
        <c:axPos val="l"/>
        <c:majorGridlines>
          <c:spPr>
            <a:ln>
              <a:solidFill>
                <a:schemeClr val="bg1">
                  <a:lumMod val="75000"/>
                </a:schemeClr>
              </a:solidFill>
            </a:ln>
          </c:spPr>
        </c:majorGridlines>
        <c:title>
          <c:tx>
            <c:rich>
              <a:bodyPr rot="-5400000" vert="horz"/>
              <a:lstStyle/>
              <a:p>
                <a:pPr>
                  <a:defRPr b="0">
                    <a:solidFill>
                      <a:srgbClr val="0000CC"/>
                    </a:solidFill>
                  </a:defRPr>
                </a:pPr>
                <a:r>
                  <a:rPr lang="en-US" b="0">
                    <a:solidFill>
                      <a:srgbClr val="0000CC"/>
                    </a:solidFill>
                  </a:rPr>
                  <a:t>Economies</a:t>
                </a:r>
              </a:p>
            </c:rich>
          </c:tx>
          <c:layout>
            <c:manualLayout>
              <c:xMode val="edge"/>
              <c:yMode val="edge"/>
              <c:x val="2.2082239720034999E-3"/>
              <c:y val="0.10553573381452315"/>
            </c:manualLayout>
          </c:layout>
          <c:overlay val="0"/>
        </c:title>
        <c:numFmt formatCode="#,##0" sourceLinked="1"/>
        <c:majorTickMark val="out"/>
        <c:minorTickMark val="none"/>
        <c:tickLblPos val="nextTo"/>
        <c:spPr>
          <a:ln>
            <a:solidFill>
              <a:srgbClr val="0000CC"/>
            </a:solidFill>
          </a:ln>
        </c:spPr>
        <c:crossAx val="428531384"/>
        <c:crosses val="autoZero"/>
        <c:crossBetween val="between"/>
      </c:valAx>
      <c:spPr>
        <a:ln>
          <a:solidFill>
            <a:srgbClr val="0000CC"/>
          </a:solidFill>
        </a:ln>
      </c:spPr>
    </c:plotArea>
    <c:legend>
      <c:legendPos val="r"/>
      <c:layout>
        <c:manualLayout>
          <c:xMode val="edge"/>
          <c:yMode val="edge"/>
          <c:x val="0.10088998250218724"/>
          <c:y val="0.10856611673540807"/>
          <c:w val="0.171332239720035"/>
          <c:h val="0.1980881296087989"/>
        </c:manualLayout>
      </c:layout>
      <c:overlay val="0"/>
      <c:spPr>
        <a:solidFill>
          <a:schemeClr val="bg1"/>
        </a:solidFill>
      </c:spPr>
      <c:txPr>
        <a:bodyPr/>
        <a:lstStyle/>
        <a:p>
          <a:pPr>
            <a:defRPr sz="800"/>
          </a:pPr>
          <a:endParaRPr lang="en-US"/>
        </a:p>
      </c:txPr>
    </c:legend>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solidFill>
                  <a:srgbClr val="0000CC"/>
                </a:solidFill>
              </a:defRPr>
            </a:pPr>
            <a:r>
              <a:rPr lang="en-US" sz="1100" b="1">
                <a:solidFill>
                  <a:srgbClr val="0000CC"/>
                </a:solidFill>
              </a:rPr>
              <a:t>Data Protection / Privacy Laws</a:t>
            </a:r>
          </a:p>
        </c:rich>
      </c:tx>
      <c:layout>
        <c:manualLayout>
          <c:xMode val="edge"/>
          <c:yMode val="edge"/>
          <c:x val="0.29199300087489066"/>
          <c:y val="8.1634326959130112E-3"/>
        </c:manualLayout>
      </c:layout>
      <c:overlay val="1"/>
    </c:title>
    <c:autoTitleDeleted val="0"/>
    <c:plotArea>
      <c:layout>
        <c:manualLayout>
          <c:layoutTarget val="inner"/>
          <c:xMode val="edge"/>
          <c:yMode val="edge"/>
          <c:x val="9.6988407699037618E-2"/>
          <c:y val="0.10203719652230971"/>
          <c:w val="0.88445713035870521"/>
          <c:h val="0.75763615485564306"/>
        </c:manualLayout>
      </c:layout>
      <c:barChart>
        <c:barDir val="col"/>
        <c:grouping val="clustered"/>
        <c:varyColors val="0"/>
        <c:ser>
          <c:idx val="0"/>
          <c:order val="0"/>
          <c:tx>
            <c:strRef>
              <c:f>'ID4D Stats'!$DR$106</c:f>
              <c:strCache>
                <c:ptCount val="1"/>
                <c:pt idx="0">
                  <c:v>No NID</c:v>
                </c:pt>
              </c:strCache>
            </c:strRef>
          </c:tx>
          <c:spPr>
            <a:solidFill>
              <a:srgbClr val="FF0000"/>
            </a:solidFill>
            <a:ln>
              <a:solidFill>
                <a:srgbClr val="0000CC"/>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'ID4D Stats'!$DQ$107:$DQ$110</c:f>
              <c:strCache>
                <c:ptCount val="4"/>
                <c:pt idx="0">
                  <c:v>LIC (11/34)</c:v>
                </c:pt>
                <c:pt idx="1">
                  <c:v>LMIC (21/50)</c:v>
                </c:pt>
                <c:pt idx="2">
                  <c:v>UMIC (31/55)</c:v>
                </c:pt>
                <c:pt idx="3">
                  <c:v>HIC (52/59)</c:v>
                </c:pt>
              </c:strCache>
            </c:strRef>
          </c:cat>
          <c:val>
            <c:numRef>
              <c:f>'ID4D Stats'!$DR$107:$DR$110</c:f>
              <c:numCache>
                <c:formatCode>#,##0</c:formatCode>
                <c:ptCount val="4"/>
                <c:pt idx="0">
                  <c:v>0</c:v>
                </c:pt>
                <c:pt idx="1">
                  <c:v>1</c:v>
                </c:pt>
                <c:pt idx="2">
                  <c:v>0</c:v>
                </c:pt>
                <c:pt idx="3">
                  <c:v>8</c:v>
                </c:pt>
              </c:numCache>
            </c:numRef>
          </c:val>
        </c:ser>
        <c:ser>
          <c:idx val="1"/>
          <c:order val="1"/>
          <c:tx>
            <c:strRef>
              <c:f>'ID4D Stats'!$DS$106</c:f>
              <c:strCache>
                <c:ptCount val="1"/>
                <c:pt idx="0">
                  <c:v>NID</c:v>
                </c:pt>
              </c:strCache>
            </c:strRef>
          </c:tx>
          <c:spPr>
            <a:solidFill>
              <a:schemeClr val="accent3">
                <a:lumMod val="60000"/>
                <a:lumOff val="40000"/>
              </a:schemeClr>
            </a:solidFill>
            <a:ln>
              <a:solidFill>
                <a:srgbClr val="0000CC"/>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'ID4D Stats'!$DQ$107:$DQ$110</c:f>
              <c:strCache>
                <c:ptCount val="4"/>
                <c:pt idx="0">
                  <c:v>LIC (11/34)</c:v>
                </c:pt>
                <c:pt idx="1">
                  <c:v>LMIC (21/50)</c:v>
                </c:pt>
                <c:pt idx="2">
                  <c:v>UMIC (31/55)</c:v>
                </c:pt>
                <c:pt idx="3">
                  <c:v>HIC (52/59)</c:v>
                </c:pt>
              </c:strCache>
            </c:strRef>
          </c:cat>
          <c:val>
            <c:numRef>
              <c:f>'ID4D Stats'!$DS$107:$DS$110</c:f>
              <c:numCache>
                <c:formatCode>#,##0</c:formatCode>
                <c:ptCount val="4"/>
                <c:pt idx="0">
                  <c:v>4</c:v>
                </c:pt>
                <c:pt idx="1">
                  <c:v>3</c:v>
                </c:pt>
                <c:pt idx="2">
                  <c:v>1</c:v>
                </c:pt>
                <c:pt idx="3">
                  <c:v>6</c:v>
                </c:pt>
              </c:numCache>
            </c:numRef>
          </c:val>
        </c:ser>
        <c:ser>
          <c:idx val="2"/>
          <c:order val="2"/>
          <c:tx>
            <c:strRef>
              <c:f>'ID4D Stats'!$DT$106</c:f>
              <c:strCache>
                <c:ptCount val="1"/>
                <c:pt idx="0">
                  <c:v>e-ID</c:v>
                </c:pt>
              </c:strCache>
            </c:strRef>
          </c:tx>
          <c:spPr>
            <a:solidFill>
              <a:srgbClr val="FFC000"/>
            </a:solidFill>
            <a:ln>
              <a:solidFill>
                <a:srgbClr val="0000CC"/>
              </a:solidFill>
            </a:ln>
          </c:spPr>
          <c:invertIfNegative val="0"/>
          <c:dLbls>
            <c:dLbl>
              <c:idx val="3"/>
              <c:layout>
                <c:manualLayout>
                  <c:x val="0"/>
                  <c:y val="1.457194621154258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'ID4D Stats'!$DQ$107:$DQ$110</c:f>
              <c:strCache>
                <c:ptCount val="4"/>
                <c:pt idx="0">
                  <c:v>LIC (11/34)</c:v>
                </c:pt>
                <c:pt idx="1">
                  <c:v>LMIC (21/50)</c:v>
                </c:pt>
                <c:pt idx="2">
                  <c:v>UMIC (31/55)</c:v>
                </c:pt>
                <c:pt idx="3">
                  <c:v>HIC (52/59)</c:v>
                </c:pt>
              </c:strCache>
            </c:strRef>
          </c:cat>
          <c:val>
            <c:numRef>
              <c:f>'ID4D Stats'!$DT$107:$DT$110</c:f>
              <c:numCache>
                <c:formatCode>#,##0</c:formatCode>
                <c:ptCount val="4"/>
                <c:pt idx="0">
                  <c:v>1</c:v>
                </c:pt>
                <c:pt idx="1">
                  <c:v>3</c:v>
                </c:pt>
                <c:pt idx="2">
                  <c:v>7</c:v>
                </c:pt>
                <c:pt idx="3">
                  <c:v>14</c:v>
                </c:pt>
              </c:numCache>
            </c:numRef>
          </c:val>
        </c:ser>
        <c:ser>
          <c:idx val="3"/>
          <c:order val="3"/>
          <c:tx>
            <c:strRef>
              <c:f>'ID4D Stats'!$DU$106</c:f>
              <c:strCache>
                <c:ptCount val="1"/>
                <c:pt idx="0">
                  <c:v>Biometric e-ID</c:v>
                </c:pt>
              </c:strCache>
            </c:strRef>
          </c:tx>
          <c:spPr>
            <a:solidFill>
              <a:srgbClr val="00B0F0"/>
            </a:solidFill>
            <a:ln>
              <a:solidFill>
                <a:srgbClr val="0000CC"/>
              </a:solidFill>
            </a:ln>
          </c:spPr>
          <c:invertIfNegative val="0"/>
          <c:dLbls>
            <c:dLbl>
              <c:idx val="2"/>
              <c:layout>
                <c:manualLayout>
                  <c:x val="0"/>
                  <c:y val="1.9840879265091864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'ID4D Stats'!$DQ$107:$DQ$110</c:f>
              <c:strCache>
                <c:ptCount val="4"/>
                <c:pt idx="0">
                  <c:v>LIC (11/34)</c:v>
                </c:pt>
                <c:pt idx="1">
                  <c:v>LMIC (21/50)</c:v>
                </c:pt>
                <c:pt idx="2">
                  <c:v>UMIC (31/55)</c:v>
                </c:pt>
                <c:pt idx="3">
                  <c:v>HIC (52/59)</c:v>
                </c:pt>
              </c:strCache>
            </c:strRef>
          </c:cat>
          <c:val>
            <c:numRef>
              <c:f>'ID4D Stats'!$DU$107:$DU$110</c:f>
              <c:numCache>
                <c:formatCode>#,##0</c:formatCode>
                <c:ptCount val="4"/>
                <c:pt idx="0">
                  <c:v>6</c:v>
                </c:pt>
                <c:pt idx="1">
                  <c:v>14</c:v>
                </c:pt>
                <c:pt idx="2">
                  <c:v>23</c:v>
                </c:pt>
                <c:pt idx="3">
                  <c:v>24</c:v>
                </c:pt>
              </c:numCache>
            </c:numRef>
          </c:val>
        </c:ser>
        <c:dLbls>
          <c:showLegendKey val="0"/>
          <c:showVal val="0"/>
          <c:showCatName val="0"/>
          <c:showSerName val="0"/>
          <c:showPercent val="0"/>
          <c:showBubbleSize val="0"/>
        </c:dLbls>
        <c:gapWidth val="100"/>
        <c:overlap val="-20"/>
        <c:axId val="428532560"/>
        <c:axId val="429435184"/>
      </c:barChart>
      <c:catAx>
        <c:axId val="428532560"/>
        <c:scaling>
          <c:orientation val="minMax"/>
        </c:scaling>
        <c:delete val="0"/>
        <c:axPos val="b"/>
        <c:title>
          <c:tx>
            <c:rich>
              <a:bodyPr/>
              <a:lstStyle/>
              <a:p>
                <a:pPr>
                  <a:defRPr b="0">
                    <a:solidFill>
                      <a:srgbClr val="0000CC"/>
                    </a:solidFill>
                  </a:defRPr>
                </a:pPr>
                <a:r>
                  <a:rPr lang="en-US" b="0">
                    <a:solidFill>
                      <a:srgbClr val="0000CC"/>
                    </a:solidFill>
                  </a:rPr>
                  <a:t>Income level</a:t>
                </a:r>
              </a:p>
            </c:rich>
          </c:tx>
          <c:layout>
            <c:manualLayout>
              <c:xMode val="edge"/>
              <c:yMode val="edge"/>
              <c:x val="0.7926058617672791"/>
              <c:y val="0.92457817772778406"/>
            </c:manualLayout>
          </c:layout>
          <c:overlay val="0"/>
        </c:title>
        <c:numFmt formatCode="General" sourceLinked="0"/>
        <c:majorTickMark val="out"/>
        <c:minorTickMark val="none"/>
        <c:tickLblPos val="nextTo"/>
        <c:spPr>
          <a:ln>
            <a:solidFill>
              <a:srgbClr val="0000CC"/>
            </a:solidFill>
          </a:ln>
        </c:spPr>
        <c:crossAx val="429435184"/>
        <c:crosses val="autoZero"/>
        <c:auto val="1"/>
        <c:lblAlgn val="ctr"/>
        <c:lblOffset val="100"/>
        <c:noMultiLvlLbl val="0"/>
      </c:catAx>
      <c:valAx>
        <c:axId val="429435184"/>
        <c:scaling>
          <c:orientation val="minMax"/>
        </c:scaling>
        <c:delete val="0"/>
        <c:axPos val="l"/>
        <c:majorGridlines>
          <c:spPr>
            <a:ln>
              <a:solidFill>
                <a:schemeClr val="bg1">
                  <a:lumMod val="75000"/>
                </a:schemeClr>
              </a:solidFill>
            </a:ln>
          </c:spPr>
        </c:majorGridlines>
        <c:title>
          <c:tx>
            <c:rich>
              <a:bodyPr rot="-5400000" vert="horz"/>
              <a:lstStyle/>
              <a:p>
                <a:pPr>
                  <a:defRPr b="0">
                    <a:solidFill>
                      <a:srgbClr val="0000CC"/>
                    </a:solidFill>
                  </a:defRPr>
                </a:pPr>
                <a:r>
                  <a:rPr lang="en-US" b="0">
                    <a:solidFill>
                      <a:srgbClr val="0000CC"/>
                    </a:solidFill>
                  </a:rPr>
                  <a:t>Economies</a:t>
                </a:r>
              </a:p>
            </c:rich>
          </c:tx>
          <c:layout>
            <c:manualLayout>
              <c:xMode val="edge"/>
              <c:yMode val="edge"/>
              <c:x val="2.2082239720034999E-3"/>
              <c:y val="0.10553573381452315"/>
            </c:manualLayout>
          </c:layout>
          <c:overlay val="0"/>
        </c:title>
        <c:numFmt formatCode="#,##0" sourceLinked="1"/>
        <c:majorTickMark val="out"/>
        <c:minorTickMark val="none"/>
        <c:tickLblPos val="nextTo"/>
        <c:spPr>
          <a:ln>
            <a:solidFill>
              <a:srgbClr val="0000CC"/>
            </a:solidFill>
          </a:ln>
        </c:spPr>
        <c:crossAx val="428532560"/>
        <c:crosses val="autoZero"/>
        <c:crossBetween val="between"/>
      </c:valAx>
      <c:spPr>
        <a:ln>
          <a:solidFill>
            <a:srgbClr val="0000CC"/>
          </a:solidFill>
        </a:ln>
      </c:spPr>
    </c:plotArea>
    <c:legend>
      <c:legendPos val="r"/>
      <c:layout>
        <c:manualLayout>
          <c:xMode val="edge"/>
          <c:yMode val="edge"/>
          <c:x val="0.10644553805774278"/>
          <c:y val="0.10856611673540807"/>
          <c:w val="0.171332239720035"/>
          <c:h val="0.1980881296087989"/>
        </c:manualLayout>
      </c:layout>
      <c:overlay val="0"/>
      <c:spPr>
        <a:solidFill>
          <a:schemeClr val="bg1"/>
        </a:solidFill>
      </c:spPr>
      <c:txPr>
        <a:bodyPr/>
        <a:lstStyle/>
        <a:p>
          <a:pPr>
            <a:defRPr sz="800"/>
          </a:pPr>
          <a:endParaRPr lang="en-US"/>
        </a:p>
      </c:txPr>
    </c:legend>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solidFill>
                  <a:srgbClr val="0000CC"/>
                </a:solidFill>
              </a:defRPr>
            </a:pPr>
            <a:r>
              <a:rPr lang="en-US" sz="1100" b="1">
                <a:solidFill>
                  <a:srgbClr val="0000CC"/>
                </a:solidFill>
              </a:rPr>
              <a:t>Right to Information</a:t>
            </a:r>
          </a:p>
        </c:rich>
      </c:tx>
      <c:layout>
        <c:manualLayout>
          <c:xMode val="edge"/>
          <c:yMode val="edge"/>
          <c:x val="0.35865966754155731"/>
          <c:y val="8.1634326959130112E-3"/>
        </c:manualLayout>
      </c:layout>
      <c:overlay val="1"/>
    </c:title>
    <c:autoTitleDeleted val="0"/>
    <c:plotArea>
      <c:layout>
        <c:manualLayout>
          <c:layoutTarget val="inner"/>
          <c:xMode val="edge"/>
          <c:yMode val="edge"/>
          <c:x val="9.6988407699037618E-2"/>
          <c:y val="0.10203719652230971"/>
          <c:w val="0.88445713035870521"/>
          <c:h val="0.75763615485564306"/>
        </c:manualLayout>
      </c:layout>
      <c:barChart>
        <c:barDir val="col"/>
        <c:grouping val="clustered"/>
        <c:varyColors val="0"/>
        <c:ser>
          <c:idx val="0"/>
          <c:order val="0"/>
          <c:tx>
            <c:strRef>
              <c:f>'ID4D Stats'!$DR$122</c:f>
              <c:strCache>
                <c:ptCount val="1"/>
                <c:pt idx="0">
                  <c:v>No NID</c:v>
                </c:pt>
              </c:strCache>
            </c:strRef>
          </c:tx>
          <c:spPr>
            <a:solidFill>
              <a:srgbClr val="FF0000"/>
            </a:solidFill>
            <a:ln>
              <a:solidFill>
                <a:srgbClr val="0000CC"/>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'ID4D Stats'!$DQ$123:$DQ$126</c:f>
              <c:strCache>
                <c:ptCount val="4"/>
                <c:pt idx="0">
                  <c:v>LIC (16/34)</c:v>
                </c:pt>
                <c:pt idx="1">
                  <c:v>LMIC (27/50)</c:v>
                </c:pt>
                <c:pt idx="2">
                  <c:v>UMIC (33/55)</c:v>
                </c:pt>
                <c:pt idx="3">
                  <c:v>HIC (44/59)</c:v>
                </c:pt>
              </c:strCache>
            </c:strRef>
          </c:cat>
          <c:val>
            <c:numRef>
              <c:f>'ID4D Stats'!$DR$123:$DR$126</c:f>
              <c:numCache>
                <c:formatCode>#,##0</c:formatCode>
                <c:ptCount val="4"/>
                <c:pt idx="0">
                  <c:v>0</c:v>
                </c:pt>
                <c:pt idx="1">
                  <c:v>0</c:v>
                </c:pt>
                <c:pt idx="2">
                  <c:v>0</c:v>
                </c:pt>
                <c:pt idx="3">
                  <c:v>7</c:v>
                </c:pt>
              </c:numCache>
            </c:numRef>
          </c:val>
        </c:ser>
        <c:ser>
          <c:idx val="1"/>
          <c:order val="1"/>
          <c:tx>
            <c:strRef>
              <c:f>'ID4D Stats'!$DS$122</c:f>
              <c:strCache>
                <c:ptCount val="1"/>
                <c:pt idx="0">
                  <c:v>NID</c:v>
                </c:pt>
              </c:strCache>
            </c:strRef>
          </c:tx>
          <c:spPr>
            <a:solidFill>
              <a:schemeClr val="accent3">
                <a:lumMod val="60000"/>
                <a:lumOff val="40000"/>
              </a:schemeClr>
            </a:solidFill>
            <a:ln>
              <a:solidFill>
                <a:srgbClr val="0000CC"/>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'ID4D Stats'!$DQ$123:$DQ$126</c:f>
              <c:strCache>
                <c:ptCount val="4"/>
                <c:pt idx="0">
                  <c:v>LIC (16/34)</c:v>
                </c:pt>
                <c:pt idx="1">
                  <c:v>LMIC (27/50)</c:v>
                </c:pt>
                <c:pt idx="2">
                  <c:v>UMIC (33/55)</c:v>
                </c:pt>
                <c:pt idx="3">
                  <c:v>HIC (44/59)</c:v>
                </c:pt>
              </c:strCache>
            </c:strRef>
          </c:cat>
          <c:val>
            <c:numRef>
              <c:f>'ID4D Stats'!$DS$123:$DS$126</c:f>
              <c:numCache>
                <c:formatCode>#,##0</c:formatCode>
                <c:ptCount val="4"/>
                <c:pt idx="0">
                  <c:v>5</c:v>
                </c:pt>
                <c:pt idx="1">
                  <c:v>3</c:v>
                </c:pt>
                <c:pt idx="2">
                  <c:v>2</c:v>
                </c:pt>
                <c:pt idx="3">
                  <c:v>6</c:v>
                </c:pt>
              </c:numCache>
            </c:numRef>
          </c:val>
        </c:ser>
        <c:ser>
          <c:idx val="2"/>
          <c:order val="2"/>
          <c:tx>
            <c:strRef>
              <c:f>'ID4D Stats'!$DT$122</c:f>
              <c:strCache>
                <c:ptCount val="1"/>
                <c:pt idx="0">
                  <c:v>e-ID</c:v>
                </c:pt>
              </c:strCache>
            </c:strRef>
          </c:tx>
          <c:spPr>
            <a:solidFill>
              <a:srgbClr val="FFC000"/>
            </a:solidFill>
            <a:ln>
              <a:solidFill>
                <a:srgbClr val="0000CC"/>
              </a:solidFill>
            </a:ln>
          </c:spPr>
          <c:invertIfNegative val="0"/>
          <c:dLbls>
            <c:dLbl>
              <c:idx val="3"/>
              <c:layout>
                <c:manualLayout>
                  <c:x val="0"/>
                  <c:y val="1.457194621154258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'ID4D Stats'!$DQ$123:$DQ$126</c:f>
              <c:strCache>
                <c:ptCount val="4"/>
                <c:pt idx="0">
                  <c:v>LIC (16/34)</c:v>
                </c:pt>
                <c:pt idx="1">
                  <c:v>LMIC (27/50)</c:v>
                </c:pt>
                <c:pt idx="2">
                  <c:v>UMIC (33/55)</c:v>
                </c:pt>
                <c:pt idx="3">
                  <c:v>HIC (44/59)</c:v>
                </c:pt>
              </c:strCache>
            </c:strRef>
          </c:cat>
          <c:val>
            <c:numRef>
              <c:f>'ID4D Stats'!$DT$123:$DT$126</c:f>
              <c:numCache>
                <c:formatCode>#,##0</c:formatCode>
                <c:ptCount val="4"/>
                <c:pt idx="0">
                  <c:v>3</c:v>
                </c:pt>
                <c:pt idx="1">
                  <c:v>5</c:v>
                </c:pt>
                <c:pt idx="2">
                  <c:v>8</c:v>
                </c:pt>
                <c:pt idx="3">
                  <c:v>12</c:v>
                </c:pt>
              </c:numCache>
            </c:numRef>
          </c:val>
        </c:ser>
        <c:ser>
          <c:idx val="3"/>
          <c:order val="3"/>
          <c:tx>
            <c:strRef>
              <c:f>'ID4D Stats'!$DU$122</c:f>
              <c:strCache>
                <c:ptCount val="1"/>
                <c:pt idx="0">
                  <c:v>Biometric e-ID</c:v>
                </c:pt>
              </c:strCache>
            </c:strRef>
          </c:tx>
          <c:spPr>
            <a:solidFill>
              <a:srgbClr val="00B0F0"/>
            </a:solidFill>
            <a:ln>
              <a:solidFill>
                <a:srgbClr val="0000CC"/>
              </a:solidFill>
            </a:ln>
          </c:spPr>
          <c:invertIfNegative val="0"/>
          <c:dLbls>
            <c:dLbl>
              <c:idx val="2"/>
              <c:layout>
                <c:manualLayout>
                  <c:x val="0"/>
                  <c:y val="1.9840879265091864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'ID4D Stats'!$DQ$123:$DQ$126</c:f>
              <c:strCache>
                <c:ptCount val="4"/>
                <c:pt idx="0">
                  <c:v>LIC (16/34)</c:v>
                </c:pt>
                <c:pt idx="1">
                  <c:v>LMIC (27/50)</c:v>
                </c:pt>
                <c:pt idx="2">
                  <c:v>UMIC (33/55)</c:v>
                </c:pt>
                <c:pt idx="3">
                  <c:v>HIC (44/59)</c:v>
                </c:pt>
              </c:strCache>
            </c:strRef>
          </c:cat>
          <c:val>
            <c:numRef>
              <c:f>'ID4D Stats'!$DU$123:$DU$126</c:f>
              <c:numCache>
                <c:formatCode>#,##0</c:formatCode>
                <c:ptCount val="4"/>
                <c:pt idx="0">
                  <c:v>8</c:v>
                </c:pt>
                <c:pt idx="1">
                  <c:v>19</c:v>
                </c:pt>
                <c:pt idx="2">
                  <c:v>23</c:v>
                </c:pt>
                <c:pt idx="3">
                  <c:v>19</c:v>
                </c:pt>
              </c:numCache>
            </c:numRef>
          </c:val>
        </c:ser>
        <c:dLbls>
          <c:showLegendKey val="0"/>
          <c:showVal val="0"/>
          <c:showCatName val="0"/>
          <c:showSerName val="0"/>
          <c:showPercent val="0"/>
          <c:showBubbleSize val="0"/>
        </c:dLbls>
        <c:gapWidth val="100"/>
        <c:overlap val="-20"/>
        <c:axId val="429435968"/>
        <c:axId val="429436360"/>
      </c:barChart>
      <c:catAx>
        <c:axId val="429435968"/>
        <c:scaling>
          <c:orientation val="minMax"/>
        </c:scaling>
        <c:delete val="0"/>
        <c:axPos val="b"/>
        <c:title>
          <c:tx>
            <c:rich>
              <a:bodyPr/>
              <a:lstStyle/>
              <a:p>
                <a:pPr>
                  <a:defRPr b="0">
                    <a:solidFill>
                      <a:srgbClr val="0000CC"/>
                    </a:solidFill>
                  </a:defRPr>
                </a:pPr>
                <a:r>
                  <a:rPr lang="en-US" b="0">
                    <a:solidFill>
                      <a:srgbClr val="0000CC"/>
                    </a:solidFill>
                  </a:rPr>
                  <a:t>Income level</a:t>
                </a:r>
              </a:p>
            </c:rich>
          </c:tx>
          <c:layout>
            <c:manualLayout>
              <c:xMode val="edge"/>
              <c:yMode val="edge"/>
              <c:x val="0.7926058617672791"/>
              <c:y val="0.92457817772778406"/>
            </c:manualLayout>
          </c:layout>
          <c:overlay val="0"/>
        </c:title>
        <c:numFmt formatCode="General" sourceLinked="0"/>
        <c:majorTickMark val="out"/>
        <c:minorTickMark val="none"/>
        <c:tickLblPos val="nextTo"/>
        <c:spPr>
          <a:ln>
            <a:solidFill>
              <a:srgbClr val="0000CC"/>
            </a:solidFill>
          </a:ln>
        </c:spPr>
        <c:crossAx val="429436360"/>
        <c:crosses val="autoZero"/>
        <c:auto val="1"/>
        <c:lblAlgn val="ctr"/>
        <c:lblOffset val="100"/>
        <c:noMultiLvlLbl val="0"/>
      </c:catAx>
      <c:valAx>
        <c:axId val="429436360"/>
        <c:scaling>
          <c:orientation val="minMax"/>
        </c:scaling>
        <c:delete val="0"/>
        <c:axPos val="l"/>
        <c:majorGridlines>
          <c:spPr>
            <a:ln>
              <a:solidFill>
                <a:schemeClr val="bg1">
                  <a:lumMod val="75000"/>
                </a:schemeClr>
              </a:solidFill>
            </a:ln>
          </c:spPr>
        </c:majorGridlines>
        <c:title>
          <c:tx>
            <c:rich>
              <a:bodyPr rot="-5400000" vert="horz"/>
              <a:lstStyle/>
              <a:p>
                <a:pPr>
                  <a:defRPr b="0">
                    <a:solidFill>
                      <a:srgbClr val="0000CC"/>
                    </a:solidFill>
                  </a:defRPr>
                </a:pPr>
                <a:r>
                  <a:rPr lang="en-US" b="0">
                    <a:solidFill>
                      <a:srgbClr val="0000CC"/>
                    </a:solidFill>
                  </a:rPr>
                  <a:t>Economies</a:t>
                </a:r>
              </a:p>
            </c:rich>
          </c:tx>
          <c:layout>
            <c:manualLayout>
              <c:xMode val="edge"/>
              <c:yMode val="edge"/>
              <c:x val="2.2082239720034999E-3"/>
              <c:y val="0.10553573381452315"/>
            </c:manualLayout>
          </c:layout>
          <c:overlay val="0"/>
        </c:title>
        <c:numFmt formatCode="#,##0" sourceLinked="1"/>
        <c:majorTickMark val="out"/>
        <c:minorTickMark val="none"/>
        <c:tickLblPos val="nextTo"/>
        <c:spPr>
          <a:ln>
            <a:solidFill>
              <a:srgbClr val="0000CC"/>
            </a:solidFill>
          </a:ln>
        </c:spPr>
        <c:crossAx val="429435968"/>
        <c:crosses val="autoZero"/>
        <c:crossBetween val="between"/>
      </c:valAx>
      <c:spPr>
        <a:ln>
          <a:solidFill>
            <a:srgbClr val="0000CC"/>
          </a:solidFill>
        </a:ln>
      </c:spPr>
    </c:plotArea>
    <c:legend>
      <c:legendPos val="r"/>
      <c:layout>
        <c:manualLayout>
          <c:xMode val="edge"/>
          <c:yMode val="edge"/>
          <c:x val="0.10644553805774278"/>
          <c:y val="0.10856611673540807"/>
          <c:w val="0.171332239720035"/>
          <c:h val="0.1980881296087989"/>
        </c:manualLayout>
      </c:layout>
      <c:overlay val="0"/>
      <c:spPr>
        <a:solidFill>
          <a:schemeClr val="bg1"/>
        </a:solidFill>
      </c:spPr>
      <c:txPr>
        <a:bodyPr/>
        <a:lstStyle/>
        <a:p>
          <a:pPr>
            <a:defRPr sz="800"/>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CC"/>
                </a:solidFill>
              </a:defRPr>
            </a:pPr>
            <a:r>
              <a:rPr lang="en-US"/>
              <a:t>Birth Registration Rate (% 0-4) Dec'15</a:t>
            </a:r>
          </a:p>
        </c:rich>
      </c:tx>
      <c:layout>
        <c:manualLayout>
          <c:xMode val="edge"/>
          <c:yMode val="edge"/>
          <c:x val="0.12849336541265674"/>
          <c:y val="3.7221128608923878E-3"/>
        </c:manualLayout>
      </c:layout>
      <c:overlay val="0"/>
    </c:title>
    <c:autoTitleDeleted val="0"/>
    <c:plotArea>
      <c:layout>
        <c:manualLayout>
          <c:layoutTarget val="inner"/>
          <c:xMode val="edge"/>
          <c:yMode val="edge"/>
          <c:x val="9.443298454497373E-2"/>
          <c:y val="0.17418033683289588"/>
          <c:w val="0.87204320995357065"/>
          <c:h val="0.69221128608923888"/>
        </c:manualLayout>
      </c:layout>
      <c:barChart>
        <c:barDir val="col"/>
        <c:grouping val="clustered"/>
        <c:varyColors val="0"/>
        <c:ser>
          <c:idx val="0"/>
          <c:order val="0"/>
          <c:tx>
            <c:strRef>
              <c:f>'ID4D Stats'!$U$52</c:f>
              <c:strCache>
                <c:ptCount val="1"/>
                <c:pt idx="0">
                  <c:v>Birth Registration Rate (% Pop 0-5) Dec'15</c:v>
                </c:pt>
              </c:strCache>
            </c:strRef>
          </c:tx>
          <c:spPr>
            <a:solidFill>
              <a:srgbClr val="00B0F0"/>
            </a:solidFill>
            <a:ln>
              <a:solidFill>
                <a:srgbClr val="0000CC"/>
              </a:solidFill>
            </a:ln>
          </c:spPr>
          <c:invertIfNegative val="0"/>
          <c:dLbls>
            <c:dLbl>
              <c:idx val="3"/>
              <c:layout>
                <c:manualLayout>
                  <c:x val="0"/>
                  <c:y val="1.388888888888888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'ID4D Stats'!$T$53:$T$56</c:f>
              <c:strCache>
                <c:ptCount val="4"/>
                <c:pt idx="0">
                  <c:v>LIC (34)</c:v>
                </c:pt>
                <c:pt idx="1">
                  <c:v>LMIC (50)</c:v>
                </c:pt>
                <c:pt idx="2">
                  <c:v>UMIC (55)</c:v>
                </c:pt>
                <c:pt idx="3">
                  <c:v>HIC (59)</c:v>
                </c:pt>
              </c:strCache>
            </c:strRef>
          </c:cat>
          <c:val>
            <c:numRef>
              <c:f>'ID4D Stats'!$U$53:$U$56</c:f>
              <c:numCache>
                <c:formatCode>0.0</c:formatCode>
                <c:ptCount val="4"/>
                <c:pt idx="0">
                  <c:v>51.517647058823542</c:v>
                </c:pt>
                <c:pt idx="1">
                  <c:v>75.535999999999987</c:v>
                </c:pt>
                <c:pt idx="2">
                  <c:v>92.687272727272699</c:v>
                </c:pt>
                <c:pt idx="3">
                  <c:v>97.127118644067792</c:v>
                </c:pt>
              </c:numCache>
            </c:numRef>
          </c:val>
        </c:ser>
        <c:dLbls>
          <c:showLegendKey val="0"/>
          <c:showVal val="0"/>
          <c:showCatName val="0"/>
          <c:showSerName val="0"/>
          <c:showPercent val="0"/>
          <c:showBubbleSize val="0"/>
        </c:dLbls>
        <c:gapWidth val="150"/>
        <c:axId val="425566288"/>
        <c:axId val="425566680"/>
      </c:barChart>
      <c:catAx>
        <c:axId val="425566288"/>
        <c:scaling>
          <c:orientation val="minMax"/>
        </c:scaling>
        <c:delete val="0"/>
        <c:axPos val="b"/>
        <c:numFmt formatCode="General" sourceLinked="0"/>
        <c:majorTickMark val="out"/>
        <c:minorTickMark val="none"/>
        <c:tickLblPos val="nextTo"/>
        <c:crossAx val="425566680"/>
        <c:crosses val="autoZero"/>
        <c:auto val="1"/>
        <c:lblAlgn val="ctr"/>
        <c:lblOffset val="100"/>
        <c:noMultiLvlLbl val="0"/>
      </c:catAx>
      <c:valAx>
        <c:axId val="425566680"/>
        <c:scaling>
          <c:orientation val="minMax"/>
          <c:max val="100"/>
        </c:scaling>
        <c:delete val="0"/>
        <c:axPos val="l"/>
        <c:majorGridlines>
          <c:spPr>
            <a:ln>
              <a:solidFill>
                <a:schemeClr val="bg1">
                  <a:lumMod val="75000"/>
                </a:schemeClr>
              </a:solidFill>
            </a:ln>
          </c:spPr>
        </c:majorGridlines>
        <c:numFmt formatCode="0" sourceLinked="0"/>
        <c:majorTickMark val="out"/>
        <c:minorTickMark val="none"/>
        <c:tickLblPos val="nextTo"/>
        <c:crossAx val="425566288"/>
        <c:crosses val="autoZero"/>
        <c:crossBetween val="between"/>
      </c:valAx>
      <c:spPr>
        <a:ln>
          <a:solidFill>
            <a:schemeClr val="tx1">
              <a:lumMod val="50000"/>
              <a:lumOff val="50000"/>
            </a:schemeClr>
          </a:solidFill>
        </a:ln>
      </c:spPr>
    </c:plotArea>
    <c:plotVisOnly val="1"/>
    <c:dispBlanksAs val="gap"/>
    <c:showDLblsOverMax val="0"/>
  </c:chart>
  <c:txPr>
    <a:bodyPr/>
    <a:lstStyle/>
    <a:p>
      <a:pPr>
        <a:defRPr sz="900"/>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a:solidFill>
                  <a:srgbClr val="0000CC"/>
                </a:solidFill>
              </a:defRPr>
            </a:pPr>
            <a:r>
              <a:rPr lang="en-US" sz="1000" b="1">
                <a:solidFill>
                  <a:srgbClr val="0000CC"/>
                </a:solidFill>
              </a:rPr>
              <a:t>Birth Registration (0-4) F / M % Dec'15</a:t>
            </a:r>
          </a:p>
        </c:rich>
      </c:tx>
      <c:layout>
        <c:manualLayout>
          <c:xMode val="edge"/>
          <c:yMode val="edge"/>
          <c:x val="0.17600584146327311"/>
          <c:y val="2.0833333333333332E-2"/>
        </c:manualLayout>
      </c:layout>
      <c:overlay val="0"/>
    </c:title>
    <c:autoTitleDeleted val="0"/>
    <c:plotArea>
      <c:layout>
        <c:manualLayout>
          <c:layoutTarget val="inner"/>
          <c:xMode val="edge"/>
          <c:yMode val="edge"/>
          <c:x val="9.8492028774181006E-2"/>
          <c:y val="0.16689632545931754"/>
          <c:w val="0.87548240497715568"/>
          <c:h val="0.69190234033245845"/>
        </c:manualLayout>
      </c:layout>
      <c:barChart>
        <c:barDir val="col"/>
        <c:grouping val="clustered"/>
        <c:varyColors val="0"/>
        <c:ser>
          <c:idx val="0"/>
          <c:order val="0"/>
          <c:tx>
            <c:strRef>
              <c:f>'ID4D Stats'!$EV$2</c:f>
              <c:strCache>
                <c:ptCount val="1"/>
                <c:pt idx="0">
                  <c:v>BR% F (0-4)</c:v>
                </c:pt>
              </c:strCache>
            </c:strRef>
          </c:tx>
          <c:spPr>
            <a:solidFill>
              <a:srgbClr val="FF0000"/>
            </a:solidFill>
            <a:ln>
              <a:noFill/>
            </a:ln>
          </c:spPr>
          <c:invertIfNegative val="0"/>
          <c:dLbls>
            <c:dLbl>
              <c:idx val="0"/>
              <c:tx>
                <c:rich>
                  <a:bodyPr/>
                  <a:lstStyle/>
                  <a:p>
                    <a:fld id="{CDED22EF-4F4A-4810-912B-BB2418E89CF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Lst>
            </c:dLbl>
            <c:dLbl>
              <c:idx val="2"/>
              <c:layout>
                <c:manualLayout>
                  <c:x val="0"/>
                  <c:y val="2.0833333333333318E-2"/>
                </c:manualLayout>
              </c:layout>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Lst>
            </c:dLbl>
            <c:dLbl>
              <c:idx val="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Lst>
            </c:dLbl>
            <c:dLbl>
              <c:idx val="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Lst>
            </c:dLbl>
            <c:dLbl>
              <c:idx val="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'ID4D Stats'!$T$3:$T$8</c:f>
              <c:strCache>
                <c:ptCount val="6"/>
                <c:pt idx="0">
                  <c:v>AFR (48)</c:v>
                </c:pt>
                <c:pt idx="1">
                  <c:v>EAP (29)</c:v>
                </c:pt>
                <c:pt idx="2">
                  <c:v>ECA (30)</c:v>
                </c:pt>
                <c:pt idx="3">
                  <c:v>LCR (32)</c:v>
                </c:pt>
                <c:pt idx="4">
                  <c:v>MNA (21)</c:v>
                </c:pt>
                <c:pt idx="5">
                  <c:v>SAR (8)</c:v>
                </c:pt>
              </c:strCache>
            </c:strRef>
          </c:cat>
          <c:val>
            <c:numRef>
              <c:f>'ID4D Stats'!$EV$3:$EV$8</c:f>
              <c:numCache>
                <c:formatCode>0.0</c:formatCode>
                <c:ptCount val="6"/>
                <c:pt idx="0">
                  <c:v>56.433333333333344</c:v>
                </c:pt>
                <c:pt idx="1">
                  <c:v>80.365517241379322</c:v>
                </c:pt>
                <c:pt idx="2">
                  <c:v>97.899999999999991</c:v>
                </c:pt>
                <c:pt idx="3">
                  <c:v>91.587499999999991</c:v>
                </c:pt>
                <c:pt idx="4">
                  <c:v>91.895238095238099</c:v>
                </c:pt>
                <c:pt idx="5">
                  <c:v>64.150000000000006</c:v>
                </c:pt>
              </c:numCache>
            </c:numRef>
          </c:val>
          <c:extLst>
            <c:ext xmlns:c15="http://schemas.microsoft.com/office/drawing/2012/chart" uri="{02D57815-91ED-43cb-92C2-25804820EDAC}">
              <c15:datalabelsRange>
                <c15:f>'ID4D Stats'!$EV$10</c15:f>
                <c15:dlblRangeCache>
                  <c:ptCount val="1"/>
                  <c:pt idx="0">
                    <c:v>F</c:v>
                  </c:pt>
                </c15:dlblRangeCache>
              </c15:datalabelsRange>
            </c:ext>
          </c:extLst>
        </c:ser>
        <c:ser>
          <c:idx val="1"/>
          <c:order val="1"/>
          <c:tx>
            <c:strRef>
              <c:f>'ID4D Stats'!$EW$2</c:f>
              <c:strCache>
                <c:ptCount val="1"/>
                <c:pt idx="0">
                  <c:v>BR% M (0-4)</c:v>
                </c:pt>
              </c:strCache>
            </c:strRef>
          </c:tx>
          <c:spPr>
            <a:solidFill>
              <a:srgbClr val="00B0F0"/>
            </a:solidFill>
            <a:ln>
              <a:noFill/>
            </a:ln>
          </c:spPr>
          <c:invertIfNegative val="0"/>
          <c:dLbls>
            <c:dLbl>
              <c:idx val="0"/>
              <c:tx>
                <c:rich>
                  <a:bodyPr/>
                  <a:lstStyle/>
                  <a:p>
                    <a:fld id="{86E39BE3-547F-4FBD-AF78-49656B79317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Lst>
            </c:dLbl>
            <c:dLbl>
              <c:idx val="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Lst>
            </c:dLbl>
            <c:dLbl>
              <c:idx val="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Lst>
            </c:dLbl>
            <c:dLbl>
              <c:idx val="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Lst>
            </c:dLbl>
            <c:dLbl>
              <c:idx val="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'ID4D Stats'!$EW$3:$EW$8</c:f>
              <c:numCache>
                <c:formatCode>0.0</c:formatCode>
                <c:ptCount val="6"/>
                <c:pt idx="0">
                  <c:v>56.887499999999996</c:v>
                </c:pt>
                <c:pt idx="1">
                  <c:v>80.151724137931012</c:v>
                </c:pt>
                <c:pt idx="2">
                  <c:v>97.880000000000024</c:v>
                </c:pt>
                <c:pt idx="3">
                  <c:v>91.706249999999983</c:v>
                </c:pt>
                <c:pt idx="4">
                  <c:v>92.157142857142858</c:v>
                </c:pt>
                <c:pt idx="5">
                  <c:v>65.087500000000006</c:v>
                </c:pt>
              </c:numCache>
            </c:numRef>
          </c:val>
          <c:extLst>
            <c:ext xmlns:c15="http://schemas.microsoft.com/office/drawing/2012/chart" uri="{02D57815-91ED-43cb-92C2-25804820EDAC}">
              <c15:datalabelsRange>
                <c15:f>'ID4D Stats'!$EW$10</c15:f>
                <c15:dlblRangeCache>
                  <c:ptCount val="1"/>
                  <c:pt idx="0">
                    <c:v>M</c:v>
                  </c:pt>
                </c15:dlblRangeCache>
              </c15:datalabelsRange>
            </c:ext>
          </c:extLst>
        </c:ser>
        <c:dLbls>
          <c:showLegendKey val="0"/>
          <c:showVal val="0"/>
          <c:showCatName val="0"/>
          <c:showSerName val="0"/>
          <c:showPercent val="0"/>
          <c:showBubbleSize val="0"/>
        </c:dLbls>
        <c:gapWidth val="150"/>
        <c:axId val="429437144"/>
        <c:axId val="429437536"/>
      </c:barChart>
      <c:catAx>
        <c:axId val="429437144"/>
        <c:scaling>
          <c:orientation val="minMax"/>
        </c:scaling>
        <c:delete val="0"/>
        <c:axPos val="b"/>
        <c:numFmt formatCode="General" sourceLinked="0"/>
        <c:majorTickMark val="out"/>
        <c:minorTickMark val="none"/>
        <c:tickLblPos val="nextTo"/>
        <c:crossAx val="429437536"/>
        <c:crosses val="autoZero"/>
        <c:auto val="1"/>
        <c:lblAlgn val="ctr"/>
        <c:lblOffset val="100"/>
        <c:noMultiLvlLbl val="0"/>
      </c:catAx>
      <c:valAx>
        <c:axId val="429437536"/>
        <c:scaling>
          <c:orientation val="minMax"/>
          <c:max val="100"/>
        </c:scaling>
        <c:delete val="0"/>
        <c:axPos val="l"/>
        <c:majorGridlines>
          <c:spPr>
            <a:ln>
              <a:solidFill>
                <a:schemeClr val="bg1">
                  <a:lumMod val="75000"/>
                </a:schemeClr>
              </a:solidFill>
              <a:prstDash val="sysDot"/>
            </a:ln>
          </c:spPr>
        </c:majorGridlines>
        <c:numFmt formatCode="0" sourceLinked="0"/>
        <c:majorTickMark val="out"/>
        <c:minorTickMark val="none"/>
        <c:tickLblPos val="nextTo"/>
        <c:crossAx val="429437144"/>
        <c:crosses val="autoZero"/>
        <c:crossBetween val="between"/>
      </c:valAx>
      <c:spPr>
        <a:ln>
          <a:solidFill>
            <a:schemeClr val="bg1">
              <a:lumMod val="50000"/>
            </a:schemeClr>
          </a:solidFill>
        </a:ln>
      </c:spPr>
    </c:plotArea>
    <c:plotVisOnly val="1"/>
    <c:dispBlanksAs val="gap"/>
    <c:showDLblsOverMax val="0"/>
  </c:chart>
  <c:txPr>
    <a:bodyPr/>
    <a:lstStyle/>
    <a:p>
      <a:pPr>
        <a:defRPr sz="900"/>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1561376008554486"/>
          <c:y val="5.3548775153105859E-3"/>
        </c:manualLayout>
      </c:layout>
      <c:overlay val="0"/>
      <c:txPr>
        <a:bodyPr/>
        <a:lstStyle/>
        <a:p>
          <a:pPr>
            <a:defRPr sz="1000">
              <a:solidFill>
                <a:srgbClr val="0000CC"/>
              </a:solidFill>
            </a:defRPr>
          </a:pPr>
          <a:endParaRPr lang="en-US"/>
        </a:p>
      </c:txPr>
    </c:title>
    <c:autoTitleDeleted val="0"/>
    <c:plotArea>
      <c:layout>
        <c:manualLayout>
          <c:layoutTarget val="inner"/>
          <c:xMode val="edge"/>
          <c:yMode val="edge"/>
          <c:x val="0.16638870662000582"/>
          <c:y val="0.13876312335958005"/>
          <c:w val="0.81426414988939011"/>
          <c:h val="0.72477690288713914"/>
        </c:manualLayout>
      </c:layout>
      <c:barChart>
        <c:barDir val="col"/>
        <c:grouping val="clustered"/>
        <c:varyColors val="0"/>
        <c:ser>
          <c:idx val="0"/>
          <c:order val="0"/>
          <c:tx>
            <c:strRef>
              <c:f>'ID4D Stats'!$U$26</c:f>
              <c:strCache>
                <c:ptCount val="1"/>
                <c:pt idx="0">
                  <c:v># of Unregistered Births (Pop 5-14) Dec'15 ['000]</c:v>
                </c:pt>
              </c:strCache>
            </c:strRef>
          </c:tx>
          <c:spPr>
            <a:solidFill>
              <a:srgbClr val="00B0F0"/>
            </a:solidFill>
            <a:ln>
              <a:solidFill>
                <a:srgbClr val="0000CC"/>
              </a:solidFill>
            </a:ln>
          </c:spPr>
          <c:invertIfNegative val="0"/>
          <c:dLbls>
            <c:dLbl>
              <c:idx val="5"/>
              <c:layout>
                <c:manualLayout>
                  <c:x val="0"/>
                  <c:y val="1.388888888888888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'ID4D Stats'!$T$15:$T$20</c:f>
              <c:strCache>
                <c:ptCount val="6"/>
                <c:pt idx="0">
                  <c:v>AFR (48)</c:v>
                </c:pt>
                <c:pt idx="1">
                  <c:v>EAP (29)</c:v>
                </c:pt>
                <c:pt idx="2">
                  <c:v>ECA (30)</c:v>
                </c:pt>
                <c:pt idx="3">
                  <c:v>LCR (32)</c:v>
                </c:pt>
                <c:pt idx="4">
                  <c:v>MNA (21)</c:v>
                </c:pt>
                <c:pt idx="5">
                  <c:v>SAR (8)</c:v>
                </c:pt>
              </c:strCache>
            </c:strRef>
          </c:cat>
          <c:val>
            <c:numRef>
              <c:f>'ID4D Stats'!$U$27:$U$32</c:f>
              <c:numCache>
                <c:formatCode>#,##0</c:formatCode>
                <c:ptCount val="6"/>
                <c:pt idx="0">
                  <c:v>152595.033268</c:v>
                </c:pt>
                <c:pt idx="1">
                  <c:v>32028.700678000008</c:v>
                </c:pt>
                <c:pt idx="2">
                  <c:v>1511.529141999999</c:v>
                </c:pt>
                <c:pt idx="3">
                  <c:v>8234.1873560000004</c:v>
                </c:pt>
                <c:pt idx="4">
                  <c:v>8438.866238999999</c:v>
                </c:pt>
                <c:pt idx="5">
                  <c:v>101169.093268</c:v>
                </c:pt>
              </c:numCache>
            </c:numRef>
          </c:val>
        </c:ser>
        <c:dLbls>
          <c:showLegendKey val="0"/>
          <c:showVal val="0"/>
          <c:showCatName val="0"/>
          <c:showSerName val="0"/>
          <c:showPercent val="0"/>
          <c:showBubbleSize val="0"/>
        </c:dLbls>
        <c:gapWidth val="150"/>
        <c:axId val="425567464"/>
        <c:axId val="425567856"/>
      </c:barChart>
      <c:catAx>
        <c:axId val="425567464"/>
        <c:scaling>
          <c:orientation val="minMax"/>
        </c:scaling>
        <c:delete val="0"/>
        <c:axPos val="b"/>
        <c:numFmt formatCode="General" sourceLinked="0"/>
        <c:majorTickMark val="out"/>
        <c:minorTickMark val="none"/>
        <c:tickLblPos val="nextTo"/>
        <c:crossAx val="425567856"/>
        <c:crosses val="autoZero"/>
        <c:auto val="1"/>
        <c:lblAlgn val="ctr"/>
        <c:lblOffset val="100"/>
        <c:noMultiLvlLbl val="0"/>
      </c:catAx>
      <c:valAx>
        <c:axId val="425567856"/>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crossAx val="425567464"/>
        <c:crosses val="autoZero"/>
        <c:crossBetween val="between"/>
      </c:valAx>
      <c:spPr>
        <a:ln>
          <a:solidFill>
            <a:schemeClr val="tx1">
              <a:lumMod val="50000"/>
              <a:lumOff val="50000"/>
            </a:schemeClr>
          </a:solidFill>
        </a:ln>
      </c:spPr>
    </c:plotArea>
    <c:plotVisOnly val="1"/>
    <c:dispBlanksAs val="gap"/>
    <c:showDLblsOverMax val="0"/>
  </c:chart>
  <c:txPr>
    <a:bodyPr/>
    <a:lstStyle/>
    <a:p>
      <a:pPr>
        <a:defRPr sz="900"/>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2718772655785437"/>
          <c:y val="5.3547523427041497E-3"/>
        </c:manualLayout>
      </c:layout>
      <c:overlay val="0"/>
      <c:txPr>
        <a:bodyPr/>
        <a:lstStyle/>
        <a:p>
          <a:pPr>
            <a:defRPr sz="1000">
              <a:solidFill>
                <a:srgbClr val="0000CC"/>
              </a:solidFill>
            </a:defRPr>
          </a:pPr>
          <a:endParaRPr lang="en-US"/>
        </a:p>
      </c:txPr>
    </c:title>
    <c:autoTitleDeleted val="0"/>
    <c:plotArea>
      <c:layout>
        <c:manualLayout>
          <c:layoutTarget val="inner"/>
          <c:xMode val="edge"/>
          <c:yMode val="edge"/>
          <c:x val="0.16253068192864781"/>
          <c:y val="0.13876312335958005"/>
          <c:w val="0.81426414988939011"/>
          <c:h val="0.71783245844269461"/>
        </c:manualLayout>
      </c:layout>
      <c:barChart>
        <c:barDir val="col"/>
        <c:grouping val="clustered"/>
        <c:varyColors val="0"/>
        <c:ser>
          <c:idx val="0"/>
          <c:order val="0"/>
          <c:tx>
            <c:strRef>
              <c:f>'ID4D Stats'!$U$38</c:f>
              <c:strCache>
                <c:ptCount val="1"/>
                <c:pt idx="0">
                  <c:v># of Unregistered Population - Dec'15 ['000]</c:v>
                </c:pt>
              </c:strCache>
            </c:strRef>
          </c:tx>
          <c:spPr>
            <a:solidFill>
              <a:srgbClr val="00B0F0"/>
            </a:solidFill>
            <a:ln>
              <a:solidFill>
                <a:srgbClr val="0000CC"/>
              </a:solidFill>
            </a:ln>
          </c:spPr>
          <c:invertIfNegative val="0"/>
          <c:dLbls>
            <c:dLbl>
              <c:idx val="5"/>
              <c:layout>
                <c:manualLayout>
                  <c:x val="0"/>
                  <c:y val="2.0833333333333332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'ID4D Stats'!$T$15:$T$20</c:f>
              <c:strCache>
                <c:ptCount val="6"/>
                <c:pt idx="0">
                  <c:v>AFR (48)</c:v>
                </c:pt>
                <c:pt idx="1">
                  <c:v>EAP (29)</c:v>
                </c:pt>
                <c:pt idx="2">
                  <c:v>ECA (30)</c:v>
                </c:pt>
                <c:pt idx="3">
                  <c:v>LCR (32)</c:v>
                </c:pt>
                <c:pt idx="4">
                  <c:v>MNA (21)</c:v>
                </c:pt>
                <c:pt idx="5">
                  <c:v>SAR (8)</c:v>
                </c:pt>
              </c:strCache>
            </c:strRef>
          </c:cat>
          <c:val>
            <c:numRef>
              <c:f>'ID4D Stats'!$U$39:$U$44</c:f>
              <c:numCache>
                <c:formatCode>#,##0</c:formatCode>
                <c:ptCount val="6"/>
                <c:pt idx="0">
                  <c:v>437112.34599399997</c:v>
                </c:pt>
                <c:pt idx="1">
                  <c:v>139258.93886700002</c:v>
                </c:pt>
                <c:pt idx="2">
                  <c:v>34323.979987999985</c:v>
                </c:pt>
                <c:pt idx="3">
                  <c:v>65901.570066999993</c:v>
                </c:pt>
                <c:pt idx="4">
                  <c:v>97724.23273399999</c:v>
                </c:pt>
                <c:pt idx="5">
                  <c:v>629507.41760799999</c:v>
                </c:pt>
              </c:numCache>
            </c:numRef>
          </c:val>
        </c:ser>
        <c:dLbls>
          <c:showLegendKey val="0"/>
          <c:showVal val="0"/>
          <c:showCatName val="0"/>
          <c:showSerName val="0"/>
          <c:showPercent val="0"/>
          <c:showBubbleSize val="0"/>
        </c:dLbls>
        <c:gapWidth val="150"/>
        <c:axId val="425569032"/>
        <c:axId val="425569424"/>
      </c:barChart>
      <c:catAx>
        <c:axId val="425569032"/>
        <c:scaling>
          <c:orientation val="minMax"/>
        </c:scaling>
        <c:delete val="0"/>
        <c:axPos val="b"/>
        <c:numFmt formatCode="General" sourceLinked="0"/>
        <c:majorTickMark val="out"/>
        <c:minorTickMark val="none"/>
        <c:tickLblPos val="nextTo"/>
        <c:crossAx val="425569424"/>
        <c:crosses val="autoZero"/>
        <c:auto val="1"/>
        <c:lblAlgn val="ctr"/>
        <c:lblOffset val="100"/>
        <c:noMultiLvlLbl val="0"/>
      </c:catAx>
      <c:valAx>
        <c:axId val="42556942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crossAx val="425569032"/>
        <c:crosses val="autoZero"/>
        <c:crossBetween val="between"/>
      </c:valAx>
      <c:spPr>
        <a:ln>
          <a:solidFill>
            <a:schemeClr val="tx1">
              <a:lumMod val="50000"/>
              <a:lumOff val="50000"/>
            </a:schemeClr>
          </a:solidFill>
        </a:ln>
      </c:spPr>
    </c:plotArea>
    <c:plotVisOnly val="1"/>
    <c:dispBlanksAs val="gap"/>
    <c:showDLblsOverMax val="0"/>
  </c:chart>
  <c:txPr>
    <a:bodyPr/>
    <a:lstStyle/>
    <a:p>
      <a:pPr>
        <a:defRPr sz="900"/>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CC"/>
                </a:solidFill>
              </a:defRPr>
            </a:pPr>
            <a:r>
              <a:rPr lang="en-US"/>
              <a:t># of Unregistered Births (5-14) ['000]</a:t>
            </a:r>
          </a:p>
        </c:rich>
      </c:tx>
      <c:layout>
        <c:manualLayout>
          <c:xMode val="edge"/>
          <c:yMode val="edge"/>
          <c:x val="0.12908756197142024"/>
          <c:y val="5.3335520559930011E-3"/>
        </c:manualLayout>
      </c:layout>
      <c:overlay val="0"/>
    </c:title>
    <c:autoTitleDeleted val="0"/>
    <c:plotArea>
      <c:layout>
        <c:manualLayout>
          <c:layoutTarget val="inner"/>
          <c:xMode val="edge"/>
          <c:yMode val="edge"/>
          <c:x val="0.16238274035190045"/>
          <c:y val="0.17560750218722659"/>
          <c:w val="0.79882327209098858"/>
          <c:h val="0.68154418197725286"/>
        </c:manualLayout>
      </c:layout>
      <c:barChart>
        <c:barDir val="col"/>
        <c:grouping val="clustered"/>
        <c:varyColors val="0"/>
        <c:ser>
          <c:idx val="0"/>
          <c:order val="0"/>
          <c:tx>
            <c:strRef>
              <c:f>'ID4D Stats'!$U$74</c:f>
              <c:strCache>
                <c:ptCount val="1"/>
                <c:pt idx="0">
                  <c:v># of Unregistered Births (Pop 5-14) Dec'15 ['000]</c:v>
                </c:pt>
              </c:strCache>
            </c:strRef>
          </c:tx>
          <c:spPr>
            <a:solidFill>
              <a:srgbClr val="00B0F0"/>
            </a:solidFill>
            <a:ln>
              <a:solidFill>
                <a:srgbClr val="0000CC"/>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'ID4D Stats'!$T$64:$T$67</c:f>
              <c:strCache>
                <c:ptCount val="4"/>
                <c:pt idx="0">
                  <c:v>LIC (34)</c:v>
                </c:pt>
                <c:pt idx="1">
                  <c:v>LMIC (50)</c:v>
                </c:pt>
                <c:pt idx="2">
                  <c:v>UMIC (55)</c:v>
                </c:pt>
                <c:pt idx="3">
                  <c:v>HIC (59)</c:v>
                </c:pt>
              </c:strCache>
            </c:strRef>
          </c:cat>
          <c:val>
            <c:numRef>
              <c:f>'ID4D Stats'!$U$75:$U$78</c:f>
              <c:numCache>
                <c:formatCode>#,##0</c:formatCode>
                <c:ptCount val="4"/>
                <c:pt idx="0">
                  <c:v>133105.95329999996</c:v>
                </c:pt>
                <c:pt idx="1">
                  <c:v>148945.73296799997</c:v>
                </c:pt>
                <c:pt idx="2">
                  <c:v>20032.628251000009</c:v>
                </c:pt>
                <c:pt idx="3">
                  <c:v>1899.4962319999997</c:v>
                </c:pt>
              </c:numCache>
            </c:numRef>
          </c:val>
        </c:ser>
        <c:dLbls>
          <c:showLegendKey val="0"/>
          <c:showVal val="0"/>
          <c:showCatName val="0"/>
          <c:showSerName val="0"/>
          <c:showPercent val="0"/>
          <c:showBubbleSize val="0"/>
        </c:dLbls>
        <c:gapWidth val="150"/>
        <c:axId val="426495624"/>
        <c:axId val="426496016"/>
      </c:barChart>
      <c:catAx>
        <c:axId val="426495624"/>
        <c:scaling>
          <c:orientation val="minMax"/>
        </c:scaling>
        <c:delete val="0"/>
        <c:axPos val="b"/>
        <c:numFmt formatCode="General" sourceLinked="0"/>
        <c:majorTickMark val="out"/>
        <c:minorTickMark val="none"/>
        <c:tickLblPos val="nextTo"/>
        <c:crossAx val="426496016"/>
        <c:crosses val="autoZero"/>
        <c:auto val="1"/>
        <c:lblAlgn val="ctr"/>
        <c:lblOffset val="100"/>
        <c:noMultiLvlLbl val="0"/>
      </c:catAx>
      <c:valAx>
        <c:axId val="426496016"/>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crossAx val="426495624"/>
        <c:crosses val="autoZero"/>
        <c:crossBetween val="between"/>
      </c:valAx>
      <c:spPr>
        <a:ln>
          <a:solidFill>
            <a:schemeClr val="tx1">
              <a:lumMod val="50000"/>
              <a:lumOff val="50000"/>
            </a:schemeClr>
          </a:solidFill>
        </a:ln>
      </c:spPr>
    </c:plotArea>
    <c:plotVisOnly val="1"/>
    <c:dispBlanksAs val="gap"/>
    <c:showDLblsOverMax val="0"/>
  </c:chart>
  <c:txPr>
    <a:bodyPr/>
    <a:lstStyle/>
    <a:p>
      <a:pPr>
        <a:defRPr sz="900"/>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CC"/>
                </a:solidFill>
              </a:defRPr>
            </a:pPr>
            <a:r>
              <a:rPr lang="en-US"/>
              <a:t># of Unregistered Population ['000]</a:t>
            </a:r>
          </a:p>
        </c:rich>
      </c:tx>
      <c:layout>
        <c:manualLayout>
          <c:xMode val="edge"/>
          <c:yMode val="edge"/>
          <c:x val="0.14374817731116943"/>
          <c:y val="5.3335520559930011E-3"/>
        </c:manualLayout>
      </c:layout>
      <c:overlay val="0"/>
    </c:title>
    <c:autoTitleDeleted val="0"/>
    <c:plotArea>
      <c:layout>
        <c:manualLayout>
          <c:layoutTarget val="inner"/>
          <c:xMode val="edge"/>
          <c:yMode val="edge"/>
          <c:x val="0.15466660417447819"/>
          <c:y val="0.17560744037430104"/>
          <c:w val="0.76731846019247596"/>
          <c:h val="0.6841267497812773"/>
        </c:manualLayout>
      </c:layout>
      <c:barChart>
        <c:barDir val="col"/>
        <c:grouping val="clustered"/>
        <c:varyColors val="0"/>
        <c:ser>
          <c:idx val="0"/>
          <c:order val="0"/>
          <c:tx>
            <c:strRef>
              <c:f>'ID4D Stats'!$U$85</c:f>
              <c:strCache>
                <c:ptCount val="1"/>
                <c:pt idx="0">
                  <c:v># of Unregistered Population - Dec'15 ['000]</c:v>
                </c:pt>
              </c:strCache>
            </c:strRef>
          </c:tx>
          <c:spPr>
            <a:solidFill>
              <a:srgbClr val="00B0F0"/>
            </a:solidFill>
            <a:ln>
              <a:solidFill>
                <a:srgbClr val="0000CC"/>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'ID4D Stats'!$T$64:$T$67</c:f>
              <c:strCache>
                <c:ptCount val="4"/>
                <c:pt idx="0">
                  <c:v>LIC (34)</c:v>
                </c:pt>
                <c:pt idx="1">
                  <c:v>LMIC (50)</c:v>
                </c:pt>
                <c:pt idx="2">
                  <c:v>UMIC (55)</c:v>
                </c:pt>
                <c:pt idx="3">
                  <c:v>HIC (59)</c:v>
                </c:pt>
              </c:strCache>
            </c:strRef>
          </c:cat>
          <c:val>
            <c:numRef>
              <c:f>'ID4D Stats'!$U$86:$U$89</c:f>
              <c:numCache>
                <c:formatCode>#,##0</c:formatCode>
                <c:ptCount val="4"/>
                <c:pt idx="0">
                  <c:v>347857.28685099992</c:v>
                </c:pt>
                <c:pt idx="1">
                  <c:v>841099.8084369998</c:v>
                </c:pt>
                <c:pt idx="2">
                  <c:v>159117.20657999997</c:v>
                </c:pt>
                <c:pt idx="3">
                  <c:v>146287.58538999996</c:v>
                </c:pt>
              </c:numCache>
            </c:numRef>
          </c:val>
        </c:ser>
        <c:dLbls>
          <c:showLegendKey val="0"/>
          <c:showVal val="0"/>
          <c:showCatName val="0"/>
          <c:showSerName val="0"/>
          <c:showPercent val="0"/>
          <c:showBubbleSize val="0"/>
        </c:dLbls>
        <c:gapWidth val="150"/>
        <c:axId val="425568640"/>
        <c:axId val="426496800"/>
      </c:barChart>
      <c:catAx>
        <c:axId val="425568640"/>
        <c:scaling>
          <c:orientation val="minMax"/>
        </c:scaling>
        <c:delete val="0"/>
        <c:axPos val="b"/>
        <c:numFmt formatCode="General" sourceLinked="0"/>
        <c:majorTickMark val="out"/>
        <c:minorTickMark val="none"/>
        <c:tickLblPos val="nextTo"/>
        <c:crossAx val="426496800"/>
        <c:crosses val="autoZero"/>
        <c:auto val="1"/>
        <c:lblAlgn val="ctr"/>
        <c:lblOffset val="100"/>
        <c:noMultiLvlLbl val="0"/>
      </c:catAx>
      <c:valAx>
        <c:axId val="426496800"/>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crossAx val="425568640"/>
        <c:crosses val="autoZero"/>
        <c:crossBetween val="between"/>
      </c:valAx>
      <c:spPr>
        <a:ln>
          <a:solidFill>
            <a:schemeClr val="tx1">
              <a:lumMod val="50000"/>
              <a:lumOff val="50000"/>
            </a:schemeClr>
          </a:solidFill>
        </a:ln>
      </c:spPr>
    </c:plotArea>
    <c:plotVisOnly val="1"/>
    <c:dispBlanksAs val="gap"/>
    <c:showDLblsOverMax val="0"/>
  </c:chart>
  <c:txPr>
    <a:bodyPr/>
    <a:lstStyle/>
    <a:p>
      <a:pPr>
        <a:defRPr sz="900"/>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a:solidFill>
                  <a:srgbClr val="0000CC"/>
                </a:solidFill>
              </a:defRPr>
            </a:pPr>
            <a:r>
              <a:rPr lang="en-US" sz="1000" b="1">
                <a:solidFill>
                  <a:srgbClr val="0000CC"/>
                </a:solidFill>
              </a:rPr>
              <a:t>Income level distribution</a:t>
            </a:r>
          </a:p>
        </c:rich>
      </c:tx>
      <c:layout>
        <c:manualLayout>
          <c:xMode val="edge"/>
          <c:yMode val="edge"/>
          <c:x val="0.22725206224221972"/>
          <c:y val="2.8664819675318365E-3"/>
        </c:manualLayout>
      </c:layout>
      <c:overlay val="1"/>
    </c:title>
    <c:autoTitleDeleted val="0"/>
    <c:plotArea>
      <c:layout>
        <c:manualLayout>
          <c:layoutTarget val="inner"/>
          <c:xMode val="edge"/>
          <c:yMode val="edge"/>
          <c:x val="0.16549064179477566"/>
          <c:y val="0.13700362107514336"/>
          <c:w val="0.81428141794775655"/>
          <c:h val="0.62773342568290069"/>
        </c:manualLayout>
      </c:layout>
      <c:barChart>
        <c:barDir val="col"/>
        <c:grouping val="clustered"/>
        <c:varyColors val="0"/>
        <c:ser>
          <c:idx val="0"/>
          <c:order val="0"/>
          <c:tx>
            <c:strRef>
              <c:f>'ID4D Stats'!$CE$7</c:f>
              <c:strCache>
                <c:ptCount val="1"/>
                <c:pt idx="0">
                  <c:v>LIC</c:v>
                </c:pt>
              </c:strCache>
            </c:strRef>
          </c:tx>
          <c:spPr>
            <a:solidFill>
              <a:srgbClr val="FFC000"/>
            </a:solidFill>
            <a:ln>
              <a:solidFill>
                <a:schemeClr val="tx1"/>
              </a:solidFill>
            </a:ln>
          </c:spPr>
          <c:invertIfNegative val="0"/>
          <c:cat>
            <c:numLit>
              <c:formatCode>General</c:formatCode>
              <c:ptCount val="3"/>
              <c:pt idx="0">
                <c:v>0</c:v>
              </c:pt>
              <c:pt idx="1">
                <c:v>1</c:v>
              </c:pt>
              <c:pt idx="2">
                <c:v>2</c:v>
              </c:pt>
            </c:numLit>
          </c:cat>
          <c:val>
            <c:numRef>
              <c:f>'ID4D Stats'!$CF$7:$CH$7</c:f>
              <c:numCache>
                <c:formatCode>General</c:formatCode>
                <c:ptCount val="3"/>
                <c:pt idx="0">
                  <c:v>0</c:v>
                </c:pt>
                <c:pt idx="1">
                  <c:v>4</c:v>
                </c:pt>
                <c:pt idx="2">
                  <c:v>30</c:v>
                </c:pt>
              </c:numCache>
            </c:numRef>
          </c:val>
        </c:ser>
        <c:ser>
          <c:idx val="4"/>
          <c:order val="1"/>
          <c:tx>
            <c:strRef>
              <c:f>'ID4D Stats'!$CE$6</c:f>
              <c:strCache>
                <c:ptCount val="1"/>
                <c:pt idx="0">
                  <c:v>LMIC</c:v>
                </c:pt>
              </c:strCache>
            </c:strRef>
          </c:tx>
          <c:spPr>
            <a:solidFill>
              <a:srgbClr val="FFFF00"/>
            </a:solidFill>
            <a:ln>
              <a:solidFill>
                <a:schemeClr val="tx1"/>
              </a:solidFill>
            </a:ln>
          </c:spPr>
          <c:invertIfNegative val="0"/>
          <c:cat>
            <c:numLit>
              <c:formatCode>General</c:formatCode>
              <c:ptCount val="3"/>
              <c:pt idx="0">
                <c:v>0</c:v>
              </c:pt>
              <c:pt idx="1">
                <c:v>1</c:v>
              </c:pt>
              <c:pt idx="2">
                <c:v>2</c:v>
              </c:pt>
            </c:numLit>
          </c:cat>
          <c:val>
            <c:numRef>
              <c:f>'ID4D Stats'!$CF$6:$CH$6</c:f>
              <c:numCache>
                <c:formatCode>General</c:formatCode>
                <c:ptCount val="3"/>
                <c:pt idx="0">
                  <c:v>0</c:v>
                </c:pt>
                <c:pt idx="1">
                  <c:v>3</c:v>
                </c:pt>
                <c:pt idx="2">
                  <c:v>47</c:v>
                </c:pt>
              </c:numCache>
            </c:numRef>
          </c:val>
        </c:ser>
        <c:ser>
          <c:idx val="3"/>
          <c:order val="2"/>
          <c:tx>
            <c:strRef>
              <c:f>'ID4D Stats'!$CE$5</c:f>
              <c:strCache>
                <c:ptCount val="1"/>
                <c:pt idx="0">
                  <c:v>UMIC</c:v>
                </c:pt>
              </c:strCache>
            </c:strRef>
          </c:tx>
          <c:spPr>
            <a:solidFill>
              <a:schemeClr val="accent3">
                <a:lumMod val="60000"/>
                <a:lumOff val="40000"/>
              </a:schemeClr>
            </a:solidFill>
            <a:ln>
              <a:solidFill>
                <a:schemeClr val="tx1"/>
              </a:solidFill>
            </a:ln>
          </c:spPr>
          <c:invertIfNegative val="0"/>
          <c:cat>
            <c:numLit>
              <c:formatCode>General</c:formatCode>
              <c:ptCount val="3"/>
              <c:pt idx="0">
                <c:v>0</c:v>
              </c:pt>
              <c:pt idx="1">
                <c:v>1</c:v>
              </c:pt>
              <c:pt idx="2">
                <c:v>2</c:v>
              </c:pt>
            </c:numLit>
          </c:cat>
          <c:val>
            <c:numRef>
              <c:f>'ID4D Stats'!$CF$5:$CH$5</c:f>
              <c:numCache>
                <c:formatCode>General</c:formatCode>
                <c:ptCount val="3"/>
                <c:pt idx="0">
                  <c:v>0</c:v>
                </c:pt>
                <c:pt idx="1">
                  <c:v>0</c:v>
                </c:pt>
                <c:pt idx="2">
                  <c:v>55</c:v>
                </c:pt>
              </c:numCache>
            </c:numRef>
          </c:val>
        </c:ser>
        <c:ser>
          <c:idx val="2"/>
          <c:order val="3"/>
          <c:tx>
            <c:strRef>
              <c:f>'ID4D Stats'!$CE$4</c:f>
              <c:strCache>
                <c:ptCount val="1"/>
                <c:pt idx="0">
                  <c:v>HIC</c:v>
                </c:pt>
              </c:strCache>
            </c:strRef>
          </c:tx>
          <c:spPr>
            <a:solidFill>
              <a:schemeClr val="accent1">
                <a:lumMod val="40000"/>
                <a:lumOff val="60000"/>
              </a:schemeClr>
            </a:solidFill>
            <a:ln>
              <a:solidFill>
                <a:schemeClr val="tx1"/>
              </a:solidFill>
            </a:ln>
          </c:spPr>
          <c:invertIfNegative val="0"/>
          <c:cat>
            <c:numLit>
              <c:formatCode>General</c:formatCode>
              <c:ptCount val="3"/>
              <c:pt idx="0">
                <c:v>0</c:v>
              </c:pt>
              <c:pt idx="1">
                <c:v>1</c:v>
              </c:pt>
              <c:pt idx="2">
                <c:v>2</c:v>
              </c:pt>
            </c:numLit>
          </c:cat>
          <c:val>
            <c:numRef>
              <c:f>'ID4D Stats'!$CF$4:$CH$4</c:f>
              <c:numCache>
                <c:formatCode>General</c:formatCode>
                <c:ptCount val="3"/>
                <c:pt idx="0">
                  <c:v>0</c:v>
                </c:pt>
                <c:pt idx="1">
                  <c:v>5</c:v>
                </c:pt>
                <c:pt idx="2">
                  <c:v>54</c:v>
                </c:pt>
              </c:numCache>
            </c:numRef>
          </c:val>
        </c:ser>
        <c:dLbls>
          <c:showLegendKey val="0"/>
          <c:showVal val="0"/>
          <c:showCatName val="0"/>
          <c:showSerName val="0"/>
          <c:showPercent val="0"/>
          <c:showBubbleSize val="0"/>
        </c:dLbls>
        <c:gapWidth val="120"/>
        <c:overlap val="-20"/>
        <c:axId val="426831904"/>
        <c:axId val="426832296"/>
      </c:barChart>
      <c:catAx>
        <c:axId val="426831904"/>
        <c:scaling>
          <c:orientation val="minMax"/>
        </c:scaling>
        <c:delete val="0"/>
        <c:axPos val="b"/>
        <c:title>
          <c:tx>
            <c:rich>
              <a:bodyPr/>
              <a:lstStyle/>
              <a:p>
                <a:pPr>
                  <a:defRPr sz="800" b="0">
                    <a:solidFill>
                      <a:srgbClr val="0000CC"/>
                    </a:solidFill>
                  </a:defRPr>
                </a:pPr>
                <a:r>
                  <a:rPr lang="en-US" sz="800" b="0">
                    <a:solidFill>
                      <a:srgbClr val="0000CC"/>
                    </a:solidFill>
                  </a:rPr>
                  <a:t>Point</a:t>
                </a:r>
              </a:p>
            </c:rich>
          </c:tx>
          <c:layout>
            <c:manualLayout>
              <c:xMode val="edge"/>
              <c:yMode val="edge"/>
              <c:x val="0.88061064126243482"/>
              <c:y val="0.79959354039078445"/>
            </c:manualLayout>
          </c:layout>
          <c:overlay val="0"/>
        </c:title>
        <c:numFmt formatCode="General" sourceLinked="1"/>
        <c:majorTickMark val="out"/>
        <c:minorTickMark val="none"/>
        <c:tickLblPos val="nextTo"/>
        <c:txPr>
          <a:bodyPr/>
          <a:lstStyle/>
          <a:p>
            <a:pPr>
              <a:defRPr sz="900"/>
            </a:pPr>
            <a:endParaRPr lang="en-US"/>
          </a:p>
        </c:txPr>
        <c:crossAx val="426832296"/>
        <c:crosses val="autoZero"/>
        <c:auto val="1"/>
        <c:lblAlgn val="ctr"/>
        <c:lblOffset val="100"/>
        <c:noMultiLvlLbl val="0"/>
      </c:catAx>
      <c:valAx>
        <c:axId val="426832296"/>
        <c:scaling>
          <c:orientation val="minMax"/>
        </c:scaling>
        <c:delete val="0"/>
        <c:axPos val="l"/>
        <c:majorGridlines>
          <c:spPr>
            <a:ln>
              <a:solidFill>
                <a:schemeClr val="bg1">
                  <a:lumMod val="75000"/>
                </a:schemeClr>
              </a:solidFill>
              <a:prstDash val="sysDot"/>
            </a:ln>
          </c:spPr>
        </c:majorGridlines>
        <c:title>
          <c:tx>
            <c:rich>
              <a:bodyPr rot="-5400000" vert="horz"/>
              <a:lstStyle/>
              <a:p>
                <a:pPr>
                  <a:defRPr sz="800" b="0">
                    <a:solidFill>
                      <a:srgbClr val="0000CC"/>
                    </a:solidFill>
                  </a:defRPr>
                </a:pPr>
                <a:r>
                  <a:rPr lang="en-US" sz="800" b="0">
                    <a:solidFill>
                      <a:srgbClr val="0000CC"/>
                    </a:solidFill>
                  </a:rPr>
                  <a:t>Economies</a:t>
                </a:r>
              </a:p>
            </c:rich>
          </c:tx>
          <c:layout>
            <c:manualLayout>
              <c:xMode val="edge"/>
              <c:yMode val="edge"/>
              <c:x val="6.4429905820595958E-3"/>
              <c:y val="9.6990077944802355E-2"/>
            </c:manualLayout>
          </c:layout>
          <c:overlay val="0"/>
        </c:title>
        <c:numFmt formatCode="General" sourceLinked="1"/>
        <c:majorTickMark val="out"/>
        <c:minorTickMark val="none"/>
        <c:tickLblPos val="nextTo"/>
        <c:txPr>
          <a:bodyPr/>
          <a:lstStyle/>
          <a:p>
            <a:pPr>
              <a:defRPr sz="900"/>
            </a:pPr>
            <a:endParaRPr lang="en-US"/>
          </a:p>
        </c:txPr>
        <c:crossAx val="426831904"/>
        <c:crosses val="autoZero"/>
        <c:crossBetween val="between"/>
      </c:valAx>
      <c:spPr>
        <a:ln>
          <a:solidFill>
            <a:schemeClr val="tx1"/>
          </a:solidFill>
        </a:ln>
      </c:spPr>
    </c:plotArea>
    <c:legend>
      <c:legendPos val="r"/>
      <c:layout>
        <c:manualLayout>
          <c:xMode val="edge"/>
          <c:yMode val="edge"/>
          <c:x val="7.0350581177352836E-2"/>
          <c:y val="0.88490995917177018"/>
          <c:w val="0.86210083114610669"/>
          <c:h val="0.11509004082822981"/>
        </c:manualLayout>
      </c:layout>
      <c:overlay val="0"/>
      <c:spPr>
        <a:solidFill>
          <a:schemeClr val="bg1"/>
        </a:solidFill>
      </c:spPr>
      <c:txPr>
        <a:bodyPr/>
        <a:lstStyle/>
        <a:p>
          <a:pPr>
            <a:defRPr sz="900"/>
          </a:pPr>
          <a:endParaRPr lang="en-US"/>
        </a:p>
      </c:txPr>
    </c:legend>
    <c:plotVisOnly val="1"/>
    <c:dispBlanksAs val="gap"/>
    <c:showDLblsOverMax val="0"/>
  </c:chart>
  <c:printSettings>
    <c:headerFooter/>
    <c:pageMargins b="0.75" l="0.7" r="0.7" t="0.75" header="0.3" footer="0.3"/>
    <c:pageSetup/>
  </c:printSettings>
</c:chartSpace>
</file>

<file path=xl/ctrlProps/ctrlProp1.xml><?xml version="1.0" encoding="utf-8"?>
<formControlPr xmlns="http://schemas.microsoft.com/office/spreadsheetml/2009/9/main" objectType="Drop" dropLines="13" dropStyle="combo" dx="16" fmlaLink="$CL$11" fmlaRange="$CW$4:$CW$17" sel="1" val="0"/>
</file>

<file path=xl/ctrlProps/ctrlProp2.xml><?xml version="1.0" encoding="utf-8"?>
<formControlPr xmlns="http://schemas.microsoft.com/office/spreadsheetml/2009/9/main" objectType="Spin" dx="16" fmlaLink="$CL$11" max="13" min="1" page="10"/>
</file>

<file path=xl/ctrlProps/ctrlProp3.xml><?xml version="1.0" encoding="utf-8"?>
<formControlPr xmlns="http://schemas.microsoft.com/office/spreadsheetml/2009/9/main" objectType="CheckBox" fmlaLink="$CK$12" lockText="1"/>
</file>

<file path=xl/ctrlProps/ctrlProp4.xml><?xml version="1.0" encoding="utf-8"?>
<formControlPr xmlns="http://schemas.microsoft.com/office/spreadsheetml/2009/9/main" objectType="CheckBox" fmlaLink="$AV$1" lockText="1"/>
</file>

<file path=xl/ctrlProps/ctrlProp5.xml><?xml version="1.0" encoding="utf-8"?>
<formControlPr xmlns="http://schemas.microsoft.com/office/spreadsheetml/2009/9/main" objectType="CheckBox" fmlaLink="$K$15" lockText="1"/>
</file>

<file path=xl/ctrlProps/ctrlProp6.xml><?xml version="1.0" encoding="utf-8"?>
<formControlPr xmlns="http://schemas.microsoft.com/office/spreadsheetml/2009/9/main" objectType="CheckBox" fmlaLink="$ED$1" lockText="1"/>
</file>

<file path=xl/drawings/_rels/drawing1.xml.rels><?xml version="1.0" encoding="UTF-8" standalone="yes"?>
<Relationships xmlns="http://schemas.openxmlformats.org/package/2006/relationships"><Relationship Id="rId117" Type="http://schemas.openxmlformats.org/officeDocument/2006/relationships/image" Target="../media/image117.png"/><Relationship Id="rId21" Type="http://schemas.openxmlformats.org/officeDocument/2006/relationships/image" Target="../media/image21.png"/><Relationship Id="rId42" Type="http://schemas.openxmlformats.org/officeDocument/2006/relationships/image" Target="../media/image42.png"/><Relationship Id="rId63" Type="http://schemas.openxmlformats.org/officeDocument/2006/relationships/image" Target="../media/image63.png"/><Relationship Id="rId84" Type="http://schemas.openxmlformats.org/officeDocument/2006/relationships/image" Target="../media/image84.png"/><Relationship Id="rId138" Type="http://schemas.openxmlformats.org/officeDocument/2006/relationships/image" Target="../media/image138.png"/><Relationship Id="rId159" Type="http://schemas.openxmlformats.org/officeDocument/2006/relationships/image" Target="../media/image159.png"/><Relationship Id="rId170" Type="http://schemas.openxmlformats.org/officeDocument/2006/relationships/image" Target="../media/image170.png"/><Relationship Id="rId191" Type="http://schemas.openxmlformats.org/officeDocument/2006/relationships/image" Target="../media/image191.png"/><Relationship Id="rId196" Type="http://schemas.openxmlformats.org/officeDocument/2006/relationships/image" Target="../media/image196.png"/><Relationship Id="rId16" Type="http://schemas.openxmlformats.org/officeDocument/2006/relationships/image" Target="../media/image16.png"/><Relationship Id="rId107" Type="http://schemas.openxmlformats.org/officeDocument/2006/relationships/image" Target="../media/image107.png"/><Relationship Id="rId11" Type="http://schemas.openxmlformats.org/officeDocument/2006/relationships/image" Target="../media/image11.png"/><Relationship Id="rId32" Type="http://schemas.openxmlformats.org/officeDocument/2006/relationships/image" Target="../media/image32.png"/><Relationship Id="rId37" Type="http://schemas.openxmlformats.org/officeDocument/2006/relationships/image" Target="../media/image37.png"/><Relationship Id="rId53" Type="http://schemas.openxmlformats.org/officeDocument/2006/relationships/image" Target="../media/image53.png"/><Relationship Id="rId58" Type="http://schemas.openxmlformats.org/officeDocument/2006/relationships/image" Target="../media/image58.png"/><Relationship Id="rId74" Type="http://schemas.openxmlformats.org/officeDocument/2006/relationships/image" Target="../media/image74.png"/><Relationship Id="rId79" Type="http://schemas.openxmlformats.org/officeDocument/2006/relationships/image" Target="../media/image79.png"/><Relationship Id="rId102" Type="http://schemas.openxmlformats.org/officeDocument/2006/relationships/image" Target="../media/image102.png"/><Relationship Id="rId123" Type="http://schemas.openxmlformats.org/officeDocument/2006/relationships/image" Target="../media/image123.png"/><Relationship Id="rId128" Type="http://schemas.openxmlformats.org/officeDocument/2006/relationships/image" Target="../media/image128.png"/><Relationship Id="rId144" Type="http://schemas.openxmlformats.org/officeDocument/2006/relationships/image" Target="../media/image144.png"/><Relationship Id="rId149" Type="http://schemas.openxmlformats.org/officeDocument/2006/relationships/image" Target="../media/image149.png"/><Relationship Id="rId5" Type="http://schemas.openxmlformats.org/officeDocument/2006/relationships/image" Target="../media/image5.png"/><Relationship Id="rId90" Type="http://schemas.openxmlformats.org/officeDocument/2006/relationships/image" Target="../media/image90.png"/><Relationship Id="rId95" Type="http://schemas.openxmlformats.org/officeDocument/2006/relationships/image" Target="../media/image95.png"/><Relationship Id="rId160" Type="http://schemas.openxmlformats.org/officeDocument/2006/relationships/image" Target="../media/image160.png"/><Relationship Id="rId165" Type="http://schemas.openxmlformats.org/officeDocument/2006/relationships/image" Target="../media/image165.png"/><Relationship Id="rId181" Type="http://schemas.openxmlformats.org/officeDocument/2006/relationships/image" Target="../media/image181.png"/><Relationship Id="rId186" Type="http://schemas.openxmlformats.org/officeDocument/2006/relationships/image" Target="../media/image186.png"/><Relationship Id="rId22" Type="http://schemas.openxmlformats.org/officeDocument/2006/relationships/image" Target="../media/image22.png"/><Relationship Id="rId27" Type="http://schemas.openxmlformats.org/officeDocument/2006/relationships/image" Target="../media/image27.png"/><Relationship Id="rId43" Type="http://schemas.openxmlformats.org/officeDocument/2006/relationships/image" Target="../media/image43.png"/><Relationship Id="rId48" Type="http://schemas.openxmlformats.org/officeDocument/2006/relationships/image" Target="../media/image48.png"/><Relationship Id="rId64" Type="http://schemas.openxmlformats.org/officeDocument/2006/relationships/image" Target="../media/image64.png"/><Relationship Id="rId69" Type="http://schemas.openxmlformats.org/officeDocument/2006/relationships/image" Target="../media/image69.png"/><Relationship Id="rId113" Type="http://schemas.openxmlformats.org/officeDocument/2006/relationships/image" Target="../media/image113.png"/><Relationship Id="rId118" Type="http://schemas.openxmlformats.org/officeDocument/2006/relationships/image" Target="../media/image118.png"/><Relationship Id="rId134" Type="http://schemas.openxmlformats.org/officeDocument/2006/relationships/image" Target="../media/image134.png"/><Relationship Id="rId139" Type="http://schemas.openxmlformats.org/officeDocument/2006/relationships/image" Target="../media/image139.png"/><Relationship Id="rId80" Type="http://schemas.openxmlformats.org/officeDocument/2006/relationships/image" Target="../media/image80.png"/><Relationship Id="rId85" Type="http://schemas.openxmlformats.org/officeDocument/2006/relationships/image" Target="../media/image85.png"/><Relationship Id="rId150" Type="http://schemas.openxmlformats.org/officeDocument/2006/relationships/image" Target="../media/image150.png"/><Relationship Id="rId155" Type="http://schemas.openxmlformats.org/officeDocument/2006/relationships/image" Target="../media/image155.png"/><Relationship Id="rId171" Type="http://schemas.openxmlformats.org/officeDocument/2006/relationships/image" Target="../media/image171.png"/><Relationship Id="rId176" Type="http://schemas.openxmlformats.org/officeDocument/2006/relationships/image" Target="../media/image176.png"/><Relationship Id="rId192" Type="http://schemas.openxmlformats.org/officeDocument/2006/relationships/image" Target="../media/image192.png"/><Relationship Id="rId197" Type="http://schemas.openxmlformats.org/officeDocument/2006/relationships/image" Target="../media/image197.png"/><Relationship Id="rId12" Type="http://schemas.openxmlformats.org/officeDocument/2006/relationships/image" Target="../media/image12.png"/><Relationship Id="rId17" Type="http://schemas.openxmlformats.org/officeDocument/2006/relationships/image" Target="../media/image17.png"/><Relationship Id="rId33" Type="http://schemas.openxmlformats.org/officeDocument/2006/relationships/image" Target="../media/image33.png"/><Relationship Id="rId38" Type="http://schemas.openxmlformats.org/officeDocument/2006/relationships/image" Target="../media/image38.png"/><Relationship Id="rId59" Type="http://schemas.openxmlformats.org/officeDocument/2006/relationships/image" Target="../media/image59.png"/><Relationship Id="rId103" Type="http://schemas.openxmlformats.org/officeDocument/2006/relationships/image" Target="../media/image103.png"/><Relationship Id="rId108" Type="http://schemas.openxmlformats.org/officeDocument/2006/relationships/image" Target="../media/image108.png"/><Relationship Id="rId124" Type="http://schemas.openxmlformats.org/officeDocument/2006/relationships/image" Target="../media/image124.png"/><Relationship Id="rId129" Type="http://schemas.openxmlformats.org/officeDocument/2006/relationships/image" Target="../media/image129.png"/><Relationship Id="rId54" Type="http://schemas.openxmlformats.org/officeDocument/2006/relationships/image" Target="../media/image54.png"/><Relationship Id="rId70" Type="http://schemas.openxmlformats.org/officeDocument/2006/relationships/image" Target="../media/image70.png"/><Relationship Id="rId75" Type="http://schemas.openxmlformats.org/officeDocument/2006/relationships/image" Target="../media/image75.png"/><Relationship Id="rId91" Type="http://schemas.openxmlformats.org/officeDocument/2006/relationships/image" Target="../media/image91.png"/><Relationship Id="rId96" Type="http://schemas.openxmlformats.org/officeDocument/2006/relationships/image" Target="../media/image96.png"/><Relationship Id="rId140" Type="http://schemas.openxmlformats.org/officeDocument/2006/relationships/image" Target="../media/image140.png"/><Relationship Id="rId145" Type="http://schemas.openxmlformats.org/officeDocument/2006/relationships/image" Target="../media/image145.png"/><Relationship Id="rId161" Type="http://schemas.openxmlformats.org/officeDocument/2006/relationships/image" Target="../media/image161.png"/><Relationship Id="rId166" Type="http://schemas.openxmlformats.org/officeDocument/2006/relationships/image" Target="../media/image166.png"/><Relationship Id="rId182" Type="http://schemas.openxmlformats.org/officeDocument/2006/relationships/image" Target="../media/image182.png"/><Relationship Id="rId187" Type="http://schemas.openxmlformats.org/officeDocument/2006/relationships/image" Target="../media/image187.png"/><Relationship Id="rId1" Type="http://schemas.openxmlformats.org/officeDocument/2006/relationships/image" Target="../media/image1.png"/><Relationship Id="rId6" Type="http://schemas.openxmlformats.org/officeDocument/2006/relationships/image" Target="../media/image6.png"/><Relationship Id="rId23" Type="http://schemas.openxmlformats.org/officeDocument/2006/relationships/image" Target="../media/image23.png"/><Relationship Id="rId28" Type="http://schemas.openxmlformats.org/officeDocument/2006/relationships/image" Target="../media/image28.png"/><Relationship Id="rId49" Type="http://schemas.openxmlformats.org/officeDocument/2006/relationships/image" Target="../media/image49.png"/><Relationship Id="rId114" Type="http://schemas.openxmlformats.org/officeDocument/2006/relationships/image" Target="../media/image114.png"/><Relationship Id="rId119" Type="http://schemas.openxmlformats.org/officeDocument/2006/relationships/image" Target="../media/image119.png"/><Relationship Id="rId44" Type="http://schemas.openxmlformats.org/officeDocument/2006/relationships/image" Target="../media/image44.png"/><Relationship Id="rId60" Type="http://schemas.openxmlformats.org/officeDocument/2006/relationships/image" Target="../media/image60.png"/><Relationship Id="rId65" Type="http://schemas.openxmlformats.org/officeDocument/2006/relationships/image" Target="../media/image65.png"/><Relationship Id="rId81" Type="http://schemas.openxmlformats.org/officeDocument/2006/relationships/image" Target="../media/image81.png"/><Relationship Id="rId86" Type="http://schemas.openxmlformats.org/officeDocument/2006/relationships/image" Target="../media/image86.png"/><Relationship Id="rId130" Type="http://schemas.openxmlformats.org/officeDocument/2006/relationships/image" Target="../media/image130.png"/><Relationship Id="rId135" Type="http://schemas.openxmlformats.org/officeDocument/2006/relationships/image" Target="../media/image135.png"/><Relationship Id="rId151" Type="http://schemas.openxmlformats.org/officeDocument/2006/relationships/image" Target="../media/image151.png"/><Relationship Id="rId156" Type="http://schemas.openxmlformats.org/officeDocument/2006/relationships/image" Target="../media/image156.png"/><Relationship Id="rId177" Type="http://schemas.openxmlformats.org/officeDocument/2006/relationships/image" Target="../media/image177.png"/><Relationship Id="rId198" Type="http://schemas.openxmlformats.org/officeDocument/2006/relationships/hyperlink" Target="http://en.wikipedia.org/wiki/Republic_of_China" TargetMode="External"/><Relationship Id="rId172" Type="http://schemas.openxmlformats.org/officeDocument/2006/relationships/image" Target="../media/image172.png"/><Relationship Id="rId193" Type="http://schemas.openxmlformats.org/officeDocument/2006/relationships/image" Target="../media/image193.png"/><Relationship Id="rId13" Type="http://schemas.openxmlformats.org/officeDocument/2006/relationships/image" Target="../media/image13.png"/><Relationship Id="rId18" Type="http://schemas.openxmlformats.org/officeDocument/2006/relationships/image" Target="../media/image18.png"/><Relationship Id="rId39" Type="http://schemas.openxmlformats.org/officeDocument/2006/relationships/image" Target="../media/image39.png"/><Relationship Id="rId109" Type="http://schemas.openxmlformats.org/officeDocument/2006/relationships/image" Target="../media/image109.png"/><Relationship Id="rId34" Type="http://schemas.openxmlformats.org/officeDocument/2006/relationships/image" Target="../media/image34.png"/><Relationship Id="rId50" Type="http://schemas.openxmlformats.org/officeDocument/2006/relationships/image" Target="../media/image50.png"/><Relationship Id="rId55" Type="http://schemas.openxmlformats.org/officeDocument/2006/relationships/image" Target="../media/image55.png"/><Relationship Id="rId76" Type="http://schemas.openxmlformats.org/officeDocument/2006/relationships/image" Target="../media/image76.png"/><Relationship Id="rId97" Type="http://schemas.openxmlformats.org/officeDocument/2006/relationships/image" Target="../media/image97.png"/><Relationship Id="rId104" Type="http://schemas.openxmlformats.org/officeDocument/2006/relationships/image" Target="../media/image104.png"/><Relationship Id="rId120" Type="http://schemas.openxmlformats.org/officeDocument/2006/relationships/image" Target="../media/image120.png"/><Relationship Id="rId125" Type="http://schemas.openxmlformats.org/officeDocument/2006/relationships/image" Target="../media/image125.png"/><Relationship Id="rId141" Type="http://schemas.openxmlformats.org/officeDocument/2006/relationships/image" Target="../media/image141.png"/><Relationship Id="rId146" Type="http://schemas.openxmlformats.org/officeDocument/2006/relationships/image" Target="../media/image146.png"/><Relationship Id="rId167" Type="http://schemas.openxmlformats.org/officeDocument/2006/relationships/image" Target="../media/image167.png"/><Relationship Id="rId188" Type="http://schemas.openxmlformats.org/officeDocument/2006/relationships/image" Target="../media/image188.png"/><Relationship Id="rId7" Type="http://schemas.openxmlformats.org/officeDocument/2006/relationships/image" Target="../media/image7.png"/><Relationship Id="rId71" Type="http://schemas.openxmlformats.org/officeDocument/2006/relationships/image" Target="../media/image71.png"/><Relationship Id="rId92" Type="http://schemas.openxmlformats.org/officeDocument/2006/relationships/image" Target="../media/image92.png"/><Relationship Id="rId162" Type="http://schemas.openxmlformats.org/officeDocument/2006/relationships/image" Target="../media/image162.png"/><Relationship Id="rId183" Type="http://schemas.openxmlformats.org/officeDocument/2006/relationships/image" Target="../media/image183.png"/><Relationship Id="rId2" Type="http://schemas.openxmlformats.org/officeDocument/2006/relationships/image" Target="../media/image2.png"/><Relationship Id="rId29" Type="http://schemas.openxmlformats.org/officeDocument/2006/relationships/image" Target="../media/image29.png"/><Relationship Id="rId24" Type="http://schemas.openxmlformats.org/officeDocument/2006/relationships/image" Target="../media/image24.png"/><Relationship Id="rId40" Type="http://schemas.openxmlformats.org/officeDocument/2006/relationships/image" Target="../media/image40.png"/><Relationship Id="rId45" Type="http://schemas.openxmlformats.org/officeDocument/2006/relationships/image" Target="../media/image45.png"/><Relationship Id="rId66" Type="http://schemas.openxmlformats.org/officeDocument/2006/relationships/image" Target="../media/image66.png"/><Relationship Id="rId87" Type="http://schemas.openxmlformats.org/officeDocument/2006/relationships/image" Target="../media/image87.png"/><Relationship Id="rId110" Type="http://schemas.openxmlformats.org/officeDocument/2006/relationships/image" Target="../media/image110.png"/><Relationship Id="rId115" Type="http://schemas.openxmlformats.org/officeDocument/2006/relationships/image" Target="../media/image115.png"/><Relationship Id="rId131" Type="http://schemas.openxmlformats.org/officeDocument/2006/relationships/image" Target="../media/image131.png"/><Relationship Id="rId136" Type="http://schemas.openxmlformats.org/officeDocument/2006/relationships/image" Target="../media/image136.png"/><Relationship Id="rId157" Type="http://schemas.openxmlformats.org/officeDocument/2006/relationships/image" Target="../media/image157.png"/><Relationship Id="rId178" Type="http://schemas.openxmlformats.org/officeDocument/2006/relationships/image" Target="../media/image178.png"/><Relationship Id="rId61" Type="http://schemas.openxmlformats.org/officeDocument/2006/relationships/image" Target="../media/image61.png"/><Relationship Id="rId82" Type="http://schemas.openxmlformats.org/officeDocument/2006/relationships/image" Target="../media/image82.png"/><Relationship Id="rId152" Type="http://schemas.openxmlformats.org/officeDocument/2006/relationships/image" Target="../media/image152.png"/><Relationship Id="rId173" Type="http://schemas.openxmlformats.org/officeDocument/2006/relationships/image" Target="../media/image173.png"/><Relationship Id="rId194" Type="http://schemas.openxmlformats.org/officeDocument/2006/relationships/image" Target="../media/image194.png"/><Relationship Id="rId199" Type="http://schemas.openxmlformats.org/officeDocument/2006/relationships/image" Target="../media/image198.png"/><Relationship Id="rId19" Type="http://schemas.openxmlformats.org/officeDocument/2006/relationships/image" Target="../media/image19.png"/><Relationship Id="rId14" Type="http://schemas.openxmlformats.org/officeDocument/2006/relationships/image" Target="../media/image14.png"/><Relationship Id="rId30" Type="http://schemas.openxmlformats.org/officeDocument/2006/relationships/image" Target="../media/image30.png"/><Relationship Id="rId35" Type="http://schemas.openxmlformats.org/officeDocument/2006/relationships/image" Target="../media/image35.png"/><Relationship Id="rId56" Type="http://schemas.openxmlformats.org/officeDocument/2006/relationships/image" Target="../media/image56.png"/><Relationship Id="rId77" Type="http://schemas.openxmlformats.org/officeDocument/2006/relationships/image" Target="../media/image77.png"/><Relationship Id="rId100" Type="http://schemas.openxmlformats.org/officeDocument/2006/relationships/image" Target="../media/image100.png"/><Relationship Id="rId105" Type="http://schemas.openxmlformats.org/officeDocument/2006/relationships/image" Target="../media/image105.png"/><Relationship Id="rId126" Type="http://schemas.openxmlformats.org/officeDocument/2006/relationships/image" Target="../media/image126.png"/><Relationship Id="rId147" Type="http://schemas.openxmlformats.org/officeDocument/2006/relationships/image" Target="../media/image147.png"/><Relationship Id="rId168" Type="http://schemas.openxmlformats.org/officeDocument/2006/relationships/image" Target="../media/image168.png"/><Relationship Id="rId8" Type="http://schemas.openxmlformats.org/officeDocument/2006/relationships/image" Target="../media/image8.png"/><Relationship Id="rId51" Type="http://schemas.openxmlformats.org/officeDocument/2006/relationships/image" Target="../media/image51.png"/><Relationship Id="rId72" Type="http://schemas.openxmlformats.org/officeDocument/2006/relationships/image" Target="../media/image72.png"/><Relationship Id="rId93" Type="http://schemas.openxmlformats.org/officeDocument/2006/relationships/image" Target="../media/image93.png"/><Relationship Id="rId98" Type="http://schemas.openxmlformats.org/officeDocument/2006/relationships/image" Target="../media/image98.png"/><Relationship Id="rId121" Type="http://schemas.openxmlformats.org/officeDocument/2006/relationships/image" Target="../media/image121.png"/><Relationship Id="rId142" Type="http://schemas.openxmlformats.org/officeDocument/2006/relationships/image" Target="../media/image142.png"/><Relationship Id="rId163" Type="http://schemas.openxmlformats.org/officeDocument/2006/relationships/image" Target="../media/image163.png"/><Relationship Id="rId184" Type="http://schemas.openxmlformats.org/officeDocument/2006/relationships/image" Target="../media/image184.png"/><Relationship Id="rId189" Type="http://schemas.openxmlformats.org/officeDocument/2006/relationships/image" Target="../media/image189.png"/><Relationship Id="rId3" Type="http://schemas.openxmlformats.org/officeDocument/2006/relationships/image" Target="../media/image3.png"/><Relationship Id="rId25" Type="http://schemas.openxmlformats.org/officeDocument/2006/relationships/image" Target="../media/image25.png"/><Relationship Id="rId46" Type="http://schemas.openxmlformats.org/officeDocument/2006/relationships/image" Target="../media/image46.png"/><Relationship Id="rId67" Type="http://schemas.openxmlformats.org/officeDocument/2006/relationships/image" Target="../media/image67.png"/><Relationship Id="rId116" Type="http://schemas.openxmlformats.org/officeDocument/2006/relationships/image" Target="../media/image116.png"/><Relationship Id="rId137" Type="http://schemas.openxmlformats.org/officeDocument/2006/relationships/image" Target="../media/image137.png"/><Relationship Id="rId158" Type="http://schemas.openxmlformats.org/officeDocument/2006/relationships/image" Target="../media/image158.png"/><Relationship Id="rId20" Type="http://schemas.openxmlformats.org/officeDocument/2006/relationships/image" Target="../media/image20.png"/><Relationship Id="rId41" Type="http://schemas.openxmlformats.org/officeDocument/2006/relationships/image" Target="../media/image41.png"/><Relationship Id="rId62" Type="http://schemas.openxmlformats.org/officeDocument/2006/relationships/image" Target="../media/image62.png"/><Relationship Id="rId83" Type="http://schemas.openxmlformats.org/officeDocument/2006/relationships/image" Target="../media/image83.png"/><Relationship Id="rId88" Type="http://schemas.openxmlformats.org/officeDocument/2006/relationships/image" Target="../media/image88.png"/><Relationship Id="rId111" Type="http://schemas.openxmlformats.org/officeDocument/2006/relationships/image" Target="../media/image111.png"/><Relationship Id="rId132" Type="http://schemas.openxmlformats.org/officeDocument/2006/relationships/image" Target="../media/image132.png"/><Relationship Id="rId153" Type="http://schemas.openxmlformats.org/officeDocument/2006/relationships/image" Target="../media/image153.png"/><Relationship Id="rId174" Type="http://schemas.openxmlformats.org/officeDocument/2006/relationships/image" Target="../media/image174.png"/><Relationship Id="rId179" Type="http://schemas.openxmlformats.org/officeDocument/2006/relationships/image" Target="../media/image179.png"/><Relationship Id="rId195" Type="http://schemas.openxmlformats.org/officeDocument/2006/relationships/image" Target="../media/image195.png"/><Relationship Id="rId190" Type="http://schemas.openxmlformats.org/officeDocument/2006/relationships/image" Target="../media/image190.png"/><Relationship Id="rId15" Type="http://schemas.openxmlformats.org/officeDocument/2006/relationships/image" Target="../media/image15.png"/><Relationship Id="rId36" Type="http://schemas.openxmlformats.org/officeDocument/2006/relationships/image" Target="../media/image36.png"/><Relationship Id="rId57" Type="http://schemas.openxmlformats.org/officeDocument/2006/relationships/image" Target="../media/image57.png"/><Relationship Id="rId106" Type="http://schemas.openxmlformats.org/officeDocument/2006/relationships/image" Target="../media/image106.png"/><Relationship Id="rId127" Type="http://schemas.openxmlformats.org/officeDocument/2006/relationships/image" Target="../media/image127.png"/><Relationship Id="rId10" Type="http://schemas.openxmlformats.org/officeDocument/2006/relationships/image" Target="../media/image10.png"/><Relationship Id="rId31" Type="http://schemas.openxmlformats.org/officeDocument/2006/relationships/image" Target="../media/image31.png"/><Relationship Id="rId52" Type="http://schemas.openxmlformats.org/officeDocument/2006/relationships/image" Target="../media/image52.png"/><Relationship Id="rId73" Type="http://schemas.openxmlformats.org/officeDocument/2006/relationships/image" Target="../media/image73.png"/><Relationship Id="rId78" Type="http://schemas.openxmlformats.org/officeDocument/2006/relationships/image" Target="../media/image78.png"/><Relationship Id="rId94" Type="http://schemas.openxmlformats.org/officeDocument/2006/relationships/image" Target="../media/image94.png"/><Relationship Id="rId99" Type="http://schemas.openxmlformats.org/officeDocument/2006/relationships/image" Target="../media/image99.png"/><Relationship Id="rId101" Type="http://schemas.openxmlformats.org/officeDocument/2006/relationships/image" Target="../media/image101.png"/><Relationship Id="rId122" Type="http://schemas.openxmlformats.org/officeDocument/2006/relationships/image" Target="../media/image122.png"/><Relationship Id="rId143" Type="http://schemas.openxmlformats.org/officeDocument/2006/relationships/image" Target="../media/image143.png"/><Relationship Id="rId148" Type="http://schemas.openxmlformats.org/officeDocument/2006/relationships/image" Target="../media/image148.png"/><Relationship Id="rId164" Type="http://schemas.openxmlformats.org/officeDocument/2006/relationships/image" Target="../media/image164.png"/><Relationship Id="rId169" Type="http://schemas.openxmlformats.org/officeDocument/2006/relationships/image" Target="../media/image169.png"/><Relationship Id="rId185" Type="http://schemas.openxmlformats.org/officeDocument/2006/relationships/image" Target="../media/image185.png"/><Relationship Id="rId4" Type="http://schemas.openxmlformats.org/officeDocument/2006/relationships/image" Target="../media/image4.png"/><Relationship Id="rId9" Type="http://schemas.openxmlformats.org/officeDocument/2006/relationships/image" Target="../media/image9.png"/><Relationship Id="rId180" Type="http://schemas.openxmlformats.org/officeDocument/2006/relationships/image" Target="../media/image180.png"/><Relationship Id="rId26" Type="http://schemas.openxmlformats.org/officeDocument/2006/relationships/image" Target="../media/image26.png"/><Relationship Id="rId47" Type="http://schemas.openxmlformats.org/officeDocument/2006/relationships/image" Target="../media/image47.png"/><Relationship Id="rId68" Type="http://schemas.openxmlformats.org/officeDocument/2006/relationships/image" Target="../media/image68.png"/><Relationship Id="rId89" Type="http://schemas.openxmlformats.org/officeDocument/2006/relationships/image" Target="../media/image89.png"/><Relationship Id="rId112" Type="http://schemas.openxmlformats.org/officeDocument/2006/relationships/image" Target="../media/image112.png"/><Relationship Id="rId133" Type="http://schemas.openxmlformats.org/officeDocument/2006/relationships/image" Target="../media/image133.png"/><Relationship Id="rId154" Type="http://schemas.openxmlformats.org/officeDocument/2006/relationships/image" Target="../media/image154.png"/><Relationship Id="rId175" Type="http://schemas.openxmlformats.org/officeDocument/2006/relationships/image" Target="../media/image175.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3" Type="http://schemas.openxmlformats.org/officeDocument/2006/relationships/chart" Target="../charts/chart3.xml"/><Relationship Id="rId21" Type="http://schemas.openxmlformats.org/officeDocument/2006/relationships/chart" Target="../charts/chart21.xml"/><Relationship Id="rId34" Type="http://schemas.openxmlformats.org/officeDocument/2006/relationships/chart" Target="../charts/chart34.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s>
</file>

<file path=xl/drawings/drawing1.xml><?xml version="1.0" encoding="utf-8"?>
<xdr:wsDr xmlns:xdr="http://schemas.openxmlformats.org/drawingml/2006/spreadsheetDrawing" xmlns:a="http://schemas.openxmlformats.org/drawingml/2006/main">
  <xdr:twoCellAnchor>
    <xdr:from>
      <xdr:col>1</xdr:col>
      <xdr:colOff>57150</xdr:colOff>
      <xdr:row>2</xdr:row>
      <xdr:rowOff>28575</xdr:rowOff>
    </xdr:from>
    <xdr:to>
      <xdr:col>1</xdr:col>
      <xdr:colOff>273150</xdr:colOff>
      <xdr:row>36</xdr:row>
      <xdr:rowOff>171450</xdr:rowOff>
    </xdr:to>
    <xdr:grpSp>
      <xdr:nvGrpSpPr>
        <xdr:cNvPr id="2" name="Group 1"/>
        <xdr:cNvGrpSpPr/>
      </xdr:nvGrpSpPr>
      <xdr:grpSpPr>
        <a:xfrm>
          <a:off x="374650" y="600075"/>
          <a:ext cx="216000" cy="6619875"/>
          <a:chOff x="609600" y="200025"/>
          <a:chExt cx="216000" cy="6943725"/>
        </a:xfrm>
      </xdr:grpSpPr>
      <xdr:pic>
        <xdr:nvPicPr>
          <xdr:cNvPr id="3" name="Picture 1" descr="http://upload.wikimedia.org/wikipedia/commons/thumb/9/9a/Flag_of_Afghanistan.svg/22px-Flag_of_Afghanistan.svg.png"/>
          <xdr:cNvPicPr>
            <a:picLocks noChangeAspect="1" noChangeArrowheads="1"/>
          </xdr:cNvPicPr>
        </xdr:nvPicPr>
        <xdr:blipFill>
          <a:blip xmlns:r="http://schemas.openxmlformats.org/officeDocument/2006/relationships" r:embed="rId1" cstate="print"/>
          <a:srcRect/>
          <a:stretch>
            <a:fillRect/>
          </a:stretch>
        </xdr:blipFill>
        <xdr:spPr bwMode="auto">
          <a:xfrm>
            <a:off x="609600" y="200025"/>
            <a:ext cx="209550" cy="142875"/>
          </a:xfrm>
          <a:prstGeom prst="rect">
            <a:avLst/>
          </a:prstGeom>
          <a:noFill/>
        </xdr:spPr>
      </xdr:pic>
      <xdr:pic>
        <xdr:nvPicPr>
          <xdr:cNvPr id="4" name="Picture 2" descr="http://upload.wikimedia.org/wikipedia/commons/thumb/3/36/Flag_of_Albania.svg/22px-Flag_of_Albania.svg.png"/>
          <xdr:cNvPicPr>
            <a:picLocks noChangeAspect="1" noChangeArrowheads="1"/>
          </xdr:cNvPicPr>
        </xdr:nvPicPr>
        <xdr:blipFill>
          <a:blip xmlns:r="http://schemas.openxmlformats.org/officeDocument/2006/relationships" r:embed="rId2" cstate="print"/>
          <a:srcRect/>
          <a:stretch>
            <a:fillRect/>
          </a:stretch>
        </xdr:blipFill>
        <xdr:spPr bwMode="auto">
          <a:xfrm>
            <a:off x="609600" y="400050"/>
            <a:ext cx="209550" cy="152400"/>
          </a:xfrm>
          <a:prstGeom prst="rect">
            <a:avLst/>
          </a:prstGeom>
          <a:noFill/>
        </xdr:spPr>
      </xdr:pic>
      <xdr:pic>
        <xdr:nvPicPr>
          <xdr:cNvPr id="5" name="Picture 3" descr="http://upload.wikimedia.org/wikipedia/commons/thumb/7/77/Flag_of_Algeria.svg/22px-Flag_of_Algeria.svg.png"/>
          <xdr:cNvPicPr>
            <a:picLocks noChangeAspect="1" noChangeArrowheads="1"/>
          </xdr:cNvPicPr>
        </xdr:nvPicPr>
        <xdr:blipFill>
          <a:blip xmlns:r="http://schemas.openxmlformats.org/officeDocument/2006/relationships" r:embed="rId3" cstate="print"/>
          <a:srcRect/>
          <a:stretch>
            <a:fillRect/>
          </a:stretch>
        </xdr:blipFill>
        <xdr:spPr bwMode="auto">
          <a:xfrm>
            <a:off x="609600" y="600075"/>
            <a:ext cx="209550" cy="142875"/>
          </a:xfrm>
          <a:prstGeom prst="rect">
            <a:avLst/>
          </a:prstGeom>
          <a:noFill/>
        </xdr:spPr>
      </xdr:pic>
      <xdr:pic>
        <xdr:nvPicPr>
          <xdr:cNvPr id="6" name="Picture 4" descr="http://upload.wikimedia.org/wikipedia/commons/thumb/1/19/Flag_of_Andorra.svg/22px-Flag_of_Andorra.svg.png"/>
          <xdr:cNvPicPr>
            <a:picLocks noChangeAspect="1" noChangeArrowheads="1"/>
          </xdr:cNvPicPr>
        </xdr:nvPicPr>
        <xdr:blipFill>
          <a:blip xmlns:r="http://schemas.openxmlformats.org/officeDocument/2006/relationships" r:embed="rId4" cstate="print"/>
          <a:srcRect/>
          <a:stretch>
            <a:fillRect/>
          </a:stretch>
        </xdr:blipFill>
        <xdr:spPr bwMode="auto">
          <a:xfrm>
            <a:off x="609600" y="800100"/>
            <a:ext cx="209550" cy="142875"/>
          </a:xfrm>
          <a:prstGeom prst="rect">
            <a:avLst/>
          </a:prstGeom>
          <a:noFill/>
        </xdr:spPr>
      </xdr:pic>
      <xdr:pic>
        <xdr:nvPicPr>
          <xdr:cNvPr id="7" name="Picture 5" descr="http://upload.wikimedia.org/wikipedia/commons/thumb/9/9d/Flag_of_Angola.svg/22px-Flag_of_Angola.svg.png"/>
          <xdr:cNvPicPr>
            <a:picLocks noChangeAspect="1" noChangeArrowheads="1"/>
          </xdr:cNvPicPr>
        </xdr:nvPicPr>
        <xdr:blipFill>
          <a:blip xmlns:r="http://schemas.openxmlformats.org/officeDocument/2006/relationships" r:embed="rId5" cstate="print"/>
          <a:srcRect/>
          <a:stretch>
            <a:fillRect/>
          </a:stretch>
        </xdr:blipFill>
        <xdr:spPr bwMode="auto">
          <a:xfrm>
            <a:off x="609600" y="1000125"/>
            <a:ext cx="209550" cy="142875"/>
          </a:xfrm>
          <a:prstGeom prst="rect">
            <a:avLst/>
          </a:prstGeom>
          <a:noFill/>
        </xdr:spPr>
      </xdr:pic>
      <xdr:pic>
        <xdr:nvPicPr>
          <xdr:cNvPr id="8" name="Picture 6" descr="http://upload.wikimedia.org/wikipedia/commons/thumb/8/89/Flag_of_Antigua_and_Barbuda.svg/22px-Flag_of_Antigua_and_Barbuda.svg.png"/>
          <xdr:cNvPicPr>
            <a:picLocks noChangeAspect="1" noChangeArrowheads="1"/>
          </xdr:cNvPicPr>
        </xdr:nvPicPr>
        <xdr:blipFill>
          <a:blip xmlns:r="http://schemas.openxmlformats.org/officeDocument/2006/relationships" r:embed="rId6" cstate="print"/>
          <a:srcRect/>
          <a:stretch>
            <a:fillRect/>
          </a:stretch>
        </xdr:blipFill>
        <xdr:spPr bwMode="auto">
          <a:xfrm>
            <a:off x="609600" y="1200150"/>
            <a:ext cx="209550" cy="142875"/>
          </a:xfrm>
          <a:prstGeom prst="rect">
            <a:avLst/>
          </a:prstGeom>
          <a:noFill/>
        </xdr:spPr>
      </xdr:pic>
      <xdr:pic>
        <xdr:nvPicPr>
          <xdr:cNvPr id="9" name="Picture 7" descr="http://upload.wikimedia.org/wikipedia/commons/thumb/1/1a/Flag_of_Argentina.svg/22px-Flag_of_Argentina.svg.png"/>
          <xdr:cNvPicPr>
            <a:picLocks noChangeAspect="1" noChangeArrowheads="1"/>
          </xdr:cNvPicPr>
        </xdr:nvPicPr>
        <xdr:blipFill>
          <a:blip xmlns:r="http://schemas.openxmlformats.org/officeDocument/2006/relationships" r:embed="rId7" cstate="print"/>
          <a:srcRect/>
          <a:stretch>
            <a:fillRect/>
          </a:stretch>
        </xdr:blipFill>
        <xdr:spPr bwMode="auto">
          <a:xfrm>
            <a:off x="609600" y="1400175"/>
            <a:ext cx="209550" cy="133350"/>
          </a:xfrm>
          <a:prstGeom prst="rect">
            <a:avLst/>
          </a:prstGeom>
          <a:noFill/>
        </xdr:spPr>
      </xdr:pic>
      <xdr:pic>
        <xdr:nvPicPr>
          <xdr:cNvPr id="10" name="Picture 8" descr="http://upload.wikimedia.org/wikipedia/commons/thumb/2/2f/Flag_of_Armenia.svg/22px-Flag_of_Armenia.svg.png"/>
          <xdr:cNvPicPr>
            <a:picLocks noChangeArrowheads="1"/>
          </xdr:cNvPicPr>
        </xdr:nvPicPr>
        <xdr:blipFill>
          <a:blip xmlns:r="http://schemas.openxmlformats.org/officeDocument/2006/relationships" r:embed="rId8" cstate="print"/>
          <a:srcRect/>
          <a:stretch>
            <a:fillRect/>
          </a:stretch>
        </xdr:blipFill>
        <xdr:spPr bwMode="auto">
          <a:xfrm>
            <a:off x="609600" y="1600200"/>
            <a:ext cx="209550" cy="143870"/>
          </a:xfrm>
          <a:prstGeom prst="rect">
            <a:avLst/>
          </a:prstGeom>
          <a:noFill/>
        </xdr:spPr>
      </xdr:pic>
      <xdr:pic>
        <xdr:nvPicPr>
          <xdr:cNvPr id="11" name="Picture 9" descr="http://upload.wikimedia.org/wikipedia/en/thumb/b/b9/Flag_of_Australia.svg/22px-Flag_of_Australia.svg.png"/>
          <xdr:cNvPicPr>
            <a:picLocks noChangeArrowheads="1"/>
          </xdr:cNvPicPr>
        </xdr:nvPicPr>
        <xdr:blipFill>
          <a:blip xmlns:r="http://schemas.openxmlformats.org/officeDocument/2006/relationships" r:embed="rId9" cstate="print"/>
          <a:srcRect/>
          <a:stretch>
            <a:fillRect/>
          </a:stretch>
        </xdr:blipFill>
        <xdr:spPr bwMode="auto">
          <a:xfrm>
            <a:off x="609600" y="1800225"/>
            <a:ext cx="209550" cy="143870"/>
          </a:xfrm>
          <a:prstGeom prst="rect">
            <a:avLst/>
          </a:prstGeom>
          <a:noFill/>
        </xdr:spPr>
      </xdr:pic>
      <xdr:pic>
        <xdr:nvPicPr>
          <xdr:cNvPr id="12" name="Picture 10" descr="http://upload.wikimedia.org/wikipedia/commons/thumb/4/41/Flag_of_Austria.svg/22px-Flag_of_Austria.svg.png"/>
          <xdr:cNvPicPr>
            <a:picLocks noChangeAspect="1" noChangeArrowheads="1"/>
          </xdr:cNvPicPr>
        </xdr:nvPicPr>
        <xdr:blipFill>
          <a:blip xmlns:r="http://schemas.openxmlformats.org/officeDocument/2006/relationships" r:embed="rId10" cstate="print"/>
          <a:srcRect/>
          <a:stretch>
            <a:fillRect/>
          </a:stretch>
        </xdr:blipFill>
        <xdr:spPr bwMode="auto">
          <a:xfrm>
            <a:off x="609600" y="2000250"/>
            <a:ext cx="209550" cy="142875"/>
          </a:xfrm>
          <a:prstGeom prst="rect">
            <a:avLst/>
          </a:prstGeom>
          <a:noFill/>
        </xdr:spPr>
      </xdr:pic>
      <xdr:pic>
        <xdr:nvPicPr>
          <xdr:cNvPr id="13" name="Picture 11" descr="http://upload.wikimedia.org/wikipedia/commons/thumb/d/dd/Flag_of_Azerbaijan.svg/22px-Flag_of_Azerbaijan.svg.png"/>
          <xdr:cNvPicPr>
            <a:picLocks noChangeArrowheads="1"/>
          </xdr:cNvPicPr>
        </xdr:nvPicPr>
        <xdr:blipFill>
          <a:blip xmlns:r="http://schemas.openxmlformats.org/officeDocument/2006/relationships" r:embed="rId11" cstate="print"/>
          <a:srcRect/>
          <a:stretch>
            <a:fillRect/>
          </a:stretch>
        </xdr:blipFill>
        <xdr:spPr bwMode="auto">
          <a:xfrm>
            <a:off x="609600" y="2200275"/>
            <a:ext cx="210312" cy="143870"/>
          </a:xfrm>
          <a:prstGeom prst="rect">
            <a:avLst/>
          </a:prstGeom>
          <a:noFill/>
        </xdr:spPr>
      </xdr:pic>
      <xdr:pic>
        <xdr:nvPicPr>
          <xdr:cNvPr id="14" name="Picture 12" descr="http://upload.wikimedia.org/wikipedia/commons/thumb/9/93/Flag_of_the_Bahamas.svg/22px-Flag_of_the_Bahamas.svg.png"/>
          <xdr:cNvPicPr>
            <a:picLocks noChangeArrowheads="1"/>
          </xdr:cNvPicPr>
        </xdr:nvPicPr>
        <xdr:blipFill>
          <a:blip xmlns:r="http://schemas.openxmlformats.org/officeDocument/2006/relationships" r:embed="rId12" cstate="print"/>
          <a:srcRect/>
          <a:stretch>
            <a:fillRect/>
          </a:stretch>
        </xdr:blipFill>
        <xdr:spPr bwMode="auto">
          <a:xfrm>
            <a:off x="609600" y="2400300"/>
            <a:ext cx="209550" cy="143870"/>
          </a:xfrm>
          <a:prstGeom prst="rect">
            <a:avLst/>
          </a:prstGeom>
          <a:noFill/>
        </xdr:spPr>
      </xdr:pic>
      <xdr:pic>
        <xdr:nvPicPr>
          <xdr:cNvPr id="15" name="Picture 13" descr="http://upload.wikimedia.org/wikipedia/commons/thumb/2/2c/Flag_of_Bahrain.svg/22px-Flag_of_Bahrain.svg.png"/>
          <xdr:cNvPicPr>
            <a:picLocks noChangeArrowheads="1"/>
          </xdr:cNvPicPr>
        </xdr:nvPicPr>
        <xdr:blipFill>
          <a:blip xmlns:r="http://schemas.openxmlformats.org/officeDocument/2006/relationships" r:embed="rId13" cstate="print"/>
          <a:srcRect/>
          <a:stretch>
            <a:fillRect/>
          </a:stretch>
        </xdr:blipFill>
        <xdr:spPr bwMode="auto">
          <a:xfrm>
            <a:off x="609600" y="2600325"/>
            <a:ext cx="209550" cy="143870"/>
          </a:xfrm>
          <a:prstGeom prst="rect">
            <a:avLst/>
          </a:prstGeom>
          <a:noFill/>
        </xdr:spPr>
      </xdr:pic>
      <xdr:pic>
        <xdr:nvPicPr>
          <xdr:cNvPr id="16" name="Picture 14" descr="http://upload.wikimedia.org/wikipedia/commons/thumb/f/f9/Flag_of_Bangladesh.svg/22px-Flag_of_Bangladesh.svg.png"/>
          <xdr:cNvPicPr>
            <a:picLocks noChangeArrowheads="1"/>
          </xdr:cNvPicPr>
        </xdr:nvPicPr>
        <xdr:blipFill>
          <a:blip xmlns:r="http://schemas.openxmlformats.org/officeDocument/2006/relationships" r:embed="rId14" cstate="print"/>
          <a:srcRect/>
          <a:stretch>
            <a:fillRect/>
          </a:stretch>
        </xdr:blipFill>
        <xdr:spPr bwMode="auto">
          <a:xfrm>
            <a:off x="609600" y="2800350"/>
            <a:ext cx="209550" cy="143870"/>
          </a:xfrm>
          <a:prstGeom prst="rect">
            <a:avLst/>
          </a:prstGeom>
          <a:noFill/>
        </xdr:spPr>
      </xdr:pic>
      <xdr:pic>
        <xdr:nvPicPr>
          <xdr:cNvPr id="17" name="Picture 15" descr="http://upload.wikimedia.org/wikipedia/commons/thumb/e/ef/Flag_of_Barbados.svg/22px-Flag_of_Barbados.svg.png"/>
          <xdr:cNvPicPr>
            <a:picLocks noChangeAspect="1" noChangeArrowheads="1"/>
          </xdr:cNvPicPr>
        </xdr:nvPicPr>
        <xdr:blipFill>
          <a:blip xmlns:r="http://schemas.openxmlformats.org/officeDocument/2006/relationships" r:embed="rId15" cstate="print"/>
          <a:srcRect/>
          <a:stretch>
            <a:fillRect/>
          </a:stretch>
        </xdr:blipFill>
        <xdr:spPr bwMode="auto">
          <a:xfrm>
            <a:off x="609600" y="3000375"/>
            <a:ext cx="209550" cy="142875"/>
          </a:xfrm>
          <a:prstGeom prst="rect">
            <a:avLst/>
          </a:prstGeom>
          <a:noFill/>
        </xdr:spPr>
      </xdr:pic>
      <xdr:pic>
        <xdr:nvPicPr>
          <xdr:cNvPr id="18" name="Picture 16" descr="http://upload.wikimedia.org/wikipedia/commons/thumb/8/85/Flag_of_Belarus.svg/22px-Flag_of_Belarus.svg.png"/>
          <xdr:cNvPicPr>
            <a:picLocks noChangeArrowheads="1"/>
          </xdr:cNvPicPr>
        </xdr:nvPicPr>
        <xdr:blipFill>
          <a:blip xmlns:r="http://schemas.openxmlformats.org/officeDocument/2006/relationships" r:embed="rId16" cstate="print"/>
          <a:srcRect/>
          <a:stretch>
            <a:fillRect/>
          </a:stretch>
        </xdr:blipFill>
        <xdr:spPr bwMode="auto">
          <a:xfrm>
            <a:off x="609600" y="3200400"/>
            <a:ext cx="209550" cy="143870"/>
          </a:xfrm>
          <a:prstGeom prst="rect">
            <a:avLst/>
          </a:prstGeom>
          <a:noFill/>
        </xdr:spPr>
      </xdr:pic>
      <xdr:pic>
        <xdr:nvPicPr>
          <xdr:cNvPr id="19" name="Picture 17" descr="http://upload.wikimedia.org/wikipedia/commons/thumb/6/65/Flag_of_Belgium.svg/22px-Flag_of_Belgium.svg.png"/>
          <xdr:cNvPicPr>
            <a:picLocks noChangeArrowheads="1"/>
          </xdr:cNvPicPr>
        </xdr:nvPicPr>
        <xdr:blipFill>
          <a:blip xmlns:r="http://schemas.openxmlformats.org/officeDocument/2006/relationships" r:embed="rId17" cstate="print"/>
          <a:srcRect/>
          <a:stretch>
            <a:fillRect/>
          </a:stretch>
        </xdr:blipFill>
        <xdr:spPr bwMode="auto">
          <a:xfrm>
            <a:off x="609600" y="3400425"/>
            <a:ext cx="216000" cy="151045"/>
          </a:xfrm>
          <a:prstGeom prst="rect">
            <a:avLst/>
          </a:prstGeom>
          <a:noFill/>
        </xdr:spPr>
      </xdr:pic>
      <xdr:pic>
        <xdr:nvPicPr>
          <xdr:cNvPr id="20" name="Picture 18" descr="http://upload.wikimedia.org/wikipedia/commons/thumb/e/e7/Flag_of_Belize.svg/22px-Flag_of_Belize.svg.png"/>
          <xdr:cNvPicPr>
            <a:picLocks noChangeAspect="1" noChangeArrowheads="1"/>
          </xdr:cNvPicPr>
        </xdr:nvPicPr>
        <xdr:blipFill>
          <a:blip xmlns:r="http://schemas.openxmlformats.org/officeDocument/2006/relationships" r:embed="rId18" cstate="print"/>
          <a:srcRect/>
          <a:stretch>
            <a:fillRect/>
          </a:stretch>
        </xdr:blipFill>
        <xdr:spPr bwMode="auto">
          <a:xfrm>
            <a:off x="609600" y="3600450"/>
            <a:ext cx="209550" cy="142875"/>
          </a:xfrm>
          <a:prstGeom prst="rect">
            <a:avLst/>
          </a:prstGeom>
          <a:noFill/>
        </xdr:spPr>
      </xdr:pic>
      <xdr:pic>
        <xdr:nvPicPr>
          <xdr:cNvPr id="21" name="Picture 19" descr="http://upload.wikimedia.org/wikipedia/commons/thumb/0/0a/Flag_of_Benin.svg/22px-Flag_of_Benin.svg.png"/>
          <xdr:cNvPicPr>
            <a:picLocks noChangeAspect="1" noChangeArrowheads="1"/>
          </xdr:cNvPicPr>
        </xdr:nvPicPr>
        <xdr:blipFill>
          <a:blip xmlns:r="http://schemas.openxmlformats.org/officeDocument/2006/relationships" r:embed="rId19" cstate="print"/>
          <a:srcRect/>
          <a:stretch>
            <a:fillRect/>
          </a:stretch>
        </xdr:blipFill>
        <xdr:spPr bwMode="auto">
          <a:xfrm>
            <a:off x="609600" y="3800475"/>
            <a:ext cx="209550" cy="142875"/>
          </a:xfrm>
          <a:prstGeom prst="rect">
            <a:avLst/>
          </a:prstGeom>
          <a:noFill/>
        </xdr:spPr>
      </xdr:pic>
      <xdr:pic>
        <xdr:nvPicPr>
          <xdr:cNvPr id="22" name="Picture 20" descr="http://upload.wikimedia.org/wikipedia/commons/thumb/9/91/Flag_of_Bhutan.svg/22px-Flag_of_Bhutan.svg.png"/>
          <xdr:cNvPicPr>
            <a:picLocks noChangeAspect="1" noChangeArrowheads="1"/>
          </xdr:cNvPicPr>
        </xdr:nvPicPr>
        <xdr:blipFill>
          <a:blip xmlns:r="http://schemas.openxmlformats.org/officeDocument/2006/relationships" r:embed="rId20" cstate="print"/>
          <a:srcRect/>
          <a:stretch>
            <a:fillRect/>
          </a:stretch>
        </xdr:blipFill>
        <xdr:spPr bwMode="auto">
          <a:xfrm>
            <a:off x="609600" y="4000500"/>
            <a:ext cx="209550" cy="142875"/>
          </a:xfrm>
          <a:prstGeom prst="rect">
            <a:avLst/>
          </a:prstGeom>
          <a:noFill/>
        </xdr:spPr>
      </xdr:pic>
      <xdr:pic>
        <xdr:nvPicPr>
          <xdr:cNvPr id="23" name="Picture 21" descr="http://upload.wikimedia.org/wikipedia/commons/thumb/d/de/Flag_of_Bolivia_%28state%29.svg/22px-Flag_of_Bolivia_%28state%29.svg.png"/>
          <xdr:cNvPicPr>
            <a:picLocks noChangeAspect="1" noChangeArrowheads="1"/>
          </xdr:cNvPicPr>
        </xdr:nvPicPr>
        <xdr:blipFill>
          <a:blip xmlns:r="http://schemas.openxmlformats.org/officeDocument/2006/relationships" r:embed="rId21" cstate="print"/>
          <a:srcRect/>
          <a:stretch>
            <a:fillRect/>
          </a:stretch>
        </xdr:blipFill>
        <xdr:spPr bwMode="auto">
          <a:xfrm>
            <a:off x="609600" y="4200525"/>
            <a:ext cx="209550" cy="142875"/>
          </a:xfrm>
          <a:prstGeom prst="rect">
            <a:avLst/>
          </a:prstGeom>
          <a:noFill/>
        </xdr:spPr>
      </xdr:pic>
      <xdr:pic>
        <xdr:nvPicPr>
          <xdr:cNvPr id="24" name="Picture 22" descr="http://upload.wikimedia.org/wikipedia/commons/thumb/b/bf/Flag_of_Bosnia_and_Herzegovina.svg/22px-Flag_of_Bosnia_and_Herzegovina.svg.png"/>
          <xdr:cNvPicPr>
            <a:picLocks noChangeArrowheads="1"/>
          </xdr:cNvPicPr>
        </xdr:nvPicPr>
        <xdr:blipFill>
          <a:blip xmlns:r="http://schemas.openxmlformats.org/officeDocument/2006/relationships" r:embed="rId22" cstate="print"/>
          <a:srcRect/>
          <a:stretch>
            <a:fillRect/>
          </a:stretch>
        </xdr:blipFill>
        <xdr:spPr bwMode="auto">
          <a:xfrm>
            <a:off x="609600" y="4400550"/>
            <a:ext cx="209550" cy="143870"/>
          </a:xfrm>
          <a:prstGeom prst="rect">
            <a:avLst/>
          </a:prstGeom>
          <a:noFill/>
        </xdr:spPr>
      </xdr:pic>
      <xdr:pic>
        <xdr:nvPicPr>
          <xdr:cNvPr id="25" name="Picture 23" descr="http://upload.wikimedia.org/wikipedia/commons/thumb/f/fa/Flag_of_Botswana.svg/22px-Flag_of_Botswana.svg.png"/>
          <xdr:cNvPicPr>
            <a:picLocks noChangeAspect="1" noChangeArrowheads="1"/>
          </xdr:cNvPicPr>
        </xdr:nvPicPr>
        <xdr:blipFill>
          <a:blip xmlns:r="http://schemas.openxmlformats.org/officeDocument/2006/relationships" r:embed="rId23" cstate="print"/>
          <a:srcRect/>
          <a:stretch>
            <a:fillRect/>
          </a:stretch>
        </xdr:blipFill>
        <xdr:spPr bwMode="auto">
          <a:xfrm>
            <a:off x="609600" y="4600575"/>
            <a:ext cx="209550" cy="142875"/>
          </a:xfrm>
          <a:prstGeom prst="rect">
            <a:avLst/>
          </a:prstGeom>
          <a:noFill/>
        </xdr:spPr>
      </xdr:pic>
      <xdr:pic>
        <xdr:nvPicPr>
          <xdr:cNvPr id="26" name="Picture 24" descr="http://upload.wikimedia.org/wikipedia/en/thumb/0/05/Flag_of_Brazil.svg/22px-Flag_of_Brazil.svg.png"/>
          <xdr:cNvPicPr>
            <a:picLocks noChangeAspect="1" noChangeArrowheads="1"/>
          </xdr:cNvPicPr>
        </xdr:nvPicPr>
        <xdr:blipFill>
          <a:blip xmlns:r="http://schemas.openxmlformats.org/officeDocument/2006/relationships" r:embed="rId24" cstate="print"/>
          <a:srcRect/>
          <a:stretch>
            <a:fillRect/>
          </a:stretch>
        </xdr:blipFill>
        <xdr:spPr bwMode="auto">
          <a:xfrm>
            <a:off x="609600" y="4800600"/>
            <a:ext cx="209550" cy="142875"/>
          </a:xfrm>
          <a:prstGeom prst="rect">
            <a:avLst/>
          </a:prstGeom>
          <a:noFill/>
        </xdr:spPr>
      </xdr:pic>
      <xdr:pic>
        <xdr:nvPicPr>
          <xdr:cNvPr id="27" name="Picture 25" descr="http://upload.wikimedia.org/wikipedia/commons/thumb/9/9c/Flag_of_Brunei.svg/22px-Flag_of_Brunei.svg.png"/>
          <xdr:cNvPicPr>
            <a:picLocks noChangeArrowheads="1"/>
          </xdr:cNvPicPr>
        </xdr:nvPicPr>
        <xdr:blipFill>
          <a:blip xmlns:r="http://schemas.openxmlformats.org/officeDocument/2006/relationships" r:embed="rId25" cstate="print"/>
          <a:srcRect/>
          <a:stretch>
            <a:fillRect/>
          </a:stretch>
        </xdr:blipFill>
        <xdr:spPr bwMode="auto">
          <a:xfrm>
            <a:off x="609600" y="5000625"/>
            <a:ext cx="209550" cy="143870"/>
          </a:xfrm>
          <a:prstGeom prst="rect">
            <a:avLst/>
          </a:prstGeom>
          <a:noFill/>
        </xdr:spPr>
      </xdr:pic>
      <xdr:pic>
        <xdr:nvPicPr>
          <xdr:cNvPr id="28" name="Picture 26" descr="http://upload.wikimedia.org/wikipedia/commons/thumb/9/9a/Flag_of_Bulgaria.svg/22px-Flag_of_Bulgaria.svg.png"/>
          <xdr:cNvPicPr>
            <a:picLocks noChangeArrowheads="1"/>
          </xdr:cNvPicPr>
        </xdr:nvPicPr>
        <xdr:blipFill>
          <a:blip xmlns:r="http://schemas.openxmlformats.org/officeDocument/2006/relationships" r:embed="rId26" cstate="print"/>
          <a:srcRect/>
          <a:stretch>
            <a:fillRect/>
          </a:stretch>
        </xdr:blipFill>
        <xdr:spPr bwMode="auto">
          <a:xfrm>
            <a:off x="609600" y="5200650"/>
            <a:ext cx="209550" cy="143870"/>
          </a:xfrm>
          <a:prstGeom prst="rect">
            <a:avLst/>
          </a:prstGeom>
          <a:noFill/>
        </xdr:spPr>
      </xdr:pic>
      <xdr:pic>
        <xdr:nvPicPr>
          <xdr:cNvPr id="29" name="Picture 27" descr="http://upload.wikimedia.org/wikipedia/commons/thumb/3/31/Flag_of_Burkina_Faso.svg/22px-Flag_of_Burkina_Faso.svg.png"/>
          <xdr:cNvPicPr>
            <a:picLocks noChangeAspect="1" noChangeArrowheads="1"/>
          </xdr:cNvPicPr>
        </xdr:nvPicPr>
        <xdr:blipFill>
          <a:blip xmlns:r="http://schemas.openxmlformats.org/officeDocument/2006/relationships" r:embed="rId27" cstate="print"/>
          <a:srcRect/>
          <a:stretch>
            <a:fillRect/>
          </a:stretch>
        </xdr:blipFill>
        <xdr:spPr bwMode="auto">
          <a:xfrm>
            <a:off x="609600" y="5400675"/>
            <a:ext cx="209550" cy="142875"/>
          </a:xfrm>
          <a:prstGeom prst="rect">
            <a:avLst/>
          </a:prstGeom>
          <a:noFill/>
        </xdr:spPr>
      </xdr:pic>
      <xdr:pic>
        <xdr:nvPicPr>
          <xdr:cNvPr id="30" name="Picture 28" descr="http://upload.wikimedia.org/wikipedia/commons/thumb/5/50/Flag_of_Burundi.svg/22px-Flag_of_Burundi.svg.png"/>
          <xdr:cNvPicPr>
            <a:picLocks noChangeArrowheads="1"/>
          </xdr:cNvPicPr>
        </xdr:nvPicPr>
        <xdr:blipFill>
          <a:blip xmlns:r="http://schemas.openxmlformats.org/officeDocument/2006/relationships" r:embed="rId28" cstate="print"/>
          <a:srcRect/>
          <a:stretch>
            <a:fillRect/>
          </a:stretch>
        </xdr:blipFill>
        <xdr:spPr bwMode="auto">
          <a:xfrm>
            <a:off x="609600" y="5600700"/>
            <a:ext cx="209550" cy="143870"/>
          </a:xfrm>
          <a:prstGeom prst="rect">
            <a:avLst/>
          </a:prstGeom>
          <a:noFill/>
        </xdr:spPr>
      </xdr:pic>
      <xdr:pic>
        <xdr:nvPicPr>
          <xdr:cNvPr id="31" name="Picture 29" descr="http://upload.wikimedia.org/wikipedia/commons/thumb/8/83/Flag_of_Cambodia.svg/22px-Flag_of_Cambodia.svg.png"/>
          <xdr:cNvPicPr>
            <a:picLocks noChangeAspect="1" noChangeArrowheads="1"/>
          </xdr:cNvPicPr>
        </xdr:nvPicPr>
        <xdr:blipFill>
          <a:blip xmlns:r="http://schemas.openxmlformats.org/officeDocument/2006/relationships" r:embed="rId29" cstate="print"/>
          <a:srcRect/>
          <a:stretch>
            <a:fillRect/>
          </a:stretch>
        </xdr:blipFill>
        <xdr:spPr bwMode="auto">
          <a:xfrm>
            <a:off x="609600" y="5800725"/>
            <a:ext cx="209550" cy="142875"/>
          </a:xfrm>
          <a:prstGeom prst="rect">
            <a:avLst/>
          </a:prstGeom>
          <a:noFill/>
        </xdr:spPr>
      </xdr:pic>
      <xdr:pic>
        <xdr:nvPicPr>
          <xdr:cNvPr id="32" name="Picture 30" descr="http://upload.wikimedia.org/wikipedia/commons/thumb/4/4f/Flag_of_Cameroon.svg/22px-Flag_of_Cameroon.svg.png"/>
          <xdr:cNvPicPr>
            <a:picLocks noChangeAspect="1" noChangeArrowheads="1"/>
          </xdr:cNvPicPr>
        </xdr:nvPicPr>
        <xdr:blipFill>
          <a:blip xmlns:r="http://schemas.openxmlformats.org/officeDocument/2006/relationships" r:embed="rId30" cstate="print"/>
          <a:srcRect/>
          <a:stretch>
            <a:fillRect/>
          </a:stretch>
        </xdr:blipFill>
        <xdr:spPr bwMode="auto">
          <a:xfrm>
            <a:off x="609600" y="6000750"/>
            <a:ext cx="209550" cy="142875"/>
          </a:xfrm>
          <a:prstGeom prst="rect">
            <a:avLst/>
          </a:prstGeom>
          <a:noFill/>
        </xdr:spPr>
      </xdr:pic>
      <xdr:pic>
        <xdr:nvPicPr>
          <xdr:cNvPr id="33" name="Picture 31" descr="http://upload.wikimedia.org/wikipedia/en/thumb/c/cf/Flag_of_Canada.svg/22px-Flag_of_Canada.svg.png"/>
          <xdr:cNvPicPr>
            <a:picLocks noChangeArrowheads="1"/>
          </xdr:cNvPicPr>
        </xdr:nvPicPr>
        <xdr:blipFill>
          <a:blip xmlns:r="http://schemas.openxmlformats.org/officeDocument/2006/relationships" r:embed="rId31" cstate="print"/>
          <a:srcRect/>
          <a:stretch>
            <a:fillRect/>
          </a:stretch>
        </xdr:blipFill>
        <xdr:spPr bwMode="auto">
          <a:xfrm>
            <a:off x="609600" y="6200775"/>
            <a:ext cx="209550" cy="143870"/>
          </a:xfrm>
          <a:prstGeom prst="rect">
            <a:avLst/>
          </a:prstGeom>
          <a:noFill/>
        </xdr:spPr>
      </xdr:pic>
      <xdr:pic>
        <xdr:nvPicPr>
          <xdr:cNvPr id="34" name="Picture 32" descr="http://upload.wikimedia.org/wikipedia/commons/thumb/3/38/Flag_of_Cape_Verde.svg/22px-Flag_of_Cape_Verde.svg.png"/>
          <xdr:cNvPicPr>
            <a:picLocks noChangeAspect="1" noChangeArrowheads="1"/>
          </xdr:cNvPicPr>
        </xdr:nvPicPr>
        <xdr:blipFill>
          <a:blip xmlns:r="http://schemas.openxmlformats.org/officeDocument/2006/relationships" r:embed="rId32" cstate="print"/>
          <a:srcRect/>
          <a:stretch>
            <a:fillRect/>
          </a:stretch>
        </xdr:blipFill>
        <xdr:spPr bwMode="auto">
          <a:xfrm>
            <a:off x="609600" y="6400800"/>
            <a:ext cx="209550" cy="123825"/>
          </a:xfrm>
          <a:prstGeom prst="rect">
            <a:avLst/>
          </a:prstGeom>
          <a:noFill/>
        </xdr:spPr>
      </xdr:pic>
      <xdr:pic>
        <xdr:nvPicPr>
          <xdr:cNvPr id="35" name="Picture 33" descr="http://upload.wikimedia.org/wikipedia/commons/thumb/6/6f/Flag_of_the_Central_African_Republic.svg/22px-Flag_of_the_Central_African_Republic.svg.png"/>
          <xdr:cNvPicPr>
            <a:picLocks noChangeAspect="1" noChangeArrowheads="1"/>
          </xdr:cNvPicPr>
        </xdr:nvPicPr>
        <xdr:blipFill>
          <a:blip xmlns:r="http://schemas.openxmlformats.org/officeDocument/2006/relationships" r:embed="rId33" cstate="print"/>
          <a:srcRect/>
          <a:stretch>
            <a:fillRect/>
          </a:stretch>
        </xdr:blipFill>
        <xdr:spPr bwMode="auto">
          <a:xfrm>
            <a:off x="609600" y="6600825"/>
            <a:ext cx="209550" cy="142875"/>
          </a:xfrm>
          <a:prstGeom prst="rect">
            <a:avLst/>
          </a:prstGeom>
          <a:noFill/>
        </xdr:spPr>
      </xdr:pic>
      <xdr:pic>
        <xdr:nvPicPr>
          <xdr:cNvPr id="36" name="Picture 34" descr="http://upload.wikimedia.org/wikipedia/commons/thumb/4/4b/Flag_of_Chad.svg/22px-Flag_of_Chad.svg.png"/>
          <xdr:cNvPicPr>
            <a:picLocks noChangeAspect="1" noChangeArrowheads="1"/>
          </xdr:cNvPicPr>
        </xdr:nvPicPr>
        <xdr:blipFill>
          <a:blip xmlns:r="http://schemas.openxmlformats.org/officeDocument/2006/relationships" r:embed="rId34" cstate="print"/>
          <a:srcRect/>
          <a:stretch>
            <a:fillRect/>
          </a:stretch>
        </xdr:blipFill>
        <xdr:spPr bwMode="auto">
          <a:xfrm>
            <a:off x="609600" y="6800850"/>
            <a:ext cx="209550" cy="142875"/>
          </a:xfrm>
          <a:prstGeom prst="rect">
            <a:avLst/>
          </a:prstGeom>
          <a:noFill/>
        </xdr:spPr>
      </xdr:pic>
      <xdr:pic>
        <xdr:nvPicPr>
          <xdr:cNvPr id="37" name="Picture 35" descr="http://upload.wikimedia.org/wikipedia/commons/thumb/7/78/Flag_of_Chile.svg/22px-Flag_of_Chile.svg.png"/>
          <xdr:cNvPicPr>
            <a:picLocks noChangeAspect="1" noChangeArrowheads="1"/>
          </xdr:cNvPicPr>
        </xdr:nvPicPr>
        <xdr:blipFill>
          <a:blip xmlns:r="http://schemas.openxmlformats.org/officeDocument/2006/relationships" r:embed="rId35" cstate="print"/>
          <a:srcRect/>
          <a:stretch>
            <a:fillRect/>
          </a:stretch>
        </xdr:blipFill>
        <xdr:spPr bwMode="auto">
          <a:xfrm>
            <a:off x="609600" y="7000875"/>
            <a:ext cx="209550" cy="142875"/>
          </a:xfrm>
          <a:prstGeom prst="rect">
            <a:avLst/>
          </a:prstGeom>
          <a:noFill/>
        </xdr:spPr>
      </xdr:pic>
    </xdr:grpSp>
    <xdr:clientData/>
  </xdr:twoCellAnchor>
  <xdr:twoCellAnchor>
    <xdr:from>
      <xdr:col>1</xdr:col>
      <xdr:colOff>58208</xdr:colOff>
      <xdr:row>37</xdr:row>
      <xdr:rowOff>27517</xdr:rowOff>
    </xdr:from>
    <xdr:to>
      <xdr:col>1</xdr:col>
      <xdr:colOff>267758</xdr:colOff>
      <xdr:row>66</xdr:row>
      <xdr:rowOff>170392</xdr:rowOff>
    </xdr:to>
    <xdr:grpSp>
      <xdr:nvGrpSpPr>
        <xdr:cNvPr id="38" name="Group 37"/>
        <xdr:cNvGrpSpPr/>
      </xdr:nvGrpSpPr>
      <xdr:grpSpPr>
        <a:xfrm>
          <a:off x="375708" y="7266517"/>
          <a:ext cx="209550" cy="5667375"/>
          <a:chOff x="314325" y="7189801"/>
          <a:chExt cx="209550" cy="5943600"/>
        </a:xfrm>
      </xdr:grpSpPr>
      <xdr:pic>
        <xdr:nvPicPr>
          <xdr:cNvPr id="39" name="Picture 36" descr="http://upload.wikimedia.org/wikipedia/commons/thumb/f/fa/Flag_of_the_People%27s_Republic_of_China.svg/22px-Flag_of_the_People%27s_Republic_of_China.svg.png"/>
          <xdr:cNvPicPr>
            <a:picLocks noChangeAspect="1" noChangeArrowheads="1"/>
          </xdr:cNvPicPr>
        </xdr:nvPicPr>
        <xdr:blipFill>
          <a:blip xmlns:r="http://schemas.openxmlformats.org/officeDocument/2006/relationships" r:embed="rId36" cstate="print"/>
          <a:srcRect/>
          <a:stretch>
            <a:fillRect/>
          </a:stretch>
        </xdr:blipFill>
        <xdr:spPr bwMode="auto">
          <a:xfrm>
            <a:off x="314325" y="7189801"/>
            <a:ext cx="209550" cy="142875"/>
          </a:xfrm>
          <a:prstGeom prst="rect">
            <a:avLst/>
          </a:prstGeom>
          <a:noFill/>
        </xdr:spPr>
      </xdr:pic>
      <xdr:pic>
        <xdr:nvPicPr>
          <xdr:cNvPr id="40" name="Picture 37" descr="http://upload.wikimedia.org/wikipedia/commons/thumb/2/21/Flag_of_Colombia.svg/22px-Flag_of_Colombia.svg.png"/>
          <xdr:cNvPicPr>
            <a:picLocks noChangeAspect="1" noChangeArrowheads="1"/>
          </xdr:cNvPicPr>
        </xdr:nvPicPr>
        <xdr:blipFill>
          <a:blip xmlns:r="http://schemas.openxmlformats.org/officeDocument/2006/relationships" r:embed="rId37" cstate="print"/>
          <a:srcRect/>
          <a:stretch>
            <a:fillRect/>
          </a:stretch>
        </xdr:blipFill>
        <xdr:spPr bwMode="auto">
          <a:xfrm>
            <a:off x="314325" y="7389826"/>
            <a:ext cx="209550" cy="142875"/>
          </a:xfrm>
          <a:prstGeom prst="rect">
            <a:avLst/>
          </a:prstGeom>
          <a:noFill/>
        </xdr:spPr>
      </xdr:pic>
      <xdr:pic>
        <xdr:nvPicPr>
          <xdr:cNvPr id="41" name="Picture 38" descr="http://upload.wikimedia.org/wikipedia/commons/thumb/9/94/Flag_of_the_Comoros.svg/22px-Flag_of_the_Comoros.svg.png"/>
          <xdr:cNvPicPr>
            <a:picLocks noChangeArrowheads="1"/>
          </xdr:cNvPicPr>
        </xdr:nvPicPr>
        <xdr:blipFill>
          <a:blip xmlns:r="http://schemas.openxmlformats.org/officeDocument/2006/relationships" r:embed="rId38" cstate="print"/>
          <a:srcRect/>
          <a:stretch>
            <a:fillRect/>
          </a:stretch>
        </xdr:blipFill>
        <xdr:spPr bwMode="auto">
          <a:xfrm>
            <a:off x="314325" y="7589851"/>
            <a:ext cx="209550" cy="143845"/>
          </a:xfrm>
          <a:prstGeom prst="rect">
            <a:avLst/>
          </a:prstGeom>
          <a:noFill/>
        </xdr:spPr>
      </xdr:pic>
      <xdr:pic>
        <xdr:nvPicPr>
          <xdr:cNvPr id="42" name="Picture 39" descr="http://upload.wikimedia.org/wikipedia/commons/thumb/9/92/Flag_of_the_Republic_of_the_Congo.svg/22px-Flag_of_the_Republic_of_the_Congo.svg.png"/>
          <xdr:cNvPicPr>
            <a:picLocks noChangeAspect="1" noChangeArrowheads="1"/>
          </xdr:cNvPicPr>
        </xdr:nvPicPr>
        <xdr:blipFill>
          <a:blip xmlns:r="http://schemas.openxmlformats.org/officeDocument/2006/relationships" r:embed="rId39" cstate="print"/>
          <a:srcRect/>
          <a:stretch>
            <a:fillRect/>
          </a:stretch>
        </xdr:blipFill>
        <xdr:spPr bwMode="auto">
          <a:xfrm>
            <a:off x="314325" y="7800975"/>
            <a:ext cx="209550" cy="142875"/>
          </a:xfrm>
          <a:prstGeom prst="rect">
            <a:avLst/>
          </a:prstGeom>
          <a:noFill/>
        </xdr:spPr>
      </xdr:pic>
      <xdr:pic>
        <xdr:nvPicPr>
          <xdr:cNvPr id="43" name="Picture 40" descr="http://upload.wikimedia.org/wikipedia/commons/thumb/6/6f/Flag_of_the_Democratic_Republic_of_the_Congo.svg/22px-Flag_of_the_Democratic_Republic_of_the_Congo.svg.png"/>
          <xdr:cNvPicPr>
            <a:picLocks noChangeAspect="1" noChangeArrowheads="1"/>
          </xdr:cNvPicPr>
        </xdr:nvPicPr>
        <xdr:blipFill>
          <a:blip xmlns:r="http://schemas.openxmlformats.org/officeDocument/2006/relationships" r:embed="rId40" cstate="print"/>
          <a:srcRect/>
          <a:stretch>
            <a:fillRect/>
          </a:stretch>
        </xdr:blipFill>
        <xdr:spPr bwMode="auto">
          <a:xfrm>
            <a:off x="314325" y="7989901"/>
            <a:ext cx="209550" cy="161925"/>
          </a:xfrm>
          <a:prstGeom prst="rect">
            <a:avLst/>
          </a:prstGeom>
          <a:noFill/>
        </xdr:spPr>
      </xdr:pic>
      <xdr:pic>
        <xdr:nvPicPr>
          <xdr:cNvPr id="44" name="Picture 41" descr="http://upload.wikimedia.org/wikipedia/commons/thumb/b/bc/Flag_of_Costa_Rica_%28state%29.svg/22px-Flag_of_Costa_Rica_%28state%29.svg.png"/>
          <xdr:cNvPicPr>
            <a:picLocks noChangeArrowheads="1"/>
          </xdr:cNvPicPr>
        </xdr:nvPicPr>
        <xdr:blipFill>
          <a:blip xmlns:r="http://schemas.openxmlformats.org/officeDocument/2006/relationships" r:embed="rId41" cstate="print"/>
          <a:srcRect/>
          <a:stretch>
            <a:fillRect/>
          </a:stretch>
        </xdr:blipFill>
        <xdr:spPr bwMode="auto">
          <a:xfrm>
            <a:off x="314325" y="8189926"/>
            <a:ext cx="209550" cy="143845"/>
          </a:xfrm>
          <a:prstGeom prst="rect">
            <a:avLst/>
          </a:prstGeom>
          <a:noFill/>
        </xdr:spPr>
      </xdr:pic>
      <xdr:pic>
        <xdr:nvPicPr>
          <xdr:cNvPr id="45" name="Picture 42" descr="http://upload.wikimedia.org/wikipedia/commons/thumb/8/86/Flag_of_Cote_d%27Ivoire.svg/22px-Flag_of_Cote_d%27Ivoire.svg.png"/>
          <xdr:cNvPicPr>
            <a:picLocks noChangeAspect="1" noChangeArrowheads="1"/>
          </xdr:cNvPicPr>
        </xdr:nvPicPr>
        <xdr:blipFill>
          <a:blip xmlns:r="http://schemas.openxmlformats.org/officeDocument/2006/relationships" r:embed="rId42" cstate="print"/>
          <a:srcRect/>
          <a:stretch>
            <a:fillRect/>
          </a:stretch>
        </xdr:blipFill>
        <xdr:spPr bwMode="auto">
          <a:xfrm>
            <a:off x="314325" y="8389951"/>
            <a:ext cx="209550" cy="142875"/>
          </a:xfrm>
          <a:prstGeom prst="rect">
            <a:avLst/>
          </a:prstGeom>
          <a:noFill/>
        </xdr:spPr>
      </xdr:pic>
      <xdr:pic>
        <xdr:nvPicPr>
          <xdr:cNvPr id="46" name="Picture 43" descr="http://upload.wikimedia.org/wikipedia/commons/thumb/1/1b/Flag_of_Croatia.svg/22px-Flag_of_Croatia.svg.png"/>
          <xdr:cNvPicPr>
            <a:picLocks noChangeArrowheads="1"/>
          </xdr:cNvPicPr>
        </xdr:nvPicPr>
        <xdr:blipFill>
          <a:blip xmlns:r="http://schemas.openxmlformats.org/officeDocument/2006/relationships" r:embed="rId43" cstate="print"/>
          <a:srcRect/>
          <a:stretch>
            <a:fillRect/>
          </a:stretch>
        </xdr:blipFill>
        <xdr:spPr bwMode="auto">
          <a:xfrm>
            <a:off x="314325" y="8589976"/>
            <a:ext cx="209550" cy="143845"/>
          </a:xfrm>
          <a:prstGeom prst="rect">
            <a:avLst/>
          </a:prstGeom>
          <a:noFill/>
        </xdr:spPr>
      </xdr:pic>
      <xdr:pic>
        <xdr:nvPicPr>
          <xdr:cNvPr id="47" name="Picture 44" descr="http://upload.wikimedia.org/wikipedia/commons/thumb/b/bd/Flag_of_Cuba.svg/22px-Flag_of_Cuba.svg.png"/>
          <xdr:cNvPicPr>
            <a:picLocks noChangeArrowheads="1"/>
          </xdr:cNvPicPr>
        </xdr:nvPicPr>
        <xdr:blipFill>
          <a:blip xmlns:r="http://schemas.openxmlformats.org/officeDocument/2006/relationships" r:embed="rId44" cstate="print"/>
          <a:srcRect/>
          <a:stretch>
            <a:fillRect/>
          </a:stretch>
        </xdr:blipFill>
        <xdr:spPr bwMode="auto">
          <a:xfrm>
            <a:off x="314325" y="8790001"/>
            <a:ext cx="209550" cy="143845"/>
          </a:xfrm>
          <a:prstGeom prst="rect">
            <a:avLst/>
          </a:prstGeom>
          <a:noFill/>
        </xdr:spPr>
      </xdr:pic>
      <xdr:pic>
        <xdr:nvPicPr>
          <xdr:cNvPr id="48" name="Picture 45" descr="http://upload.wikimedia.org/wikipedia/commons/thumb/d/d4/Flag_of_Cyprus.svg/22px-Flag_of_Cyprus.svg.png"/>
          <xdr:cNvPicPr>
            <a:picLocks noChangeArrowheads="1"/>
          </xdr:cNvPicPr>
        </xdr:nvPicPr>
        <xdr:blipFill>
          <a:blip xmlns:r="http://schemas.openxmlformats.org/officeDocument/2006/relationships" r:embed="rId45" cstate="print"/>
          <a:srcRect/>
          <a:stretch>
            <a:fillRect/>
          </a:stretch>
        </xdr:blipFill>
        <xdr:spPr bwMode="auto">
          <a:xfrm>
            <a:off x="314325" y="8990026"/>
            <a:ext cx="209550" cy="143845"/>
          </a:xfrm>
          <a:prstGeom prst="rect">
            <a:avLst/>
          </a:prstGeom>
          <a:noFill/>
        </xdr:spPr>
      </xdr:pic>
      <xdr:pic>
        <xdr:nvPicPr>
          <xdr:cNvPr id="49" name="Picture 46" descr="http://upload.wikimedia.org/wikipedia/commons/thumb/c/cb/Flag_of_the_Czech_Republic.svg/22px-Flag_of_the_Czech_Republic.svg.png"/>
          <xdr:cNvPicPr>
            <a:picLocks noChangeAspect="1" noChangeArrowheads="1"/>
          </xdr:cNvPicPr>
        </xdr:nvPicPr>
        <xdr:blipFill>
          <a:blip xmlns:r="http://schemas.openxmlformats.org/officeDocument/2006/relationships" r:embed="rId46" cstate="print"/>
          <a:srcRect/>
          <a:stretch>
            <a:fillRect/>
          </a:stretch>
        </xdr:blipFill>
        <xdr:spPr bwMode="auto">
          <a:xfrm>
            <a:off x="314325" y="9190051"/>
            <a:ext cx="209550" cy="142875"/>
          </a:xfrm>
          <a:prstGeom prst="rect">
            <a:avLst/>
          </a:prstGeom>
          <a:noFill/>
        </xdr:spPr>
      </xdr:pic>
      <xdr:pic>
        <xdr:nvPicPr>
          <xdr:cNvPr id="50" name="Picture 47" descr="http://upload.wikimedia.org/wikipedia/commons/thumb/9/9c/Flag_of_Denmark.svg/22px-Flag_of_Denmark.svg.png"/>
          <xdr:cNvPicPr>
            <a:picLocks noChangeAspect="1" noChangeArrowheads="1"/>
          </xdr:cNvPicPr>
        </xdr:nvPicPr>
        <xdr:blipFill>
          <a:blip xmlns:r="http://schemas.openxmlformats.org/officeDocument/2006/relationships" r:embed="rId47" cstate="print"/>
          <a:srcRect/>
          <a:stretch>
            <a:fillRect/>
          </a:stretch>
        </xdr:blipFill>
        <xdr:spPr bwMode="auto">
          <a:xfrm>
            <a:off x="314325" y="9390076"/>
            <a:ext cx="209550" cy="161925"/>
          </a:xfrm>
          <a:prstGeom prst="rect">
            <a:avLst/>
          </a:prstGeom>
          <a:noFill/>
        </xdr:spPr>
      </xdr:pic>
      <xdr:pic>
        <xdr:nvPicPr>
          <xdr:cNvPr id="51" name="Picture 48" descr="http://upload.wikimedia.org/wikipedia/commons/thumb/3/34/Flag_of_Djibouti.svg/22px-Flag_of_Djibouti.svg.png"/>
          <xdr:cNvPicPr>
            <a:picLocks noChangeAspect="1" noChangeArrowheads="1"/>
          </xdr:cNvPicPr>
        </xdr:nvPicPr>
        <xdr:blipFill>
          <a:blip xmlns:r="http://schemas.openxmlformats.org/officeDocument/2006/relationships" r:embed="rId48" cstate="print"/>
          <a:srcRect/>
          <a:stretch>
            <a:fillRect/>
          </a:stretch>
        </xdr:blipFill>
        <xdr:spPr bwMode="auto">
          <a:xfrm>
            <a:off x="314325" y="9590102"/>
            <a:ext cx="209550" cy="142875"/>
          </a:xfrm>
          <a:prstGeom prst="rect">
            <a:avLst/>
          </a:prstGeom>
          <a:noFill/>
        </xdr:spPr>
      </xdr:pic>
      <xdr:pic>
        <xdr:nvPicPr>
          <xdr:cNvPr id="52" name="Picture 49" descr="http://upload.wikimedia.org/wikipedia/commons/thumb/c/c4/Flag_of_Dominica.svg/22px-Flag_of_Dominica.svg.png"/>
          <xdr:cNvPicPr>
            <a:picLocks noChangeArrowheads="1"/>
          </xdr:cNvPicPr>
        </xdr:nvPicPr>
        <xdr:blipFill>
          <a:blip xmlns:r="http://schemas.openxmlformats.org/officeDocument/2006/relationships" r:embed="rId49" cstate="print"/>
          <a:srcRect/>
          <a:stretch>
            <a:fillRect/>
          </a:stretch>
        </xdr:blipFill>
        <xdr:spPr bwMode="auto">
          <a:xfrm>
            <a:off x="314325" y="9790127"/>
            <a:ext cx="209550" cy="143845"/>
          </a:xfrm>
          <a:prstGeom prst="rect">
            <a:avLst/>
          </a:prstGeom>
          <a:noFill/>
        </xdr:spPr>
      </xdr:pic>
      <xdr:pic>
        <xdr:nvPicPr>
          <xdr:cNvPr id="53" name="Picture 50" descr="http://upload.wikimedia.org/wikipedia/commons/thumb/9/9f/Flag_of_the_Dominican_Republic.svg/22px-Flag_of_the_Dominican_Republic.svg.png"/>
          <xdr:cNvPicPr>
            <a:picLocks noChangeArrowheads="1"/>
          </xdr:cNvPicPr>
        </xdr:nvPicPr>
        <xdr:blipFill>
          <a:blip xmlns:r="http://schemas.openxmlformats.org/officeDocument/2006/relationships" r:embed="rId50" cstate="print"/>
          <a:srcRect/>
          <a:stretch>
            <a:fillRect/>
          </a:stretch>
        </xdr:blipFill>
        <xdr:spPr bwMode="auto">
          <a:xfrm>
            <a:off x="314325" y="9990151"/>
            <a:ext cx="209550" cy="143845"/>
          </a:xfrm>
          <a:prstGeom prst="rect">
            <a:avLst/>
          </a:prstGeom>
          <a:noFill/>
        </xdr:spPr>
      </xdr:pic>
      <xdr:pic>
        <xdr:nvPicPr>
          <xdr:cNvPr id="54" name="Picture 51" descr="http://upload.wikimedia.org/wikipedia/commons/thumb/e/e8/Flag_of_Ecuador.svg/22px-Flag_of_Ecuador.svg.png"/>
          <xdr:cNvPicPr>
            <a:picLocks noChangeAspect="1" noChangeArrowheads="1"/>
          </xdr:cNvPicPr>
        </xdr:nvPicPr>
        <xdr:blipFill>
          <a:blip xmlns:r="http://schemas.openxmlformats.org/officeDocument/2006/relationships" r:embed="rId51" cstate="print"/>
          <a:srcRect/>
          <a:stretch>
            <a:fillRect/>
          </a:stretch>
        </xdr:blipFill>
        <xdr:spPr bwMode="auto">
          <a:xfrm>
            <a:off x="314325" y="10190177"/>
            <a:ext cx="209550" cy="142875"/>
          </a:xfrm>
          <a:prstGeom prst="rect">
            <a:avLst/>
          </a:prstGeom>
          <a:noFill/>
        </xdr:spPr>
      </xdr:pic>
      <xdr:pic>
        <xdr:nvPicPr>
          <xdr:cNvPr id="55" name="Picture 52" descr="http://upload.wikimedia.org/wikipedia/commons/thumb/f/fe/Flag_of_Egypt.svg/22px-Flag_of_Egypt.svg.png"/>
          <xdr:cNvPicPr>
            <a:picLocks noChangeAspect="1" noChangeArrowheads="1"/>
          </xdr:cNvPicPr>
        </xdr:nvPicPr>
        <xdr:blipFill>
          <a:blip xmlns:r="http://schemas.openxmlformats.org/officeDocument/2006/relationships" r:embed="rId52" cstate="print"/>
          <a:srcRect/>
          <a:stretch>
            <a:fillRect/>
          </a:stretch>
        </xdr:blipFill>
        <xdr:spPr bwMode="auto">
          <a:xfrm>
            <a:off x="314325" y="10390202"/>
            <a:ext cx="209550" cy="142875"/>
          </a:xfrm>
          <a:prstGeom prst="rect">
            <a:avLst/>
          </a:prstGeom>
          <a:noFill/>
        </xdr:spPr>
      </xdr:pic>
      <xdr:pic>
        <xdr:nvPicPr>
          <xdr:cNvPr id="56" name="Picture 53" descr="http://upload.wikimedia.org/wikipedia/commons/thumb/3/34/Flag_of_El_Salvador.svg/22px-Flag_of_El_Salvador.svg.png"/>
          <xdr:cNvPicPr>
            <a:picLocks noChangeArrowheads="1"/>
          </xdr:cNvPicPr>
        </xdr:nvPicPr>
        <xdr:blipFill>
          <a:blip xmlns:r="http://schemas.openxmlformats.org/officeDocument/2006/relationships" r:embed="rId53" cstate="print"/>
          <a:srcRect/>
          <a:stretch>
            <a:fillRect/>
          </a:stretch>
        </xdr:blipFill>
        <xdr:spPr bwMode="auto">
          <a:xfrm>
            <a:off x="314325" y="10590227"/>
            <a:ext cx="209550" cy="143845"/>
          </a:xfrm>
          <a:prstGeom prst="rect">
            <a:avLst/>
          </a:prstGeom>
          <a:noFill/>
        </xdr:spPr>
      </xdr:pic>
      <xdr:pic>
        <xdr:nvPicPr>
          <xdr:cNvPr id="57" name="Picture 54" descr="http://upload.wikimedia.org/wikipedia/commons/thumb/3/31/Flag_of_Equatorial_Guinea.svg/22px-Flag_of_Equatorial_Guinea.svg.png"/>
          <xdr:cNvPicPr>
            <a:picLocks noChangeAspect="1" noChangeArrowheads="1"/>
          </xdr:cNvPicPr>
        </xdr:nvPicPr>
        <xdr:blipFill>
          <a:blip xmlns:r="http://schemas.openxmlformats.org/officeDocument/2006/relationships" r:embed="rId54" cstate="print"/>
          <a:srcRect/>
          <a:stretch>
            <a:fillRect/>
          </a:stretch>
        </xdr:blipFill>
        <xdr:spPr bwMode="auto">
          <a:xfrm>
            <a:off x="314325" y="10790251"/>
            <a:ext cx="209550" cy="142875"/>
          </a:xfrm>
          <a:prstGeom prst="rect">
            <a:avLst/>
          </a:prstGeom>
          <a:noFill/>
        </xdr:spPr>
      </xdr:pic>
      <xdr:pic>
        <xdr:nvPicPr>
          <xdr:cNvPr id="58" name="Picture 55" descr="http://upload.wikimedia.org/wikipedia/commons/thumb/2/29/Flag_of_Eritrea.svg/22px-Flag_of_Eritrea.svg.png"/>
          <xdr:cNvPicPr>
            <a:picLocks noChangeArrowheads="1"/>
          </xdr:cNvPicPr>
        </xdr:nvPicPr>
        <xdr:blipFill>
          <a:blip xmlns:r="http://schemas.openxmlformats.org/officeDocument/2006/relationships" r:embed="rId55" cstate="print"/>
          <a:srcRect/>
          <a:stretch>
            <a:fillRect/>
          </a:stretch>
        </xdr:blipFill>
        <xdr:spPr bwMode="auto">
          <a:xfrm>
            <a:off x="314325" y="10990276"/>
            <a:ext cx="209550" cy="143845"/>
          </a:xfrm>
          <a:prstGeom prst="rect">
            <a:avLst/>
          </a:prstGeom>
          <a:noFill/>
        </xdr:spPr>
      </xdr:pic>
      <xdr:pic>
        <xdr:nvPicPr>
          <xdr:cNvPr id="59" name="Picture 56" descr="http://upload.wikimedia.org/wikipedia/commons/thumb/8/8f/Flag_of_Estonia.svg/22px-Flag_of_Estonia.svg.png"/>
          <xdr:cNvPicPr>
            <a:picLocks noChangeArrowheads="1"/>
          </xdr:cNvPicPr>
        </xdr:nvPicPr>
        <xdr:blipFill>
          <a:blip xmlns:r="http://schemas.openxmlformats.org/officeDocument/2006/relationships" r:embed="rId56" cstate="print"/>
          <a:srcRect/>
          <a:stretch>
            <a:fillRect/>
          </a:stretch>
        </xdr:blipFill>
        <xdr:spPr bwMode="auto">
          <a:xfrm>
            <a:off x="314325" y="11190300"/>
            <a:ext cx="209550" cy="143845"/>
          </a:xfrm>
          <a:prstGeom prst="rect">
            <a:avLst/>
          </a:prstGeom>
          <a:noFill/>
        </xdr:spPr>
      </xdr:pic>
      <xdr:pic>
        <xdr:nvPicPr>
          <xdr:cNvPr id="60" name="Picture 57" descr="http://upload.wikimedia.org/wikipedia/commons/thumb/7/71/Flag_of_Ethiopia.svg/22px-Flag_of_Ethiopia.svg.png"/>
          <xdr:cNvPicPr>
            <a:picLocks noChangeArrowheads="1"/>
          </xdr:cNvPicPr>
        </xdr:nvPicPr>
        <xdr:blipFill>
          <a:blip xmlns:r="http://schemas.openxmlformats.org/officeDocument/2006/relationships" r:embed="rId57" cstate="print"/>
          <a:srcRect/>
          <a:stretch>
            <a:fillRect/>
          </a:stretch>
        </xdr:blipFill>
        <xdr:spPr bwMode="auto">
          <a:xfrm>
            <a:off x="314325" y="11390326"/>
            <a:ext cx="209550" cy="143845"/>
          </a:xfrm>
          <a:prstGeom prst="rect">
            <a:avLst/>
          </a:prstGeom>
          <a:noFill/>
        </xdr:spPr>
      </xdr:pic>
      <xdr:pic>
        <xdr:nvPicPr>
          <xdr:cNvPr id="61" name="Picture 58" descr="http://upload.wikimedia.org/wikipedia/commons/thumb/b/ba/Flag_of_Fiji.svg/22px-Flag_of_Fiji.svg.png"/>
          <xdr:cNvPicPr>
            <a:picLocks noChangeArrowheads="1"/>
          </xdr:cNvPicPr>
        </xdr:nvPicPr>
        <xdr:blipFill>
          <a:blip xmlns:r="http://schemas.openxmlformats.org/officeDocument/2006/relationships" r:embed="rId58" cstate="print"/>
          <a:srcRect/>
          <a:stretch>
            <a:fillRect/>
          </a:stretch>
        </xdr:blipFill>
        <xdr:spPr bwMode="auto">
          <a:xfrm>
            <a:off x="314325" y="11590351"/>
            <a:ext cx="209550" cy="143845"/>
          </a:xfrm>
          <a:prstGeom prst="rect">
            <a:avLst/>
          </a:prstGeom>
          <a:noFill/>
        </xdr:spPr>
      </xdr:pic>
      <xdr:pic>
        <xdr:nvPicPr>
          <xdr:cNvPr id="62" name="Picture 59" descr="http://upload.wikimedia.org/wikipedia/commons/thumb/b/bc/Flag_of_Finland.svg/22px-Flag_of_Finland.svg.png"/>
          <xdr:cNvPicPr>
            <a:picLocks noChangeArrowheads="1"/>
          </xdr:cNvPicPr>
        </xdr:nvPicPr>
        <xdr:blipFill>
          <a:blip xmlns:r="http://schemas.openxmlformats.org/officeDocument/2006/relationships" r:embed="rId59" cstate="print"/>
          <a:srcRect/>
          <a:stretch>
            <a:fillRect/>
          </a:stretch>
        </xdr:blipFill>
        <xdr:spPr bwMode="auto">
          <a:xfrm>
            <a:off x="314325" y="11790376"/>
            <a:ext cx="209550" cy="143845"/>
          </a:xfrm>
          <a:prstGeom prst="rect">
            <a:avLst/>
          </a:prstGeom>
          <a:noFill/>
        </xdr:spPr>
      </xdr:pic>
      <xdr:pic>
        <xdr:nvPicPr>
          <xdr:cNvPr id="63" name="Picture 60" descr="http://upload.wikimedia.org/wikipedia/en/thumb/c/c3/Flag_of_France.svg/22px-Flag_of_France.svg.png"/>
          <xdr:cNvPicPr>
            <a:picLocks noChangeAspect="1" noChangeArrowheads="1"/>
          </xdr:cNvPicPr>
        </xdr:nvPicPr>
        <xdr:blipFill>
          <a:blip xmlns:r="http://schemas.openxmlformats.org/officeDocument/2006/relationships" r:embed="rId60" cstate="print"/>
          <a:srcRect/>
          <a:stretch>
            <a:fillRect/>
          </a:stretch>
        </xdr:blipFill>
        <xdr:spPr bwMode="auto">
          <a:xfrm>
            <a:off x="314325" y="11990401"/>
            <a:ext cx="209550" cy="142875"/>
          </a:xfrm>
          <a:prstGeom prst="rect">
            <a:avLst/>
          </a:prstGeom>
          <a:noFill/>
        </xdr:spPr>
      </xdr:pic>
      <xdr:pic>
        <xdr:nvPicPr>
          <xdr:cNvPr id="64" name="Picture 61" descr="http://upload.wikimedia.org/wikipedia/commons/thumb/0/04/Flag_of_Gabon.svg/22px-Flag_of_Gabon.svg.png"/>
          <xdr:cNvPicPr>
            <a:picLocks noChangeAspect="1" noChangeArrowheads="1"/>
          </xdr:cNvPicPr>
        </xdr:nvPicPr>
        <xdr:blipFill>
          <a:blip xmlns:r="http://schemas.openxmlformats.org/officeDocument/2006/relationships" r:embed="rId61" cstate="print"/>
          <a:srcRect/>
          <a:stretch>
            <a:fillRect/>
          </a:stretch>
        </xdr:blipFill>
        <xdr:spPr bwMode="auto">
          <a:xfrm>
            <a:off x="314325" y="12190426"/>
            <a:ext cx="209550" cy="161925"/>
          </a:xfrm>
          <a:prstGeom prst="rect">
            <a:avLst/>
          </a:prstGeom>
          <a:noFill/>
        </xdr:spPr>
      </xdr:pic>
      <xdr:pic>
        <xdr:nvPicPr>
          <xdr:cNvPr id="65" name="Picture 62" descr="http://upload.wikimedia.org/wikipedia/commons/thumb/7/77/Flag_of_The_Gambia.svg/22px-Flag_of_The_Gambia.svg.png"/>
          <xdr:cNvPicPr>
            <a:picLocks noChangeAspect="1" noChangeArrowheads="1"/>
          </xdr:cNvPicPr>
        </xdr:nvPicPr>
        <xdr:blipFill>
          <a:blip xmlns:r="http://schemas.openxmlformats.org/officeDocument/2006/relationships" r:embed="rId62" cstate="print"/>
          <a:srcRect/>
          <a:stretch>
            <a:fillRect/>
          </a:stretch>
        </xdr:blipFill>
        <xdr:spPr bwMode="auto">
          <a:xfrm>
            <a:off x="314325" y="12390451"/>
            <a:ext cx="209550" cy="142875"/>
          </a:xfrm>
          <a:prstGeom prst="rect">
            <a:avLst/>
          </a:prstGeom>
          <a:noFill/>
        </xdr:spPr>
      </xdr:pic>
      <xdr:pic>
        <xdr:nvPicPr>
          <xdr:cNvPr id="66" name="Picture 63" descr="http://upload.wikimedia.org/wikipedia/commons/thumb/0/0f/Flag_of_Georgia.svg/22px-Flag_of_Georgia.svg.png"/>
          <xdr:cNvPicPr>
            <a:picLocks noChangeAspect="1" noChangeArrowheads="1"/>
          </xdr:cNvPicPr>
        </xdr:nvPicPr>
        <xdr:blipFill>
          <a:blip xmlns:r="http://schemas.openxmlformats.org/officeDocument/2006/relationships" r:embed="rId63" cstate="print"/>
          <a:srcRect/>
          <a:stretch>
            <a:fillRect/>
          </a:stretch>
        </xdr:blipFill>
        <xdr:spPr bwMode="auto">
          <a:xfrm>
            <a:off x="314325" y="12590476"/>
            <a:ext cx="209550" cy="142875"/>
          </a:xfrm>
          <a:prstGeom prst="rect">
            <a:avLst/>
          </a:prstGeom>
          <a:noFill/>
        </xdr:spPr>
      </xdr:pic>
      <xdr:pic>
        <xdr:nvPicPr>
          <xdr:cNvPr id="67" name="Picture 64" descr="http://upload.wikimedia.org/wikipedia/en/thumb/b/ba/Flag_of_Germany.svg/22px-Flag_of_Germany.svg.png"/>
          <xdr:cNvPicPr>
            <a:picLocks noChangeAspect="1" noChangeArrowheads="1"/>
          </xdr:cNvPicPr>
        </xdr:nvPicPr>
        <xdr:blipFill>
          <a:blip xmlns:r="http://schemas.openxmlformats.org/officeDocument/2006/relationships" r:embed="rId64" cstate="print"/>
          <a:srcRect/>
          <a:stretch>
            <a:fillRect/>
          </a:stretch>
        </xdr:blipFill>
        <xdr:spPr bwMode="auto">
          <a:xfrm>
            <a:off x="314325" y="12790501"/>
            <a:ext cx="209550" cy="123825"/>
          </a:xfrm>
          <a:prstGeom prst="rect">
            <a:avLst/>
          </a:prstGeom>
          <a:noFill/>
        </xdr:spPr>
      </xdr:pic>
      <xdr:pic>
        <xdr:nvPicPr>
          <xdr:cNvPr id="68" name="Picture 65" descr="http://upload.wikimedia.org/wikipedia/commons/thumb/1/19/Flag_of_Ghana.svg/22px-Flag_of_Ghana.svg.png"/>
          <xdr:cNvPicPr>
            <a:picLocks noChangeAspect="1" noChangeArrowheads="1"/>
          </xdr:cNvPicPr>
        </xdr:nvPicPr>
        <xdr:blipFill>
          <a:blip xmlns:r="http://schemas.openxmlformats.org/officeDocument/2006/relationships" r:embed="rId65" cstate="print"/>
          <a:srcRect/>
          <a:stretch>
            <a:fillRect/>
          </a:stretch>
        </xdr:blipFill>
        <xdr:spPr bwMode="auto">
          <a:xfrm>
            <a:off x="314325" y="12990526"/>
            <a:ext cx="209550" cy="142875"/>
          </a:xfrm>
          <a:prstGeom prst="rect">
            <a:avLst/>
          </a:prstGeom>
          <a:noFill/>
        </xdr:spPr>
      </xdr:pic>
    </xdr:grpSp>
    <xdr:clientData/>
  </xdr:twoCellAnchor>
  <xdr:twoCellAnchor>
    <xdr:from>
      <xdr:col>1</xdr:col>
      <xdr:colOff>47625</xdr:colOff>
      <xdr:row>136</xdr:row>
      <xdr:rowOff>28574</xdr:rowOff>
    </xdr:from>
    <xdr:to>
      <xdr:col>1</xdr:col>
      <xdr:colOff>257175</xdr:colOff>
      <xdr:row>169</xdr:row>
      <xdr:rowOff>172618</xdr:rowOff>
    </xdr:to>
    <xdr:grpSp>
      <xdr:nvGrpSpPr>
        <xdr:cNvPr id="69" name="Group 68"/>
        <xdr:cNvGrpSpPr/>
      </xdr:nvGrpSpPr>
      <xdr:grpSpPr>
        <a:xfrm>
          <a:off x="365125" y="26127074"/>
          <a:ext cx="209550" cy="6419961"/>
          <a:chOff x="314325" y="26403299"/>
          <a:chExt cx="209550" cy="6744928"/>
        </a:xfrm>
      </xdr:grpSpPr>
      <xdr:pic>
        <xdr:nvPicPr>
          <xdr:cNvPr id="70" name="Picture 132" descr="http://upload.wikimedia.org/wikipedia/commons/thumb/4/48/Flag_of_Palau.svg/22px-Flag_of_Palau.svg.png"/>
          <xdr:cNvPicPr>
            <a:picLocks noChangeArrowheads="1"/>
          </xdr:cNvPicPr>
        </xdr:nvPicPr>
        <xdr:blipFill>
          <a:blip xmlns:r="http://schemas.openxmlformats.org/officeDocument/2006/relationships" r:embed="rId66" cstate="print"/>
          <a:srcRect/>
          <a:stretch>
            <a:fillRect/>
          </a:stretch>
        </xdr:blipFill>
        <xdr:spPr bwMode="auto">
          <a:xfrm>
            <a:off x="314325" y="26403299"/>
            <a:ext cx="209550" cy="144103"/>
          </a:xfrm>
          <a:prstGeom prst="rect">
            <a:avLst/>
          </a:prstGeom>
          <a:noFill/>
        </xdr:spPr>
      </xdr:pic>
      <xdr:pic>
        <xdr:nvPicPr>
          <xdr:cNvPr id="71" name="Picture 133" descr="http://upload.wikimedia.org/wikipedia/commons/thumb/a/ab/Flag_of_Panama.svg/22px-Flag_of_Panama.svg.png"/>
          <xdr:cNvPicPr>
            <a:picLocks noChangeArrowheads="1"/>
          </xdr:cNvPicPr>
        </xdr:nvPicPr>
        <xdr:blipFill>
          <a:blip xmlns:r="http://schemas.openxmlformats.org/officeDocument/2006/relationships" r:embed="rId67" cstate="print"/>
          <a:srcRect/>
          <a:stretch>
            <a:fillRect/>
          </a:stretch>
        </xdr:blipFill>
        <xdr:spPr bwMode="auto">
          <a:xfrm>
            <a:off x="314325" y="26603324"/>
            <a:ext cx="209550" cy="144103"/>
          </a:xfrm>
          <a:prstGeom prst="rect">
            <a:avLst/>
          </a:prstGeom>
          <a:noFill/>
        </xdr:spPr>
      </xdr:pic>
      <xdr:pic>
        <xdr:nvPicPr>
          <xdr:cNvPr id="72" name="Picture 134" descr="http://upload.wikimedia.org/wikipedia/commons/thumb/e/e3/Flag_of_Papua_New_Guinea.svg/22px-Flag_of_Papua_New_Guinea.svg.png"/>
          <xdr:cNvPicPr>
            <a:picLocks noChangeArrowheads="1"/>
          </xdr:cNvPicPr>
        </xdr:nvPicPr>
        <xdr:blipFill>
          <a:blip xmlns:r="http://schemas.openxmlformats.org/officeDocument/2006/relationships" r:embed="rId68" cstate="print"/>
          <a:srcRect/>
          <a:stretch>
            <a:fillRect/>
          </a:stretch>
        </xdr:blipFill>
        <xdr:spPr bwMode="auto">
          <a:xfrm>
            <a:off x="314325" y="26803350"/>
            <a:ext cx="209550" cy="144103"/>
          </a:xfrm>
          <a:prstGeom prst="rect">
            <a:avLst/>
          </a:prstGeom>
          <a:noFill/>
        </xdr:spPr>
      </xdr:pic>
      <xdr:pic>
        <xdr:nvPicPr>
          <xdr:cNvPr id="73" name="Picture 135" descr="http://upload.wikimedia.org/wikipedia/commons/thumb/2/27/Flag_of_Paraguay.svg/22px-Flag_of_Paraguay.svg.png"/>
          <xdr:cNvPicPr>
            <a:picLocks noChangeArrowheads="1"/>
          </xdr:cNvPicPr>
        </xdr:nvPicPr>
        <xdr:blipFill>
          <a:blip xmlns:r="http://schemas.openxmlformats.org/officeDocument/2006/relationships" r:embed="rId69" cstate="print"/>
          <a:srcRect/>
          <a:stretch>
            <a:fillRect/>
          </a:stretch>
        </xdr:blipFill>
        <xdr:spPr bwMode="auto">
          <a:xfrm>
            <a:off x="314325" y="27003374"/>
            <a:ext cx="209550" cy="144103"/>
          </a:xfrm>
          <a:prstGeom prst="rect">
            <a:avLst/>
          </a:prstGeom>
          <a:noFill/>
        </xdr:spPr>
      </xdr:pic>
      <xdr:pic>
        <xdr:nvPicPr>
          <xdr:cNvPr id="74" name="Picture 136" descr="http://upload.wikimedia.org/wikipedia/commons/thumb/d/df/Flag_of_Peru_%28state%29.svg/22px-Flag_of_Peru_%28state%29.svg.png"/>
          <xdr:cNvPicPr>
            <a:picLocks noChangeArrowheads="1"/>
          </xdr:cNvPicPr>
        </xdr:nvPicPr>
        <xdr:blipFill>
          <a:blip xmlns:r="http://schemas.openxmlformats.org/officeDocument/2006/relationships" r:embed="rId70" cstate="print"/>
          <a:srcRect/>
          <a:stretch>
            <a:fillRect/>
          </a:stretch>
        </xdr:blipFill>
        <xdr:spPr bwMode="auto">
          <a:xfrm>
            <a:off x="314325" y="27203398"/>
            <a:ext cx="209550" cy="144103"/>
          </a:xfrm>
          <a:prstGeom prst="rect">
            <a:avLst/>
          </a:prstGeom>
          <a:noFill/>
        </xdr:spPr>
      </xdr:pic>
      <xdr:pic>
        <xdr:nvPicPr>
          <xdr:cNvPr id="75" name="Picture 137" descr="http://upload.wikimedia.org/wikipedia/commons/thumb/9/99/Flag_of_the_Philippines.svg/22px-Flag_of_the_Philippines.svg.png"/>
          <xdr:cNvPicPr>
            <a:picLocks noChangeArrowheads="1"/>
          </xdr:cNvPicPr>
        </xdr:nvPicPr>
        <xdr:blipFill>
          <a:blip xmlns:r="http://schemas.openxmlformats.org/officeDocument/2006/relationships" r:embed="rId71" cstate="print"/>
          <a:srcRect/>
          <a:stretch>
            <a:fillRect/>
          </a:stretch>
        </xdr:blipFill>
        <xdr:spPr bwMode="auto">
          <a:xfrm>
            <a:off x="314325" y="27403424"/>
            <a:ext cx="209550" cy="144103"/>
          </a:xfrm>
          <a:prstGeom prst="rect">
            <a:avLst/>
          </a:prstGeom>
          <a:noFill/>
        </xdr:spPr>
      </xdr:pic>
      <xdr:pic>
        <xdr:nvPicPr>
          <xdr:cNvPr id="76" name="Picture 138" descr="http://upload.wikimedia.org/wikipedia/en/thumb/1/12/Flag_of_Poland.svg/22px-Flag_of_Poland.svg.png"/>
          <xdr:cNvPicPr>
            <a:picLocks noChangeArrowheads="1"/>
          </xdr:cNvPicPr>
        </xdr:nvPicPr>
        <xdr:blipFill>
          <a:blip xmlns:r="http://schemas.openxmlformats.org/officeDocument/2006/relationships" r:embed="rId72" cstate="print"/>
          <a:srcRect/>
          <a:stretch>
            <a:fillRect/>
          </a:stretch>
        </xdr:blipFill>
        <xdr:spPr bwMode="auto">
          <a:xfrm>
            <a:off x="314325" y="27603449"/>
            <a:ext cx="209550" cy="144103"/>
          </a:xfrm>
          <a:prstGeom prst="rect">
            <a:avLst/>
          </a:prstGeom>
          <a:noFill/>
        </xdr:spPr>
      </xdr:pic>
      <xdr:pic>
        <xdr:nvPicPr>
          <xdr:cNvPr id="77" name="Picture 139" descr="http://upload.wikimedia.org/wikipedia/commons/thumb/5/5c/Flag_of_Portugal.svg/22px-Flag_of_Portugal.svg.png"/>
          <xdr:cNvPicPr>
            <a:picLocks noChangeArrowheads="1"/>
          </xdr:cNvPicPr>
        </xdr:nvPicPr>
        <xdr:blipFill>
          <a:blip xmlns:r="http://schemas.openxmlformats.org/officeDocument/2006/relationships" r:embed="rId73" cstate="print"/>
          <a:srcRect/>
          <a:stretch>
            <a:fillRect/>
          </a:stretch>
        </xdr:blipFill>
        <xdr:spPr bwMode="auto">
          <a:xfrm>
            <a:off x="314325" y="27803474"/>
            <a:ext cx="209550" cy="144103"/>
          </a:xfrm>
          <a:prstGeom prst="rect">
            <a:avLst/>
          </a:prstGeom>
          <a:noFill/>
        </xdr:spPr>
      </xdr:pic>
      <xdr:pic>
        <xdr:nvPicPr>
          <xdr:cNvPr id="78" name="Picture 140" descr="http://upload.wikimedia.org/wikipedia/commons/thumb/6/65/Flag_of_Qatar.svg/22px-Flag_of_Qatar.svg.png"/>
          <xdr:cNvPicPr>
            <a:picLocks noChangeArrowheads="1"/>
          </xdr:cNvPicPr>
        </xdr:nvPicPr>
        <xdr:blipFill>
          <a:blip xmlns:r="http://schemas.openxmlformats.org/officeDocument/2006/relationships" r:embed="rId74" cstate="print"/>
          <a:srcRect/>
          <a:stretch>
            <a:fillRect/>
          </a:stretch>
        </xdr:blipFill>
        <xdr:spPr bwMode="auto">
          <a:xfrm>
            <a:off x="314325" y="28003499"/>
            <a:ext cx="209550" cy="144103"/>
          </a:xfrm>
          <a:prstGeom prst="rect">
            <a:avLst/>
          </a:prstGeom>
          <a:noFill/>
        </xdr:spPr>
      </xdr:pic>
      <xdr:pic>
        <xdr:nvPicPr>
          <xdr:cNvPr id="79" name="Picture 141" descr="http://upload.wikimedia.org/wikipedia/commons/thumb/7/73/Flag_of_Romania.svg/22px-Flag_of_Romania.svg.png"/>
          <xdr:cNvPicPr>
            <a:picLocks noChangeArrowheads="1"/>
          </xdr:cNvPicPr>
        </xdr:nvPicPr>
        <xdr:blipFill>
          <a:blip xmlns:r="http://schemas.openxmlformats.org/officeDocument/2006/relationships" r:embed="rId75" cstate="print"/>
          <a:srcRect/>
          <a:stretch>
            <a:fillRect/>
          </a:stretch>
        </xdr:blipFill>
        <xdr:spPr bwMode="auto">
          <a:xfrm>
            <a:off x="314325" y="28203524"/>
            <a:ext cx="209550" cy="144103"/>
          </a:xfrm>
          <a:prstGeom prst="rect">
            <a:avLst/>
          </a:prstGeom>
          <a:noFill/>
        </xdr:spPr>
      </xdr:pic>
      <xdr:pic>
        <xdr:nvPicPr>
          <xdr:cNvPr id="80" name="Picture 142" descr="http://upload.wikimedia.org/wikipedia/en/thumb/f/f3/Flag_of_Russia.svg/22px-Flag_of_Russia.svg.png"/>
          <xdr:cNvPicPr>
            <a:picLocks noChangeArrowheads="1"/>
          </xdr:cNvPicPr>
        </xdr:nvPicPr>
        <xdr:blipFill>
          <a:blip xmlns:r="http://schemas.openxmlformats.org/officeDocument/2006/relationships" r:embed="rId76" cstate="print"/>
          <a:srcRect/>
          <a:stretch>
            <a:fillRect/>
          </a:stretch>
        </xdr:blipFill>
        <xdr:spPr bwMode="auto">
          <a:xfrm>
            <a:off x="314325" y="28403549"/>
            <a:ext cx="209550" cy="144103"/>
          </a:xfrm>
          <a:prstGeom prst="rect">
            <a:avLst/>
          </a:prstGeom>
          <a:noFill/>
        </xdr:spPr>
      </xdr:pic>
      <xdr:pic>
        <xdr:nvPicPr>
          <xdr:cNvPr id="81" name="Picture 143" descr="http://upload.wikimedia.org/wikipedia/commons/thumb/1/17/Flag_of_Rwanda.svg/22px-Flag_of_Rwanda.svg.png"/>
          <xdr:cNvPicPr>
            <a:picLocks noChangeArrowheads="1"/>
          </xdr:cNvPicPr>
        </xdr:nvPicPr>
        <xdr:blipFill>
          <a:blip xmlns:r="http://schemas.openxmlformats.org/officeDocument/2006/relationships" r:embed="rId77" cstate="print"/>
          <a:srcRect/>
          <a:stretch>
            <a:fillRect/>
          </a:stretch>
        </xdr:blipFill>
        <xdr:spPr bwMode="auto">
          <a:xfrm>
            <a:off x="314325" y="28603574"/>
            <a:ext cx="209550" cy="144103"/>
          </a:xfrm>
          <a:prstGeom prst="rect">
            <a:avLst/>
          </a:prstGeom>
          <a:noFill/>
        </xdr:spPr>
      </xdr:pic>
      <xdr:pic>
        <xdr:nvPicPr>
          <xdr:cNvPr id="82" name="Picture 144" descr="http://upload.wikimedia.org/wikipedia/commons/thumb/f/fe/Flag_of_Saint_Kitts_and_Nevis.svg/22px-Flag_of_Saint_Kitts_and_Nevis.svg.png"/>
          <xdr:cNvPicPr>
            <a:picLocks noChangeArrowheads="1"/>
          </xdr:cNvPicPr>
        </xdr:nvPicPr>
        <xdr:blipFill>
          <a:blip xmlns:r="http://schemas.openxmlformats.org/officeDocument/2006/relationships" r:embed="rId78" cstate="print"/>
          <a:srcRect/>
          <a:stretch>
            <a:fillRect/>
          </a:stretch>
        </xdr:blipFill>
        <xdr:spPr bwMode="auto">
          <a:xfrm>
            <a:off x="314325" y="28803599"/>
            <a:ext cx="209550" cy="144103"/>
          </a:xfrm>
          <a:prstGeom prst="rect">
            <a:avLst/>
          </a:prstGeom>
          <a:noFill/>
        </xdr:spPr>
      </xdr:pic>
      <xdr:pic>
        <xdr:nvPicPr>
          <xdr:cNvPr id="83" name="Picture 145" descr="http://upload.wikimedia.org/wikipedia/commons/thumb/9/9f/Flag_of_Saint_Lucia.svg/22px-Flag_of_Saint_Lucia.svg.png"/>
          <xdr:cNvPicPr>
            <a:picLocks noChangeArrowheads="1"/>
          </xdr:cNvPicPr>
        </xdr:nvPicPr>
        <xdr:blipFill>
          <a:blip xmlns:r="http://schemas.openxmlformats.org/officeDocument/2006/relationships" r:embed="rId79" cstate="print"/>
          <a:srcRect/>
          <a:stretch>
            <a:fillRect/>
          </a:stretch>
        </xdr:blipFill>
        <xdr:spPr bwMode="auto">
          <a:xfrm>
            <a:off x="314325" y="29003624"/>
            <a:ext cx="209550" cy="144103"/>
          </a:xfrm>
          <a:prstGeom prst="rect">
            <a:avLst/>
          </a:prstGeom>
          <a:noFill/>
        </xdr:spPr>
      </xdr:pic>
      <xdr:pic>
        <xdr:nvPicPr>
          <xdr:cNvPr id="84" name="Picture 146" descr="http://upload.wikimedia.org/wikipedia/commons/thumb/6/6d/Flag_of_Saint_Vincent_and_the_Grenadines.svg/22px-Flag_of_Saint_Vincent_and_the_Grenadines.svg.png"/>
          <xdr:cNvPicPr>
            <a:picLocks noChangeArrowheads="1"/>
          </xdr:cNvPicPr>
        </xdr:nvPicPr>
        <xdr:blipFill>
          <a:blip xmlns:r="http://schemas.openxmlformats.org/officeDocument/2006/relationships" r:embed="rId80" cstate="print"/>
          <a:srcRect/>
          <a:stretch>
            <a:fillRect/>
          </a:stretch>
        </xdr:blipFill>
        <xdr:spPr bwMode="auto">
          <a:xfrm>
            <a:off x="314325" y="29203649"/>
            <a:ext cx="209550" cy="144103"/>
          </a:xfrm>
          <a:prstGeom prst="rect">
            <a:avLst/>
          </a:prstGeom>
          <a:noFill/>
        </xdr:spPr>
      </xdr:pic>
      <xdr:pic>
        <xdr:nvPicPr>
          <xdr:cNvPr id="85" name="Picture 147" descr="http://upload.wikimedia.org/wikipedia/commons/thumb/3/31/Flag_of_Samoa.svg/22px-Flag_of_Samoa.svg.png"/>
          <xdr:cNvPicPr>
            <a:picLocks noChangeArrowheads="1"/>
          </xdr:cNvPicPr>
        </xdr:nvPicPr>
        <xdr:blipFill>
          <a:blip xmlns:r="http://schemas.openxmlformats.org/officeDocument/2006/relationships" r:embed="rId81" cstate="print"/>
          <a:srcRect/>
          <a:stretch>
            <a:fillRect/>
          </a:stretch>
        </xdr:blipFill>
        <xdr:spPr bwMode="auto">
          <a:xfrm>
            <a:off x="314325" y="29403674"/>
            <a:ext cx="209550" cy="144103"/>
          </a:xfrm>
          <a:prstGeom prst="rect">
            <a:avLst/>
          </a:prstGeom>
          <a:noFill/>
        </xdr:spPr>
      </xdr:pic>
      <xdr:pic>
        <xdr:nvPicPr>
          <xdr:cNvPr id="86" name="Picture 148" descr="http://upload.wikimedia.org/wikipedia/commons/thumb/b/b1/Flag_of_San_Marino.svg/22px-Flag_of_San_Marino.svg.png"/>
          <xdr:cNvPicPr>
            <a:picLocks noChangeArrowheads="1"/>
          </xdr:cNvPicPr>
        </xdr:nvPicPr>
        <xdr:blipFill>
          <a:blip xmlns:r="http://schemas.openxmlformats.org/officeDocument/2006/relationships" r:embed="rId82" cstate="print"/>
          <a:srcRect/>
          <a:stretch>
            <a:fillRect/>
          </a:stretch>
        </xdr:blipFill>
        <xdr:spPr bwMode="auto">
          <a:xfrm>
            <a:off x="314325" y="29603700"/>
            <a:ext cx="209550" cy="144103"/>
          </a:xfrm>
          <a:prstGeom prst="rect">
            <a:avLst/>
          </a:prstGeom>
          <a:noFill/>
        </xdr:spPr>
      </xdr:pic>
      <xdr:pic>
        <xdr:nvPicPr>
          <xdr:cNvPr id="87" name="Picture 149" descr="http://upload.wikimedia.org/wikipedia/commons/thumb/4/4f/Flag_of_Sao_Tome_and_Principe.svg/22px-Flag_of_Sao_Tome_and_Principe.svg.png"/>
          <xdr:cNvPicPr>
            <a:picLocks noChangeArrowheads="1"/>
          </xdr:cNvPicPr>
        </xdr:nvPicPr>
        <xdr:blipFill>
          <a:blip xmlns:r="http://schemas.openxmlformats.org/officeDocument/2006/relationships" r:embed="rId83" cstate="print"/>
          <a:srcRect/>
          <a:stretch>
            <a:fillRect/>
          </a:stretch>
        </xdr:blipFill>
        <xdr:spPr bwMode="auto">
          <a:xfrm>
            <a:off x="314325" y="29803724"/>
            <a:ext cx="209550" cy="144103"/>
          </a:xfrm>
          <a:prstGeom prst="rect">
            <a:avLst/>
          </a:prstGeom>
          <a:noFill/>
        </xdr:spPr>
      </xdr:pic>
      <xdr:pic>
        <xdr:nvPicPr>
          <xdr:cNvPr id="88" name="Picture 150" descr="http://upload.wikimedia.org/wikipedia/commons/thumb/0/0d/Flag_of_Saudi_Arabia.svg/22px-Flag_of_Saudi_Arabia.svg.png"/>
          <xdr:cNvPicPr>
            <a:picLocks noChangeArrowheads="1"/>
          </xdr:cNvPicPr>
        </xdr:nvPicPr>
        <xdr:blipFill>
          <a:blip xmlns:r="http://schemas.openxmlformats.org/officeDocument/2006/relationships" r:embed="rId84" cstate="print"/>
          <a:srcRect/>
          <a:stretch>
            <a:fillRect/>
          </a:stretch>
        </xdr:blipFill>
        <xdr:spPr bwMode="auto">
          <a:xfrm>
            <a:off x="314325" y="30003749"/>
            <a:ext cx="209550" cy="144103"/>
          </a:xfrm>
          <a:prstGeom prst="rect">
            <a:avLst/>
          </a:prstGeom>
          <a:noFill/>
        </xdr:spPr>
      </xdr:pic>
      <xdr:pic>
        <xdr:nvPicPr>
          <xdr:cNvPr id="89" name="Picture 151" descr="http://upload.wikimedia.org/wikipedia/commons/thumb/f/fd/Flag_of_Senegal.svg/22px-Flag_of_Senegal.svg.png"/>
          <xdr:cNvPicPr>
            <a:picLocks noChangeArrowheads="1"/>
          </xdr:cNvPicPr>
        </xdr:nvPicPr>
        <xdr:blipFill>
          <a:blip xmlns:r="http://schemas.openxmlformats.org/officeDocument/2006/relationships" r:embed="rId85" cstate="print"/>
          <a:srcRect/>
          <a:stretch>
            <a:fillRect/>
          </a:stretch>
        </xdr:blipFill>
        <xdr:spPr bwMode="auto">
          <a:xfrm>
            <a:off x="314325" y="30203773"/>
            <a:ext cx="209550" cy="144103"/>
          </a:xfrm>
          <a:prstGeom prst="rect">
            <a:avLst/>
          </a:prstGeom>
          <a:noFill/>
        </xdr:spPr>
      </xdr:pic>
      <xdr:pic>
        <xdr:nvPicPr>
          <xdr:cNvPr id="90" name="Picture 152" descr="http://upload.wikimedia.org/wikipedia/commons/thumb/f/ff/Flag_of_Serbia.svg/22px-Flag_of_Serbia.svg.png"/>
          <xdr:cNvPicPr>
            <a:picLocks noChangeArrowheads="1"/>
          </xdr:cNvPicPr>
        </xdr:nvPicPr>
        <xdr:blipFill>
          <a:blip xmlns:r="http://schemas.openxmlformats.org/officeDocument/2006/relationships" r:embed="rId86" cstate="print"/>
          <a:srcRect/>
          <a:stretch>
            <a:fillRect/>
          </a:stretch>
        </xdr:blipFill>
        <xdr:spPr bwMode="auto">
          <a:xfrm>
            <a:off x="314325" y="30403799"/>
            <a:ext cx="209550" cy="144103"/>
          </a:xfrm>
          <a:prstGeom prst="rect">
            <a:avLst/>
          </a:prstGeom>
          <a:noFill/>
        </xdr:spPr>
      </xdr:pic>
      <xdr:pic>
        <xdr:nvPicPr>
          <xdr:cNvPr id="91" name="Picture 153" descr="http://upload.wikimedia.org/wikipedia/commons/thumb/f/fc/Flag_of_Seychelles.svg/22px-Flag_of_Seychelles.svg.png"/>
          <xdr:cNvPicPr>
            <a:picLocks noChangeArrowheads="1"/>
          </xdr:cNvPicPr>
        </xdr:nvPicPr>
        <xdr:blipFill>
          <a:blip xmlns:r="http://schemas.openxmlformats.org/officeDocument/2006/relationships" r:embed="rId87" cstate="print"/>
          <a:srcRect/>
          <a:stretch>
            <a:fillRect/>
          </a:stretch>
        </xdr:blipFill>
        <xdr:spPr bwMode="auto">
          <a:xfrm>
            <a:off x="314325" y="30603824"/>
            <a:ext cx="209550" cy="144103"/>
          </a:xfrm>
          <a:prstGeom prst="rect">
            <a:avLst/>
          </a:prstGeom>
          <a:noFill/>
        </xdr:spPr>
      </xdr:pic>
      <xdr:pic>
        <xdr:nvPicPr>
          <xdr:cNvPr id="92" name="Picture 154" descr="http://upload.wikimedia.org/wikipedia/commons/thumb/1/17/Flag_of_Sierra_Leone.svg/22px-Flag_of_Sierra_Leone.svg.png"/>
          <xdr:cNvPicPr>
            <a:picLocks noChangeArrowheads="1"/>
          </xdr:cNvPicPr>
        </xdr:nvPicPr>
        <xdr:blipFill>
          <a:blip xmlns:r="http://schemas.openxmlformats.org/officeDocument/2006/relationships" r:embed="rId88" cstate="print"/>
          <a:srcRect/>
          <a:stretch>
            <a:fillRect/>
          </a:stretch>
        </xdr:blipFill>
        <xdr:spPr bwMode="auto">
          <a:xfrm>
            <a:off x="314325" y="30803849"/>
            <a:ext cx="209550" cy="144103"/>
          </a:xfrm>
          <a:prstGeom prst="rect">
            <a:avLst/>
          </a:prstGeom>
          <a:noFill/>
        </xdr:spPr>
      </xdr:pic>
      <xdr:pic>
        <xdr:nvPicPr>
          <xdr:cNvPr id="93" name="Picture 155" descr="http://upload.wikimedia.org/wikipedia/commons/thumb/4/48/Flag_of_Singapore.svg/22px-Flag_of_Singapore.svg.png"/>
          <xdr:cNvPicPr>
            <a:picLocks noChangeArrowheads="1"/>
          </xdr:cNvPicPr>
        </xdr:nvPicPr>
        <xdr:blipFill>
          <a:blip xmlns:r="http://schemas.openxmlformats.org/officeDocument/2006/relationships" r:embed="rId89" cstate="print"/>
          <a:srcRect/>
          <a:stretch>
            <a:fillRect/>
          </a:stretch>
        </xdr:blipFill>
        <xdr:spPr bwMode="auto">
          <a:xfrm>
            <a:off x="314325" y="31003874"/>
            <a:ext cx="209550" cy="144103"/>
          </a:xfrm>
          <a:prstGeom prst="rect">
            <a:avLst/>
          </a:prstGeom>
          <a:noFill/>
        </xdr:spPr>
      </xdr:pic>
      <xdr:pic>
        <xdr:nvPicPr>
          <xdr:cNvPr id="94" name="Picture 156" descr="http://upload.wikimedia.org/wikipedia/commons/thumb/e/e6/Flag_of_Slovakia.svg/22px-Flag_of_Slovakia.svg.png"/>
          <xdr:cNvPicPr>
            <a:picLocks noChangeArrowheads="1"/>
          </xdr:cNvPicPr>
        </xdr:nvPicPr>
        <xdr:blipFill>
          <a:blip xmlns:r="http://schemas.openxmlformats.org/officeDocument/2006/relationships" r:embed="rId90" cstate="print"/>
          <a:srcRect/>
          <a:stretch>
            <a:fillRect/>
          </a:stretch>
        </xdr:blipFill>
        <xdr:spPr bwMode="auto">
          <a:xfrm>
            <a:off x="314325" y="31203899"/>
            <a:ext cx="209550" cy="144103"/>
          </a:xfrm>
          <a:prstGeom prst="rect">
            <a:avLst/>
          </a:prstGeom>
          <a:noFill/>
        </xdr:spPr>
      </xdr:pic>
      <xdr:pic>
        <xdr:nvPicPr>
          <xdr:cNvPr id="95" name="Picture 157" descr="http://upload.wikimedia.org/wikipedia/commons/thumb/f/f0/Flag_of_Slovenia.svg/22px-Flag_of_Slovenia.svg.png"/>
          <xdr:cNvPicPr>
            <a:picLocks noChangeArrowheads="1"/>
          </xdr:cNvPicPr>
        </xdr:nvPicPr>
        <xdr:blipFill>
          <a:blip xmlns:r="http://schemas.openxmlformats.org/officeDocument/2006/relationships" r:embed="rId91" cstate="print"/>
          <a:srcRect/>
          <a:stretch>
            <a:fillRect/>
          </a:stretch>
        </xdr:blipFill>
        <xdr:spPr bwMode="auto">
          <a:xfrm>
            <a:off x="314325" y="31403924"/>
            <a:ext cx="209550" cy="144103"/>
          </a:xfrm>
          <a:prstGeom prst="rect">
            <a:avLst/>
          </a:prstGeom>
          <a:noFill/>
        </xdr:spPr>
      </xdr:pic>
      <xdr:pic>
        <xdr:nvPicPr>
          <xdr:cNvPr id="96" name="Picture 158" descr="http://upload.wikimedia.org/wikipedia/commons/thumb/7/74/Flag_of_the_Solomon_Islands.svg/22px-Flag_of_the_Solomon_Islands.svg.png"/>
          <xdr:cNvPicPr>
            <a:picLocks noChangeArrowheads="1"/>
          </xdr:cNvPicPr>
        </xdr:nvPicPr>
        <xdr:blipFill>
          <a:blip xmlns:r="http://schemas.openxmlformats.org/officeDocument/2006/relationships" r:embed="rId92" cstate="print"/>
          <a:srcRect/>
          <a:stretch>
            <a:fillRect/>
          </a:stretch>
        </xdr:blipFill>
        <xdr:spPr bwMode="auto">
          <a:xfrm>
            <a:off x="314325" y="31603949"/>
            <a:ext cx="209550" cy="144103"/>
          </a:xfrm>
          <a:prstGeom prst="rect">
            <a:avLst/>
          </a:prstGeom>
          <a:noFill/>
        </xdr:spPr>
      </xdr:pic>
      <xdr:pic>
        <xdr:nvPicPr>
          <xdr:cNvPr id="97" name="Picture 159" descr="http://upload.wikimedia.org/wikipedia/commons/thumb/a/a0/Flag_of_Somalia.svg/22px-Flag_of_Somalia.svg.png"/>
          <xdr:cNvPicPr>
            <a:picLocks noChangeArrowheads="1"/>
          </xdr:cNvPicPr>
        </xdr:nvPicPr>
        <xdr:blipFill>
          <a:blip xmlns:r="http://schemas.openxmlformats.org/officeDocument/2006/relationships" r:embed="rId93" cstate="print"/>
          <a:srcRect/>
          <a:stretch>
            <a:fillRect/>
          </a:stretch>
        </xdr:blipFill>
        <xdr:spPr bwMode="auto">
          <a:xfrm>
            <a:off x="314325" y="31803974"/>
            <a:ext cx="209550" cy="144103"/>
          </a:xfrm>
          <a:prstGeom prst="rect">
            <a:avLst/>
          </a:prstGeom>
          <a:noFill/>
        </xdr:spPr>
      </xdr:pic>
      <xdr:pic>
        <xdr:nvPicPr>
          <xdr:cNvPr id="98" name="Picture 160" descr="http://upload.wikimedia.org/wikipedia/commons/thumb/a/af/Flag_of_South_Africa.svg/22px-Flag_of_South_Africa.svg.png"/>
          <xdr:cNvPicPr>
            <a:picLocks noChangeArrowheads="1"/>
          </xdr:cNvPicPr>
        </xdr:nvPicPr>
        <xdr:blipFill>
          <a:blip xmlns:r="http://schemas.openxmlformats.org/officeDocument/2006/relationships" r:embed="rId94" cstate="print"/>
          <a:srcRect/>
          <a:stretch>
            <a:fillRect/>
          </a:stretch>
        </xdr:blipFill>
        <xdr:spPr bwMode="auto">
          <a:xfrm>
            <a:off x="314325" y="32003999"/>
            <a:ext cx="209550" cy="144103"/>
          </a:xfrm>
          <a:prstGeom prst="rect">
            <a:avLst/>
          </a:prstGeom>
          <a:noFill/>
        </xdr:spPr>
      </xdr:pic>
      <xdr:pic>
        <xdr:nvPicPr>
          <xdr:cNvPr id="99" name="Picture 161" descr="http://upload.wikimedia.org/wikipedia/commons/thumb/7/7a/Flag_of_South_Sudan.svg/22px-Flag_of_South_Sudan.svg.png"/>
          <xdr:cNvPicPr>
            <a:picLocks noChangeArrowheads="1"/>
          </xdr:cNvPicPr>
        </xdr:nvPicPr>
        <xdr:blipFill>
          <a:blip xmlns:r="http://schemas.openxmlformats.org/officeDocument/2006/relationships" r:embed="rId95" cstate="print"/>
          <a:srcRect/>
          <a:stretch>
            <a:fillRect/>
          </a:stretch>
        </xdr:blipFill>
        <xdr:spPr bwMode="auto">
          <a:xfrm>
            <a:off x="314325" y="32204024"/>
            <a:ext cx="209550" cy="144103"/>
          </a:xfrm>
          <a:prstGeom prst="rect">
            <a:avLst/>
          </a:prstGeom>
          <a:noFill/>
        </xdr:spPr>
      </xdr:pic>
      <xdr:pic>
        <xdr:nvPicPr>
          <xdr:cNvPr id="100" name="Picture 162" descr="http://upload.wikimedia.org/wikipedia/en/thumb/9/9a/Flag_of_Spain.svg/22px-Flag_of_Spain.svg.png"/>
          <xdr:cNvPicPr>
            <a:picLocks noChangeArrowheads="1"/>
          </xdr:cNvPicPr>
        </xdr:nvPicPr>
        <xdr:blipFill>
          <a:blip xmlns:r="http://schemas.openxmlformats.org/officeDocument/2006/relationships" r:embed="rId96" cstate="print"/>
          <a:srcRect/>
          <a:stretch>
            <a:fillRect/>
          </a:stretch>
        </xdr:blipFill>
        <xdr:spPr bwMode="auto">
          <a:xfrm>
            <a:off x="314325" y="32404049"/>
            <a:ext cx="209550" cy="144103"/>
          </a:xfrm>
          <a:prstGeom prst="rect">
            <a:avLst/>
          </a:prstGeom>
          <a:noFill/>
        </xdr:spPr>
      </xdr:pic>
      <xdr:pic>
        <xdr:nvPicPr>
          <xdr:cNvPr id="101" name="Picture 163" descr="http://upload.wikimedia.org/wikipedia/commons/thumb/1/11/Flag_of_Sri_Lanka.svg/22px-Flag_of_Sri_Lanka.svg.png"/>
          <xdr:cNvPicPr>
            <a:picLocks noChangeArrowheads="1"/>
          </xdr:cNvPicPr>
        </xdr:nvPicPr>
        <xdr:blipFill>
          <a:blip xmlns:r="http://schemas.openxmlformats.org/officeDocument/2006/relationships" r:embed="rId97" cstate="print"/>
          <a:srcRect/>
          <a:stretch>
            <a:fillRect/>
          </a:stretch>
        </xdr:blipFill>
        <xdr:spPr bwMode="auto">
          <a:xfrm>
            <a:off x="314325" y="32604074"/>
            <a:ext cx="209550" cy="144103"/>
          </a:xfrm>
          <a:prstGeom prst="rect">
            <a:avLst/>
          </a:prstGeom>
          <a:noFill/>
        </xdr:spPr>
      </xdr:pic>
      <xdr:pic>
        <xdr:nvPicPr>
          <xdr:cNvPr id="102" name="Picture 164" descr="http://upload.wikimedia.org/wikipedia/commons/thumb/0/01/Flag_of_Sudan.svg/22px-Flag_of_Sudan.svg.png"/>
          <xdr:cNvPicPr>
            <a:picLocks noChangeArrowheads="1"/>
          </xdr:cNvPicPr>
        </xdr:nvPicPr>
        <xdr:blipFill>
          <a:blip xmlns:r="http://schemas.openxmlformats.org/officeDocument/2006/relationships" r:embed="rId98" cstate="print"/>
          <a:srcRect/>
          <a:stretch>
            <a:fillRect/>
          </a:stretch>
        </xdr:blipFill>
        <xdr:spPr bwMode="auto">
          <a:xfrm>
            <a:off x="314325" y="32804099"/>
            <a:ext cx="209550" cy="144103"/>
          </a:xfrm>
          <a:prstGeom prst="rect">
            <a:avLst/>
          </a:prstGeom>
          <a:noFill/>
        </xdr:spPr>
      </xdr:pic>
      <xdr:pic>
        <xdr:nvPicPr>
          <xdr:cNvPr id="103" name="Picture 165" descr="http://upload.wikimedia.org/wikipedia/commons/thumb/6/60/Flag_of_Suriname.svg/22px-Flag_of_Suriname.svg.png"/>
          <xdr:cNvPicPr>
            <a:picLocks noChangeArrowheads="1"/>
          </xdr:cNvPicPr>
        </xdr:nvPicPr>
        <xdr:blipFill>
          <a:blip xmlns:r="http://schemas.openxmlformats.org/officeDocument/2006/relationships" r:embed="rId99" cstate="print"/>
          <a:srcRect/>
          <a:stretch>
            <a:fillRect/>
          </a:stretch>
        </xdr:blipFill>
        <xdr:spPr bwMode="auto">
          <a:xfrm>
            <a:off x="314325" y="33004124"/>
            <a:ext cx="209550" cy="144103"/>
          </a:xfrm>
          <a:prstGeom prst="rect">
            <a:avLst/>
          </a:prstGeom>
          <a:noFill/>
        </xdr:spPr>
      </xdr:pic>
    </xdr:grpSp>
    <xdr:clientData/>
  </xdr:twoCellAnchor>
  <xdr:twoCellAnchor>
    <xdr:from>
      <xdr:col>1</xdr:col>
      <xdr:colOff>47625</xdr:colOff>
      <xdr:row>67</xdr:row>
      <xdr:rowOff>28575</xdr:rowOff>
    </xdr:from>
    <xdr:to>
      <xdr:col>1</xdr:col>
      <xdr:colOff>257175</xdr:colOff>
      <xdr:row>67</xdr:row>
      <xdr:rowOff>164756</xdr:rowOff>
    </xdr:to>
    <xdr:pic>
      <xdr:nvPicPr>
        <xdr:cNvPr id="104" name="Picture 66" descr="http://upload.wikimedia.org/wikipedia/commons/thumb/5/5c/Flag_of_Greece.svg/22px-Flag_of_Greece.svg.png"/>
        <xdr:cNvPicPr>
          <a:picLocks noChangeAspect="1" noChangeArrowheads="1"/>
        </xdr:cNvPicPr>
      </xdr:nvPicPr>
      <xdr:blipFill>
        <a:blip xmlns:r="http://schemas.openxmlformats.org/officeDocument/2006/relationships" r:embed="rId100" cstate="print"/>
        <a:srcRect/>
        <a:stretch>
          <a:fillRect/>
        </a:stretch>
      </xdr:blipFill>
      <xdr:spPr bwMode="auto">
        <a:xfrm>
          <a:off x="361950" y="12906375"/>
          <a:ext cx="209550" cy="136181"/>
        </a:xfrm>
        <a:prstGeom prst="rect">
          <a:avLst/>
        </a:prstGeom>
        <a:noFill/>
      </xdr:spPr>
    </xdr:pic>
    <xdr:clientData/>
  </xdr:twoCellAnchor>
  <xdr:twoCellAnchor>
    <xdr:from>
      <xdr:col>1</xdr:col>
      <xdr:colOff>47625</xdr:colOff>
      <xdr:row>68</xdr:row>
      <xdr:rowOff>28728</xdr:rowOff>
    </xdr:from>
    <xdr:to>
      <xdr:col>1</xdr:col>
      <xdr:colOff>257175</xdr:colOff>
      <xdr:row>68</xdr:row>
      <xdr:rowOff>165888</xdr:rowOff>
    </xdr:to>
    <xdr:pic>
      <xdr:nvPicPr>
        <xdr:cNvPr id="105" name="Picture 67" descr="http://upload.wikimedia.org/wikipedia/commons/thumb/b/bc/Flag_of_Grenada.svg/22px-Flag_of_Grenada.svg.png"/>
        <xdr:cNvPicPr>
          <a:picLocks noChangeArrowheads="1"/>
        </xdr:cNvPicPr>
      </xdr:nvPicPr>
      <xdr:blipFill>
        <a:blip xmlns:r="http://schemas.openxmlformats.org/officeDocument/2006/relationships" r:embed="rId101" cstate="print"/>
        <a:srcRect/>
        <a:stretch>
          <a:fillRect/>
        </a:stretch>
      </xdr:blipFill>
      <xdr:spPr bwMode="auto">
        <a:xfrm>
          <a:off x="365125" y="13099145"/>
          <a:ext cx="209550" cy="137160"/>
        </a:xfrm>
        <a:prstGeom prst="rect">
          <a:avLst/>
        </a:prstGeom>
        <a:noFill/>
      </xdr:spPr>
    </xdr:pic>
    <xdr:clientData/>
  </xdr:twoCellAnchor>
  <xdr:twoCellAnchor>
    <xdr:from>
      <xdr:col>1</xdr:col>
      <xdr:colOff>47625</xdr:colOff>
      <xdr:row>69</xdr:row>
      <xdr:rowOff>28882</xdr:rowOff>
    </xdr:from>
    <xdr:to>
      <xdr:col>1</xdr:col>
      <xdr:colOff>257175</xdr:colOff>
      <xdr:row>69</xdr:row>
      <xdr:rowOff>166042</xdr:rowOff>
    </xdr:to>
    <xdr:pic>
      <xdr:nvPicPr>
        <xdr:cNvPr id="106" name="Picture 68" descr="http://upload.wikimedia.org/wikipedia/commons/thumb/e/ec/Flag_of_Guatemala.svg/22px-Flag_of_Guatemala.svg.png"/>
        <xdr:cNvPicPr>
          <a:picLocks noChangeArrowheads="1"/>
        </xdr:cNvPicPr>
      </xdr:nvPicPr>
      <xdr:blipFill>
        <a:blip xmlns:r="http://schemas.openxmlformats.org/officeDocument/2006/relationships" r:embed="rId102" cstate="print"/>
        <a:srcRect/>
        <a:stretch>
          <a:fillRect/>
        </a:stretch>
      </xdr:blipFill>
      <xdr:spPr bwMode="auto">
        <a:xfrm>
          <a:off x="365125" y="13289799"/>
          <a:ext cx="209550" cy="137160"/>
        </a:xfrm>
        <a:prstGeom prst="rect">
          <a:avLst/>
        </a:prstGeom>
        <a:noFill/>
      </xdr:spPr>
    </xdr:pic>
    <xdr:clientData/>
  </xdr:twoCellAnchor>
  <xdr:twoCellAnchor>
    <xdr:from>
      <xdr:col>1</xdr:col>
      <xdr:colOff>47625</xdr:colOff>
      <xdr:row>70</xdr:row>
      <xdr:rowOff>29034</xdr:rowOff>
    </xdr:from>
    <xdr:to>
      <xdr:col>1</xdr:col>
      <xdr:colOff>257175</xdr:colOff>
      <xdr:row>70</xdr:row>
      <xdr:rowOff>166194</xdr:rowOff>
    </xdr:to>
    <xdr:pic>
      <xdr:nvPicPr>
        <xdr:cNvPr id="107" name="Picture 69" descr="http://upload.wikimedia.org/wikipedia/commons/thumb/e/ed/Flag_of_Guinea.svg/22px-Flag_of_Guinea.svg.png"/>
        <xdr:cNvPicPr>
          <a:picLocks noChangeArrowheads="1"/>
        </xdr:cNvPicPr>
      </xdr:nvPicPr>
      <xdr:blipFill>
        <a:blip xmlns:r="http://schemas.openxmlformats.org/officeDocument/2006/relationships" r:embed="rId103" cstate="print"/>
        <a:srcRect/>
        <a:stretch>
          <a:fillRect/>
        </a:stretch>
      </xdr:blipFill>
      <xdr:spPr bwMode="auto">
        <a:xfrm>
          <a:off x="365125" y="13480451"/>
          <a:ext cx="209550" cy="137160"/>
        </a:xfrm>
        <a:prstGeom prst="rect">
          <a:avLst/>
        </a:prstGeom>
        <a:noFill/>
      </xdr:spPr>
    </xdr:pic>
    <xdr:clientData/>
  </xdr:twoCellAnchor>
  <xdr:twoCellAnchor>
    <xdr:from>
      <xdr:col>1</xdr:col>
      <xdr:colOff>47625</xdr:colOff>
      <xdr:row>71</xdr:row>
      <xdr:rowOff>29189</xdr:rowOff>
    </xdr:from>
    <xdr:to>
      <xdr:col>1</xdr:col>
      <xdr:colOff>257175</xdr:colOff>
      <xdr:row>71</xdr:row>
      <xdr:rowOff>166349</xdr:rowOff>
    </xdr:to>
    <xdr:pic>
      <xdr:nvPicPr>
        <xdr:cNvPr id="108" name="Picture 70" descr="http://upload.wikimedia.org/wikipedia/commons/thumb/0/01/Flag_of_Guinea-Bissau.svg/22px-Flag_of_Guinea-Bissau.svg.png"/>
        <xdr:cNvPicPr>
          <a:picLocks noChangeArrowheads="1"/>
        </xdr:cNvPicPr>
      </xdr:nvPicPr>
      <xdr:blipFill>
        <a:blip xmlns:r="http://schemas.openxmlformats.org/officeDocument/2006/relationships" r:embed="rId104" cstate="print"/>
        <a:srcRect/>
        <a:stretch>
          <a:fillRect/>
        </a:stretch>
      </xdr:blipFill>
      <xdr:spPr bwMode="auto">
        <a:xfrm>
          <a:off x="365125" y="13671106"/>
          <a:ext cx="209550" cy="137160"/>
        </a:xfrm>
        <a:prstGeom prst="rect">
          <a:avLst/>
        </a:prstGeom>
        <a:noFill/>
      </xdr:spPr>
    </xdr:pic>
    <xdr:clientData/>
  </xdr:twoCellAnchor>
  <xdr:twoCellAnchor>
    <xdr:from>
      <xdr:col>1</xdr:col>
      <xdr:colOff>47625</xdr:colOff>
      <xdr:row>72</xdr:row>
      <xdr:rowOff>29342</xdr:rowOff>
    </xdr:from>
    <xdr:to>
      <xdr:col>1</xdr:col>
      <xdr:colOff>257175</xdr:colOff>
      <xdr:row>72</xdr:row>
      <xdr:rowOff>166502</xdr:rowOff>
    </xdr:to>
    <xdr:pic>
      <xdr:nvPicPr>
        <xdr:cNvPr id="109" name="Picture 71" descr="http://upload.wikimedia.org/wikipedia/commons/thumb/9/99/Flag_of_Guyana.svg/22px-Flag_of_Guyana.svg.png"/>
        <xdr:cNvPicPr>
          <a:picLocks noChangeArrowheads="1"/>
        </xdr:cNvPicPr>
      </xdr:nvPicPr>
      <xdr:blipFill>
        <a:blip xmlns:r="http://schemas.openxmlformats.org/officeDocument/2006/relationships" r:embed="rId105" cstate="print"/>
        <a:srcRect/>
        <a:stretch>
          <a:fillRect/>
        </a:stretch>
      </xdr:blipFill>
      <xdr:spPr bwMode="auto">
        <a:xfrm>
          <a:off x="365125" y="13861759"/>
          <a:ext cx="209550" cy="137160"/>
        </a:xfrm>
        <a:prstGeom prst="rect">
          <a:avLst/>
        </a:prstGeom>
        <a:noFill/>
      </xdr:spPr>
    </xdr:pic>
    <xdr:clientData/>
  </xdr:twoCellAnchor>
  <xdr:twoCellAnchor>
    <xdr:from>
      <xdr:col>1</xdr:col>
      <xdr:colOff>47625</xdr:colOff>
      <xdr:row>73</xdr:row>
      <xdr:rowOff>29495</xdr:rowOff>
    </xdr:from>
    <xdr:to>
      <xdr:col>1</xdr:col>
      <xdr:colOff>257175</xdr:colOff>
      <xdr:row>73</xdr:row>
      <xdr:rowOff>166655</xdr:rowOff>
    </xdr:to>
    <xdr:pic>
      <xdr:nvPicPr>
        <xdr:cNvPr id="110" name="Picture 72" descr="http://upload.wikimedia.org/wikipedia/commons/thumb/5/56/Flag_of_Haiti.svg/22px-Flag_of_Haiti.svg.png"/>
        <xdr:cNvPicPr>
          <a:picLocks noChangeArrowheads="1"/>
        </xdr:cNvPicPr>
      </xdr:nvPicPr>
      <xdr:blipFill>
        <a:blip xmlns:r="http://schemas.openxmlformats.org/officeDocument/2006/relationships" r:embed="rId106" cstate="print"/>
        <a:srcRect/>
        <a:stretch>
          <a:fillRect/>
        </a:stretch>
      </xdr:blipFill>
      <xdr:spPr bwMode="auto">
        <a:xfrm>
          <a:off x="365125" y="14052412"/>
          <a:ext cx="209550" cy="137160"/>
        </a:xfrm>
        <a:prstGeom prst="rect">
          <a:avLst/>
        </a:prstGeom>
        <a:noFill/>
      </xdr:spPr>
    </xdr:pic>
    <xdr:clientData/>
  </xdr:twoCellAnchor>
  <xdr:twoCellAnchor>
    <xdr:from>
      <xdr:col>1</xdr:col>
      <xdr:colOff>47625</xdr:colOff>
      <xdr:row>74</xdr:row>
      <xdr:rowOff>29649</xdr:rowOff>
    </xdr:from>
    <xdr:to>
      <xdr:col>1</xdr:col>
      <xdr:colOff>257175</xdr:colOff>
      <xdr:row>74</xdr:row>
      <xdr:rowOff>166809</xdr:rowOff>
    </xdr:to>
    <xdr:pic>
      <xdr:nvPicPr>
        <xdr:cNvPr id="111" name="Picture 73" descr="http://upload.wikimedia.org/wikipedia/commons/thumb/8/82/Flag_of_Honduras.svg/22px-Flag_of_Honduras.svg.png"/>
        <xdr:cNvPicPr>
          <a:picLocks noChangeArrowheads="1"/>
        </xdr:cNvPicPr>
      </xdr:nvPicPr>
      <xdr:blipFill>
        <a:blip xmlns:r="http://schemas.openxmlformats.org/officeDocument/2006/relationships" r:embed="rId107" cstate="print"/>
        <a:srcRect/>
        <a:stretch>
          <a:fillRect/>
        </a:stretch>
      </xdr:blipFill>
      <xdr:spPr bwMode="auto">
        <a:xfrm>
          <a:off x="365125" y="14243066"/>
          <a:ext cx="209550" cy="137160"/>
        </a:xfrm>
        <a:prstGeom prst="rect">
          <a:avLst/>
        </a:prstGeom>
        <a:noFill/>
      </xdr:spPr>
    </xdr:pic>
    <xdr:clientData/>
  </xdr:twoCellAnchor>
  <xdr:twoCellAnchor>
    <xdr:from>
      <xdr:col>1</xdr:col>
      <xdr:colOff>47625</xdr:colOff>
      <xdr:row>76</xdr:row>
      <xdr:rowOff>29802</xdr:rowOff>
    </xdr:from>
    <xdr:to>
      <xdr:col>1</xdr:col>
      <xdr:colOff>257175</xdr:colOff>
      <xdr:row>76</xdr:row>
      <xdr:rowOff>166962</xdr:rowOff>
    </xdr:to>
    <xdr:pic>
      <xdr:nvPicPr>
        <xdr:cNvPr id="112" name="Picture 74" descr="http://upload.wikimedia.org/wikipedia/commons/thumb/c/c1/Flag_of_Hungary.svg/22px-Flag_of_Hungary.svg.png"/>
        <xdr:cNvPicPr>
          <a:picLocks noChangeArrowheads="1"/>
        </xdr:cNvPicPr>
      </xdr:nvPicPr>
      <xdr:blipFill>
        <a:blip xmlns:r="http://schemas.openxmlformats.org/officeDocument/2006/relationships" r:embed="rId108" cstate="print"/>
        <a:srcRect/>
        <a:stretch>
          <a:fillRect/>
        </a:stretch>
      </xdr:blipFill>
      <xdr:spPr bwMode="auto">
        <a:xfrm>
          <a:off x="365125" y="14624219"/>
          <a:ext cx="209550" cy="137160"/>
        </a:xfrm>
        <a:prstGeom prst="rect">
          <a:avLst/>
        </a:prstGeom>
        <a:noFill/>
      </xdr:spPr>
    </xdr:pic>
    <xdr:clientData/>
  </xdr:twoCellAnchor>
  <xdr:twoCellAnchor>
    <xdr:from>
      <xdr:col>1</xdr:col>
      <xdr:colOff>47625</xdr:colOff>
      <xdr:row>77</xdr:row>
      <xdr:rowOff>29956</xdr:rowOff>
    </xdr:from>
    <xdr:to>
      <xdr:col>1</xdr:col>
      <xdr:colOff>257175</xdr:colOff>
      <xdr:row>77</xdr:row>
      <xdr:rowOff>167116</xdr:rowOff>
    </xdr:to>
    <xdr:pic>
      <xdr:nvPicPr>
        <xdr:cNvPr id="113" name="Picture 75" descr="http://upload.wikimedia.org/wikipedia/commons/thumb/c/ce/Flag_of_Iceland.svg/22px-Flag_of_Iceland.svg.png"/>
        <xdr:cNvPicPr>
          <a:picLocks noChangeArrowheads="1"/>
        </xdr:cNvPicPr>
      </xdr:nvPicPr>
      <xdr:blipFill>
        <a:blip xmlns:r="http://schemas.openxmlformats.org/officeDocument/2006/relationships" r:embed="rId109" cstate="print"/>
        <a:srcRect/>
        <a:stretch>
          <a:fillRect/>
        </a:stretch>
      </xdr:blipFill>
      <xdr:spPr bwMode="auto">
        <a:xfrm>
          <a:off x="365125" y="14814873"/>
          <a:ext cx="209550" cy="137160"/>
        </a:xfrm>
        <a:prstGeom prst="rect">
          <a:avLst/>
        </a:prstGeom>
        <a:noFill/>
      </xdr:spPr>
    </xdr:pic>
    <xdr:clientData/>
  </xdr:twoCellAnchor>
  <xdr:twoCellAnchor>
    <xdr:from>
      <xdr:col>1</xdr:col>
      <xdr:colOff>47625</xdr:colOff>
      <xdr:row>78</xdr:row>
      <xdr:rowOff>30108</xdr:rowOff>
    </xdr:from>
    <xdr:to>
      <xdr:col>1</xdr:col>
      <xdr:colOff>257175</xdr:colOff>
      <xdr:row>78</xdr:row>
      <xdr:rowOff>167268</xdr:rowOff>
    </xdr:to>
    <xdr:pic>
      <xdr:nvPicPr>
        <xdr:cNvPr id="114" name="Picture 76" descr="http://upload.wikimedia.org/wikipedia/en/thumb/4/41/Flag_of_India.svg/22px-Flag_of_India.svg.png"/>
        <xdr:cNvPicPr>
          <a:picLocks noChangeArrowheads="1"/>
        </xdr:cNvPicPr>
      </xdr:nvPicPr>
      <xdr:blipFill>
        <a:blip xmlns:r="http://schemas.openxmlformats.org/officeDocument/2006/relationships" r:embed="rId110" cstate="print"/>
        <a:srcRect/>
        <a:stretch>
          <a:fillRect/>
        </a:stretch>
      </xdr:blipFill>
      <xdr:spPr bwMode="auto">
        <a:xfrm>
          <a:off x="365125" y="15005525"/>
          <a:ext cx="209550" cy="137160"/>
        </a:xfrm>
        <a:prstGeom prst="rect">
          <a:avLst/>
        </a:prstGeom>
        <a:noFill/>
      </xdr:spPr>
    </xdr:pic>
    <xdr:clientData/>
  </xdr:twoCellAnchor>
  <xdr:twoCellAnchor>
    <xdr:from>
      <xdr:col>1</xdr:col>
      <xdr:colOff>47625</xdr:colOff>
      <xdr:row>79</xdr:row>
      <xdr:rowOff>30262</xdr:rowOff>
    </xdr:from>
    <xdr:to>
      <xdr:col>1</xdr:col>
      <xdr:colOff>257175</xdr:colOff>
      <xdr:row>79</xdr:row>
      <xdr:rowOff>166443</xdr:rowOff>
    </xdr:to>
    <xdr:pic>
      <xdr:nvPicPr>
        <xdr:cNvPr id="115" name="Picture 77" descr="http://upload.wikimedia.org/wikipedia/commons/thumb/9/9f/Flag_of_Indonesia.svg/22px-Flag_of_Indonesia.svg.png"/>
        <xdr:cNvPicPr>
          <a:picLocks noChangeAspect="1" noChangeArrowheads="1"/>
        </xdr:cNvPicPr>
      </xdr:nvPicPr>
      <xdr:blipFill>
        <a:blip xmlns:r="http://schemas.openxmlformats.org/officeDocument/2006/relationships" r:embed="rId111" cstate="print"/>
        <a:srcRect/>
        <a:stretch>
          <a:fillRect/>
        </a:stretch>
      </xdr:blipFill>
      <xdr:spPr bwMode="auto">
        <a:xfrm>
          <a:off x="361950" y="15194062"/>
          <a:ext cx="209550" cy="136181"/>
        </a:xfrm>
        <a:prstGeom prst="rect">
          <a:avLst/>
        </a:prstGeom>
        <a:noFill/>
      </xdr:spPr>
    </xdr:pic>
    <xdr:clientData/>
  </xdr:twoCellAnchor>
  <xdr:twoCellAnchor>
    <xdr:from>
      <xdr:col>1</xdr:col>
      <xdr:colOff>47625</xdr:colOff>
      <xdr:row>80</xdr:row>
      <xdr:rowOff>30416</xdr:rowOff>
    </xdr:from>
    <xdr:to>
      <xdr:col>1</xdr:col>
      <xdr:colOff>257175</xdr:colOff>
      <xdr:row>80</xdr:row>
      <xdr:rowOff>167576</xdr:rowOff>
    </xdr:to>
    <xdr:pic>
      <xdr:nvPicPr>
        <xdr:cNvPr id="116" name="Picture 78" descr="http://upload.wikimedia.org/wikipedia/commons/thumb/c/ca/Flag_of_Iran.svg/22px-Flag_of_Iran.svg.png"/>
        <xdr:cNvPicPr>
          <a:picLocks noChangeArrowheads="1"/>
        </xdr:cNvPicPr>
      </xdr:nvPicPr>
      <xdr:blipFill>
        <a:blip xmlns:r="http://schemas.openxmlformats.org/officeDocument/2006/relationships" r:embed="rId112" cstate="print"/>
        <a:srcRect/>
        <a:stretch>
          <a:fillRect/>
        </a:stretch>
      </xdr:blipFill>
      <xdr:spPr bwMode="auto">
        <a:xfrm>
          <a:off x="365125" y="15386833"/>
          <a:ext cx="209550" cy="137160"/>
        </a:xfrm>
        <a:prstGeom prst="rect">
          <a:avLst/>
        </a:prstGeom>
        <a:noFill/>
      </xdr:spPr>
    </xdr:pic>
    <xdr:clientData/>
  </xdr:twoCellAnchor>
  <xdr:twoCellAnchor>
    <xdr:from>
      <xdr:col>1</xdr:col>
      <xdr:colOff>47625</xdr:colOff>
      <xdr:row>81</xdr:row>
      <xdr:rowOff>30569</xdr:rowOff>
    </xdr:from>
    <xdr:to>
      <xdr:col>1</xdr:col>
      <xdr:colOff>257175</xdr:colOff>
      <xdr:row>81</xdr:row>
      <xdr:rowOff>166750</xdr:rowOff>
    </xdr:to>
    <xdr:pic>
      <xdr:nvPicPr>
        <xdr:cNvPr id="117" name="Picture 79" descr="http://upload.wikimedia.org/wikipedia/commons/thumb/f/f6/Flag_of_Iraq.svg/22px-Flag_of_Iraq.svg.png"/>
        <xdr:cNvPicPr>
          <a:picLocks noChangeAspect="1" noChangeArrowheads="1"/>
        </xdr:cNvPicPr>
      </xdr:nvPicPr>
      <xdr:blipFill>
        <a:blip xmlns:r="http://schemas.openxmlformats.org/officeDocument/2006/relationships" r:embed="rId113" cstate="print"/>
        <a:srcRect/>
        <a:stretch>
          <a:fillRect/>
        </a:stretch>
      </xdr:blipFill>
      <xdr:spPr bwMode="auto">
        <a:xfrm>
          <a:off x="361950" y="15575369"/>
          <a:ext cx="209550" cy="136181"/>
        </a:xfrm>
        <a:prstGeom prst="rect">
          <a:avLst/>
        </a:prstGeom>
        <a:noFill/>
      </xdr:spPr>
    </xdr:pic>
    <xdr:clientData/>
  </xdr:twoCellAnchor>
  <xdr:twoCellAnchor>
    <xdr:from>
      <xdr:col>1</xdr:col>
      <xdr:colOff>47625</xdr:colOff>
      <xdr:row>82</xdr:row>
      <xdr:rowOff>30723</xdr:rowOff>
    </xdr:from>
    <xdr:to>
      <xdr:col>1</xdr:col>
      <xdr:colOff>257175</xdr:colOff>
      <xdr:row>82</xdr:row>
      <xdr:rowOff>167883</xdr:rowOff>
    </xdr:to>
    <xdr:pic>
      <xdr:nvPicPr>
        <xdr:cNvPr id="118" name="Picture 80" descr="http://upload.wikimedia.org/wikipedia/commons/thumb/4/45/Flag_of_Ireland.svg/22px-Flag_of_Ireland.svg.png"/>
        <xdr:cNvPicPr>
          <a:picLocks noChangeArrowheads="1"/>
        </xdr:cNvPicPr>
      </xdr:nvPicPr>
      <xdr:blipFill>
        <a:blip xmlns:r="http://schemas.openxmlformats.org/officeDocument/2006/relationships" r:embed="rId114" cstate="print"/>
        <a:srcRect/>
        <a:stretch>
          <a:fillRect/>
        </a:stretch>
      </xdr:blipFill>
      <xdr:spPr bwMode="auto">
        <a:xfrm>
          <a:off x="365125" y="15768140"/>
          <a:ext cx="209550" cy="137160"/>
        </a:xfrm>
        <a:prstGeom prst="rect">
          <a:avLst/>
        </a:prstGeom>
        <a:noFill/>
      </xdr:spPr>
    </xdr:pic>
    <xdr:clientData/>
  </xdr:twoCellAnchor>
  <xdr:twoCellAnchor>
    <xdr:from>
      <xdr:col>1</xdr:col>
      <xdr:colOff>47625</xdr:colOff>
      <xdr:row>83</xdr:row>
      <xdr:rowOff>30876</xdr:rowOff>
    </xdr:from>
    <xdr:to>
      <xdr:col>1</xdr:col>
      <xdr:colOff>257175</xdr:colOff>
      <xdr:row>83</xdr:row>
      <xdr:rowOff>168036</xdr:rowOff>
    </xdr:to>
    <xdr:pic>
      <xdr:nvPicPr>
        <xdr:cNvPr id="119" name="Picture 81" descr="http://upload.wikimedia.org/wikipedia/commons/thumb/d/d4/Flag_of_Israel.svg/22px-Flag_of_Israel.svg.png"/>
        <xdr:cNvPicPr>
          <a:picLocks noChangeArrowheads="1"/>
        </xdr:cNvPicPr>
      </xdr:nvPicPr>
      <xdr:blipFill>
        <a:blip xmlns:r="http://schemas.openxmlformats.org/officeDocument/2006/relationships" r:embed="rId115" cstate="print"/>
        <a:srcRect/>
        <a:stretch>
          <a:fillRect/>
        </a:stretch>
      </xdr:blipFill>
      <xdr:spPr bwMode="auto">
        <a:xfrm>
          <a:off x="365125" y="15958793"/>
          <a:ext cx="209550" cy="137160"/>
        </a:xfrm>
        <a:prstGeom prst="rect">
          <a:avLst/>
        </a:prstGeom>
        <a:noFill/>
      </xdr:spPr>
    </xdr:pic>
    <xdr:clientData/>
  </xdr:twoCellAnchor>
  <xdr:twoCellAnchor>
    <xdr:from>
      <xdr:col>1</xdr:col>
      <xdr:colOff>47625</xdr:colOff>
      <xdr:row>84</xdr:row>
      <xdr:rowOff>31029</xdr:rowOff>
    </xdr:from>
    <xdr:to>
      <xdr:col>1</xdr:col>
      <xdr:colOff>257175</xdr:colOff>
      <xdr:row>84</xdr:row>
      <xdr:rowOff>167210</xdr:rowOff>
    </xdr:to>
    <xdr:pic>
      <xdr:nvPicPr>
        <xdr:cNvPr id="120" name="Picture 82" descr="http://upload.wikimedia.org/wikipedia/en/thumb/0/03/Flag_of_Italy.svg/22px-Flag_of_Italy.svg.png"/>
        <xdr:cNvPicPr>
          <a:picLocks noChangeAspect="1" noChangeArrowheads="1"/>
        </xdr:cNvPicPr>
      </xdr:nvPicPr>
      <xdr:blipFill>
        <a:blip xmlns:r="http://schemas.openxmlformats.org/officeDocument/2006/relationships" r:embed="rId116" cstate="print"/>
        <a:srcRect/>
        <a:stretch>
          <a:fillRect/>
        </a:stretch>
      </xdr:blipFill>
      <xdr:spPr bwMode="auto">
        <a:xfrm>
          <a:off x="361950" y="16147329"/>
          <a:ext cx="209550" cy="136181"/>
        </a:xfrm>
        <a:prstGeom prst="rect">
          <a:avLst/>
        </a:prstGeom>
        <a:noFill/>
      </xdr:spPr>
    </xdr:pic>
    <xdr:clientData/>
  </xdr:twoCellAnchor>
  <xdr:twoCellAnchor>
    <xdr:from>
      <xdr:col>1</xdr:col>
      <xdr:colOff>47625</xdr:colOff>
      <xdr:row>85</xdr:row>
      <xdr:rowOff>31183</xdr:rowOff>
    </xdr:from>
    <xdr:to>
      <xdr:col>1</xdr:col>
      <xdr:colOff>257175</xdr:colOff>
      <xdr:row>85</xdr:row>
      <xdr:rowOff>168343</xdr:rowOff>
    </xdr:to>
    <xdr:pic>
      <xdr:nvPicPr>
        <xdr:cNvPr id="121" name="Picture 83" descr="http://upload.wikimedia.org/wikipedia/commons/thumb/0/0a/Flag_of_Jamaica.svg/22px-Flag_of_Jamaica.svg.png"/>
        <xdr:cNvPicPr>
          <a:picLocks noChangeArrowheads="1"/>
        </xdr:cNvPicPr>
      </xdr:nvPicPr>
      <xdr:blipFill>
        <a:blip xmlns:r="http://schemas.openxmlformats.org/officeDocument/2006/relationships" r:embed="rId117" cstate="print"/>
        <a:srcRect/>
        <a:stretch>
          <a:fillRect/>
        </a:stretch>
      </xdr:blipFill>
      <xdr:spPr bwMode="auto">
        <a:xfrm>
          <a:off x="365125" y="16340100"/>
          <a:ext cx="209550" cy="137160"/>
        </a:xfrm>
        <a:prstGeom prst="rect">
          <a:avLst/>
        </a:prstGeom>
        <a:noFill/>
      </xdr:spPr>
    </xdr:pic>
    <xdr:clientData/>
  </xdr:twoCellAnchor>
  <xdr:twoCellAnchor>
    <xdr:from>
      <xdr:col>1</xdr:col>
      <xdr:colOff>47625</xdr:colOff>
      <xdr:row>86</xdr:row>
      <xdr:rowOff>31336</xdr:rowOff>
    </xdr:from>
    <xdr:to>
      <xdr:col>1</xdr:col>
      <xdr:colOff>257175</xdr:colOff>
      <xdr:row>86</xdr:row>
      <xdr:rowOff>167517</xdr:rowOff>
    </xdr:to>
    <xdr:pic>
      <xdr:nvPicPr>
        <xdr:cNvPr id="122" name="Picture 84" descr="http://upload.wikimedia.org/wikipedia/en/thumb/9/9e/Flag_of_Japan.svg/22px-Flag_of_Japan.svg.png"/>
        <xdr:cNvPicPr>
          <a:picLocks noChangeAspect="1" noChangeArrowheads="1"/>
        </xdr:cNvPicPr>
      </xdr:nvPicPr>
      <xdr:blipFill>
        <a:blip xmlns:r="http://schemas.openxmlformats.org/officeDocument/2006/relationships" r:embed="rId118" cstate="print"/>
        <a:srcRect/>
        <a:stretch>
          <a:fillRect/>
        </a:stretch>
      </xdr:blipFill>
      <xdr:spPr bwMode="auto">
        <a:xfrm>
          <a:off x="361950" y="16528636"/>
          <a:ext cx="209550" cy="136181"/>
        </a:xfrm>
        <a:prstGeom prst="rect">
          <a:avLst/>
        </a:prstGeom>
        <a:noFill/>
      </xdr:spPr>
    </xdr:pic>
    <xdr:clientData/>
  </xdr:twoCellAnchor>
  <xdr:twoCellAnchor>
    <xdr:from>
      <xdr:col>1</xdr:col>
      <xdr:colOff>47625</xdr:colOff>
      <xdr:row>87</xdr:row>
      <xdr:rowOff>31490</xdr:rowOff>
    </xdr:from>
    <xdr:to>
      <xdr:col>1</xdr:col>
      <xdr:colOff>257175</xdr:colOff>
      <xdr:row>87</xdr:row>
      <xdr:rowOff>168650</xdr:rowOff>
    </xdr:to>
    <xdr:pic>
      <xdr:nvPicPr>
        <xdr:cNvPr id="123" name="Picture 85" descr="http://upload.wikimedia.org/wikipedia/commons/thumb/c/c0/Flag_of_Jordan.svg/22px-Flag_of_Jordan.svg.png"/>
        <xdr:cNvPicPr>
          <a:picLocks noChangeArrowheads="1"/>
        </xdr:cNvPicPr>
      </xdr:nvPicPr>
      <xdr:blipFill>
        <a:blip xmlns:r="http://schemas.openxmlformats.org/officeDocument/2006/relationships" r:embed="rId119" cstate="print"/>
        <a:srcRect/>
        <a:stretch>
          <a:fillRect/>
        </a:stretch>
      </xdr:blipFill>
      <xdr:spPr bwMode="auto">
        <a:xfrm>
          <a:off x="365125" y="16721407"/>
          <a:ext cx="209550" cy="137160"/>
        </a:xfrm>
        <a:prstGeom prst="rect">
          <a:avLst/>
        </a:prstGeom>
        <a:noFill/>
      </xdr:spPr>
    </xdr:pic>
    <xdr:clientData/>
  </xdr:twoCellAnchor>
  <xdr:twoCellAnchor>
    <xdr:from>
      <xdr:col>1</xdr:col>
      <xdr:colOff>47625</xdr:colOff>
      <xdr:row>88</xdr:row>
      <xdr:rowOff>31643</xdr:rowOff>
    </xdr:from>
    <xdr:to>
      <xdr:col>1</xdr:col>
      <xdr:colOff>257175</xdr:colOff>
      <xdr:row>88</xdr:row>
      <xdr:rowOff>168803</xdr:rowOff>
    </xdr:to>
    <xdr:pic>
      <xdr:nvPicPr>
        <xdr:cNvPr id="124" name="Picture 86" descr="http://upload.wikimedia.org/wikipedia/commons/thumb/d/d3/Flag_of_Kazakhstan.svg/22px-Flag_of_Kazakhstan.svg.png"/>
        <xdr:cNvPicPr>
          <a:picLocks noChangeArrowheads="1"/>
        </xdr:cNvPicPr>
      </xdr:nvPicPr>
      <xdr:blipFill>
        <a:blip xmlns:r="http://schemas.openxmlformats.org/officeDocument/2006/relationships" r:embed="rId120" cstate="print"/>
        <a:srcRect/>
        <a:stretch>
          <a:fillRect/>
        </a:stretch>
      </xdr:blipFill>
      <xdr:spPr bwMode="auto">
        <a:xfrm>
          <a:off x="365125" y="16912060"/>
          <a:ext cx="209550" cy="137160"/>
        </a:xfrm>
        <a:prstGeom prst="rect">
          <a:avLst/>
        </a:prstGeom>
        <a:noFill/>
      </xdr:spPr>
    </xdr:pic>
    <xdr:clientData/>
  </xdr:twoCellAnchor>
  <xdr:twoCellAnchor>
    <xdr:from>
      <xdr:col>1</xdr:col>
      <xdr:colOff>47625</xdr:colOff>
      <xdr:row>89</xdr:row>
      <xdr:rowOff>31795</xdr:rowOff>
    </xdr:from>
    <xdr:to>
      <xdr:col>1</xdr:col>
      <xdr:colOff>257175</xdr:colOff>
      <xdr:row>89</xdr:row>
      <xdr:rowOff>168955</xdr:rowOff>
    </xdr:to>
    <xdr:pic>
      <xdr:nvPicPr>
        <xdr:cNvPr id="125" name="Picture 87" descr="http://upload.wikimedia.org/wikipedia/commons/thumb/4/49/Flag_of_Kenya.svg/22px-Flag_of_Kenya.svg.png"/>
        <xdr:cNvPicPr>
          <a:picLocks noChangeArrowheads="1"/>
        </xdr:cNvPicPr>
      </xdr:nvPicPr>
      <xdr:blipFill>
        <a:blip xmlns:r="http://schemas.openxmlformats.org/officeDocument/2006/relationships" r:embed="rId121" cstate="print"/>
        <a:srcRect/>
        <a:stretch>
          <a:fillRect/>
        </a:stretch>
      </xdr:blipFill>
      <xdr:spPr bwMode="auto">
        <a:xfrm>
          <a:off x="365125" y="17102712"/>
          <a:ext cx="209550" cy="137160"/>
        </a:xfrm>
        <a:prstGeom prst="rect">
          <a:avLst/>
        </a:prstGeom>
        <a:noFill/>
      </xdr:spPr>
    </xdr:pic>
    <xdr:clientData/>
  </xdr:twoCellAnchor>
  <xdr:twoCellAnchor>
    <xdr:from>
      <xdr:col>1</xdr:col>
      <xdr:colOff>47625</xdr:colOff>
      <xdr:row>90</xdr:row>
      <xdr:rowOff>31950</xdr:rowOff>
    </xdr:from>
    <xdr:to>
      <xdr:col>1</xdr:col>
      <xdr:colOff>257175</xdr:colOff>
      <xdr:row>90</xdr:row>
      <xdr:rowOff>169110</xdr:rowOff>
    </xdr:to>
    <xdr:pic>
      <xdr:nvPicPr>
        <xdr:cNvPr id="126" name="Picture 88" descr="http://upload.wikimedia.org/wikipedia/commons/thumb/d/d3/Flag_of_Kiribati.svg/22px-Flag_of_Kiribati.svg.png"/>
        <xdr:cNvPicPr>
          <a:picLocks noChangeArrowheads="1"/>
        </xdr:cNvPicPr>
      </xdr:nvPicPr>
      <xdr:blipFill>
        <a:blip xmlns:r="http://schemas.openxmlformats.org/officeDocument/2006/relationships" r:embed="rId122" cstate="print"/>
        <a:srcRect/>
        <a:stretch>
          <a:fillRect/>
        </a:stretch>
      </xdr:blipFill>
      <xdr:spPr bwMode="auto">
        <a:xfrm>
          <a:off x="365125" y="17293367"/>
          <a:ext cx="209550" cy="137160"/>
        </a:xfrm>
        <a:prstGeom prst="rect">
          <a:avLst/>
        </a:prstGeom>
        <a:noFill/>
      </xdr:spPr>
    </xdr:pic>
    <xdr:clientData/>
  </xdr:twoCellAnchor>
  <xdr:twoCellAnchor>
    <xdr:from>
      <xdr:col>1</xdr:col>
      <xdr:colOff>47625</xdr:colOff>
      <xdr:row>91</xdr:row>
      <xdr:rowOff>32103</xdr:rowOff>
    </xdr:from>
    <xdr:to>
      <xdr:col>1</xdr:col>
      <xdr:colOff>257175</xdr:colOff>
      <xdr:row>91</xdr:row>
      <xdr:rowOff>169263</xdr:rowOff>
    </xdr:to>
    <xdr:pic>
      <xdr:nvPicPr>
        <xdr:cNvPr id="127" name="Picture 89" descr="http://upload.wikimedia.org/wikipedia/commons/thumb/5/51/Flag_of_North_Korea.svg/22px-Flag_of_North_Korea.svg.png"/>
        <xdr:cNvPicPr>
          <a:picLocks noChangeArrowheads="1"/>
        </xdr:cNvPicPr>
      </xdr:nvPicPr>
      <xdr:blipFill>
        <a:blip xmlns:r="http://schemas.openxmlformats.org/officeDocument/2006/relationships" r:embed="rId123" cstate="print"/>
        <a:srcRect/>
        <a:stretch>
          <a:fillRect/>
        </a:stretch>
      </xdr:blipFill>
      <xdr:spPr bwMode="auto">
        <a:xfrm>
          <a:off x="365125" y="17484020"/>
          <a:ext cx="209550" cy="137160"/>
        </a:xfrm>
        <a:prstGeom prst="rect">
          <a:avLst/>
        </a:prstGeom>
        <a:noFill/>
      </xdr:spPr>
    </xdr:pic>
    <xdr:clientData/>
  </xdr:twoCellAnchor>
  <xdr:twoCellAnchor>
    <xdr:from>
      <xdr:col>1</xdr:col>
      <xdr:colOff>47625</xdr:colOff>
      <xdr:row>92</xdr:row>
      <xdr:rowOff>32256</xdr:rowOff>
    </xdr:from>
    <xdr:to>
      <xdr:col>1</xdr:col>
      <xdr:colOff>257175</xdr:colOff>
      <xdr:row>92</xdr:row>
      <xdr:rowOff>169416</xdr:rowOff>
    </xdr:to>
    <xdr:pic>
      <xdr:nvPicPr>
        <xdr:cNvPr id="128" name="Picture 90" descr="http://upload.wikimedia.org/wikipedia/commons/thumb/0/09/Flag_of_South_Korea.svg/22px-Flag_of_South_Korea.svg.png"/>
        <xdr:cNvPicPr>
          <a:picLocks noChangeArrowheads="1"/>
        </xdr:cNvPicPr>
      </xdr:nvPicPr>
      <xdr:blipFill>
        <a:blip xmlns:r="http://schemas.openxmlformats.org/officeDocument/2006/relationships" r:embed="rId124" cstate="print"/>
        <a:srcRect/>
        <a:stretch>
          <a:fillRect/>
        </a:stretch>
      </xdr:blipFill>
      <xdr:spPr bwMode="auto">
        <a:xfrm>
          <a:off x="365125" y="17674673"/>
          <a:ext cx="209550" cy="137160"/>
        </a:xfrm>
        <a:prstGeom prst="rect">
          <a:avLst/>
        </a:prstGeom>
        <a:noFill/>
      </xdr:spPr>
    </xdr:pic>
    <xdr:clientData/>
  </xdr:twoCellAnchor>
  <xdr:twoCellAnchor>
    <xdr:from>
      <xdr:col>1</xdr:col>
      <xdr:colOff>47625</xdr:colOff>
      <xdr:row>94</xdr:row>
      <xdr:rowOff>32410</xdr:rowOff>
    </xdr:from>
    <xdr:to>
      <xdr:col>1</xdr:col>
      <xdr:colOff>257175</xdr:colOff>
      <xdr:row>94</xdr:row>
      <xdr:rowOff>169570</xdr:rowOff>
    </xdr:to>
    <xdr:pic>
      <xdr:nvPicPr>
        <xdr:cNvPr id="129" name="Picture 91" descr="http://upload.wikimedia.org/wikipedia/commons/thumb/a/aa/Flag_of_Kuwait.svg/22px-Flag_of_Kuwait.svg.png"/>
        <xdr:cNvPicPr>
          <a:picLocks noChangeArrowheads="1"/>
        </xdr:cNvPicPr>
      </xdr:nvPicPr>
      <xdr:blipFill>
        <a:blip xmlns:r="http://schemas.openxmlformats.org/officeDocument/2006/relationships" r:embed="rId125" cstate="print"/>
        <a:srcRect/>
        <a:stretch>
          <a:fillRect/>
        </a:stretch>
      </xdr:blipFill>
      <xdr:spPr bwMode="auto">
        <a:xfrm>
          <a:off x="365125" y="18055827"/>
          <a:ext cx="209550" cy="137160"/>
        </a:xfrm>
        <a:prstGeom prst="rect">
          <a:avLst/>
        </a:prstGeom>
        <a:noFill/>
      </xdr:spPr>
    </xdr:pic>
    <xdr:clientData/>
  </xdr:twoCellAnchor>
  <xdr:twoCellAnchor>
    <xdr:from>
      <xdr:col>1</xdr:col>
      <xdr:colOff>47625</xdr:colOff>
      <xdr:row>95</xdr:row>
      <xdr:rowOff>32564</xdr:rowOff>
    </xdr:from>
    <xdr:to>
      <xdr:col>1</xdr:col>
      <xdr:colOff>257175</xdr:colOff>
      <xdr:row>95</xdr:row>
      <xdr:rowOff>169724</xdr:rowOff>
    </xdr:to>
    <xdr:pic>
      <xdr:nvPicPr>
        <xdr:cNvPr id="130" name="Picture 92" descr="http://upload.wikimedia.org/wikipedia/commons/thumb/c/c7/Flag_of_Kyrgyzstan.svg/22px-Flag_of_Kyrgyzstan.svg.png"/>
        <xdr:cNvPicPr>
          <a:picLocks noChangeArrowheads="1"/>
        </xdr:cNvPicPr>
      </xdr:nvPicPr>
      <xdr:blipFill>
        <a:blip xmlns:r="http://schemas.openxmlformats.org/officeDocument/2006/relationships" r:embed="rId126" cstate="print"/>
        <a:srcRect/>
        <a:stretch>
          <a:fillRect/>
        </a:stretch>
      </xdr:blipFill>
      <xdr:spPr bwMode="auto">
        <a:xfrm>
          <a:off x="365125" y="18246481"/>
          <a:ext cx="209550" cy="137160"/>
        </a:xfrm>
        <a:prstGeom prst="rect">
          <a:avLst/>
        </a:prstGeom>
        <a:noFill/>
      </xdr:spPr>
    </xdr:pic>
    <xdr:clientData/>
  </xdr:twoCellAnchor>
  <xdr:twoCellAnchor>
    <xdr:from>
      <xdr:col>1</xdr:col>
      <xdr:colOff>47625</xdr:colOff>
      <xdr:row>96</xdr:row>
      <xdr:rowOff>32716</xdr:rowOff>
    </xdr:from>
    <xdr:to>
      <xdr:col>1</xdr:col>
      <xdr:colOff>257175</xdr:colOff>
      <xdr:row>96</xdr:row>
      <xdr:rowOff>169876</xdr:rowOff>
    </xdr:to>
    <xdr:pic>
      <xdr:nvPicPr>
        <xdr:cNvPr id="131" name="Picture 93" descr="http://upload.wikimedia.org/wikipedia/commons/thumb/5/56/Flag_of_Laos.svg/22px-Flag_of_Laos.svg.png"/>
        <xdr:cNvPicPr>
          <a:picLocks noChangeArrowheads="1"/>
        </xdr:cNvPicPr>
      </xdr:nvPicPr>
      <xdr:blipFill>
        <a:blip xmlns:r="http://schemas.openxmlformats.org/officeDocument/2006/relationships" r:embed="rId127" cstate="print"/>
        <a:srcRect/>
        <a:stretch>
          <a:fillRect/>
        </a:stretch>
      </xdr:blipFill>
      <xdr:spPr bwMode="auto">
        <a:xfrm>
          <a:off x="365125" y="18437133"/>
          <a:ext cx="209550" cy="137160"/>
        </a:xfrm>
        <a:prstGeom prst="rect">
          <a:avLst/>
        </a:prstGeom>
        <a:noFill/>
      </xdr:spPr>
    </xdr:pic>
    <xdr:clientData/>
  </xdr:twoCellAnchor>
  <xdr:twoCellAnchor>
    <xdr:from>
      <xdr:col>1</xdr:col>
      <xdr:colOff>47625</xdr:colOff>
      <xdr:row>97</xdr:row>
      <xdr:rowOff>32870</xdr:rowOff>
    </xdr:from>
    <xdr:to>
      <xdr:col>1</xdr:col>
      <xdr:colOff>257175</xdr:colOff>
      <xdr:row>97</xdr:row>
      <xdr:rowOff>170030</xdr:rowOff>
    </xdr:to>
    <xdr:pic>
      <xdr:nvPicPr>
        <xdr:cNvPr id="132" name="Picture 94" descr="http://upload.wikimedia.org/wikipedia/commons/thumb/8/84/Flag_of_Latvia.svg/22px-Flag_of_Latvia.svg.png"/>
        <xdr:cNvPicPr>
          <a:picLocks noChangeArrowheads="1"/>
        </xdr:cNvPicPr>
      </xdr:nvPicPr>
      <xdr:blipFill>
        <a:blip xmlns:r="http://schemas.openxmlformats.org/officeDocument/2006/relationships" r:embed="rId128" cstate="print"/>
        <a:srcRect/>
        <a:stretch>
          <a:fillRect/>
        </a:stretch>
      </xdr:blipFill>
      <xdr:spPr bwMode="auto">
        <a:xfrm>
          <a:off x="365125" y="18627787"/>
          <a:ext cx="209550" cy="137160"/>
        </a:xfrm>
        <a:prstGeom prst="rect">
          <a:avLst/>
        </a:prstGeom>
        <a:noFill/>
      </xdr:spPr>
    </xdr:pic>
    <xdr:clientData/>
  </xdr:twoCellAnchor>
  <xdr:twoCellAnchor>
    <xdr:from>
      <xdr:col>1</xdr:col>
      <xdr:colOff>47625</xdr:colOff>
      <xdr:row>98</xdr:row>
      <xdr:rowOff>33023</xdr:rowOff>
    </xdr:from>
    <xdr:to>
      <xdr:col>1</xdr:col>
      <xdr:colOff>257175</xdr:colOff>
      <xdr:row>98</xdr:row>
      <xdr:rowOff>170183</xdr:rowOff>
    </xdr:to>
    <xdr:pic>
      <xdr:nvPicPr>
        <xdr:cNvPr id="133" name="Picture 95" descr="http://upload.wikimedia.org/wikipedia/commons/thumb/5/59/Flag_of_Lebanon.svg/22px-Flag_of_Lebanon.svg.png"/>
        <xdr:cNvPicPr>
          <a:picLocks noChangeArrowheads="1"/>
        </xdr:cNvPicPr>
      </xdr:nvPicPr>
      <xdr:blipFill>
        <a:blip xmlns:r="http://schemas.openxmlformats.org/officeDocument/2006/relationships" r:embed="rId129" cstate="print"/>
        <a:srcRect/>
        <a:stretch>
          <a:fillRect/>
        </a:stretch>
      </xdr:blipFill>
      <xdr:spPr bwMode="auto">
        <a:xfrm>
          <a:off x="365125" y="18818440"/>
          <a:ext cx="209550" cy="137160"/>
        </a:xfrm>
        <a:prstGeom prst="rect">
          <a:avLst/>
        </a:prstGeom>
        <a:noFill/>
      </xdr:spPr>
    </xdr:pic>
    <xdr:clientData/>
  </xdr:twoCellAnchor>
  <xdr:twoCellAnchor>
    <xdr:from>
      <xdr:col>1</xdr:col>
      <xdr:colOff>47625</xdr:colOff>
      <xdr:row>99</xdr:row>
      <xdr:rowOff>33176</xdr:rowOff>
    </xdr:from>
    <xdr:to>
      <xdr:col>1</xdr:col>
      <xdr:colOff>257175</xdr:colOff>
      <xdr:row>99</xdr:row>
      <xdr:rowOff>170336</xdr:rowOff>
    </xdr:to>
    <xdr:pic>
      <xdr:nvPicPr>
        <xdr:cNvPr id="134" name="Picture 96" descr="http://upload.wikimedia.org/wikipedia/commons/thumb/4/4a/Flag_of_Lesotho.svg/22px-Flag_of_Lesotho.svg.png"/>
        <xdr:cNvPicPr>
          <a:picLocks noChangeArrowheads="1"/>
        </xdr:cNvPicPr>
      </xdr:nvPicPr>
      <xdr:blipFill>
        <a:blip xmlns:r="http://schemas.openxmlformats.org/officeDocument/2006/relationships" r:embed="rId130" cstate="print"/>
        <a:srcRect/>
        <a:stretch>
          <a:fillRect/>
        </a:stretch>
      </xdr:blipFill>
      <xdr:spPr bwMode="auto">
        <a:xfrm>
          <a:off x="365125" y="19009093"/>
          <a:ext cx="209550" cy="137160"/>
        </a:xfrm>
        <a:prstGeom prst="rect">
          <a:avLst/>
        </a:prstGeom>
        <a:noFill/>
      </xdr:spPr>
    </xdr:pic>
    <xdr:clientData/>
  </xdr:twoCellAnchor>
  <xdr:twoCellAnchor>
    <xdr:from>
      <xdr:col>1</xdr:col>
      <xdr:colOff>47625</xdr:colOff>
      <xdr:row>100</xdr:row>
      <xdr:rowOff>33330</xdr:rowOff>
    </xdr:from>
    <xdr:to>
      <xdr:col>1</xdr:col>
      <xdr:colOff>257175</xdr:colOff>
      <xdr:row>100</xdr:row>
      <xdr:rowOff>170490</xdr:rowOff>
    </xdr:to>
    <xdr:pic>
      <xdr:nvPicPr>
        <xdr:cNvPr id="135" name="Picture 97" descr="http://upload.wikimedia.org/wikipedia/commons/thumb/b/b8/Flag_of_Liberia.svg/22px-Flag_of_Liberia.svg.png"/>
        <xdr:cNvPicPr>
          <a:picLocks noChangeArrowheads="1"/>
        </xdr:cNvPicPr>
      </xdr:nvPicPr>
      <xdr:blipFill>
        <a:blip xmlns:r="http://schemas.openxmlformats.org/officeDocument/2006/relationships" r:embed="rId131" cstate="print"/>
        <a:srcRect/>
        <a:stretch>
          <a:fillRect/>
        </a:stretch>
      </xdr:blipFill>
      <xdr:spPr bwMode="auto">
        <a:xfrm>
          <a:off x="365125" y="19199747"/>
          <a:ext cx="209550" cy="137160"/>
        </a:xfrm>
        <a:prstGeom prst="rect">
          <a:avLst/>
        </a:prstGeom>
        <a:noFill/>
      </xdr:spPr>
    </xdr:pic>
    <xdr:clientData/>
  </xdr:twoCellAnchor>
  <xdr:twoCellAnchor>
    <xdr:from>
      <xdr:col>1</xdr:col>
      <xdr:colOff>47625</xdr:colOff>
      <xdr:row>101</xdr:row>
      <xdr:rowOff>33484</xdr:rowOff>
    </xdr:from>
    <xdr:to>
      <xdr:col>1</xdr:col>
      <xdr:colOff>257175</xdr:colOff>
      <xdr:row>101</xdr:row>
      <xdr:rowOff>170644</xdr:rowOff>
    </xdr:to>
    <xdr:pic>
      <xdr:nvPicPr>
        <xdr:cNvPr id="136" name="Picture 98" descr="http://upload.wikimedia.org/wikipedia/commons/thumb/0/05/Flag_of_Libya.svg/22px-Flag_of_Libya.svg.png"/>
        <xdr:cNvPicPr>
          <a:picLocks noChangeArrowheads="1"/>
        </xdr:cNvPicPr>
      </xdr:nvPicPr>
      <xdr:blipFill>
        <a:blip xmlns:r="http://schemas.openxmlformats.org/officeDocument/2006/relationships" r:embed="rId132" cstate="print"/>
        <a:srcRect/>
        <a:stretch>
          <a:fillRect/>
        </a:stretch>
      </xdr:blipFill>
      <xdr:spPr bwMode="auto">
        <a:xfrm>
          <a:off x="365125" y="19390401"/>
          <a:ext cx="209550" cy="137160"/>
        </a:xfrm>
        <a:prstGeom prst="rect">
          <a:avLst/>
        </a:prstGeom>
        <a:noFill/>
      </xdr:spPr>
    </xdr:pic>
    <xdr:clientData/>
  </xdr:twoCellAnchor>
  <xdr:twoCellAnchor>
    <xdr:from>
      <xdr:col>1</xdr:col>
      <xdr:colOff>47625</xdr:colOff>
      <xdr:row>75</xdr:row>
      <xdr:rowOff>28575</xdr:rowOff>
    </xdr:from>
    <xdr:to>
      <xdr:col>1</xdr:col>
      <xdr:colOff>257175</xdr:colOff>
      <xdr:row>75</xdr:row>
      <xdr:rowOff>165735</xdr:rowOff>
    </xdr:to>
    <xdr:pic>
      <xdr:nvPicPr>
        <xdr:cNvPr id="137" name="Picture 57" descr="http://upload.wikimedia.org/wikipedia/commons/thumb/5/5b/Flag_of_Hong_Kong.svg/22px-Flag_of_Hong_Kong.svg.png"/>
        <xdr:cNvPicPr>
          <a:picLocks noChangeArrowheads="1"/>
        </xdr:cNvPicPr>
      </xdr:nvPicPr>
      <xdr:blipFill>
        <a:blip xmlns:r="http://schemas.openxmlformats.org/officeDocument/2006/relationships" r:embed="rId133" cstate="print"/>
        <a:srcRect/>
        <a:stretch>
          <a:fillRect/>
        </a:stretch>
      </xdr:blipFill>
      <xdr:spPr bwMode="auto">
        <a:xfrm>
          <a:off x="365125" y="14432492"/>
          <a:ext cx="209550" cy="137160"/>
        </a:xfrm>
        <a:prstGeom prst="rect">
          <a:avLst/>
        </a:prstGeom>
        <a:noFill/>
      </xdr:spPr>
    </xdr:pic>
    <xdr:clientData/>
  </xdr:twoCellAnchor>
  <xdr:twoCellAnchor>
    <xdr:from>
      <xdr:col>1</xdr:col>
      <xdr:colOff>47625</xdr:colOff>
      <xdr:row>93</xdr:row>
      <xdr:rowOff>29633</xdr:rowOff>
    </xdr:from>
    <xdr:to>
      <xdr:col>1</xdr:col>
      <xdr:colOff>257175</xdr:colOff>
      <xdr:row>93</xdr:row>
      <xdr:rowOff>166793</xdr:rowOff>
    </xdr:to>
    <xdr:pic>
      <xdr:nvPicPr>
        <xdr:cNvPr id="138" name="Picture 144" descr="http://upload.wikimedia.org/wikipedia/commons/thumb/1/1f/Flag_of_Kosovo.svg/22px-Flag_of_Kosovo.svg.png"/>
        <xdr:cNvPicPr>
          <a:picLocks noChangeArrowheads="1"/>
        </xdr:cNvPicPr>
      </xdr:nvPicPr>
      <xdr:blipFill>
        <a:blip xmlns:r="http://schemas.openxmlformats.org/officeDocument/2006/relationships" r:embed="rId134" cstate="print"/>
        <a:srcRect/>
        <a:stretch>
          <a:fillRect/>
        </a:stretch>
      </xdr:blipFill>
      <xdr:spPr bwMode="auto">
        <a:xfrm>
          <a:off x="365125" y="17862550"/>
          <a:ext cx="209550" cy="137160"/>
        </a:xfrm>
        <a:prstGeom prst="rect">
          <a:avLst/>
        </a:prstGeom>
        <a:noFill/>
      </xdr:spPr>
    </xdr:pic>
    <xdr:clientData/>
  </xdr:twoCellAnchor>
  <xdr:twoCellAnchor>
    <xdr:from>
      <xdr:col>1</xdr:col>
      <xdr:colOff>47624</xdr:colOff>
      <xdr:row>102</xdr:row>
      <xdr:rowOff>38099</xdr:rowOff>
    </xdr:from>
    <xdr:to>
      <xdr:col>1</xdr:col>
      <xdr:colOff>257937</xdr:colOff>
      <xdr:row>135</xdr:row>
      <xdr:rowOff>172390</xdr:rowOff>
    </xdr:to>
    <xdr:grpSp>
      <xdr:nvGrpSpPr>
        <xdr:cNvPr id="139" name="Group 138"/>
        <xdr:cNvGrpSpPr/>
      </xdr:nvGrpSpPr>
      <xdr:grpSpPr>
        <a:xfrm>
          <a:off x="365124" y="19659599"/>
          <a:ext cx="210313" cy="6420791"/>
          <a:chOff x="361949" y="19469099"/>
          <a:chExt cx="210313" cy="6420791"/>
        </a:xfrm>
      </xdr:grpSpPr>
      <xdr:pic>
        <xdr:nvPicPr>
          <xdr:cNvPr id="140" name="Picture 99" descr="http://upload.wikimedia.org/wikipedia/commons/thumb/4/47/Flag_of_Liechtenstein.svg/22px-Flag_of_Liechtenstein.svg.png"/>
          <xdr:cNvPicPr>
            <a:picLocks noChangeArrowheads="1"/>
          </xdr:cNvPicPr>
        </xdr:nvPicPr>
        <xdr:blipFill>
          <a:blip xmlns:r="http://schemas.openxmlformats.org/officeDocument/2006/relationships" r:embed="rId135" cstate="print"/>
          <a:srcRect/>
          <a:stretch>
            <a:fillRect/>
          </a:stretch>
        </xdr:blipFill>
        <xdr:spPr bwMode="auto">
          <a:xfrm>
            <a:off x="361950" y="19469099"/>
            <a:ext cx="210312" cy="137160"/>
          </a:xfrm>
          <a:prstGeom prst="rect">
            <a:avLst/>
          </a:prstGeom>
          <a:noFill/>
        </xdr:spPr>
      </xdr:pic>
      <xdr:pic>
        <xdr:nvPicPr>
          <xdr:cNvPr id="141" name="Picture 100" descr="http://upload.wikimedia.org/wikipedia/commons/thumb/1/11/Flag_of_Lithuania.svg/22px-Flag_of_Lithuania.svg.png"/>
          <xdr:cNvPicPr>
            <a:picLocks noChangeArrowheads="1"/>
          </xdr:cNvPicPr>
        </xdr:nvPicPr>
        <xdr:blipFill>
          <a:blip xmlns:r="http://schemas.openxmlformats.org/officeDocument/2006/relationships" r:embed="rId136" cstate="print"/>
          <a:srcRect/>
          <a:stretch>
            <a:fillRect/>
          </a:stretch>
        </xdr:blipFill>
        <xdr:spPr bwMode="auto">
          <a:xfrm>
            <a:off x="361950" y="19659807"/>
            <a:ext cx="210312" cy="137160"/>
          </a:xfrm>
          <a:prstGeom prst="rect">
            <a:avLst/>
          </a:prstGeom>
          <a:noFill/>
        </xdr:spPr>
      </xdr:pic>
      <xdr:pic>
        <xdr:nvPicPr>
          <xdr:cNvPr id="142" name="Picture 101" descr="http://upload.wikimedia.org/wikipedia/commons/thumb/d/da/Flag_of_Luxembourg.svg/22px-Flag_of_Luxembourg.svg.png"/>
          <xdr:cNvPicPr>
            <a:picLocks noChangeArrowheads="1"/>
          </xdr:cNvPicPr>
        </xdr:nvPicPr>
        <xdr:blipFill>
          <a:blip xmlns:r="http://schemas.openxmlformats.org/officeDocument/2006/relationships" r:embed="rId137" cstate="print"/>
          <a:srcRect/>
          <a:stretch>
            <a:fillRect/>
          </a:stretch>
        </xdr:blipFill>
        <xdr:spPr bwMode="auto">
          <a:xfrm>
            <a:off x="361950" y="19850515"/>
            <a:ext cx="210312" cy="137160"/>
          </a:xfrm>
          <a:prstGeom prst="rect">
            <a:avLst/>
          </a:prstGeom>
          <a:noFill/>
        </xdr:spPr>
      </xdr:pic>
      <xdr:pic>
        <xdr:nvPicPr>
          <xdr:cNvPr id="143" name="Picture 102" descr="http://upload.wikimedia.org/wikipedia/commons/thumb/f/f8/Flag_of_Macedonia.svg/22px-Flag_of_Macedonia.svg.png"/>
          <xdr:cNvPicPr>
            <a:picLocks noChangeArrowheads="1"/>
          </xdr:cNvPicPr>
        </xdr:nvPicPr>
        <xdr:blipFill>
          <a:blip xmlns:r="http://schemas.openxmlformats.org/officeDocument/2006/relationships" r:embed="rId138" cstate="print"/>
          <a:srcRect/>
          <a:stretch>
            <a:fillRect/>
          </a:stretch>
        </xdr:blipFill>
        <xdr:spPr bwMode="auto">
          <a:xfrm>
            <a:off x="361950" y="20231723"/>
            <a:ext cx="210312" cy="137160"/>
          </a:xfrm>
          <a:prstGeom prst="rect">
            <a:avLst/>
          </a:prstGeom>
          <a:noFill/>
        </xdr:spPr>
      </xdr:pic>
      <xdr:pic>
        <xdr:nvPicPr>
          <xdr:cNvPr id="144" name="Picture 103" descr="http://upload.wikimedia.org/wikipedia/commons/thumb/b/bc/Flag_of_Madagascar.svg/22px-Flag_of_Madagascar.svg.png"/>
          <xdr:cNvPicPr>
            <a:picLocks noChangeAspect="1" noChangeArrowheads="1"/>
          </xdr:cNvPicPr>
        </xdr:nvPicPr>
        <xdr:blipFill>
          <a:blip xmlns:r="http://schemas.openxmlformats.org/officeDocument/2006/relationships" r:embed="rId139" cstate="print"/>
          <a:srcRect/>
          <a:stretch>
            <a:fillRect/>
          </a:stretch>
        </xdr:blipFill>
        <xdr:spPr bwMode="auto">
          <a:xfrm>
            <a:off x="361950" y="20422432"/>
            <a:ext cx="209550" cy="136220"/>
          </a:xfrm>
          <a:prstGeom prst="rect">
            <a:avLst/>
          </a:prstGeom>
          <a:noFill/>
        </xdr:spPr>
      </xdr:pic>
      <xdr:pic>
        <xdr:nvPicPr>
          <xdr:cNvPr id="145" name="Picture 104" descr="http://upload.wikimedia.org/wikipedia/commons/thumb/d/d1/Flag_of_Malawi.svg/22px-Flag_of_Malawi.svg.png"/>
          <xdr:cNvPicPr>
            <a:picLocks noChangeArrowheads="1"/>
          </xdr:cNvPicPr>
        </xdr:nvPicPr>
        <xdr:blipFill>
          <a:blip xmlns:r="http://schemas.openxmlformats.org/officeDocument/2006/relationships" r:embed="rId140" cstate="print"/>
          <a:srcRect/>
          <a:stretch>
            <a:fillRect/>
          </a:stretch>
        </xdr:blipFill>
        <xdr:spPr bwMode="auto">
          <a:xfrm>
            <a:off x="361950" y="20613140"/>
            <a:ext cx="210312" cy="137160"/>
          </a:xfrm>
          <a:prstGeom prst="rect">
            <a:avLst/>
          </a:prstGeom>
          <a:noFill/>
        </xdr:spPr>
      </xdr:pic>
      <xdr:pic>
        <xdr:nvPicPr>
          <xdr:cNvPr id="146" name="Picture 105" descr="http://upload.wikimedia.org/wikipedia/commons/thumb/6/66/Flag_of_Malaysia.svg/22px-Flag_of_Malaysia.svg.png"/>
          <xdr:cNvPicPr>
            <a:picLocks noChangeArrowheads="1"/>
          </xdr:cNvPicPr>
        </xdr:nvPicPr>
        <xdr:blipFill>
          <a:blip xmlns:r="http://schemas.openxmlformats.org/officeDocument/2006/relationships" r:embed="rId141" cstate="print"/>
          <a:srcRect/>
          <a:stretch>
            <a:fillRect/>
          </a:stretch>
        </xdr:blipFill>
        <xdr:spPr bwMode="auto">
          <a:xfrm>
            <a:off x="361950" y="20803847"/>
            <a:ext cx="209550" cy="137160"/>
          </a:xfrm>
          <a:prstGeom prst="rect">
            <a:avLst/>
          </a:prstGeom>
          <a:noFill/>
        </xdr:spPr>
      </xdr:pic>
      <xdr:pic>
        <xdr:nvPicPr>
          <xdr:cNvPr id="147" name="Picture 106" descr="http://upload.wikimedia.org/wikipedia/commons/thumb/0/0f/Flag_of_Maldives.svg/22px-Flag_of_Maldives.svg.png"/>
          <xdr:cNvPicPr>
            <a:picLocks noChangeArrowheads="1"/>
          </xdr:cNvPicPr>
        </xdr:nvPicPr>
        <xdr:blipFill>
          <a:blip xmlns:r="http://schemas.openxmlformats.org/officeDocument/2006/relationships" r:embed="rId142" cstate="print"/>
          <a:srcRect/>
          <a:stretch>
            <a:fillRect/>
          </a:stretch>
        </xdr:blipFill>
        <xdr:spPr bwMode="auto">
          <a:xfrm>
            <a:off x="361950" y="20983973"/>
            <a:ext cx="210312" cy="137160"/>
          </a:xfrm>
          <a:prstGeom prst="rect">
            <a:avLst/>
          </a:prstGeom>
          <a:noFill/>
        </xdr:spPr>
      </xdr:pic>
      <xdr:pic>
        <xdr:nvPicPr>
          <xdr:cNvPr id="148" name="Picture 107" descr="http://upload.wikimedia.org/wikipedia/commons/thumb/9/92/Flag_of_Mali.svg/22px-Flag_of_Mali.svg.png"/>
          <xdr:cNvPicPr>
            <a:picLocks noChangeAspect="1" noChangeArrowheads="1"/>
          </xdr:cNvPicPr>
        </xdr:nvPicPr>
        <xdr:blipFill>
          <a:blip xmlns:r="http://schemas.openxmlformats.org/officeDocument/2006/relationships" r:embed="rId143" cstate="print"/>
          <a:srcRect/>
          <a:stretch>
            <a:fillRect/>
          </a:stretch>
        </xdr:blipFill>
        <xdr:spPr bwMode="auto">
          <a:xfrm>
            <a:off x="361950" y="21174681"/>
            <a:ext cx="209550" cy="136220"/>
          </a:xfrm>
          <a:prstGeom prst="rect">
            <a:avLst/>
          </a:prstGeom>
          <a:noFill/>
        </xdr:spPr>
      </xdr:pic>
      <xdr:pic>
        <xdr:nvPicPr>
          <xdr:cNvPr id="149" name="Picture 108" descr="http://upload.wikimedia.org/wikipedia/commons/thumb/7/73/Flag_of_Malta.svg/22px-Flag_of_Malta.svg.png"/>
          <xdr:cNvPicPr>
            <a:picLocks noChangeArrowheads="1"/>
          </xdr:cNvPicPr>
        </xdr:nvPicPr>
        <xdr:blipFill>
          <a:blip xmlns:r="http://schemas.openxmlformats.org/officeDocument/2006/relationships" r:embed="rId144" cstate="print"/>
          <a:srcRect/>
          <a:stretch>
            <a:fillRect/>
          </a:stretch>
        </xdr:blipFill>
        <xdr:spPr bwMode="auto">
          <a:xfrm>
            <a:off x="361950" y="21365389"/>
            <a:ext cx="210312" cy="137160"/>
          </a:xfrm>
          <a:prstGeom prst="rect">
            <a:avLst/>
          </a:prstGeom>
          <a:noFill/>
        </xdr:spPr>
      </xdr:pic>
      <xdr:pic>
        <xdr:nvPicPr>
          <xdr:cNvPr id="150" name="Picture 109" descr="http://upload.wikimedia.org/wikipedia/commons/thumb/2/2e/Flag_of_the_Marshall_Islands.svg/22px-Flag_of_the_Marshall_Islands.svg.png"/>
          <xdr:cNvPicPr>
            <a:picLocks noChangeArrowheads="1"/>
          </xdr:cNvPicPr>
        </xdr:nvPicPr>
        <xdr:blipFill>
          <a:blip xmlns:r="http://schemas.openxmlformats.org/officeDocument/2006/relationships" r:embed="rId145" cstate="print"/>
          <a:srcRect/>
          <a:stretch>
            <a:fillRect/>
          </a:stretch>
        </xdr:blipFill>
        <xdr:spPr bwMode="auto">
          <a:xfrm>
            <a:off x="361950" y="21556097"/>
            <a:ext cx="210312" cy="137160"/>
          </a:xfrm>
          <a:prstGeom prst="rect">
            <a:avLst/>
          </a:prstGeom>
          <a:noFill/>
        </xdr:spPr>
      </xdr:pic>
      <xdr:pic>
        <xdr:nvPicPr>
          <xdr:cNvPr id="151" name="Picture 110" descr="http://upload.wikimedia.org/wikipedia/commons/thumb/4/43/Flag_of_Mauritania.svg/22px-Flag_of_Mauritania.svg.png"/>
          <xdr:cNvPicPr>
            <a:picLocks noChangeAspect="1" noChangeArrowheads="1"/>
          </xdr:cNvPicPr>
        </xdr:nvPicPr>
        <xdr:blipFill>
          <a:blip xmlns:r="http://schemas.openxmlformats.org/officeDocument/2006/relationships" r:embed="rId146" cstate="print"/>
          <a:srcRect/>
          <a:stretch>
            <a:fillRect/>
          </a:stretch>
        </xdr:blipFill>
        <xdr:spPr bwMode="auto">
          <a:xfrm>
            <a:off x="361950" y="21746805"/>
            <a:ext cx="209550" cy="136220"/>
          </a:xfrm>
          <a:prstGeom prst="rect">
            <a:avLst/>
          </a:prstGeom>
          <a:noFill/>
        </xdr:spPr>
      </xdr:pic>
      <xdr:pic>
        <xdr:nvPicPr>
          <xdr:cNvPr id="152" name="Picture 111" descr="http://upload.wikimedia.org/wikipedia/commons/thumb/7/77/Flag_of_Mauritius.svg/22px-Flag_of_Mauritius.svg.png"/>
          <xdr:cNvPicPr>
            <a:picLocks noChangeAspect="1" noChangeArrowheads="1"/>
          </xdr:cNvPicPr>
        </xdr:nvPicPr>
        <xdr:blipFill>
          <a:blip xmlns:r="http://schemas.openxmlformats.org/officeDocument/2006/relationships" r:embed="rId147" cstate="print"/>
          <a:srcRect/>
          <a:stretch>
            <a:fillRect/>
          </a:stretch>
        </xdr:blipFill>
        <xdr:spPr bwMode="auto">
          <a:xfrm>
            <a:off x="361950" y="21937513"/>
            <a:ext cx="209550" cy="136220"/>
          </a:xfrm>
          <a:prstGeom prst="rect">
            <a:avLst/>
          </a:prstGeom>
          <a:noFill/>
        </xdr:spPr>
      </xdr:pic>
      <xdr:pic>
        <xdr:nvPicPr>
          <xdr:cNvPr id="153" name="Picture 112" descr="http://upload.wikimedia.org/wikipedia/commons/thumb/f/fc/Flag_of_Mexico.svg/22px-Flag_of_Mexico.svg.png"/>
          <xdr:cNvPicPr>
            <a:picLocks noChangeArrowheads="1"/>
          </xdr:cNvPicPr>
        </xdr:nvPicPr>
        <xdr:blipFill>
          <a:blip xmlns:r="http://schemas.openxmlformats.org/officeDocument/2006/relationships" r:embed="rId148" cstate="print"/>
          <a:srcRect/>
          <a:stretch>
            <a:fillRect/>
          </a:stretch>
        </xdr:blipFill>
        <xdr:spPr bwMode="auto">
          <a:xfrm>
            <a:off x="361950" y="22128220"/>
            <a:ext cx="210312" cy="137160"/>
          </a:xfrm>
          <a:prstGeom prst="rect">
            <a:avLst/>
          </a:prstGeom>
          <a:noFill/>
        </xdr:spPr>
      </xdr:pic>
      <xdr:pic>
        <xdr:nvPicPr>
          <xdr:cNvPr id="154" name="Picture 113" descr="http://upload.wikimedia.org/wikipedia/commons/thumb/e/e4/Flag_of_the_Federated_States_of_Micronesia.svg/22px-Flag_of_the_Federated_States_of_Micronesia.svg.png"/>
          <xdr:cNvPicPr>
            <a:picLocks noChangeArrowheads="1"/>
          </xdr:cNvPicPr>
        </xdr:nvPicPr>
        <xdr:blipFill>
          <a:blip xmlns:r="http://schemas.openxmlformats.org/officeDocument/2006/relationships" r:embed="rId149" cstate="print"/>
          <a:srcRect/>
          <a:stretch>
            <a:fillRect/>
          </a:stretch>
        </xdr:blipFill>
        <xdr:spPr bwMode="auto">
          <a:xfrm>
            <a:off x="361950" y="22318929"/>
            <a:ext cx="210312" cy="137160"/>
          </a:xfrm>
          <a:prstGeom prst="rect">
            <a:avLst/>
          </a:prstGeom>
          <a:noFill/>
        </xdr:spPr>
      </xdr:pic>
      <xdr:pic>
        <xdr:nvPicPr>
          <xdr:cNvPr id="155" name="Picture 114" descr="http://upload.wikimedia.org/wikipedia/commons/thumb/2/27/Flag_of_Moldova.svg/22px-Flag_of_Moldova.svg.png"/>
          <xdr:cNvPicPr>
            <a:picLocks noChangeArrowheads="1"/>
          </xdr:cNvPicPr>
        </xdr:nvPicPr>
        <xdr:blipFill>
          <a:blip xmlns:r="http://schemas.openxmlformats.org/officeDocument/2006/relationships" r:embed="rId150" cstate="print"/>
          <a:srcRect/>
          <a:stretch>
            <a:fillRect/>
          </a:stretch>
        </xdr:blipFill>
        <xdr:spPr bwMode="auto">
          <a:xfrm>
            <a:off x="361950" y="22509636"/>
            <a:ext cx="210312" cy="137160"/>
          </a:xfrm>
          <a:prstGeom prst="rect">
            <a:avLst/>
          </a:prstGeom>
          <a:noFill/>
        </xdr:spPr>
      </xdr:pic>
      <xdr:pic>
        <xdr:nvPicPr>
          <xdr:cNvPr id="156" name="Picture 115" descr="http://upload.wikimedia.org/wikipedia/commons/thumb/e/ea/Flag_of_Monaco.svg/22px-Flag_of_Monaco.svg.png"/>
          <xdr:cNvPicPr>
            <a:picLocks noChangeArrowheads="1"/>
          </xdr:cNvPicPr>
        </xdr:nvPicPr>
        <xdr:blipFill>
          <a:blip xmlns:r="http://schemas.openxmlformats.org/officeDocument/2006/relationships" r:embed="rId151" cstate="print"/>
          <a:srcRect/>
          <a:stretch>
            <a:fillRect/>
          </a:stretch>
        </xdr:blipFill>
        <xdr:spPr bwMode="auto">
          <a:xfrm>
            <a:off x="361950" y="22700345"/>
            <a:ext cx="210312" cy="137160"/>
          </a:xfrm>
          <a:prstGeom prst="rect">
            <a:avLst/>
          </a:prstGeom>
          <a:noFill/>
        </xdr:spPr>
      </xdr:pic>
      <xdr:pic>
        <xdr:nvPicPr>
          <xdr:cNvPr id="157" name="Picture 116" descr="http://upload.wikimedia.org/wikipedia/commons/thumb/4/4c/Flag_of_Mongolia.svg/22px-Flag_of_Mongolia.svg.png"/>
          <xdr:cNvPicPr>
            <a:picLocks noChangeArrowheads="1"/>
          </xdr:cNvPicPr>
        </xdr:nvPicPr>
        <xdr:blipFill>
          <a:blip xmlns:r="http://schemas.openxmlformats.org/officeDocument/2006/relationships" r:embed="rId152" cstate="print"/>
          <a:srcRect/>
          <a:stretch>
            <a:fillRect/>
          </a:stretch>
        </xdr:blipFill>
        <xdr:spPr bwMode="auto">
          <a:xfrm>
            <a:off x="361950" y="22891051"/>
            <a:ext cx="210312" cy="137160"/>
          </a:xfrm>
          <a:prstGeom prst="rect">
            <a:avLst/>
          </a:prstGeom>
          <a:noFill/>
        </xdr:spPr>
      </xdr:pic>
      <xdr:pic>
        <xdr:nvPicPr>
          <xdr:cNvPr id="158" name="Picture 117" descr="http://upload.wikimedia.org/wikipedia/commons/thumb/6/64/Flag_of_Montenegro.svg/22px-Flag_of_Montenegro.svg.png"/>
          <xdr:cNvPicPr>
            <a:picLocks noChangeArrowheads="1"/>
          </xdr:cNvPicPr>
        </xdr:nvPicPr>
        <xdr:blipFill>
          <a:blip xmlns:r="http://schemas.openxmlformats.org/officeDocument/2006/relationships" r:embed="rId153" cstate="print"/>
          <a:srcRect/>
          <a:stretch>
            <a:fillRect/>
          </a:stretch>
        </xdr:blipFill>
        <xdr:spPr bwMode="auto">
          <a:xfrm>
            <a:off x="361950" y="23081759"/>
            <a:ext cx="210312" cy="137160"/>
          </a:xfrm>
          <a:prstGeom prst="rect">
            <a:avLst/>
          </a:prstGeom>
          <a:noFill/>
        </xdr:spPr>
      </xdr:pic>
      <xdr:pic>
        <xdr:nvPicPr>
          <xdr:cNvPr id="159" name="Picture 118" descr="http://upload.wikimedia.org/wikipedia/commons/thumb/2/2c/Flag_of_Morocco.svg/22px-Flag_of_Morocco.svg.png"/>
          <xdr:cNvPicPr>
            <a:picLocks noChangeArrowheads="1"/>
          </xdr:cNvPicPr>
        </xdr:nvPicPr>
        <xdr:blipFill>
          <a:blip xmlns:r="http://schemas.openxmlformats.org/officeDocument/2006/relationships" r:embed="rId154" cstate="print"/>
          <a:srcRect/>
          <a:stretch>
            <a:fillRect/>
          </a:stretch>
        </xdr:blipFill>
        <xdr:spPr bwMode="auto">
          <a:xfrm>
            <a:off x="361950" y="23272468"/>
            <a:ext cx="210312" cy="137160"/>
          </a:xfrm>
          <a:prstGeom prst="rect">
            <a:avLst/>
          </a:prstGeom>
          <a:noFill/>
        </xdr:spPr>
      </xdr:pic>
      <xdr:pic>
        <xdr:nvPicPr>
          <xdr:cNvPr id="160" name="Picture 119" descr="http://upload.wikimedia.org/wikipedia/commons/thumb/d/d0/Flag_of_Mozambique.svg/22px-Flag_of_Mozambique.svg.png"/>
          <xdr:cNvPicPr>
            <a:picLocks noChangeArrowheads="1"/>
          </xdr:cNvPicPr>
        </xdr:nvPicPr>
        <xdr:blipFill>
          <a:blip xmlns:r="http://schemas.openxmlformats.org/officeDocument/2006/relationships" r:embed="rId155" cstate="print"/>
          <a:srcRect/>
          <a:stretch>
            <a:fillRect/>
          </a:stretch>
        </xdr:blipFill>
        <xdr:spPr bwMode="auto">
          <a:xfrm>
            <a:off x="361950" y="23463176"/>
            <a:ext cx="210312" cy="137160"/>
          </a:xfrm>
          <a:prstGeom prst="rect">
            <a:avLst/>
          </a:prstGeom>
          <a:noFill/>
        </xdr:spPr>
      </xdr:pic>
      <xdr:pic>
        <xdr:nvPicPr>
          <xdr:cNvPr id="161" name="Picture 120" descr="http://upload.wikimedia.org/wikipedia/commons/thumb/8/8c/Flag_of_Myanmar.svg/22px-Flag_of_Myanmar.svg.png"/>
          <xdr:cNvPicPr>
            <a:picLocks noChangeArrowheads="1"/>
          </xdr:cNvPicPr>
        </xdr:nvPicPr>
        <xdr:blipFill>
          <a:blip xmlns:r="http://schemas.openxmlformats.org/officeDocument/2006/relationships" r:embed="rId156" cstate="print"/>
          <a:srcRect/>
          <a:stretch>
            <a:fillRect/>
          </a:stretch>
        </xdr:blipFill>
        <xdr:spPr bwMode="auto">
          <a:xfrm>
            <a:off x="361950" y="23653884"/>
            <a:ext cx="210312" cy="137160"/>
          </a:xfrm>
          <a:prstGeom prst="rect">
            <a:avLst/>
          </a:prstGeom>
          <a:noFill/>
        </xdr:spPr>
      </xdr:pic>
      <xdr:pic>
        <xdr:nvPicPr>
          <xdr:cNvPr id="162" name="Picture 121" descr="http://upload.wikimedia.org/wikipedia/commons/thumb/0/00/Flag_of_Namibia.svg/22px-Flag_of_Namibia.svg.png"/>
          <xdr:cNvPicPr>
            <a:picLocks noChangeArrowheads="1"/>
          </xdr:cNvPicPr>
        </xdr:nvPicPr>
        <xdr:blipFill>
          <a:blip xmlns:r="http://schemas.openxmlformats.org/officeDocument/2006/relationships" r:embed="rId157" cstate="print"/>
          <a:srcRect/>
          <a:stretch>
            <a:fillRect/>
          </a:stretch>
        </xdr:blipFill>
        <xdr:spPr bwMode="auto">
          <a:xfrm>
            <a:off x="361950" y="23844592"/>
            <a:ext cx="210312" cy="137160"/>
          </a:xfrm>
          <a:prstGeom prst="rect">
            <a:avLst/>
          </a:prstGeom>
          <a:noFill/>
        </xdr:spPr>
      </xdr:pic>
      <xdr:pic>
        <xdr:nvPicPr>
          <xdr:cNvPr id="163" name="Picture 122" descr="http://upload.wikimedia.org/wikipedia/commons/thumb/3/30/Flag_of_Nauru.svg/22px-Flag_of_Nauru.svg.png"/>
          <xdr:cNvPicPr>
            <a:picLocks noChangeArrowheads="1"/>
          </xdr:cNvPicPr>
        </xdr:nvPicPr>
        <xdr:blipFill>
          <a:blip xmlns:r="http://schemas.openxmlformats.org/officeDocument/2006/relationships" r:embed="rId158" cstate="print"/>
          <a:srcRect/>
          <a:stretch>
            <a:fillRect/>
          </a:stretch>
        </xdr:blipFill>
        <xdr:spPr bwMode="auto">
          <a:xfrm>
            <a:off x="361950" y="24045882"/>
            <a:ext cx="210312" cy="137160"/>
          </a:xfrm>
          <a:prstGeom prst="rect">
            <a:avLst/>
          </a:prstGeom>
          <a:noFill/>
        </xdr:spPr>
      </xdr:pic>
      <xdr:pic>
        <xdr:nvPicPr>
          <xdr:cNvPr id="164" name="Picture 123" descr="http://upload.wikimedia.org/wikipedia/commons/thumb/9/9b/Flag_of_Nepal.svg/16px-Flag_of_Nepal.svg.png"/>
          <xdr:cNvPicPr>
            <a:picLocks noChangeArrowheads="1"/>
          </xdr:cNvPicPr>
        </xdr:nvPicPr>
        <xdr:blipFill>
          <a:blip xmlns:r="http://schemas.openxmlformats.org/officeDocument/2006/relationships" r:embed="rId159" cstate="print"/>
          <a:srcRect/>
          <a:stretch>
            <a:fillRect/>
          </a:stretch>
        </xdr:blipFill>
        <xdr:spPr bwMode="auto">
          <a:xfrm>
            <a:off x="361950" y="24217543"/>
            <a:ext cx="182880" cy="137160"/>
          </a:xfrm>
          <a:prstGeom prst="rect">
            <a:avLst/>
          </a:prstGeom>
          <a:noFill/>
        </xdr:spPr>
      </xdr:pic>
      <xdr:pic>
        <xdr:nvPicPr>
          <xdr:cNvPr id="165" name="Picture 124" descr="http://upload.wikimedia.org/wikipedia/commons/thumb/2/20/Flag_of_the_Netherlands.svg/22px-Flag_of_the_Netherlands.svg.png"/>
          <xdr:cNvPicPr>
            <a:picLocks noChangeArrowheads="1"/>
          </xdr:cNvPicPr>
        </xdr:nvPicPr>
        <xdr:blipFill>
          <a:blip xmlns:r="http://schemas.openxmlformats.org/officeDocument/2006/relationships" r:embed="rId160" cstate="print"/>
          <a:srcRect/>
          <a:stretch>
            <a:fillRect/>
          </a:stretch>
        </xdr:blipFill>
        <xdr:spPr bwMode="auto">
          <a:xfrm>
            <a:off x="361950" y="24415215"/>
            <a:ext cx="210312" cy="137160"/>
          </a:xfrm>
          <a:prstGeom prst="rect">
            <a:avLst/>
          </a:prstGeom>
          <a:noFill/>
        </xdr:spPr>
      </xdr:pic>
      <xdr:pic>
        <xdr:nvPicPr>
          <xdr:cNvPr id="166" name="Picture 125" descr="http://upload.wikimedia.org/wikipedia/commons/thumb/3/3e/Flag_of_New_Zealand.svg/22px-Flag_of_New_Zealand.svg.png"/>
          <xdr:cNvPicPr>
            <a:picLocks noChangeArrowheads="1"/>
          </xdr:cNvPicPr>
        </xdr:nvPicPr>
        <xdr:blipFill>
          <a:blip xmlns:r="http://schemas.openxmlformats.org/officeDocument/2006/relationships" r:embed="rId161" cstate="print"/>
          <a:srcRect/>
          <a:stretch>
            <a:fillRect/>
          </a:stretch>
        </xdr:blipFill>
        <xdr:spPr bwMode="auto">
          <a:xfrm>
            <a:off x="361950" y="24607423"/>
            <a:ext cx="210312" cy="137160"/>
          </a:xfrm>
          <a:prstGeom prst="rect">
            <a:avLst/>
          </a:prstGeom>
          <a:noFill/>
        </xdr:spPr>
      </xdr:pic>
      <xdr:pic>
        <xdr:nvPicPr>
          <xdr:cNvPr id="167" name="Picture 126" descr="http://upload.wikimedia.org/wikipedia/commons/thumb/1/19/Flag_of_Nicaragua.svg/22px-Flag_of_Nicaragua.svg.png"/>
          <xdr:cNvPicPr>
            <a:picLocks noChangeArrowheads="1"/>
          </xdr:cNvPicPr>
        </xdr:nvPicPr>
        <xdr:blipFill>
          <a:blip xmlns:r="http://schemas.openxmlformats.org/officeDocument/2006/relationships" r:embed="rId162" cstate="print"/>
          <a:srcRect/>
          <a:stretch>
            <a:fillRect/>
          </a:stretch>
        </xdr:blipFill>
        <xdr:spPr bwMode="auto">
          <a:xfrm>
            <a:off x="361950" y="24798131"/>
            <a:ext cx="210312" cy="137160"/>
          </a:xfrm>
          <a:prstGeom prst="rect">
            <a:avLst/>
          </a:prstGeom>
          <a:noFill/>
        </xdr:spPr>
      </xdr:pic>
      <xdr:pic>
        <xdr:nvPicPr>
          <xdr:cNvPr id="168" name="Picture 127" descr="http://upload.wikimedia.org/wikipedia/commons/thumb/f/f4/Flag_of_Niger.svg/22px-Flag_of_Niger.svg.png"/>
          <xdr:cNvPicPr>
            <a:picLocks noChangeArrowheads="1"/>
          </xdr:cNvPicPr>
        </xdr:nvPicPr>
        <xdr:blipFill>
          <a:blip xmlns:r="http://schemas.openxmlformats.org/officeDocument/2006/relationships" r:embed="rId163" cstate="print"/>
          <a:srcRect/>
          <a:stretch>
            <a:fillRect/>
          </a:stretch>
        </xdr:blipFill>
        <xdr:spPr bwMode="auto">
          <a:xfrm>
            <a:off x="361950" y="24970848"/>
            <a:ext cx="209550" cy="162878"/>
          </a:xfrm>
          <a:prstGeom prst="rect">
            <a:avLst/>
          </a:prstGeom>
          <a:noFill/>
        </xdr:spPr>
      </xdr:pic>
      <xdr:pic>
        <xdr:nvPicPr>
          <xdr:cNvPr id="169" name="Picture 128" descr="http://upload.wikimedia.org/wikipedia/commons/thumb/7/79/Flag_of_Nigeria.svg/22px-Flag_of_Nigeria.svg.png"/>
          <xdr:cNvPicPr>
            <a:picLocks noChangeArrowheads="1"/>
          </xdr:cNvPicPr>
        </xdr:nvPicPr>
        <xdr:blipFill>
          <a:blip xmlns:r="http://schemas.openxmlformats.org/officeDocument/2006/relationships" r:embed="rId164" cstate="print"/>
          <a:srcRect/>
          <a:stretch>
            <a:fillRect/>
          </a:stretch>
        </xdr:blipFill>
        <xdr:spPr bwMode="auto">
          <a:xfrm>
            <a:off x="361949" y="25179546"/>
            <a:ext cx="210312" cy="137160"/>
          </a:xfrm>
          <a:prstGeom prst="rect">
            <a:avLst/>
          </a:prstGeom>
          <a:noFill/>
        </xdr:spPr>
      </xdr:pic>
      <xdr:pic>
        <xdr:nvPicPr>
          <xdr:cNvPr id="170" name="Picture 129" descr="http://upload.wikimedia.org/wikipedia/commons/thumb/d/d9/Flag_of_Norway.svg/22px-Flag_of_Norway.svg.png"/>
          <xdr:cNvPicPr>
            <a:picLocks noChangeArrowheads="1"/>
          </xdr:cNvPicPr>
        </xdr:nvPicPr>
        <xdr:blipFill>
          <a:blip xmlns:r="http://schemas.openxmlformats.org/officeDocument/2006/relationships" r:embed="rId165" cstate="print"/>
          <a:srcRect/>
          <a:stretch>
            <a:fillRect/>
          </a:stretch>
        </xdr:blipFill>
        <xdr:spPr bwMode="auto">
          <a:xfrm>
            <a:off x="361950" y="25361789"/>
            <a:ext cx="210312" cy="137160"/>
          </a:xfrm>
          <a:prstGeom prst="rect">
            <a:avLst/>
          </a:prstGeom>
          <a:noFill/>
        </xdr:spPr>
      </xdr:pic>
      <xdr:pic>
        <xdr:nvPicPr>
          <xdr:cNvPr id="171" name="Picture 130" descr="http://upload.wikimedia.org/wikipedia/commons/thumb/d/dd/Flag_of_Oman.svg/22px-Flag_of_Oman.svg.png"/>
          <xdr:cNvPicPr>
            <a:picLocks noChangeArrowheads="1"/>
          </xdr:cNvPicPr>
        </xdr:nvPicPr>
        <xdr:blipFill>
          <a:blip xmlns:r="http://schemas.openxmlformats.org/officeDocument/2006/relationships" r:embed="rId166" cstate="print"/>
          <a:srcRect/>
          <a:stretch>
            <a:fillRect/>
          </a:stretch>
        </xdr:blipFill>
        <xdr:spPr bwMode="auto">
          <a:xfrm>
            <a:off x="361950" y="25560963"/>
            <a:ext cx="210312" cy="137160"/>
          </a:xfrm>
          <a:prstGeom prst="rect">
            <a:avLst/>
          </a:prstGeom>
          <a:noFill/>
        </xdr:spPr>
      </xdr:pic>
      <xdr:pic>
        <xdr:nvPicPr>
          <xdr:cNvPr id="172" name="Picture 131" descr="http://upload.wikimedia.org/wikipedia/commons/thumb/3/32/Flag_of_Pakistan.svg/22px-Flag_of_Pakistan.svg.png"/>
          <xdr:cNvPicPr>
            <a:picLocks noChangeArrowheads="1"/>
          </xdr:cNvPicPr>
        </xdr:nvPicPr>
        <xdr:blipFill>
          <a:blip xmlns:r="http://schemas.openxmlformats.org/officeDocument/2006/relationships" r:embed="rId167" cstate="print"/>
          <a:srcRect/>
          <a:stretch>
            <a:fillRect/>
          </a:stretch>
        </xdr:blipFill>
        <xdr:spPr bwMode="auto">
          <a:xfrm>
            <a:off x="361950" y="25752730"/>
            <a:ext cx="210312" cy="137160"/>
          </a:xfrm>
          <a:prstGeom prst="rect">
            <a:avLst/>
          </a:prstGeom>
          <a:noFill/>
        </xdr:spPr>
      </xdr:pic>
      <xdr:pic>
        <xdr:nvPicPr>
          <xdr:cNvPr id="173" name="Picture 98" descr="http://upload.wikimedia.org/wikipedia/commons/thumb/6/63/Flag_of_Macau.svg/22px-Flag_of_Macau.svg.png"/>
          <xdr:cNvPicPr>
            <a:picLocks noChangeArrowheads="1"/>
          </xdr:cNvPicPr>
        </xdr:nvPicPr>
        <xdr:blipFill>
          <a:blip xmlns:r="http://schemas.openxmlformats.org/officeDocument/2006/relationships" r:embed="rId168" cstate="print"/>
          <a:srcRect/>
          <a:stretch>
            <a:fillRect/>
          </a:stretch>
        </xdr:blipFill>
        <xdr:spPr bwMode="auto">
          <a:xfrm>
            <a:off x="361950" y="20031075"/>
            <a:ext cx="210312" cy="137160"/>
          </a:xfrm>
          <a:prstGeom prst="rect">
            <a:avLst/>
          </a:prstGeom>
          <a:noFill/>
        </xdr:spPr>
      </xdr:pic>
    </xdr:grpSp>
    <xdr:clientData/>
  </xdr:twoCellAnchor>
  <xdr:twoCellAnchor>
    <xdr:from>
      <xdr:col>1</xdr:col>
      <xdr:colOff>47625</xdr:colOff>
      <xdr:row>170</xdr:row>
      <xdr:rowOff>28575</xdr:rowOff>
    </xdr:from>
    <xdr:to>
      <xdr:col>1</xdr:col>
      <xdr:colOff>257175</xdr:colOff>
      <xdr:row>170</xdr:row>
      <xdr:rowOff>164776</xdr:rowOff>
    </xdr:to>
    <xdr:pic>
      <xdr:nvPicPr>
        <xdr:cNvPr id="175" name="Picture 166" descr="http://upload.wikimedia.org/wikipedia/commons/thumb/1/1e/Flag_of_Swaziland.svg/22px-Flag_of_Swaziland.svg.png"/>
        <xdr:cNvPicPr>
          <a:picLocks noChangeAspect="1" noChangeArrowheads="1"/>
        </xdr:cNvPicPr>
      </xdr:nvPicPr>
      <xdr:blipFill>
        <a:blip xmlns:r="http://schemas.openxmlformats.org/officeDocument/2006/relationships" r:embed="rId169" cstate="print"/>
        <a:srcRect/>
        <a:stretch>
          <a:fillRect/>
        </a:stretch>
      </xdr:blipFill>
      <xdr:spPr bwMode="auto">
        <a:xfrm>
          <a:off x="365125" y="32582908"/>
          <a:ext cx="209550" cy="136201"/>
        </a:xfrm>
        <a:prstGeom prst="rect">
          <a:avLst/>
        </a:prstGeom>
        <a:noFill/>
      </xdr:spPr>
    </xdr:pic>
    <xdr:clientData/>
  </xdr:twoCellAnchor>
  <xdr:twoCellAnchor>
    <xdr:from>
      <xdr:col>1</xdr:col>
      <xdr:colOff>47625</xdr:colOff>
      <xdr:row>171</xdr:row>
      <xdr:rowOff>28756</xdr:rowOff>
    </xdr:from>
    <xdr:to>
      <xdr:col>1</xdr:col>
      <xdr:colOff>257175</xdr:colOff>
      <xdr:row>171</xdr:row>
      <xdr:rowOff>155877</xdr:rowOff>
    </xdr:to>
    <xdr:pic>
      <xdr:nvPicPr>
        <xdr:cNvPr id="176" name="Picture 167" descr="http://upload.wikimedia.org/wikipedia/en/thumb/4/4c/Flag_of_Sweden.svg/22px-Flag_of_Sweden.svg.png"/>
        <xdr:cNvPicPr>
          <a:picLocks noChangeAspect="1" noChangeArrowheads="1"/>
        </xdr:cNvPicPr>
      </xdr:nvPicPr>
      <xdr:blipFill>
        <a:blip xmlns:r="http://schemas.openxmlformats.org/officeDocument/2006/relationships" r:embed="rId170" cstate="print"/>
        <a:srcRect/>
        <a:stretch>
          <a:fillRect/>
        </a:stretch>
      </xdr:blipFill>
      <xdr:spPr bwMode="auto">
        <a:xfrm>
          <a:off x="365125" y="32773589"/>
          <a:ext cx="209550" cy="127121"/>
        </a:xfrm>
        <a:prstGeom prst="rect">
          <a:avLst/>
        </a:prstGeom>
        <a:noFill/>
      </xdr:spPr>
    </xdr:pic>
    <xdr:clientData/>
  </xdr:twoCellAnchor>
  <xdr:twoCellAnchor>
    <xdr:from>
      <xdr:col>1</xdr:col>
      <xdr:colOff>47625</xdr:colOff>
      <xdr:row>172</xdr:row>
      <xdr:rowOff>28938</xdr:rowOff>
    </xdr:from>
    <xdr:to>
      <xdr:col>1</xdr:col>
      <xdr:colOff>257937</xdr:colOff>
      <xdr:row>172</xdr:row>
      <xdr:rowOff>166098</xdr:rowOff>
    </xdr:to>
    <xdr:pic>
      <xdr:nvPicPr>
        <xdr:cNvPr id="177" name="Picture 168" descr="http://upload.wikimedia.org/wikipedia/commons/thumb/f/f3/Flag_of_Switzerland.svg/20px-Flag_of_Switzerland.svg.png"/>
        <xdr:cNvPicPr>
          <a:picLocks noChangeArrowheads="1"/>
        </xdr:cNvPicPr>
      </xdr:nvPicPr>
      <xdr:blipFill>
        <a:blip xmlns:r="http://schemas.openxmlformats.org/officeDocument/2006/relationships" r:embed="rId171" cstate="print"/>
        <a:srcRect/>
        <a:stretch>
          <a:fillRect/>
        </a:stretch>
      </xdr:blipFill>
      <xdr:spPr bwMode="auto">
        <a:xfrm>
          <a:off x="365125" y="32964271"/>
          <a:ext cx="210312" cy="137160"/>
        </a:xfrm>
        <a:prstGeom prst="rect">
          <a:avLst/>
        </a:prstGeom>
        <a:noFill/>
      </xdr:spPr>
    </xdr:pic>
    <xdr:clientData/>
  </xdr:twoCellAnchor>
  <xdr:twoCellAnchor>
    <xdr:from>
      <xdr:col>1</xdr:col>
      <xdr:colOff>47625</xdr:colOff>
      <xdr:row>173</xdr:row>
      <xdr:rowOff>38198</xdr:rowOff>
    </xdr:from>
    <xdr:to>
      <xdr:col>1</xdr:col>
      <xdr:colOff>257937</xdr:colOff>
      <xdr:row>173</xdr:row>
      <xdr:rowOff>175358</xdr:rowOff>
    </xdr:to>
    <xdr:pic>
      <xdr:nvPicPr>
        <xdr:cNvPr id="178" name="Picture 169" descr="http://upload.wikimedia.org/wikipedia/commons/thumb/5/53/Flag_of_Syria.svg/22px-Flag_of_Syria.svg.png"/>
        <xdr:cNvPicPr>
          <a:picLocks noChangeArrowheads="1"/>
        </xdr:cNvPicPr>
      </xdr:nvPicPr>
      <xdr:blipFill>
        <a:blip xmlns:r="http://schemas.openxmlformats.org/officeDocument/2006/relationships" r:embed="rId172" cstate="print"/>
        <a:srcRect/>
        <a:stretch>
          <a:fillRect/>
        </a:stretch>
      </xdr:blipFill>
      <xdr:spPr bwMode="auto">
        <a:xfrm>
          <a:off x="365125" y="33164031"/>
          <a:ext cx="210312" cy="137160"/>
        </a:xfrm>
        <a:prstGeom prst="rect">
          <a:avLst/>
        </a:prstGeom>
        <a:noFill/>
      </xdr:spPr>
    </xdr:pic>
    <xdr:clientData/>
  </xdr:twoCellAnchor>
  <xdr:twoCellAnchor>
    <xdr:from>
      <xdr:col>1</xdr:col>
      <xdr:colOff>47625</xdr:colOff>
      <xdr:row>175</xdr:row>
      <xdr:rowOff>29293</xdr:rowOff>
    </xdr:from>
    <xdr:to>
      <xdr:col>1</xdr:col>
      <xdr:colOff>257937</xdr:colOff>
      <xdr:row>175</xdr:row>
      <xdr:rowOff>166453</xdr:rowOff>
    </xdr:to>
    <xdr:pic>
      <xdr:nvPicPr>
        <xdr:cNvPr id="179" name="Picture 170" descr="http://upload.wikimedia.org/wikipedia/commons/thumb/d/d0/Flag_of_Tajikistan.svg/22px-Flag_of_Tajikistan.svg.png"/>
        <xdr:cNvPicPr>
          <a:picLocks noChangeArrowheads="1"/>
        </xdr:cNvPicPr>
      </xdr:nvPicPr>
      <xdr:blipFill>
        <a:blip xmlns:r="http://schemas.openxmlformats.org/officeDocument/2006/relationships" r:embed="rId173" cstate="print"/>
        <a:srcRect/>
        <a:stretch>
          <a:fillRect/>
        </a:stretch>
      </xdr:blipFill>
      <xdr:spPr bwMode="auto">
        <a:xfrm>
          <a:off x="365125" y="33536126"/>
          <a:ext cx="210312" cy="137160"/>
        </a:xfrm>
        <a:prstGeom prst="rect">
          <a:avLst/>
        </a:prstGeom>
        <a:noFill/>
      </xdr:spPr>
    </xdr:pic>
    <xdr:clientData/>
  </xdr:twoCellAnchor>
  <xdr:twoCellAnchor>
    <xdr:from>
      <xdr:col>1</xdr:col>
      <xdr:colOff>47625</xdr:colOff>
      <xdr:row>176</xdr:row>
      <xdr:rowOff>29474</xdr:rowOff>
    </xdr:from>
    <xdr:to>
      <xdr:col>1</xdr:col>
      <xdr:colOff>257937</xdr:colOff>
      <xdr:row>176</xdr:row>
      <xdr:rowOff>166634</xdr:rowOff>
    </xdr:to>
    <xdr:pic>
      <xdr:nvPicPr>
        <xdr:cNvPr id="180" name="Picture 171" descr="http://upload.wikimedia.org/wikipedia/commons/thumb/3/38/Flag_of_Tanzania.svg/22px-Flag_of_Tanzania.svg.png"/>
        <xdr:cNvPicPr>
          <a:picLocks noChangeArrowheads="1"/>
        </xdr:cNvPicPr>
      </xdr:nvPicPr>
      <xdr:blipFill>
        <a:blip xmlns:r="http://schemas.openxmlformats.org/officeDocument/2006/relationships" r:embed="rId174" cstate="print"/>
        <a:srcRect/>
        <a:stretch>
          <a:fillRect/>
        </a:stretch>
      </xdr:blipFill>
      <xdr:spPr bwMode="auto">
        <a:xfrm>
          <a:off x="365125" y="33726807"/>
          <a:ext cx="210312" cy="137160"/>
        </a:xfrm>
        <a:prstGeom prst="rect">
          <a:avLst/>
        </a:prstGeom>
        <a:noFill/>
      </xdr:spPr>
    </xdr:pic>
    <xdr:clientData/>
  </xdr:twoCellAnchor>
  <xdr:twoCellAnchor>
    <xdr:from>
      <xdr:col>1</xdr:col>
      <xdr:colOff>47625</xdr:colOff>
      <xdr:row>177</xdr:row>
      <xdr:rowOff>29656</xdr:rowOff>
    </xdr:from>
    <xdr:to>
      <xdr:col>1</xdr:col>
      <xdr:colOff>257937</xdr:colOff>
      <xdr:row>177</xdr:row>
      <xdr:rowOff>166816</xdr:rowOff>
    </xdr:to>
    <xdr:pic>
      <xdr:nvPicPr>
        <xdr:cNvPr id="181" name="Picture 172" descr="http://upload.wikimedia.org/wikipedia/commons/thumb/a/a9/Flag_of_Thailand.svg/22px-Flag_of_Thailand.svg.png"/>
        <xdr:cNvPicPr>
          <a:picLocks noChangeArrowheads="1"/>
        </xdr:cNvPicPr>
      </xdr:nvPicPr>
      <xdr:blipFill>
        <a:blip xmlns:r="http://schemas.openxmlformats.org/officeDocument/2006/relationships" r:embed="rId175" cstate="print"/>
        <a:srcRect/>
        <a:stretch>
          <a:fillRect/>
        </a:stretch>
      </xdr:blipFill>
      <xdr:spPr bwMode="auto">
        <a:xfrm>
          <a:off x="365125" y="33917489"/>
          <a:ext cx="210312" cy="137160"/>
        </a:xfrm>
        <a:prstGeom prst="rect">
          <a:avLst/>
        </a:prstGeom>
        <a:noFill/>
      </xdr:spPr>
    </xdr:pic>
    <xdr:clientData/>
  </xdr:twoCellAnchor>
  <xdr:twoCellAnchor>
    <xdr:from>
      <xdr:col>1</xdr:col>
      <xdr:colOff>47625</xdr:colOff>
      <xdr:row>178</xdr:row>
      <xdr:rowOff>20318</xdr:rowOff>
    </xdr:from>
    <xdr:to>
      <xdr:col>1</xdr:col>
      <xdr:colOff>257937</xdr:colOff>
      <xdr:row>178</xdr:row>
      <xdr:rowOff>157478</xdr:rowOff>
    </xdr:to>
    <xdr:pic>
      <xdr:nvPicPr>
        <xdr:cNvPr id="182" name="Picture 173" descr="http://upload.wikimedia.org/wikipedia/commons/thumb/2/26/Flag_of_East_Timor.svg/22px-Flag_of_East_Timor.svg.png"/>
        <xdr:cNvPicPr>
          <a:picLocks noChangeArrowheads="1"/>
        </xdr:cNvPicPr>
      </xdr:nvPicPr>
      <xdr:blipFill>
        <a:blip xmlns:r="http://schemas.openxmlformats.org/officeDocument/2006/relationships" r:embed="rId176" cstate="print"/>
        <a:srcRect/>
        <a:stretch>
          <a:fillRect/>
        </a:stretch>
      </xdr:blipFill>
      <xdr:spPr bwMode="auto">
        <a:xfrm>
          <a:off x="365125" y="34098651"/>
          <a:ext cx="210312" cy="137160"/>
        </a:xfrm>
        <a:prstGeom prst="rect">
          <a:avLst/>
        </a:prstGeom>
        <a:noFill/>
      </xdr:spPr>
    </xdr:pic>
    <xdr:clientData/>
  </xdr:twoCellAnchor>
  <xdr:twoCellAnchor>
    <xdr:from>
      <xdr:col>1</xdr:col>
      <xdr:colOff>47625</xdr:colOff>
      <xdr:row>179</xdr:row>
      <xdr:rowOff>30024</xdr:rowOff>
    </xdr:from>
    <xdr:to>
      <xdr:col>1</xdr:col>
      <xdr:colOff>257937</xdr:colOff>
      <xdr:row>179</xdr:row>
      <xdr:rowOff>167184</xdr:rowOff>
    </xdr:to>
    <xdr:pic>
      <xdr:nvPicPr>
        <xdr:cNvPr id="183" name="Picture 174" descr="http://upload.wikimedia.org/wikipedia/commons/thumb/6/68/Flag_of_Togo.svg/22px-Flag_of_Togo.svg.png"/>
        <xdr:cNvPicPr>
          <a:picLocks noChangeArrowheads="1"/>
        </xdr:cNvPicPr>
      </xdr:nvPicPr>
      <xdr:blipFill>
        <a:blip xmlns:r="http://schemas.openxmlformats.org/officeDocument/2006/relationships" r:embed="rId177" cstate="print"/>
        <a:srcRect/>
        <a:stretch>
          <a:fillRect/>
        </a:stretch>
      </xdr:blipFill>
      <xdr:spPr bwMode="auto">
        <a:xfrm>
          <a:off x="365125" y="34298857"/>
          <a:ext cx="210312" cy="137160"/>
        </a:xfrm>
        <a:prstGeom prst="rect">
          <a:avLst/>
        </a:prstGeom>
        <a:noFill/>
      </xdr:spPr>
    </xdr:pic>
    <xdr:clientData/>
  </xdr:twoCellAnchor>
  <xdr:twoCellAnchor>
    <xdr:from>
      <xdr:col>1</xdr:col>
      <xdr:colOff>47625</xdr:colOff>
      <xdr:row>180</xdr:row>
      <xdr:rowOff>30205</xdr:rowOff>
    </xdr:from>
    <xdr:to>
      <xdr:col>1</xdr:col>
      <xdr:colOff>257937</xdr:colOff>
      <xdr:row>180</xdr:row>
      <xdr:rowOff>167365</xdr:rowOff>
    </xdr:to>
    <xdr:pic>
      <xdr:nvPicPr>
        <xdr:cNvPr id="184" name="Picture 175" descr="http://upload.wikimedia.org/wikipedia/commons/thumb/9/9a/Flag_of_Tonga.svg/22px-Flag_of_Tonga.svg.png"/>
        <xdr:cNvPicPr>
          <a:picLocks noChangeArrowheads="1"/>
        </xdr:cNvPicPr>
      </xdr:nvPicPr>
      <xdr:blipFill>
        <a:blip xmlns:r="http://schemas.openxmlformats.org/officeDocument/2006/relationships" r:embed="rId178" cstate="print"/>
        <a:srcRect/>
        <a:stretch>
          <a:fillRect/>
        </a:stretch>
      </xdr:blipFill>
      <xdr:spPr bwMode="auto">
        <a:xfrm>
          <a:off x="365125" y="34489538"/>
          <a:ext cx="210312" cy="137160"/>
        </a:xfrm>
        <a:prstGeom prst="rect">
          <a:avLst/>
        </a:prstGeom>
        <a:noFill/>
      </xdr:spPr>
    </xdr:pic>
    <xdr:clientData/>
  </xdr:twoCellAnchor>
  <xdr:twoCellAnchor>
    <xdr:from>
      <xdr:col>1</xdr:col>
      <xdr:colOff>47625</xdr:colOff>
      <xdr:row>181</xdr:row>
      <xdr:rowOff>30387</xdr:rowOff>
    </xdr:from>
    <xdr:to>
      <xdr:col>1</xdr:col>
      <xdr:colOff>257937</xdr:colOff>
      <xdr:row>181</xdr:row>
      <xdr:rowOff>167547</xdr:rowOff>
    </xdr:to>
    <xdr:pic>
      <xdr:nvPicPr>
        <xdr:cNvPr id="185" name="Picture 176" descr="http://upload.wikimedia.org/wikipedia/commons/thumb/6/64/Flag_of_Trinidad_and_Tobago.svg/22px-Flag_of_Trinidad_and_Tobago.svg.png"/>
        <xdr:cNvPicPr>
          <a:picLocks noChangeArrowheads="1"/>
        </xdr:cNvPicPr>
      </xdr:nvPicPr>
      <xdr:blipFill>
        <a:blip xmlns:r="http://schemas.openxmlformats.org/officeDocument/2006/relationships" r:embed="rId179" cstate="print"/>
        <a:srcRect/>
        <a:stretch>
          <a:fillRect/>
        </a:stretch>
      </xdr:blipFill>
      <xdr:spPr bwMode="auto">
        <a:xfrm>
          <a:off x="365125" y="34680220"/>
          <a:ext cx="210312" cy="137160"/>
        </a:xfrm>
        <a:prstGeom prst="rect">
          <a:avLst/>
        </a:prstGeom>
        <a:noFill/>
      </xdr:spPr>
    </xdr:pic>
    <xdr:clientData/>
  </xdr:twoCellAnchor>
  <xdr:twoCellAnchor>
    <xdr:from>
      <xdr:col>1</xdr:col>
      <xdr:colOff>47625</xdr:colOff>
      <xdr:row>182</xdr:row>
      <xdr:rowOff>30568</xdr:rowOff>
    </xdr:from>
    <xdr:to>
      <xdr:col>1</xdr:col>
      <xdr:colOff>257937</xdr:colOff>
      <xdr:row>182</xdr:row>
      <xdr:rowOff>167728</xdr:rowOff>
    </xdr:to>
    <xdr:pic>
      <xdr:nvPicPr>
        <xdr:cNvPr id="186" name="Picture 177" descr="http://upload.wikimedia.org/wikipedia/commons/thumb/c/ce/Flag_of_Tunisia.svg/22px-Flag_of_Tunisia.svg.png"/>
        <xdr:cNvPicPr>
          <a:picLocks noChangeArrowheads="1"/>
        </xdr:cNvPicPr>
      </xdr:nvPicPr>
      <xdr:blipFill>
        <a:blip xmlns:r="http://schemas.openxmlformats.org/officeDocument/2006/relationships" r:embed="rId180" cstate="print"/>
        <a:srcRect/>
        <a:stretch>
          <a:fillRect/>
        </a:stretch>
      </xdr:blipFill>
      <xdr:spPr bwMode="auto">
        <a:xfrm>
          <a:off x="365125" y="34870901"/>
          <a:ext cx="210312" cy="137160"/>
        </a:xfrm>
        <a:prstGeom prst="rect">
          <a:avLst/>
        </a:prstGeom>
        <a:noFill/>
      </xdr:spPr>
    </xdr:pic>
    <xdr:clientData/>
  </xdr:twoCellAnchor>
  <xdr:twoCellAnchor>
    <xdr:from>
      <xdr:col>1</xdr:col>
      <xdr:colOff>47625</xdr:colOff>
      <xdr:row>183</xdr:row>
      <xdr:rowOff>30749</xdr:rowOff>
    </xdr:from>
    <xdr:to>
      <xdr:col>1</xdr:col>
      <xdr:colOff>257937</xdr:colOff>
      <xdr:row>183</xdr:row>
      <xdr:rowOff>167909</xdr:rowOff>
    </xdr:to>
    <xdr:pic>
      <xdr:nvPicPr>
        <xdr:cNvPr id="187" name="Picture 178" descr="http://upload.wikimedia.org/wikipedia/commons/thumb/b/b4/Flag_of_Turkey.svg/22px-Flag_of_Turkey.svg.png"/>
        <xdr:cNvPicPr>
          <a:picLocks noChangeArrowheads="1"/>
        </xdr:cNvPicPr>
      </xdr:nvPicPr>
      <xdr:blipFill>
        <a:blip xmlns:r="http://schemas.openxmlformats.org/officeDocument/2006/relationships" r:embed="rId181" cstate="print"/>
        <a:srcRect/>
        <a:stretch>
          <a:fillRect/>
        </a:stretch>
      </xdr:blipFill>
      <xdr:spPr bwMode="auto">
        <a:xfrm>
          <a:off x="365125" y="35061582"/>
          <a:ext cx="210312" cy="137160"/>
        </a:xfrm>
        <a:prstGeom prst="rect">
          <a:avLst/>
        </a:prstGeom>
        <a:noFill/>
      </xdr:spPr>
    </xdr:pic>
    <xdr:clientData/>
  </xdr:twoCellAnchor>
  <xdr:twoCellAnchor>
    <xdr:from>
      <xdr:col>1</xdr:col>
      <xdr:colOff>47625</xdr:colOff>
      <xdr:row>184</xdr:row>
      <xdr:rowOff>30931</xdr:rowOff>
    </xdr:from>
    <xdr:to>
      <xdr:col>1</xdr:col>
      <xdr:colOff>257937</xdr:colOff>
      <xdr:row>184</xdr:row>
      <xdr:rowOff>168091</xdr:rowOff>
    </xdr:to>
    <xdr:pic>
      <xdr:nvPicPr>
        <xdr:cNvPr id="188" name="Picture 179" descr="http://upload.wikimedia.org/wikipedia/commons/thumb/1/1b/Flag_of_Turkmenistan.svg/22px-Flag_of_Turkmenistan.svg.png"/>
        <xdr:cNvPicPr>
          <a:picLocks noChangeArrowheads="1"/>
        </xdr:cNvPicPr>
      </xdr:nvPicPr>
      <xdr:blipFill>
        <a:blip xmlns:r="http://schemas.openxmlformats.org/officeDocument/2006/relationships" r:embed="rId182" cstate="print"/>
        <a:srcRect/>
        <a:stretch>
          <a:fillRect/>
        </a:stretch>
      </xdr:blipFill>
      <xdr:spPr bwMode="auto">
        <a:xfrm>
          <a:off x="365125" y="35252264"/>
          <a:ext cx="210312" cy="137160"/>
        </a:xfrm>
        <a:prstGeom prst="rect">
          <a:avLst/>
        </a:prstGeom>
        <a:noFill/>
      </xdr:spPr>
    </xdr:pic>
    <xdr:clientData/>
  </xdr:twoCellAnchor>
  <xdr:twoCellAnchor>
    <xdr:from>
      <xdr:col>1</xdr:col>
      <xdr:colOff>47625</xdr:colOff>
      <xdr:row>185</xdr:row>
      <xdr:rowOff>31112</xdr:rowOff>
    </xdr:from>
    <xdr:to>
      <xdr:col>1</xdr:col>
      <xdr:colOff>257937</xdr:colOff>
      <xdr:row>185</xdr:row>
      <xdr:rowOff>168272</xdr:rowOff>
    </xdr:to>
    <xdr:pic>
      <xdr:nvPicPr>
        <xdr:cNvPr id="189" name="Picture 180" descr="http://upload.wikimedia.org/wikipedia/commons/thumb/3/38/Flag_of_Tuvalu.svg/22px-Flag_of_Tuvalu.svg.png"/>
        <xdr:cNvPicPr>
          <a:picLocks noChangeArrowheads="1"/>
        </xdr:cNvPicPr>
      </xdr:nvPicPr>
      <xdr:blipFill>
        <a:blip xmlns:r="http://schemas.openxmlformats.org/officeDocument/2006/relationships" r:embed="rId183" cstate="print"/>
        <a:srcRect/>
        <a:stretch>
          <a:fillRect/>
        </a:stretch>
      </xdr:blipFill>
      <xdr:spPr bwMode="auto">
        <a:xfrm>
          <a:off x="365125" y="35442945"/>
          <a:ext cx="210312" cy="137160"/>
        </a:xfrm>
        <a:prstGeom prst="rect">
          <a:avLst/>
        </a:prstGeom>
        <a:noFill/>
      </xdr:spPr>
    </xdr:pic>
    <xdr:clientData/>
  </xdr:twoCellAnchor>
  <xdr:twoCellAnchor>
    <xdr:from>
      <xdr:col>1</xdr:col>
      <xdr:colOff>47625</xdr:colOff>
      <xdr:row>186</xdr:row>
      <xdr:rowOff>31293</xdr:rowOff>
    </xdr:from>
    <xdr:to>
      <xdr:col>1</xdr:col>
      <xdr:colOff>257937</xdr:colOff>
      <xdr:row>186</xdr:row>
      <xdr:rowOff>168453</xdr:rowOff>
    </xdr:to>
    <xdr:pic>
      <xdr:nvPicPr>
        <xdr:cNvPr id="190" name="Picture 181" descr="http://upload.wikimedia.org/wikipedia/commons/thumb/4/4e/Flag_of_Uganda.svg/22px-Flag_of_Uganda.svg.png"/>
        <xdr:cNvPicPr>
          <a:picLocks noChangeArrowheads="1"/>
        </xdr:cNvPicPr>
      </xdr:nvPicPr>
      <xdr:blipFill>
        <a:blip xmlns:r="http://schemas.openxmlformats.org/officeDocument/2006/relationships" r:embed="rId184" cstate="print"/>
        <a:srcRect/>
        <a:stretch>
          <a:fillRect/>
        </a:stretch>
      </xdr:blipFill>
      <xdr:spPr bwMode="auto">
        <a:xfrm>
          <a:off x="365125" y="35633626"/>
          <a:ext cx="210312" cy="137160"/>
        </a:xfrm>
        <a:prstGeom prst="rect">
          <a:avLst/>
        </a:prstGeom>
        <a:noFill/>
      </xdr:spPr>
    </xdr:pic>
    <xdr:clientData/>
  </xdr:twoCellAnchor>
  <xdr:twoCellAnchor>
    <xdr:from>
      <xdr:col>1</xdr:col>
      <xdr:colOff>47625</xdr:colOff>
      <xdr:row>187</xdr:row>
      <xdr:rowOff>31474</xdr:rowOff>
    </xdr:from>
    <xdr:to>
      <xdr:col>1</xdr:col>
      <xdr:colOff>257937</xdr:colOff>
      <xdr:row>187</xdr:row>
      <xdr:rowOff>168634</xdr:rowOff>
    </xdr:to>
    <xdr:pic>
      <xdr:nvPicPr>
        <xdr:cNvPr id="191" name="Picture 182" descr="http://upload.wikimedia.org/wikipedia/commons/thumb/4/49/Flag_of_Ukraine.svg/22px-Flag_of_Ukraine.svg.png"/>
        <xdr:cNvPicPr>
          <a:picLocks noChangeArrowheads="1"/>
        </xdr:cNvPicPr>
      </xdr:nvPicPr>
      <xdr:blipFill>
        <a:blip xmlns:r="http://schemas.openxmlformats.org/officeDocument/2006/relationships" r:embed="rId185" cstate="print"/>
        <a:srcRect/>
        <a:stretch>
          <a:fillRect/>
        </a:stretch>
      </xdr:blipFill>
      <xdr:spPr bwMode="auto">
        <a:xfrm>
          <a:off x="365125" y="35824307"/>
          <a:ext cx="210312" cy="137160"/>
        </a:xfrm>
        <a:prstGeom prst="rect">
          <a:avLst/>
        </a:prstGeom>
        <a:noFill/>
      </xdr:spPr>
    </xdr:pic>
    <xdr:clientData/>
  </xdr:twoCellAnchor>
  <xdr:twoCellAnchor>
    <xdr:from>
      <xdr:col>1</xdr:col>
      <xdr:colOff>47625</xdr:colOff>
      <xdr:row>188</xdr:row>
      <xdr:rowOff>31656</xdr:rowOff>
    </xdr:from>
    <xdr:to>
      <xdr:col>1</xdr:col>
      <xdr:colOff>257937</xdr:colOff>
      <xdr:row>188</xdr:row>
      <xdr:rowOff>168816</xdr:rowOff>
    </xdr:to>
    <xdr:pic>
      <xdr:nvPicPr>
        <xdr:cNvPr id="192" name="Picture 183" descr="http://upload.wikimedia.org/wikipedia/commons/thumb/c/cb/Flag_of_the_United_Arab_Emirates.svg/22px-Flag_of_the_United_Arab_Emirates.svg.png"/>
        <xdr:cNvPicPr>
          <a:picLocks noChangeArrowheads="1"/>
        </xdr:cNvPicPr>
      </xdr:nvPicPr>
      <xdr:blipFill>
        <a:blip xmlns:r="http://schemas.openxmlformats.org/officeDocument/2006/relationships" r:embed="rId186" cstate="print"/>
        <a:srcRect/>
        <a:stretch>
          <a:fillRect/>
        </a:stretch>
      </xdr:blipFill>
      <xdr:spPr bwMode="auto">
        <a:xfrm>
          <a:off x="365125" y="36014989"/>
          <a:ext cx="210312" cy="137160"/>
        </a:xfrm>
        <a:prstGeom prst="rect">
          <a:avLst/>
        </a:prstGeom>
        <a:noFill/>
      </xdr:spPr>
    </xdr:pic>
    <xdr:clientData/>
  </xdr:twoCellAnchor>
  <xdr:twoCellAnchor>
    <xdr:from>
      <xdr:col>1</xdr:col>
      <xdr:colOff>47625</xdr:colOff>
      <xdr:row>189</xdr:row>
      <xdr:rowOff>31837</xdr:rowOff>
    </xdr:from>
    <xdr:to>
      <xdr:col>1</xdr:col>
      <xdr:colOff>257937</xdr:colOff>
      <xdr:row>189</xdr:row>
      <xdr:rowOff>168997</xdr:rowOff>
    </xdr:to>
    <xdr:pic>
      <xdr:nvPicPr>
        <xdr:cNvPr id="193" name="Picture 184" descr="http://upload.wikimedia.org/wikipedia/en/thumb/a/ae/Flag_of_the_United_Kingdom.svg/22px-Flag_of_the_United_Kingdom.svg.png"/>
        <xdr:cNvPicPr>
          <a:picLocks noChangeArrowheads="1"/>
        </xdr:cNvPicPr>
      </xdr:nvPicPr>
      <xdr:blipFill>
        <a:blip xmlns:r="http://schemas.openxmlformats.org/officeDocument/2006/relationships" r:embed="rId187" cstate="print"/>
        <a:srcRect/>
        <a:stretch>
          <a:fillRect/>
        </a:stretch>
      </xdr:blipFill>
      <xdr:spPr bwMode="auto">
        <a:xfrm>
          <a:off x="365125" y="36205670"/>
          <a:ext cx="210312" cy="137160"/>
        </a:xfrm>
        <a:prstGeom prst="rect">
          <a:avLst/>
        </a:prstGeom>
        <a:noFill/>
      </xdr:spPr>
    </xdr:pic>
    <xdr:clientData/>
  </xdr:twoCellAnchor>
  <xdr:twoCellAnchor>
    <xdr:from>
      <xdr:col>1</xdr:col>
      <xdr:colOff>47625</xdr:colOff>
      <xdr:row>190</xdr:row>
      <xdr:rowOff>32018</xdr:rowOff>
    </xdr:from>
    <xdr:to>
      <xdr:col>1</xdr:col>
      <xdr:colOff>257937</xdr:colOff>
      <xdr:row>190</xdr:row>
      <xdr:rowOff>169178</xdr:rowOff>
    </xdr:to>
    <xdr:pic>
      <xdr:nvPicPr>
        <xdr:cNvPr id="194" name="Picture 185" descr="http://upload.wikimedia.org/wikipedia/en/thumb/a/a4/Flag_of_the_United_States.svg/22px-Flag_of_the_United_States.svg.png"/>
        <xdr:cNvPicPr>
          <a:picLocks noChangeArrowheads="1"/>
        </xdr:cNvPicPr>
      </xdr:nvPicPr>
      <xdr:blipFill>
        <a:blip xmlns:r="http://schemas.openxmlformats.org/officeDocument/2006/relationships" r:embed="rId188" cstate="print"/>
        <a:srcRect/>
        <a:stretch>
          <a:fillRect/>
        </a:stretch>
      </xdr:blipFill>
      <xdr:spPr bwMode="auto">
        <a:xfrm>
          <a:off x="365125" y="36396351"/>
          <a:ext cx="210312" cy="137160"/>
        </a:xfrm>
        <a:prstGeom prst="rect">
          <a:avLst/>
        </a:prstGeom>
        <a:noFill/>
      </xdr:spPr>
    </xdr:pic>
    <xdr:clientData/>
  </xdr:twoCellAnchor>
  <xdr:twoCellAnchor>
    <xdr:from>
      <xdr:col>1</xdr:col>
      <xdr:colOff>47625</xdr:colOff>
      <xdr:row>191</xdr:row>
      <xdr:rowOff>32199</xdr:rowOff>
    </xdr:from>
    <xdr:to>
      <xdr:col>1</xdr:col>
      <xdr:colOff>257937</xdr:colOff>
      <xdr:row>191</xdr:row>
      <xdr:rowOff>169359</xdr:rowOff>
    </xdr:to>
    <xdr:pic>
      <xdr:nvPicPr>
        <xdr:cNvPr id="195" name="Picture 186" descr="http://upload.wikimedia.org/wikipedia/commons/thumb/f/fe/Flag_of_Uruguay.svg/22px-Flag_of_Uruguay.svg.png"/>
        <xdr:cNvPicPr>
          <a:picLocks noChangeArrowheads="1"/>
        </xdr:cNvPicPr>
      </xdr:nvPicPr>
      <xdr:blipFill>
        <a:blip xmlns:r="http://schemas.openxmlformats.org/officeDocument/2006/relationships" r:embed="rId189" cstate="print"/>
        <a:srcRect/>
        <a:stretch>
          <a:fillRect/>
        </a:stretch>
      </xdr:blipFill>
      <xdr:spPr bwMode="auto">
        <a:xfrm>
          <a:off x="365125" y="36587032"/>
          <a:ext cx="210312" cy="137160"/>
        </a:xfrm>
        <a:prstGeom prst="rect">
          <a:avLst/>
        </a:prstGeom>
        <a:noFill/>
      </xdr:spPr>
    </xdr:pic>
    <xdr:clientData/>
  </xdr:twoCellAnchor>
  <xdr:twoCellAnchor>
    <xdr:from>
      <xdr:col>1</xdr:col>
      <xdr:colOff>47625</xdr:colOff>
      <xdr:row>192</xdr:row>
      <xdr:rowOff>32381</xdr:rowOff>
    </xdr:from>
    <xdr:to>
      <xdr:col>1</xdr:col>
      <xdr:colOff>257937</xdr:colOff>
      <xdr:row>192</xdr:row>
      <xdr:rowOff>169541</xdr:rowOff>
    </xdr:to>
    <xdr:pic>
      <xdr:nvPicPr>
        <xdr:cNvPr id="196" name="Picture 187" descr="http://upload.wikimedia.org/wikipedia/commons/thumb/8/84/Flag_of_Uzbekistan.svg/22px-Flag_of_Uzbekistan.svg.png"/>
        <xdr:cNvPicPr>
          <a:picLocks noChangeArrowheads="1"/>
        </xdr:cNvPicPr>
      </xdr:nvPicPr>
      <xdr:blipFill>
        <a:blip xmlns:r="http://schemas.openxmlformats.org/officeDocument/2006/relationships" r:embed="rId190" cstate="print"/>
        <a:srcRect/>
        <a:stretch>
          <a:fillRect/>
        </a:stretch>
      </xdr:blipFill>
      <xdr:spPr bwMode="auto">
        <a:xfrm>
          <a:off x="365125" y="36777714"/>
          <a:ext cx="210312" cy="137160"/>
        </a:xfrm>
        <a:prstGeom prst="rect">
          <a:avLst/>
        </a:prstGeom>
        <a:noFill/>
      </xdr:spPr>
    </xdr:pic>
    <xdr:clientData/>
  </xdr:twoCellAnchor>
  <xdr:twoCellAnchor>
    <xdr:from>
      <xdr:col>1</xdr:col>
      <xdr:colOff>47625</xdr:colOff>
      <xdr:row>193</xdr:row>
      <xdr:rowOff>32562</xdr:rowOff>
    </xdr:from>
    <xdr:to>
      <xdr:col>1</xdr:col>
      <xdr:colOff>257937</xdr:colOff>
      <xdr:row>193</xdr:row>
      <xdr:rowOff>169722</xdr:rowOff>
    </xdr:to>
    <xdr:pic>
      <xdr:nvPicPr>
        <xdr:cNvPr id="197" name="Picture 188" descr="http://upload.wikimedia.org/wikipedia/commons/thumb/b/bc/Flag_of_Vanuatu.svg/22px-Flag_of_Vanuatu.svg.png"/>
        <xdr:cNvPicPr>
          <a:picLocks noChangeArrowheads="1"/>
        </xdr:cNvPicPr>
      </xdr:nvPicPr>
      <xdr:blipFill>
        <a:blip xmlns:r="http://schemas.openxmlformats.org/officeDocument/2006/relationships" r:embed="rId191" cstate="print"/>
        <a:srcRect/>
        <a:stretch>
          <a:fillRect/>
        </a:stretch>
      </xdr:blipFill>
      <xdr:spPr bwMode="auto">
        <a:xfrm>
          <a:off x="365125" y="36968395"/>
          <a:ext cx="210312" cy="137160"/>
        </a:xfrm>
        <a:prstGeom prst="rect">
          <a:avLst/>
        </a:prstGeom>
        <a:noFill/>
      </xdr:spPr>
    </xdr:pic>
    <xdr:clientData/>
  </xdr:twoCellAnchor>
  <xdr:twoCellAnchor>
    <xdr:from>
      <xdr:col>1</xdr:col>
      <xdr:colOff>47625</xdr:colOff>
      <xdr:row>194</xdr:row>
      <xdr:rowOff>32743</xdr:rowOff>
    </xdr:from>
    <xdr:to>
      <xdr:col>1</xdr:col>
      <xdr:colOff>257937</xdr:colOff>
      <xdr:row>194</xdr:row>
      <xdr:rowOff>169903</xdr:rowOff>
    </xdr:to>
    <xdr:pic>
      <xdr:nvPicPr>
        <xdr:cNvPr id="198" name="Picture 189" descr="http://upload.wikimedia.org/wikipedia/commons/thumb/7/7b/Flag_of_Venezuela_%28state%29.svg/22px-Flag_of_Venezuela_%28state%29.svg.png"/>
        <xdr:cNvPicPr>
          <a:picLocks noChangeArrowheads="1"/>
        </xdr:cNvPicPr>
      </xdr:nvPicPr>
      <xdr:blipFill>
        <a:blip xmlns:r="http://schemas.openxmlformats.org/officeDocument/2006/relationships" r:embed="rId192" cstate="print"/>
        <a:srcRect/>
        <a:stretch>
          <a:fillRect/>
        </a:stretch>
      </xdr:blipFill>
      <xdr:spPr bwMode="auto">
        <a:xfrm>
          <a:off x="365125" y="37159076"/>
          <a:ext cx="210312" cy="137160"/>
        </a:xfrm>
        <a:prstGeom prst="rect">
          <a:avLst/>
        </a:prstGeom>
        <a:noFill/>
      </xdr:spPr>
    </xdr:pic>
    <xdr:clientData/>
  </xdr:twoCellAnchor>
  <xdr:twoCellAnchor>
    <xdr:from>
      <xdr:col>1</xdr:col>
      <xdr:colOff>47625</xdr:colOff>
      <xdr:row>195</xdr:row>
      <xdr:rowOff>32925</xdr:rowOff>
    </xdr:from>
    <xdr:to>
      <xdr:col>1</xdr:col>
      <xdr:colOff>257937</xdr:colOff>
      <xdr:row>195</xdr:row>
      <xdr:rowOff>170085</xdr:rowOff>
    </xdr:to>
    <xdr:pic>
      <xdr:nvPicPr>
        <xdr:cNvPr id="199" name="Picture 190" descr="http://upload.wikimedia.org/wikipedia/commons/thumb/2/21/Flag_of_Vietnam.svg/22px-Flag_of_Vietnam.svg.png"/>
        <xdr:cNvPicPr>
          <a:picLocks noChangeArrowheads="1"/>
        </xdr:cNvPicPr>
      </xdr:nvPicPr>
      <xdr:blipFill>
        <a:blip xmlns:r="http://schemas.openxmlformats.org/officeDocument/2006/relationships" r:embed="rId193" cstate="print"/>
        <a:srcRect/>
        <a:stretch>
          <a:fillRect/>
        </a:stretch>
      </xdr:blipFill>
      <xdr:spPr bwMode="auto">
        <a:xfrm>
          <a:off x="365125" y="37349758"/>
          <a:ext cx="210312" cy="137160"/>
        </a:xfrm>
        <a:prstGeom prst="rect">
          <a:avLst/>
        </a:prstGeom>
        <a:noFill/>
      </xdr:spPr>
    </xdr:pic>
    <xdr:clientData/>
  </xdr:twoCellAnchor>
  <xdr:twoCellAnchor>
    <xdr:from>
      <xdr:col>1</xdr:col>
      <xdr:colOff>47625</xdr:colOff>
      <xdr:row>197</xdr:row>
      <xdr:rowOff>33106</xdr:rowOff>
    </xdr:from>
    <xdr:to>
      <xdr:col>1</xdr:col>
      <xdr:colOff>257937</xdr:colOff>
      <xdr:row>197</xdr:row>
      <xdr:rowOff>170266</xdr:rowOff>
    </xdr:to>
    <xdr:pic>
      <xdr:nvPicPr>
        <xdr:cNvPr id="200" name="Picture 191" descr="http://upload.wikimedia.org/wikipedia/commons/thumb/8/89/Flag_of_Yemen.svg/22px-Flag_of_Yemen.svg.png"/>
        <xdr:cNvPicPr>
          <a:picLocks noChangeArrowheads="1"/>
        </xdr:cNvPicPr>
      </xdr:nvPicPr>
      <xdr:blipFill>
        <a:blip xmlns:r="http://schemas.openxmlformats.org/officeDocument/2006/relationships" r:embed="rId194" cstate="print"/>
        <a:srcRect/>
        <a:stretch>
          <a:fillRect/>
        </a:stretch>
      </xdr:blipFill>
      <xdr:spPr bwMode="auto">
        <a:xfrm>
          <a:off x="365125" y="37730939"/>
          <a:ext cx="210312" cy="137160"/>
        </a:xfrm>
        <a:prstGeom prst="rect">
          <a:avLst/>
        </a:prstGeom>
        <a:noFill/>
      </xdr:spPr>
    </xdr:pic>
    <xdr:clientData/>
  </xdr:twoCellAnchor>
  <xdr:twoCellAnchor>
    <xdr:from>
      <xdr:col>1</xdr:col>
      <xdr:colOff>47625</xdr:colOff>
      <xdr:row>198</xdr:row>
      <xdr:rowOff>33287</xdr:rowOff>
    </xdr:from>
    <xdr:to>
      <xdr:col>1</xdr:col>
      <xdr:colOff>257937</xdr:colOff>
      <xdr:row>198</xdr:row>
      <xdr:rowOff>170447</xdr:rowOff>
    </xdr:to>
    <xdr:pic>
      <xdr:nvPicPr>
        <xdr:cNvPr id="201" name="Picture 192" descr="http://upload.wikimedia.org/wikipedia/commons/thumb/0/06/Flag_of_Zambia.svg/22px-Flag_of_Zambia.svg.png"/>
        <xdr:cNvPicPr>
          <a:picLocks noChangeArrowheads="1"/>
        </xdr:cNvPicPr>
      </xdr:nvPicPr>
      <xdr:blipFill>
        <a:blip xmlns:r="http://schemas.openxmlformats.org/officeDocument/2006/relationships" r:embed="rId195" cstate="print"/>
        <a:srcRect/>
        <a:stretch>
          <a:fillRect/>
        </a:stretch>
      </xdr:blipFill>
      <xdr:spPr bwMode="auto">
        <a:xfrm>
          <a:off x="365125" y="37921620"/>
          <a:ext cx="210312" cy="137160"/>
        </a:xfrm>
        <a:prstGeom prst="rect">
          <a:avLst/>
        </a:prstGeom>
        <a:noFill/>
      </xdr:spPr>
    </xdr:pic>
    <xdr:clientData/>
  </xdr:twoCellAnchor>
  <xdr:twoCellAnchor>
    <xdr:from>
      <xdr:col>1</xdr:col>
      <xdr:colOff>47625</xdr:colOff>
      <xdr:row>199</xdr:row>
      <xdr:rowOff>23943</xdr:rowOff>
    </xdr:from>
    <xdr:to>
      <xdr:col>1</xdr:col>
      <xdr:colOff>257937</xdr:colOff>
      <xdr:row>199</xdr:row>
      <xdr:rowOff>161103</xdr:rowOff>
    </xdr:to>
    <xdr:pic>
      <xdr:nvPicPr>
        <xdr:cNvPr id="202" name="Picture 193" descr="http://upload.wikimedia.org/wikipedia/commons/thumb/6/6a/Flag_of_Zimbabwe.svg/22px-Flag_of_Zimbabwe.svg.png"/>
        <xdr:cNvPicPr>
          <a:picLocks noChangeArrowheads="1"/>
        </xdr:cNvPicPr>
      </xdr:nvPicPr>
      <xdr:blipFill>
        <a:blip xmlns:r="http://schemas.openxmlformats.org/officeDocument/2006/relationships" r:embed="rId196" cstate="print"/>
        <a:srcRect/>
        <a:stretch>
          <a:fillRect/>
        </a:stretch>
      </xdr:blipFill>
      <xdr:spPr bwMode="auto">
        <a:xfrm>
          <a:off x="365125" y="38102776"/>
          <a:ext cx="210312" cy="137160"/>
        </a:xfrm>
        <a:prstGeom prst="rect">
          <a:avLst/>
        </a:prstGeom>
        <a:noFill/>
      </xdr:spPr>
    </xdr:pic>
    <xdr:clientData/>
  </xdr:twoCellAnchor>
  <xdr:twoCellAnchor>
    <xdr:from>
      <xdr:col>1</xdr:col>
      <xdr:colOff>38100</xdr:colOff>
      <xdr:row>196</xdr:row>
      <xdr:rowOff>38099</xdr:rowOff>
    </xdr:from>
    <xdr:to>
      <xdr:col>1</xdr:col>
      <xdr:colOff>248412</xdr:colOff>
      <xdr:row>196</xdr:row>
      <xdr:rowOff>175259</xdr:rowOff>
    </xdr:to>
    <xdr:pic>
      <xdr:nvPicPr>
        <xdr:cNvPr id="203" name="Picture 147" descr="http://upload.wikimedia.org/wikipedia/commons/thumb/0/00/Flag_of_Palestine.svg/22px-Flag_of_Palestine.svg.png"/>
        <xdr:cNvPicPr>
          <a:picLocks noChangeArrowheads="1"/>
        </xdr:cNvPicPr>
      </xdr:nvPicPr>
      <xdr:blipFill>
        <a:blip xmlns:r="http://schemas.openxmlformats.org/officeDocument/2006/relationships" r:embed="rId197" cstate="print"/>
        <a:srcRect/>
        <a:stretch>
          <a:fillRect/>
        </a:stretch>
      </xdr:blipFill>
      <xdr:spPr bwMode="auto">
        <a:xfrm>
          <a:off x="355600" y="37545432"/>
          <a:ext cx="210312" cy="137160"/>
        </a:xfrm>
        <a:prstGeom prst="rect">
          <a:avLst/>
        </a:prstGeom>
        <a:noFill/>
      </xdr:spPr>
    </xdr:pic>
    <xdr:clientData/>
  </xdr:twoCellAnchor>
  <xdr:twoCellAnchor>
    <xdr:from>
      <xdr:col>1</xdr:col>
      <xdr:colOff>58198</xdr:colOff>
      <xdr:row>174</xdr:row>
      <xdr:rowOff>28575</xdr:rowOff>
    </xdr:from>
    <xdr:to>
      <xdr:col>1</xdr:col>
      <xdr:colOff>268510</xdr:colOff>
      <xdr:row>174</xdr:row>
      <xdr:rowOff>165735</xdr:rowOff>
    </xdr:to>
    <xdr:pic>
      <xdr:nvPicPr>
        <xdr:cNvPr id="204" name="Picture 28" descr="Republic of China">
          <a:hlinkClick xmlns:r="http://schemas.openxmlformats.org/officeDocument/2006/relationships" r:id="rId198" tooltip="Republic of China"/>
        </xdr:cNvPr>
        <xdr:cNvPicPr>
          <a:picLocks noChangeArrowheads="1"/>
        </xdr:cNvPicPr>
      </xdr:nvPicPr>
      <xdr:blipFill>
        <a:blip xmlns:r="http://schemas.openxmlformats.org/officeDocument/2006/relationships" r:embed="rId199" cstate="print"/>
        <a:srcRect/>
        <a:stretch>
          <a:fillRect/>
        </a:stretch>
      </xdr:blipFill>
      <xdr:spPr bwMode="auto">
        <a:xfrm>
          <a:off x="375698" y="33344908"/>
          <a:ext cx="210312" cy="137160"/>
        </a:xfrm>
        <a:prstGeom prst="rect">
          <a:avLst/>
        </a:prstGeom>
        <a:noFill/>
      </xdr:spPr>
    </xdr:pic>
    <xdr:clientData/>
  </xdr:twoCellAnchor>
  <xdr:twoCellAnchor editAs="absolute">
    <xdr:from>
      <xdr:col>107</xdr:col>
      <xdr:colOff>725488</xdr:colOff>
      <xdr:row>1</xdr:row>
      <xdr:rowOff>85725</xdr:rowOff>
    </xdr:from>
    <xdr:to>
      <xdr:col>121</xdr:col>
      <xdr:colOff>98954</xdr:colOff>
      <xdr:row>4</xdr:row>
      <xdr:rowOff>75142</xdr:rowOff>
    </xdr:to>
    <xdr:sp macro="" textlink="">
      <xdr:nvSpPr>
        <xdr:cNvPr id="27346" name="Text Box 3794" hidden="1"/>
        <xdr:cNvSpPr txBox="1">
          <a:spLocks noChangeArrowheads="1"/>
        </xdr:cNvSpPr>
      </xdr:nvSpPr>
      <xdr:spPr bwMode="auto">
        <a:xfrm>
          <a:off x="58921650" y="276225"/>
          <a:ext cx="7686675" cy="752475"/>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absolute">
    <xdr:from>
      <xdr:col>80</xdr:col>
      <xdr:colOff>295804</xdr:colOff>
      <xdr:row>3</xdr:row>
      <xdr:rowOff>141817</xdr:rowOff>
    </xdr:from>
    <xdr:to>
      <xdr:col>81</xdr:col>
      <xdr:colOff>568855</xdr:colOff>
      <xdr:row>8</xdr:row>
      <xdr:rowOff>141817</xdr:rowOff>
    </xdr:to>
    <xdr:sp macro="" textlink="">
      <xdr:nvSpPr>
        <xdr:cNvPr id="27533" name="Text Box 3981" hidden="1"/>
        <xdr:cNvSpPr txBox="1">
          <a:spLocks noChangeArrowheads="1"/>
        </xdr:cNvSpPr>
      </xdr:nvSpPr>
      <xdr:spPr bwMode="auto">
        <a:xfrm>
          <a:off x="41662350" y="904875"/>
          <a:ext cx="990600" cy="952500"/>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absolute">
    <xdr:from>
      <xdr:col>131</xdr:col>
      <xdr:colOff>384440</xdr:colOff>
      <xdr:row>1</xdr:row>
      <xdr:rowOff>85725</xdr:rowOff>
    </xdr:from>
    <xdr:to>
      <xdr:col>136</xdr:col>
      <xdr:colOff>177006</xdr:colOff>
      <xdr:row>4</xdr:row>
      <xdr:rowOff>170392</xdr:rowOff>
    </xdr:to>
    <xdr:sp macro="" textlink="">
      <xdr:nvSpPr>
        <xdr:cNvPr id="82643" name="Text Box 6867" hidden="1"/>
        <xdr:cNvSpPr txBox="1">
          <a:spLocks noChangeArrowheads="1"/>
        </xdr:cNvSpPr>
      </xdr:nvSpPr>
      <xdr:spPr bwMode="auto">
        <a:xfrm>
          <a:off x="72828150" y="276225"/>
          <a:ext cx="2619375" cy="847725"/>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absolute">
    <xdr:from>
      <xdr:col>104</xdr:col>
      <xdr:colOff>211667</xdr:colOff>
      <xdr:row>1</xdr:row>
      <xdr:rowOff>85725</xdr:rowOff>
    </xdr:from>
    <xdr:to>
      <xdr:col>105</xdr:col>
      <xdr:colOff>0</xdr:colOff>
      <xdr:row>4</xdr:row>
      <xdr:rowOff>75142</xdr:rowOff>
    </xdr:to>
    <xdr:sp macro="" textlink="">
      <xdr:nvSpPr>
        <xdr:cNvPr id="82644" name="Text Box 6868" hidden="1"/>
        <xdr:cNvSpPr txBox="1">
          <a:spLocks noChangeArrowheads="1"/>
        </xdr:cNvSpPr>
      </xdr:nvSpPr>
      <xdr:spPr bwMode="auto">
        <a:xfrm>
          <a:off x="57445275" y="276225"/>
          <a:ext cx="304800" cy="752475"/>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absolute">
    <xdr:from>
      <xdr:col>106</xdr:col>
      <xdr:colOff>25136</xdr:colOff>
      <xdr:row>4</xdr:row>
      <xdr:rowOff>46567</xdr:rowOff>
    </xdr:from>
    <xdr:to>
      <xdr:col>110</xdr:col>
      <xdr:colOff>286544</xdr:colOff>
      <xdr:row>9</xdr:row>
      <xdr:rowOff>46567</xdr:rowOff>
    </xdr:to>
    <xdr:sp macro="" textlink="">
      <xdr:nvSpPr>
        <xdr:cNvPr id="82651" name="Text Box 6875" hidden="1"/>
        <xdr:cNvSpPr txBox="1">
          <a:spLocks noChangeArrowheads="1"/>
        </xdr:cNvSpPr>
      </xdr:nvSpPr>
      <xdr:spPr bwMode="auto">
        <a:xfrm>
          <a:off x="57778650" y="1000125"/>
          <a:ext cx="2390775" cy="952500"/>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absolute">
    <xdr:from>
      <xdr:col>99</xdr:col>
      <xdr:colOff>555625</xdr:colOff>
      <xdr:row>1</xdr:row>
      <xdr:rowOff>85725</xdr:rowOff>
    </xdr:from>
    <xdr:to>
      <xdr:col>100</xdr:col>
      <xdr:colOff>331787</xdr:colOff>
      <xdr:row>4</xdr:row>
      <xdr:rowOff>17992</xdr:rowOff>
    </xdr:to>
    <xdr:sp macro="" textlink="">
      <xdr:nvSpPr>
        <xdr:cNvPr id="180256" name="Text Box 57376" hidden="1"/>
        <xdr:cNvSpPr txBox="1">
          <a:spLocks noChangeArrowheads="1"/>
        </xdr:cNvSpPr>
      </xdr:nvSpPr>
      <xdr:spPr bwMode="auto">
        <a:xfrm>
          <a:off x="54425850" y="276225"/>
          <a:ext cx="352425" cy="695325"/>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22</xdr:col>
      <xdr:colOff>200025</xdr:colOff>
      <xdr:row>1</xdr:row>
      <xdr:rowOff>38099</xdr:rowOff>
    </xdr:from>
    <xdr:to>
      <xdr:col>27</xdr:col>
      <xdr:colOff>443865</xdr:colOff>
      <xdr:row>10</xdr:row>
      <xdr:rowOff>152399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552449</xdr:colOff>
      <xdr:row>3</xdr:row>
      <xdr:rowOff>19050</xdr:rowOff>
    </xdr:from>
    <xdr:to>
      <xdr:col>27</xdr:col>
      <xdr:colOff>339089</xdr:colOff>
      <xdr:row>4</xdr:row>
      <xdr:rowOff>85725</xdr:rowOff>
    </xdr:to>
    <xdr:grpSp>
      <xdr:nvGrpSpPr>
        <xdr:cNvPr id="6" name="Group 5"/>
        <xdr:cNvGrpSpPr/>
      </xdr:nvGrpSpPr>
      <xdr:grpSpPr>
        <a:xfrm>
          <a:off x="7753349" y="590550"/>
          <a:ext cx="2834640" cy="257175"/>
          <a:chOff x="3000374" y="457200"/>
          <a:chExt cx="2834640" cy="257175"/>
        </a:xfrm>
      </xdr:grpSpPr>
      <xdr:cxnSp macro="">
        <xdr:nvCxnSpPr>
          <xdr:cNvPr id="4" name="Straight Connector 3"/>
          <xdr:cNvCxnSpPr/>
        </xdr:nvCxnSpPr>
        <xdr:spPr>
          <a:xfrm>
            <a:off x="3000374" y="704850"/>
            <a:ext cx="2834640" cy="9525"/>
          </a:xfrm>
          <a:prstGeom prst="line">
            <a:avLst/>
          </a:prstGeom>
          <a:ln>
            <a:solidFill>
              <a:srgbClr val="0000CC"/>
            </a:solidFill>
            <a:prstDash val="lgDash"/>
          </a:ln>
        </xdr:spPr>
        <xdr:style>
          <a:lnRef idx="1">
            <a:schemeClr val="accent1"/>
          </a:lnRef>
          <a:fillRef idx="0">
            <a:schemeClr val="accent1"/>
          </a:fillRef>
          <a:effectRef idx="0">
            <a:schemeClr val="accent1"/>
          </a:effectRef>
          <a:fontRef idx="minor">
            <a:schemeClr val="tx1"/>
          </a:fontRef>
        </xdr:style>
      </xdr:cxnSp>
      <xdr:sp macro="" textlink="">
        <xdr:nvSpPr>
          <xdr:cNvPr id="5" name="TextBox 4"/>
          <xdr:cNvSpPr txBox="1"/>
        </xdr:nvSpPr>
        <xdr:spPr>
          <a:xfrm>
            <a:off x="5261754" y="457200"/>
            <a:ext cx="569450" cy="250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r"/>
            <a:r>
              <a:rPr lang="en-US" sz="800"/>
              <a:t>Avg = 79.6</a:t>
            </a:r>
          </a:p>
          <a:p>
            <a:pPr algn="r"/>
            <a:r>
              <a:rPr lang="en-US" sz="800"/>
              <a:t>168 countries</a:t>
            </a:r>
          </a:p>
        </xdr:txBody>
      </xdr:sp>
    </xdr:grpSp>
    <xdr:clientData/>
  </xdr:twoCellAnchor>
  <xdr:twoCellAnchor>
    <xdr:from>
      <xdr:col>22</xdr:col>
      <xdr:colOff>214313</xdr:colOff>
      <xdr:row>12</xdr:row>
      <xdr:rowOff>76199</xdr:rowOff>
    </xdr:from>
    <xdr:to>
      <xdr:col>27</xdr:col>
      <xdr:colOff>458153</xdr:colOff>
      <xdr:row>21</xdr:row>
      <xdr:rowOff>190499</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185738</xdr:colOff>
      <xdr:row>62</xdr:row>
      <xdr:rowOff>47625</xdr:rowOff>
    </xdr:from>
    <xdr:to>
      <xdr:col>26</xdr:col>
      <xdr:colOff>490538</xdr:colOff>
      <xdr:row>71</xdr:row>
      <xdr:rowOff>161925</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204787</xdr:colOff>
      <xdr:row>51</xdr:row>
      <xdr:rowOff>47625</xdr:rowOff>
    </xdr:from>
    <xdr:to>
      <xdr:col>26</xdr:col>
      <xdr:colOff>509587</xdr:colOff>
      <xdr:row>60</xdr:row>
      <xdr:rowOff>161925</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552450</xdr:colOff>
      <xdr:row>52</xdr:row>
      <xdr:rowOff>171449</xdr:rowOff>
    </xdr:from>
    <xdr:to>
      <xdr:col>26</xdr:col>
      <xdr:colOff>400050</xdr:colOff>
      <xdr:row>54</xdr:row>
      <xdr:rowOff>40902</xdr:rowOff>
    </xdr:to>
    <xdr:grpSp>
      <xdr:nvGrpSpPr>
        <xdr:cNvPr id="11" name="Group 10"/>
        <xdr:cNvGrpSpPr/>
      </xdr:nvGrpSpPr>
      <xdr:grpSpPr>
        <a:xfrm>
          <a:off x="7753350" y="10077449"/>
          <a:ext cx="2286000" cy="250453"/>
          <a:chOff x="3076574" y="590549"/>
          <a:chExt cx="2286000" cy="250453"/>
        </a:xfrm>
      </xdr:grpSpPr>
      <xdr:cxnSp macro="">
        <xdr:nvCxnSpPr>
          <xdr:cNvPr id="12" name="Straight Connector 11"/>
          <xdr:cNvCxnSpPr/>
        </xdr:nvCxnSpPr>
        <xdr:spPr>
          <a:xfrm>
            <a:off x="3076574" y="828675"/>
            <a:ext cx="2286000" cy="9525"/>
          </a:xfrm>
          <a:prstGeom prst="line">
            <a:avLst/>
          </a:prstGeom>
          <a:ln>
            <a:solidFill>
              <a:srgbClr val="0000CC"/>
            </a:solidFill>
            <a:prstDash val="lgDash"/>
          </a:ln>
        </xdr:spPr>
        <xdr:style>
          <a:lnRef idx="1">
            <a:schemeClr val="accent1"/>
          </a:lnRef>
          <a:fillRef idx="0">
            <a:schemeClr val="accent1"/>
          </a:fillRef>
          <a:effectRef idx="0">
            <a:schemeClr val="accent1"/>
          </a:effectRef>
          <a:fontRef idx="minor">
            <a:schemeClr val="tx1"/>
          </a:fontRef>
        </xdr:style>
      </xdr:cxnSp>
      <xdr:sp macro="" textlink="">
        <xdr:nvSpPr>
          <xdr:cNvPr id="13" name="TextBox 12"/>
          <xdr:cNvSpPr txBox="1"/>
        </xdr:nvSpPr>
        <xdr:spPr>
          <a:xfrm>
            <a:off x="3114674" y="590549"/>
            <a:ext cx="632481" cy="250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800"/>
              <a:t>Avg = 82.6</a:t>
            </a:r>
          </a:p>
          <a:p>
            <a:r>
              <a:rPr lang="en-US" sz="800"/>
              <a:t>198 economies</a:t>
            </a:r>
          </a:p>
        </xdr:txBody>
      </xdr:sp>
    </xdr:grpSp>
    <xdr:clientData/>
  </xdr:twoCellAnchor>
  <xdr:twoCellAnchor>
    <xdr:from>
      <xdr:col>22</xdr:col>
      <xdr:colOff>214313</xdr:colOff>
      <xdr:row>24</xdr:row>
      <xdr:rowOff>57149</xdr:rowOff>
    </xdr:from>
    <xdr:to>
      <xdr:col>27</xdr:col>
      <xdr:colOff>458153</xdr:colOff>
      <xdr:row>33</xdr:row>
      <xdr:rowOff>171449</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24</xdr:col>
      <xdr:colOff>447675</xdr:colOff>
      <xdr:row>14</xdr:row>
      <xdr:rowOff>28575</xdr:rowOff>
    </xdr:from>
    <xdr:to>
      <xdr:col>26</xdr:col>
      <xdr:colOff>0</xdr:colOff>
      <xdr:row>15</xdr:row>
      <xdr:rowOff>88528</xdr:rowOff>
    </xdr:to>
    <xdr:sp macro="" textlink="">
      <xdr:nvSpPr>
        <xdr:cNvPr id="15" name="TextBox 14"/>
        <xdr:cNvSpPr txBox="1"/>
      </xdr:nvSpPr>
      <xdr:spPr>
        <a:xfrm>
          <a:off x="4029075" y="2886075"/>
          <a:ext cx="771525" cy="250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r>
            <a:rPr lang="en-US" sz="800"/>
            <a:t>Total = 172,425</a:t>
          </a:r>
        </a:p>
        <a:p>
          <a:pPr algn="ctr"/>
          <a:r>
            <a:rPr lang="en-US" sz="800"/>
            <a:t>168 countries</a:t>
          </a:r>
        </a:p>
      </xdr:txBody>
    </xdr:sp>
    <xdr:clientData/>
  </xdr:twoCellAnchor>
  <xdr:twoCellAnchor>
    <xdr:from>
      <xdr:col>24</xdr:col>
      <xdr:colOff>504825</xdr:colOff>
      <xdr:row>25</xdr:row>
      <xdr:rowOff>180975</xdr:rowOff>
    </xdr:from>
    <xdr:to>
      <xdr:col>26</xdr:col>
      <xdr:colOff>57150</xdr:colOff>
      <xdr:row>27</xdr:row>
      <xdr:rowOff>50428</xdr:rowOff>
    </xdr:to>
    <xdr:sp macro="" textlink="">
      <xdr:nvSpPr>
        <xdr:cNvPr id="16" name="TextBox 15"/>
        <xdr:cNvSpPr txBox="1"/>
      </xdr:nvSpPr>
      <xdr:spPr>
        <a:xfrm>
          <a:off x="4086225" y="5324475"/>
          <a:ext cx="771525" cy="250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r>
            <a:rPr lang="en-US" sz="800"/>
            <a:t>Total = 303,977</a:t>
          </a:r>
        </a:p>
        <a:p>
          <a:pPr algn="ctr"/>
          <a:r>
            <a:rPr lang="en-US" sz="800"/>
            <a:t>168 countries</a:t>
          </a:r>
        </a:p>
      </xdr:txBody>
    </xdr:sp>
    <xdr:clientData/>
  </xdr:twoCellAnchor>
  <xdr:twoCellAnchor>
    <xdr:from>
      <xdr:col>22</xdr:col>
      <xdr:colOff>214313</xdr:colOff>
      <xdr:row>36</xdr:row>
      <xdr:rowOff>57149</xdr:rowOff>
    </xdr:from>
    <xdr:to>
      <xdr:col>27</xdr:col>
      <xdr:colOff>458153</xdr:colOff>
      <xdr:row>45</xdr:row>
      <xdr:rowOff>171449</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485775</xdr:colOff>
      <xdr:row>37</xdr:row>
      <xdr:rowOff>180975</xdr:rowOff>
    </xdr:from>
    <xdr:to>
      <xdr:col>26</xdr:col>
      <xdr:colOff>38100</xdr:colOff>
      <xdr:row>39</xdr:row>
      <xdr:rowOff>50428</xdr:rowOff>
    </xdr:to>
    <xdr:sp macro="" textlink="">
      <xdr:nvSpPr>
        <xdr:cNvPr id="18" name="TextBox 17"/>
        <xdr:cNvSpPr txBox="1"/>
      </xdr:nvSpPr>
      <xdr:spPr>
        <a:xfrm>
          <a:off x="4067175" y="7800975"/>
          <a:ext cx="771525" cy="250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r>
            <a:rPr lang="en-US" sz="800"/>
            <a:t>Total = 1,403,828</a:t>
          </a:r>
        </a:p>
        <a:p>
          <a:pPr algn="ctr"/>
          <a:r>
            <a:rPr lang="en-US" sz="800"/>
            <a:t>168 countries</a:t>
          </a:r>
        </a:p>
      </xdr:txBody>
    </xdr:sp>
    <xdr:clientData/>
  </xdr:twoCellAnchor>
  <xdr:twoCellAnchor>
    <xdr:from>
      <xdr:col>22</xdr:col>
      <xdr:colOff>185738</xdr:colOff>
      <xdr:row>73</xdr:row>
      <xdr:rowOff>47625</xdr:rowOff>
    </xdr:from>
    <xdr:to>
      <xdr:col>26</xdr:col>
      <xdr:colOff>490538</xdr:colOff>
      <xdr:row>82</xdr:row>
      <xdr:rowOff>161925</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185738</xdr:colOff>
      <xdr:row>84</xdr:row>
      <xdr:rowOff>47625</xdr:rowOff>
    </xdr:from>
    <xdr:to>
      <xdr:col>26</xdr:col>
      <xdr:colOff>490538</xdr:colOff>
      <xdr:row>93</xdr:row>
      <xdr:rowOff>161925</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25</xdr:col>
      <xdr:colOff>219075</xdr:colOff>
      <xdr:row>64</xdr:row>
      <xdr:rowOff>0</xdr:rowOff>
    </xdr:from>
    <xdr:to>
      <xdr:col>26</xdr:col>
      <xdr:colOff>381000</xdr:colOff>
      <xdr:row>65</xdr:row>
      <xdr:rowOff>59953</xdr:rowOff>
    </xdr:to>
    <xdr:sp macro="" textlink="">
      <xdr:nvSpPr>
        <xdr:cNvPr id="21" name="TextBox 20"/>
        <xdr:cNvSpPr txBox="1"/>
      </xdr:nvSpPr>
      <xdr:spPr>
        <a:xfrm>
          <a:off x="9248775" y="12192000"/>
          <a:ext cx="771525" cy="250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r>
            <a:rPr lang="en-US" sz="800"/>
            <a:t>Total = 172,428</a:t>
          </a:r>
        </a:p>
        <a:p>
          <a:pPr algn="ctr"/>
          <a:r>
            <a:rPr lang="en-US" sz="800"/>
            <a:t>198 economies</a:t>
          </a:r>
        </a:p>
      </xdr:txBody>
    </xdr:sp>
    <xdr:clientData/>
  </xdr:twoCellAnchor>
  <xdr:twoCellAnchor>
    <xdr:from>
      <xdr:col>25</xdr:col>
      <xdr:colOff>247650</xdr:colOff>
      <xdr:row>75</xdr:row>
      <xdr:rowOff>180975</xdr:rowOff>
    </xdr:from>
    <xdr:to>
      <xdr:col>26</xdr:col>
      <xdr:colOff>409575</xdr:colOff>
      <xdr:row>77</xdr:row>
      <xdr:rowOff>50428</xdr:rowOff>
    </xdr:to>
    <xdr:sp macro="" textlink="">
      <xdr:nvSpPr>
        <xdr:cNvPr id="22" name="TextBox 21"/>
        <xdr:cNvSpPr txBox="1"/>
      </xdr:nvSpPr>
      <xdr:spPr>
        <a:xfrm>
          <a:off x="9277350" y="14468475"/>
          <a:ext cx="771525" cy="250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r>
            <a:rPr lang="en-US" sz="800"/>
            <a:t>Total = 303,984</a:t>
          </a:r>
        </a:p>
        <a:p>
          <a:pPr algn="ctr"/>
          <a:r>
            <a:rPr lang="en-US" sz="800"/>
            <a:t>198 economies</a:t>
          </a:r>
        </a:p>
      </xdr:txBody>
    </xdr:sp>
    <xdr:clientData/>
  </xdr:twoCellAnchor>
  <xdr:twoCellAnchor>
    <xdr:from>
      <xdr:col>25</xdr:col>
      <xdr:colOff>219075</xdr:colOff>
      <xdr:row>86</xdr:row>
      <xdr:rowOff>104775</xdr:rowOff>
    </xdr:from>
    <xdr:to>
      <xdr:col>26</xdr:col>
      <xdr:colOff>381000</xdr:colOff>
      <xdr:row>87</xdr:row>
      <xdr:rowOff>164728</xdr:rowOff>
    </xdr:to>
    <xdr:sp macro="" textlink="">
      <xdr:nvSpPr>
        <xdr:cNvPr id="23" name="TextBox 22"/>
        <xdr:cNvSpPr txBox="1"/>
      </xdr:nvSpPr>
      <xdr:spPr>
        <a:xfrm>
          <a:off x="4467225" y="16487775"/>
          <a:ext cx="771525" cy="250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r>
            <a:rPr lang="en-US" sz="800"/>
            <a:t>Total = 1,494,362</a:t>
          </a:r>
        </a:p>
        <a:p>
          <a:pPr algn="ctr"/>
          <a:r>
            <a:rPr lang="en-US" sz="800"/>
            <a:t>198 economies</a:t>
          </a:r>
        </a:p>
      </xdr:txBody>
    </xdr:sp>
    <xdr:clientData/>
  </xdr:twoCellAnchor>
  <mc:AlternateContent xmlns:mc="http://schemas.openxmlformats.org/markup-compatibility/2006">
    <mc:Choice xmlns:a14="http://schemas.microsoft.com/office/drawing/2010/main" Requires="a14">
      <xdr:twoCellAnchor editAs="oneCell">
        <xdr:from>
          <xdr:col>82</xdr:col>
          <xdr:colOff>9525</xdr:colOff>
          <xdr:row>11</xdr:row>
          <xdr:rowOff>171450</xdr:rowOff>
        </xdr:from>
        <xdr:to>
          <xdr:col>83</xdr:col>
          <xdr:colOff>19050</xdr:colOff>
          <xdr:row>12</xdr:row>
          <xdr:rowOff>180975</xdr:rowOff>
        </xdr:to>
        <xdr:sp macro="" textlink="">
          <xdr:nvSpPr>
            <xdr:cNvPr id="145441" name="Drop Down 33" hidden="1">
              <a:extLst>
                <a:ext uri="{63B3BB69-23CF-44E3-9099-C40C66FF867C}">
                  <a14:compatExt spid="_x0000_s1454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82</xdr:col>
      <xdr:colOff>47625</xdr:colOff>
      <xdr:row>26</xdr:row>
      <xdr:rowOff>38100</xdr:rowOff>
    </xdr:from>
    <xdr:to>
      <xdr:col>88</xdr:col>
      <xdr:colOff>255270</xdr:colOff>
      <xdr:row>34</xdr:row>
      <xdr:rowOff>160020</xdr:rowOff>
    </xdr:to>
    <xdr:graphicFrame macro="">
      <xdr:nvGraphicFramePr>
        <xdr:cNvPr id="33" name="Chart 32" title="Income level distribution of indicator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90</xdr:col>
      <xdr:colOff>38100</xdr:colOff>
      <xdr:row>26</xdr:row>
      <xdr:rowOff>38100</xdr:rowOff>
    </xdr:from>
    <xdr:to>
      <xdr:col>97</xdr:col>
      <xdr:colOff>0</xdr:colOff>
      <xdr:row>34</xdr:row>
      <xdr:rowOff>160020</xdr:rowOff>
    </xdr:to>
    <xdr:graphicFrame macro="">
      <xdr:nvGraphicFramePr>
        <xdr:cNvPr id="3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mc:AlternateContent xmlns:mc="http://schemas.openxmlformats.org/markup-compatibility/2006">
    <mc:Choice xmlns:a14="http://schemas.microsoft.com/office/drawing/2010/main" Requires="a14">
      <xdr:twoCellAnchor>
        <xdr:from>
          <xdr:col>83</xdr:col>
          <xdr:colOff>66675</xdr:colOff>
          <xdr:row>11</xdr:row>
          <xdr:rowOff>171450</xdr:rowOff>
        </xdr:from>
        <xdr:to>
          <xdr:col>83</xdr:col>
          <xdr:colOff>295275</xdr:colOff>
          <xdr:row>12</xdr:row>
          <xdr:rowOff>171450</xdr:rowOff>
        </xdr:to>
        <xdr:sp macro="" textlink="">
          <xdr:nvSpPr>
            <xdr:cNvPr id="145442" name="Spinner 34" hidden="1">
              <a:extLst>
                <a:ext uri="{63B3BB69-23CF-44E3-9099-C40C66FF867C}">
                  <a14:compatExt spid="_x0000_s145442"/>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30</xdr:col>
      <xdr:colOff>66675</xdr:colOff>
      <xdr:row>2</xdr:row>
      <xdr:rowOff>38097</xdr:rowOff>
    </xdr:from>
    <xdr:to>
      <xdr:col>36</xdr:col>
      <xdr:colOff>32385</xdr:colOff>
      <xdr:row>28</xdr:row>
      <xdr:rowOff>22857</xdr:rowOff>
    </xdr:to>
    <xdr:graphicFrame macro="">
      <xdr:nvGraphicFramePr>
        <xdr:cNvPr id="35"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82</xdr:col>
      <xdr:colOff>38100</xdr:colOff>
      <xdr:row>36</xdr:row>
      <xdr:rowOff>28575</xdr:rowOff>
    </xdr:from>
    <xdr:to>
      <xdr:col>88</xdr:col>
      <xdr:colOff>428625</xdr:colOff>
      <xdr:row>44</xdr:row>
      <xdr:rowOff>150495</xdr:rowOff>
    </xdr:to>
    <xdr:graphicFrame macro="">
      <xdr:nvGraphicFramePr>
        <xdr:cNvPr id="56" name="Chart 55" title="Income level distribution of indicator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90</xdr:col>
      <xdr:colOff>47625</xdr:colOff>
      <xdr:row>36</xdr:row>
      <xdr:rowOff>38100</xdr:rowOff>
    </xdr:from>
    <xdr:to>
      <xdr:col>98</xdr:col>
      <xdr:colOff>20955</xdr:colOff>
      <xdr:row>44</xdr:row>
      <xdr:rowOff>160020</xdr:rowOff>
    </xdr:to>
    <xdr:graphicFrame macro="">
      <xdr:nvGraphicFramePr>
        <xdr:cNvPr id="57" name="Chart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82</xdr:col>
      <xdr:colOff>38100</xdr:colOff>
      <xdr:row>46</xdr:row>
      <xdr:rowOff>28575</xdr:rowOff>
    </xdr:from>
    <xdr:to>
      <xdr:col>89</xdr:col>
      <xdr:colOff>106680</xdr:colOff>
      <xdr:row>54</xdr:row>
      <xdr:rowOff>150495</xdr:rowOff>
    </xdr:to>
    <xdr:graphicFrame macro="">
      <xdr:nvGraphicFramePr>
        <xdr:cNvPr id="58" name="Chart 57" title="Income level distribution of indicator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90</xdr:col>
      <xdr:colOff>38100</xdr:colOff>
      <xdr:row>46</xdr:row>
      <xdr:rowOff>28575</xdr:rowOff>
    </xdr:from>
    <xdr:to>
      <xdr:col>99</xdr:col>
      <xdr:colOff>13335</xdr:colOff>
      <xdr:row>54</xdr:row>
      <xdr:rowOff>150495</xdr:rowOff>
    </xdr:to>
    <xdr:graphicFrame macro="">
      <xdr:nvGraphicFramePr>
        <xdr:cNvPr id="59" name="Chart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61</xdr:col>
      <xdr:colOff>19050</xdr:colOff>
      <xdr:row>12</xdr:row>
      <xdr:rowOff>28575</xdr:rowOff>
    </xdr:from>
    <xdr:to>
      <xdr:col>70</xdr:col>
      <xdr:colOff>215265</xdr:colOff>
      <xdr:row>20</xdr:row>
      <xdr:rowOff>150495</xdr:rowOff>
    </xdr:to>
    <xdr:graphicFrame macro="">
      <xdr:nvGraphicFramePr>
        <xdr:cNvPr id="38" name="Chart 37" title="Income level distribution of indicator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61</xdr:col>
      <xdr:colOff>9525</xdr:colOff>
      <xdr:row>21</xdr:row>
      <xdr:rowOff>19050</xdr:rowOff>
    </xdr:from>
    <xdr:to>
      <xdr:col>72</xdr:col>
      <xdr:colOff>194310</xdr:colOff>
      <xdr:row>29</xdr:row>
      <xdr:rowOff>140970</xdr:rowOff>
    </xdr:to>
    <xdr:graphicFrame macro="">
      <xdr:nvGraphicFramePr>
        <xdr:cNvPr id="39"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61</xdr:col>
      <xdr:colOff>19050</xdr:colOff>
      <xdr:row>44</xdr:row>
      <xdr:rowOff>28575</xdr:rowOff>
    </xdr:from>
    <xdr:to>
      <xdr:col>71</xdr:col>
      <xdr:colOff>352425</xdr:colOff>
      <xdr:row>52</xdr:row>
      <xdr:rowOff>150495</xdr:rowOff>
    </xdr:to>
    <xdr:graphicFrame macro="">
      <xdr:nvGraphicFramePr>
        <xdr:cNvPr id="40" name="Chart 39" title="Income level distribution of indicator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61</xdr:col>
      <xdr:colOff>19050</xdr:colOff>
      <xdr:row>53</xdr:row>
      <xdr:rowOff>28575</xdr:rowOff>
    </xdr:from>
    <xdr:to>
      <xdr:col>73</xdr:col>
      <xdr:colOff>255270</xdr:colOff>
      <xdr:row>61</xdr:row>
      <xdr:rowOff>150495</xdr:rowOff>
    </xdr:to>
    <xdr:graphicFrame macro="">
      <xdr:nvGraphicFramePr>
        <xdr:cNvPr id="41"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82</xdr:col>
      <xdr:colOff>38100</xdr:colOff>
      <xdr:row>16</xdr:row>
      <xdr:rowOff>38100</xdr:rowOff>
    </xdr:from>
    <xdr:to>
      <xdr:col>88</xdr:col>
      <xdr:colOff>62865</xdr:colOff>
      <xdr:row>24</xdr:row>
      <xdr:rowOff>160020</xdr:rowOff>
    </xdr:to>
    <xdr:graphicFrame macro="">
      <xdr:nvGraphicFramePr>
        <xdr:cNvPr id="44" name="Chart 43" title="Income level distribution of indicator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90</xdr:col>
      <xdr:colOff>28575</xdr:colOff>
      <xdr:row>16</xdr:row>
      <xdr:rowOff>38100</xdr:rowOff>
    </xdr:from>
    <xdr:to>
      <xdr:col>96</xdr:col>
      <xdr:colOff>369570</xdr:colOff>
      <xdr:row>24</xdr:row>
      <xdr:rowOff>160020</xdr:rowOff>
    </xdr:to>
    <xdr:graphicFrame macro="">
      <xdr:nvGraphicFramePr>
        <xdr:cNvPr id="47"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mc:AlternateContent xmlns:mc="http://schemas.openxmlformats.org/markup-compatibility/2006">
    <mc:Choice xmlns:a14="http://schemas.microsoft.com/office/drawing/2010/main" Requires="a14">
      <xdr:twoCellAnchor editAs="oneCell">
        <xdr:from>
          <xdr:col>82</xdr:col>
          <xdr:colOff>9525</xdr:colOff>
          <xdr:row>9</xdr:row>
          <xdr:rowOff>152400</xdr:rowOff>
        </xdr:from>
        <xdr:to>
          <xdr:col>87</xdr:col>
          <xdr:colOff>228600</xdr:colOff>
          <xdr:row>11</xdr:row>
          <xdr:rowOff>47625</xdr:rowOff>
        </xdr:to>
        <xdr:sp macro="" textlink="">
          <xdr:nvSpPr>
            <xdr:cNvPr id="145443" name="Check Box 35" hidden="1">
              <a:extLst>
                <a:ext uri="{63B3BB69-23CF-44E3-9099-C40C66FF867C}">
                  <a14:compatExt spid="_x0000_s145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Without small states (population &lt; 500k)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0</xdr:row>
          <xdr:rowOff>19050</xdr:rowOff>
        </xdr:from>
        <xdr:to>
          <xdr:col>46</xdr:col>
          <xdr:colOff>228600</xdr:colOff>
          <xdr:row>1</xdr:row>
          <xdr:rowOff>28575</xdr:rowOff>
        </xdr:to>
        <xdr:sp macro="" textlink="">
          <xdr:nvSpPr>
            <xdr:cNvPr id="145444" name="Check Box 36" hidden="1">
              <a:extLst>
                <a:ext uri="{63B3BB69-23CF-44E3-9099-C40C66FF867C}">
                  <a14:compatExt spid="_x0000_s145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Without small states (population &lt; 500k)</a:t>
              </a:r>
            </a:p>
          </xdr:txBody>
        </xdr:sp>
        <xdr:clientData/>
      </xdr:twoCellAnchor>
    </mc:Choice>
    <mc:Fallback/>
  </mc:AlternateContent>
  <xdr:twoCellAnchor>
    <xdr:from>
      <xdr:col>61</xdr:col>
      <xdr:colOff>19050</xdr:colOff>
      <xdr:row>75</xdr:row>
      <xdr:rowOff>28575</xdr:rowOff>
    </xdr:from>
    <xdr:to>
      <xdr:col>70</xdr:col>
      <xdr:colOff>215265</xdr:colOff>
      <xdr:row>83</xdr:row>
      <xdr:rowOff>150495</xdr:rowOff>
    </xdr:to>
    <xdr:graphicFrame macro="">
      <xdr:nvGraphicFramePr>
        <xdr:cNvPr id="42" name="Chart 41" title="Income level distribution of indicator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61</xdr:col>
      <xdr:colOff>19050</xdr:colOff>
      <xdr:row>84</xdr:row>
      <xdr:rowOff>28575</xdr:rowOff>
    </xdr:from>
    <xdr:to>
      <xdr:col>72</xdr:col>
      <xdr:colOff>203835</xdr:colOff>
      <xdr:row>92</xdr:row>
      <xdr:rowOff>150495</xdr:rowOff>
    </xdr:to>
    <xdr:graphicFrame macro="">
      <xdr:nvGraphicFramePr>
        <xdr:cNvPr id="43" name="Chart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129</xdr:col>
      <xdr:colOff>42862</xdr:colOff>
      <xdr:row>2</xdr:row>
      <xdr:rowOff>42862</xdr:rowOff>
    </xdr:from>
    <xdr:to>
      <xdr:col>136</xdr:col>
      <xdr:colOff>347662</xdr:colOff>
      <xdr:row>15</xdr:row>
      <xdr:rowOff>126682</xdr:rowOff>
    </xdr:to>
    <xdr:graphicFrame macro="">
      <xdr:nvGraphicFramePr>
        <xdr:cNvPr id="25" name="Chart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130</xdr:col>
      <xdr:colOff>180109</xdr:colOff>
      <xdr:row>5</xdr:row>
      <xdr:rowOff>58880</xdr:rowOff>
    </xdr:from>
    <xdr:to>
      <xdr:col>136</xdr:col>
      <xdr:colOff>180109</xdr:colOff>
      <xdr:row>12</xdr:row>
      <xdr:rowOff>99579</xdr:rowOff>
    </xdr:to>
    <xdr:grpSp>
      <xdr:nvGrpSpPr>
        <xdr:cNvPr id="29" name="Group 28"/>
        <xdr:cNvGrpSpPr/>
      </xdr:nvGrpSpPr>
      <xdr:grpSpPr>
        <a:xfrm>
          <a:off x="48805234" y="1011380"/>
          <a:ext cx="3657600" cy="1374199"/>
          <a:chOff x="47901225" y="907472"/>
          <a:chExt cx="3657600" cy="1374199"/>
        </a:xfrm>
      </xdr:grpSpPr>
      <xdr:cxnSp macro="">
        <xdr:nvCxnSpPr>
          <xdr:cNvPr id="10" name="Straight Connector 9"/>
          <xdr:cNvCxnSpPr/>
        </xdr:nvCxnSpPr>
        <xdr:spPr>
          <a:xfrm flipV="1">
            <a:off x="49349025" y="1121351"/>
            <a:ext cx="180975" cy="0"/>
          </a:xfrm>
          <a:prstGeom prst="line">
            <a:avLst/>
          </a:prstGeom>
          <a:ln>
            <a:solidFill>
              <a:srgbClr val="0000CC"/>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45" name="Straight Connector 44"/>
          <xdr:cNvCxnSpPr/>
        </xdr:nvCxnSpPr>
        <xdr:spPr>
          <a:xfrm flipV="1">
            <a:off x="47901225" y="2087707"/>
            <a:ext cx="180975" cy="0"/>
          </a:xfrm>
          <a:prstGeom prst="line">
            <a:avLst/>
          </a:prstGeom>
          <a:ln>
            <a:solidFill>
              <a:srgbClr val="0000CC"/>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46" name="Straight Connector 45"/>
          <xdr:cNvCxnSpPr/>
        </xdr:nvCxnSpPr>
        <xdr:spPr>
          <a:xfrm flipV="1">
            <a:off x="48121116" y="2281671"/>
            <a:ext cx="180975" cy="0"/>
          </a:xfrm>
          <a:prstGeom prst="line">
            <a:avLst/>
          </a:prstGeom>
          <a:ln>
            <a:solidFill>
              <a:srgbClr val="0000CC"/>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48" name="Straight Connector 47"/>
          <xdr:cNvCxnSpPr/>
        </xdr:nvCxnSpPr>
        <xdr:spPr>
          <a:xfrm flipV="1">
            <a:off x="48348900" y="1781175"/>
            <a:ext cx="180975" cy="0"/>
          </a:xfrm>
          <a:prstGeom prst="line">
            <a:avLst/>
          </a:prstGeom>
          <a:ln>
            <a:solidFill>
              <a:srgbClr val="0000CC"/>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49" name="Straight Connector 48"/>
          <xdr:cNvCxnSpPr/>
        </xdr:nvCxnSpPr>
        <xdr:spPr>
          <a:xfrm flipV="1">
            <a:off x="48910875" y="2225387"/>
            <a:ext cx="180975" cy="0"/>
          </a:xfrm>
          <a:prstGeom prst="line">
            <a:avLst/>
          </a:prstGeom>
          <a:ln>
            <a:solidFill>
              <a:srgbClr val="0000CC"/>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50" name="Straight Connector 49"/>
          <xdr:cNvCxnSpPr/>
        </xdr:nvCxnSpPr>
        <xdr:spPr>
          <a:xfrm flipV="1">
            <a:off x="49930050" y="2273012"/>
            <a:ext cx="180975" cy="0"/>
          </a:xfrm>
          <a:prstGeom prst="line">
            <a:avLst/>
          </a:prstGeom>
          <a:ln>
            <a:solidFill>
              <a:srgbClr val="0000CC"/>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51" name="Straight Connector 50"/>
          <xdr:cNvCxnSpPr/>
        </xdr:nvCxnSpPr>
        <xdr:spPr>
          <a:xfrm flipV="1">
            <a:off x="50149125" y="2130136"/>
            <a:ext cx="180975" cy="0"/>
          </a:xfrm>
          <a:prstGeom prst="line">
            <a:avLst/>
          </a:prstGeom>
          <a:ln>
            <a:solidFill>
              <a:srgbClr val="0000CC"/>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52" name="Straight Connector 51"/>
          <xdr:cNvCxnSpPr/>
        </xdr:nvCxnSpPr>
        <xdr:spPr>
          <a:xfrm flipV="1">
            <a:off x="50368200" y="907472"/>
            <a:ext cx="180975" cy="0"/>
          </a:xfrm>
          <a:prstGeom prst="line">
            <a:avLst/>
          </a:prstGeom>
          <a:ln>
            <a:solidFill>
              <a:srgbClr val="0000CC"/>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53" name="Straight Connector 52"/>
          <xdr:cNvCxnSpPr/>
        </xdr:nvCxnSpPr>
        <xdr:spPr>
          <a:xfrm flipV="1">
            <a:off x="50939700" y="2281671"/>
            <a:ext cx="180975" cy="0"/>
          </a:xfrm>
          <a:prstGeom prst="line">
            <a:avLst/>
          </a:prstGeom>
          <a:ln>
            <a:solidFill>
              <a:srgbClr val="0000CC"/>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54" name="Straight Connector 53"/>
          <xdr:cNvCxnSpPr/>
        </xdr:nvCxnSpPr>
        <xdr:spPr>
          <a:xfrm flipV="1">
            <a:off x="51158775" y="1975139"/>
            <a:ext cx="180975" cy="0"/>
          </a:xfrm>
          <a:prstGeom prst="line">
            <a:avLst/>
          </a:prstGeom>
          <a:ln>
            <a:solidFill>
              <a:srgbClr val="0000CC"/>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55" name="Straight Connector 54"/>
          <xdr:cNvCxnSpPr/>
        </xdr:nvCxnSpPr>
        <xdr:spPr>
          <a:xfrm flipV="1">
            <a:off x="51377850" y="1539586"/>
            <a:ext cx="180975" cy="0"/>
          </a:xfrm>
          <a:prstGeom prst="line">
            <a:avLst/>
          </a:prstGeom>
          <a:ln>
            <a:solidFill>
              <a:srgbClr val="0000CC"/>
            </a:solidFill>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24" name="TextBox 23"/>
          <xdr:cNvSpPr txBox="1"/>
        </xdr:nvSpPr>
        <xdr:spPr>
          <a:xfrm>
            <a:off x="48412531" y="1647825"/>
            <a:ext cx="686470" cy="125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l"/>
            <a:r>
              <a:rPr lang="en-US" sz="800"/>
              <a:t>v    </a:t>
            </a:r>
            <a:r>
              <a:rPr lang="en-US" sz="800">
                <a:sym typeface="Wingdings 3"/>
              </a:rPr>
              <a:t> V</a:t>
            </a:r>
            <a:r>
              <a:rPr lang="en-US" sz="800"/>
              <a:t>oluntary </a:t>
            </a:r>
          </a:p>
        </xdr:txBody>
      </xdr:sp>
      <xdr:sp macro="" textlink="">
        <xdr:nvSpPr>
          <xdr:cNvPr id="61" name="TextBox 60"/>
          <xdr:cNvSpPr txBox="1"/>
        </xdr:nvSpPr>
        <xdr:spPr>
          <a:xfrm>
            <a:off x="48393481" y="1809750"/>
            <a:ext cx="753924" cy="125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l"/>
            <a:r>
              <a:rPr lang="en-US" sz="800"/>
              <a:t>m   </a:t>
            </a:r>
            <a:r>
              <a:rPr lang="en-US" sz="800">
                <a:sym typeface="Wingdings 3"/>
              </a:rPr>
              <a:t> M</a:t>
            </a:r>
            <a:r>
              <a:rPr lang="en-US" sz="800"/>
              <a:t>andatory</a:t>
            </a:r>
            <a:r>
              <a:rPr lang="en-US" sz="800" baseline="0"/>
              <a:t> </a:t>
            </a:r>
            <a:endParaRPr lang="en-US" sz="800"/>
          </a:p>
        </xdr:txBody>
      </xdr:sp>
      <xdr:sp macro="" textlink="">
        <xdr:nvSpPr>
          <xdr:cNvPr id="62" name="TextBox 61"/>
          <xdr:cNvSpPr txBox="1"/>
        </xdr:nvSpPr>
        <xdr:spPr>
          <a:xfrm>
            <a:off x="51424317" y="1415761"/>
            <a:ext cx="81946" cy="250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ctr"/>
            <a:r>
              <a:rPr lang="en-US" sz="800"/>
              <a:t>v</a:t>
            </a:r>
          </a:p>
          <a:p>
            <a:pPr algn="ctr"/>
            <a:r>
              <a:rPr lang="en-US" sz="800"/>
              <a:t>m</a:t>
            </a:r>
          </a:p>
        </xdr:txBody>
      </xdr:sp>
    </xdr:grpSp>
    <xdr:clientData/>
  </xdr:twoCellAnchor>
  <xdr:twoCellAnchor>
    <xdr:from>
      <xdr:col>129</xdr:col>
      <xdr:colOff>4762</xdr:colOff>
      <xdr:row>18</xdr:row>
      <xdr:rowOff>33337</xdr:rowOff>
    </xdr:from>
    <xdr:to>
      <xdr:col>137</xdr:col>
      <xdr:colOff>552450</xdr:colOff>
      <xdr:row>31</xdr:row>
      <xdr:rowOff>117157</xdr:rowOff>
    </xdr:to>
    <xdr:graphicFrame macro="">
      <xdr:nvGraphicFramePr>
        <xdr:cNvPr id="26" name="Chart 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130</xdr:col>
      <xdr:colOff>133350</xdr:colOff>
      <xdr:row>20</xdr:row>
      <xdr:rowOff>161925</xdr:rowOff>
    </xdr:from>
    <xdr:to>
      <xdr:col>137</xdr:col>
      <xdr:colOff>394335</xdr:colOff>
      <xdr:row>29</xdr:row>
      <xdr:rowOff>47625</xdr:rowOff>
    </xdr:to>
    <xdr:grpSp>
      <xdr:nvGrpSpPr>
        <xdr:cNvPr id="30" name="Group 29"/>
        <xdr:cNvGrpSpPr/>
      </xdr:nvGrpSpPr>
      <xdr:grpSpPr>
        <a:xfrm>
          <a:off x="48758475" y="3971925"/>
          <a:ext cx="4528185" cy="1600200"/>
          <a:chOff x="47872650" y="3971925"/>
          <a:chExt cx="4528185" cy="1600200"/>
        </a:xfrm>
      </xdr:grpSpPr>
      <xdr:cxnSp macro="">
        <xdr:nvCxnSpPr>
          <xdr:cNvPr id="66" name="Straight Connector 65"/>
          <xdr:cNvCxnSpPr/>
        </xdr:nvCxnSpPr>
        <xdr:spPr>
          <a:xfrm flipV="1">
            <a:off x="47872650" y="5114925"/>
            <a:ext cx="137160" cy="0"/>
          </a:xfrm>
          <a:prstGeom prst="line">
            <a:avLst/>
          </a:prstGeom>
          <a:ln>
            <a:solidFill>
              <a:srgbClr val="0000CC"/>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67" name="Straight Connector 66"/>
          <xdr:cNvCxnSpPr/>
        </xdr:nvCxnSpPr>
        <xdr:spPr>
          <a:xfrm flipV="1">
            <a:off x="48225075" y="4086225"/>
            <a:ext cx="137160" cy="0"/>
          </a:xfrm>
          <a:prstGeom prst="line">
            <a:avLst/>
          </a:prstGeom>
          <a:ln>
            <a:solidFill>
              <a:srgbClr val="0000CC"/>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68" name="Straight Connector 67"/>
          <xdr:cNvCxnSpPr/>
        </xdr:nvCxnSpPr>
        <xdr:spPr>
          <a:xfrm flipV="1">
            <a:off x="49025175" y="5067300"/>
            <a:ext cx="137160" cy="0"/>
          </a:xfrm>
          <a:prstGeom prst="line">
            <a:avLst/>
          </a:prstGeom>
          <a:ln>
            <a:solidFill>
              <a:srgbClr val="0000CC"/>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69" name="Straight Connector 68"/>
          <xdr:cNvCxnSpPr/>
        </xdr:nvCxnSpPr>
        <xdr:spPr>
          <a:xfrm flipV="1">
            <a:off x="48682275" y="5353050"/>
            <a:ext cx="137160" cy="0"/>
          </a:xfrm>
          <a:prstGeom prst="line">
            <a:avLst/>
          </a:prstGeom>
          <a:ln>
            <a:solidFill>
              <a:srgbClr val="0000CC"/>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70" name="Straight Connector 69"/>
          <xdr:cNvCxnSpPr/>
        </xdr:nvCxnSpPr>
        <xdr:spPr>
          <a:xfrm flipV="1">
            <a:off x="49834800" y="4895850"/>
            <a:ext cx="137160" cy="0"/>
          </a:xfrm>
          <a:prstGeom prst="line">
            <a:avLst/>
          </a:prstGeom>
          <a:ln>
            <a:solidFill>
              <a:srgbClr val="0000CC"/>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71" name="Straight Connector 70"/>
          <xdr:cNvCxnSpPr/>
        </xdr:nvCxnSpPr>
        <xdr:spPr>
          <a:xfrm flipV="1">
            <a:off x="50301525" y="5514975"/>
            <a:ext cx="137160" cy="0"/>
          </a:xfrm>
          <a:prstGeom prst="line">
            <a:avLst/>
          </a:prstGeom>
          <a:ln>
            <a:solidFill>
              <a:srgbClr val="0000CC"/>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72" name="Straight Connector 71"/>
          <xdr:cNvCxnSpPr/>
        </xdr:nvCxnSpPr>
        <xdr:spPr>
          <a:xfrm flipV="1">
            <a:off x="50472975" y="5334000"/>
            <a:ext cx="137160" cy="0"/>
          </a:xfrm>
          <a:prstGeom prst="line">
            <a:avLst/>
          </a:prstGeom>
          <a:ln>
            <a:solidFill>
              <a:srgbClr val="0000CC"/>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73" name="Straight Connector 72"/>
          <xdr:cNvCxnSpPr/>
        </xdr:nvCxnSpPr>
        <xdr:spPr>
          <a:xfrm flipV="1">
            <a:off x="50634900" y="4772025"/>
            <a:ext cx="137160" cy="0"/>
          </a:xfrm>
          <a:prstGeom prst="line">
            <a:avLst/>
          </a:prstGeom>
          <a:ln>
            <a:solidFill>
              <a:srgbClr val="0000CC"/>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74" name="Straight Connector 73"/>
          <xdr:cNvCxnSpPr/>
        </xdr:nvCxnSpPr>
        <xdr:spPr>
          <a:xfrm flipV="1">
            <a:off x="51111150" y="5572125"/>
            <a:ext cx="137160" cy="0"/>
          </a:xfrm>
          <a:prstGeom prst="line">
            <a:avLst/>
          </a:prstGeom>
          <a:ln>
            <a:solidFill>
              <a:srgbClr val="0000CC"/>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75" name="Straight Connector 74"/>
          <xdr:cNvCxnSpPr/>
        </xdr:nvCxnSpPr>
        <xdr:spPr>
          <a:xfrm flipV="1">
            <a:off x="52263675" y="5400675"/>
            <a:ext cx="137160" cy="0"/>
          </a:xfrm>
          <a:prstGeom prst="line">
            <a:avLst/>
          </a:prstGeom>
          <a:ln>
            <a:solidFill>
              <a:srgbClr val="0000CC"/>
            </a:solidFill>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76" name="TextBox 75"/>
          <xdr:cNvSpPr txBox="1"/>
        </xdr:nvSpPr>
        <xdr:spPr>
          <a:xfrm>
            <a:off x="48263175" y="3971925"/>
            <a:ext cx="686470" cy="125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l"/>
            <a:r>
              <a:rPr lang="en-US" sz="800"/>
              <a:t>v    </a:t>
            </a:r>
            <a:r>
              <a:rPr lang="en-US" sz="800">
                <a:sym typeface="Wingdings 3"/>
              </a:rPr>
              <a:t> V</a:t>
            </a:r>
            <a:r>
              <a:rPr lang="en-US" sz="800"/>
              <a:t>oluntary </a:t>
            </a:r>
          </a:p>
        </xdr:txBody>
      </xdr:sp>
      <xdr:sp macro="" textlink="">
        <xdr:nvSpPr>
          <xdr:cNvPr id="77" name="TextBox 76"/>
          <xdr:cNvSpPr txBox="1"/>
        </xdr:nvSpPr>
        <xdr:spPr>
          <a:xfrm>
            <a:off x="48244125" y="4095750"/>
            <a:ext cx="753924" cy="125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l"/>
            <a:r>
              <a:rPr lang="en-US" sz="800"/>
              <a:t>m   </a:t>
            </a:r>
            <a:r>
              <a:rPr lang="en-US" sz="800">
                <a:sym typeface="Wingdings 3"/>
              </a:rPr>
              <a:t> M</a:t>
            </a:r>
            <a:r>
              <a:rPr lang="en-US" sz="800"/>
              <a:t>andatory</a:t>
            </a:r>
            <a:r>
              <a:rPr lang="en-US" sz="800" baseline="0"/>
              <a:t> </a:t>
            </a:r>
            <a:endParaRPr lang="en-US" sz="800"/>
          </a:p>
        </xdr:txBody>
      </xdr:sp>
      <xdr:sp macro="" textlink="">
        <xdr:nvSpPr>
          <xdr:cNvPr id="78" name="TextBox 77"/>
          <xdr:cNvSpPr txBox="1"/>
        </xdr:nvSpPr>
        <xdr:spPr>
          <a:xfrm>
            <a:off x="50649554" y="4648200"/>
            <a:ext cx="81946" cy="250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ctr"/>
            <a:r>
              <a:rPr lang="en-US" sz="800"/>
              <a:t>v</a:t>
            </a:r>
          </a:p>
          <a:p>
            <a:pPr algn="ctr"/>
            <a:r>
              <a:rPr lang="en-US" sz="800"/>
              <a:t>m</a:t>
            </a:r>
          </a:p>
        </xdr:txBody>
      </xdr:sp>
    </xdr:grpSp>
    <xdr:clientData/>
  </xdr:twoCellAnchor>
  <mc:AlternateContent xmlns:mc="http://schemas.openxmlformats.org/markup-compatibility/2006">
    <mc:Choice xmlns:a14="http://schemas.microsoft.com/office/drawing/2010/main" Requires="a14">
      <xdr:twoCellAnchor editAs="oneCell">
        <xdr:from>
          <xdr:col>10</xdr:col>
          <xdr:colOff>9525</xdr:colOff>
          <xdr:row>14</xdr:row>
          <xdr:rowOff>142875</xdr:rowOff>
        </xdr:from>
        <xdr:to>
          <xdr:col>17</xdr:col>
          <xdr:colOff>0</xdr:colOff>
          <xdr:row>16</xdr:row>
          <xdr:rowOff>38100</xdr:rowOff>
        </xdr:to>
        <xdr:sp macro="" textlink="">
          <xdr:nvSpPr>
            <xdr:cNvPr id="145445" name="Check Box 37" hidden="1">
              <a:extLst>
                <a:ext uri="{63B3BB69-23CF-44E3-9099-C40C66FF867C}">
                  <a14:compatExt spid="_x0000_s145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Without small states (population &lt; 500k)</a:t>
              </a:r>
            </a:p>
          </xdr:txBody>
        </xdr:sp>
        <xdr:clientData/>
      </xdr:twoCellAnchor>
    </mc:Choice>
    <mc:Fallback/>
  </mc:AlternateContent>
  <xdr:twoCellAnchor>
    <xdr:from>
      <xdr:col>140</xdr:col>
      <xdr:colOff>80962</xdr:colOff>
      <xdr:row>2</xdr:row>
      <xdr:rowOff>42862</xdr:rowOff>
    </xdr:from>
    <xdr:to>
      <xdr:col>147</xdr:col>
      <xdr:colOff>568642</xdr:colOff>
      <xdr:row>15</xdr:row>
      <xdr:rowOff>126682</xdr:rowOff>
    </xdr:to>
    <xdr:graphicFrame macro="">
      <xdr:nvGraphicFramePr>
        <xdr:cNvPr id="27" name="Chart 2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140</xdr:col>
      <xdr:colOff>66675</xdr:colOff>
      <xdr:row>17</xdr:row>
      <xdr:rowOff>38100</xdr:rowOff>
    </xdr:from>
    <xdr:to>
      <xdr:col>147</xdr:col>
      <xdr:colOff>554355</xdr:colOff>
      <xdr:row>30</xdr:row>
      <xdr:rowOff>121920</xdr:rowOff>
    </xdr:to>
    <xdr:graphicFrame macro="">
      <xdr:nvGraphicFramePr>
        <xdr:cNvPr id="79" name="Chart 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140</xdr:col>
      <xdr:colOff>57150</xdr:colOff>
      <xdr:row>32</xdr:row>
      <xdr:rowOff>38100</xdr:rowOff>
    </xdr:from>
    <xdr:to>
      <xdr:col>147</xdr:col>
      <xdr:colOff>544830</xdr:colOff>
      <xdr:row>45</xdr:row>
      <xdr:rowOff>121920</xdr:rowOff>
    </xdr:to>
    <xdr:graphicFrame macro="">
      <xdr:nvGraphicFramePr>
        <xdr:cNvPr id="80" name="Chart 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140</xdr:col>
      <xdr:colOff>66675</xdr:colOff>
      <xdr:row>47</xdr:row>
      <xdr:rowOff>28575</xdr:rowOff>
    </xdr:from>
    <xdr:to>
      <xdr:col>147</xdr:col>
      <xdr:colOff>554355</xdr:colOff>
      <xdr:row>60</xdr:row>
      <xdr:rowOff>112395</xdr:rowOff>
    </xdr:to>
    <xdr:graphicFrame macro="">
      <xdr:nvGraphicFramePr>
        <xdr:cNvPr id="81" name="Chart 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140</xdr:col>
      <xdr:colOff>57150</xdr:colOff>
      <xdr:row>62</xdr:row>
      <xdr:rowOff>28575</xdr:rowOff>
    </xdr:from>
    <xdr:to>
      <xdr:col>147</xdr:col>
      <xdr:colOff>544830</xdr:colOff>
      <xdr:row>75</xdr:row>
      <xdr:rowOff>112395</xdr:rowOff>
    </xdr:to>
    <xdr:graphicFrame macro="">
      <xdr:nvGraphicFramePr>
        <xdr:cNvPr id="82" name="Chart 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140</xdr:col>
      <xdr:colOff>66675</xdr:colOff>
      <xdr:row>77</xdr:row>
      <xdr:rowOff>47625</xdr:rowOff>
    </xdr:from>
    <xdr:to>
      <xdr:col>147</xdr:col>
      <xdr:colOff>554355</xdr:colOff>
      <xdr:row>90</xdr:row>
      <xdr:rowOff>131445</xdr:rowOff>
    </xdr:to>
    <xdr:graphicFrame macro="">
      <xdr:nvGraphicFramePr>
        <xdr:cNvPr id="83" name="Chart 8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140</xdr:col>
      <xdr:colOff>142875</xdr:colOff>
      <xdr:row>93</xdr:row>
      <xdr:rowOff>38098</xdr:rowOff>
    </xdr:from>
    <xdr:to>
      <xdr:col>147</xdr:col>
      <xdr:colOff>447675</xdr:colOff>
      <xdr:row>115</xdr:row>
      <xdr:rowOff>53338</xdr:rowOff>
    </xdr:to>
    <xdr:graphicFrame macro="">
      <xdr:nvGraphicFramePr>
        <xdr:cNvPr id="86" name="Chart 8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140</xdr:col>
      <xdr:colOff>142875</xdr:colOff>
      <xdr:row>117</xdr:row>
      <xdr:rowOff>47625</xdr:rowOff>
    </xdr:from>
    <xdr:to>
      <xdr:col>147</xdr:col>
      <xdr:colOff>447675</xdr:colOff>
      <xdr:row>139</xdr:row>
      <xdr:rowOff>62865</xdr:rowOff>
    </xdr:to>
    <xdr:graphicFrame macro="">
      <xdr:nvGraphicFramePr>
        <xdr:cNvPr id="88"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129</xdr:col>
      <xdr:colOff>38100</xdr:colOff>
      <xdr:row>38</xdr:row>
      <xdr:rowOff>38100</xdr:rowOff>
    </xdr:from>
    <xdr:to>
      <xdr:col>136</xdr:col>
      <xdr:colOff>342900</xdr:colOff>
      <xdr:row>51</xdr:row>
      <xdr:rowOff>121920</xdr:rowOff>
    </xdr:to>
    <xdr:graphicFrame macro="">
      <xdr:nvGraphicFramePr>
        <xdr:cNvPr id="90" name="Chart 8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130</xdr:col>
      <xdr:colOff>285749</xdr:colOff>
      <xdr:row>41</xdr:row>
      <xdr:rowOff>0</xdr:rowOff>
    </xdr:from>
    <xdr:to>
      <xdr:col>136</xdr:col>
      <xdr:colOff>133350</xdr:colOff>
      <xdr:row>49</xdr:row>
      <xdr:rowOff>66675</xdr:rowOff>
    </xdr:to>
    <xdr:grpSp>
      <xdr:nvGrpSpPr>
        <xdr:cNvPr id="31" name="Group 30"/>
        <xdr:cNvGrpSpPr/>
      </xdr:nvGrpSpPr>
      <xdr:grpSpPr>
        <a:xfrm>
          <a:off x="48910874" y="7810500"/>
          <a:ext cx="3505201" cy="1590675"/>
          <a:chOff x="48015524" y="7810500"/>
          <a:chExt cx="3505201" cy="1590675"/>
        </a:xfrm>
      </xdr:grpSpPr>
      <xdr:cxnSp macro="">
        <xdr:nvCxnSpPr>
          <xdr:cNvPr id="91" name="Straight Connector 90"/>
          <xdr:cNvCxnSpPr/>
        </xdr:nvCxnSpPr>
        <xdr:spPr>
          <a:xfrm flipV="1">
            <a:off x="48015524" y="9077325"/>
            <a:ext cx="228600" cy="0"/>
          </a:xfrm>
          <a:prstGeom prst="line">
            <a:avLst/>
          </a:prstGeom>
          <a:ln>
            <a:solidFill>
              <a:srgbClr val="0000CC"/>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92" name="Straight Connector 91"/>
          <xdr:cNvCxnSpPr/>
        </xdr:nvCxnSpPr>
        <xdr:spPr>
          <a:xfrm flipV="1">
            <a:off x="48301274" y="8810625"/>
            <a:ext cx="228600" cy="0"/>
          </a:xfrm>
          <a:prstGeom prst="line">
            <a:avLst/>
          </a:prstGeom>
          <a:ln>
            <a:solidFill>
              <a:srgbClr val="0000CC"/>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93" name="Straight Connector 92"/>
          <xdr:cNvCxnSpPr/>
        </xdr:nvCxnSpPr>
        <xdr:spPr>
          <a:xfrm flipV="1">
            <a:off x="48596549" y="7934325"/>
            <a:ext cx="228600" cy="0"/>
          </a:xfrm>
          <a:prstGeom prst="line">
            <a:avLst/>
          </a:prstGeom>
          <a:ln>
            <a:solidFill>
              <a:srgbClr val="0000CC"/>
            </a:solidFill>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94" name="TextBox 93"/>
          <xdr:cNvSpPr txBox="1"/>
        </xdr:nvSpPr>
        <xdr:spPr>
          <a:xfrm>
            <a:off x="48691800" y="7810500"/>
            <a:ext cx="732893" cy="125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l"/>
            <a:r>
              <a:rPr lang="en-US" sz="800"/>
              <a:t>v      </a:t>
            </a:r>
            <a:r>
              <a:rPr lang="en-US" sz="800">
                <a:sym typeface="Wingdings 3"/>
              </a:rPr>
              <a:t> V</a:t>
            </a:r>
            <a:r>
              <a:rPr lang="en-US" sz="800"/>
              <a:t>oluntary </a:t>
            </a:r>
          </a:p>
        </xdr:txBody>
      </xdr:sp>
      <xdr:sp macro="" textlink="">
        <xdr:nvSpPr>
          <xdr:cNvPr id="95" name="TextBox 94"/>
          <xdr:cNvSpPr txBox="1"/>
        </xdr:nvSpPr>
        <xdr:spPr>
          <a:xfrm>
            <a:off x="48672750" y="7934325"/>
            <a:ext cx="800347" cy="125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l"/>
            <a:r>
              <a:rPr lang="en-US" sz="800"/>
              <a:t>m     </a:t>
            </a:r>
            <a:r>
              <a:rPr lang="en-US" sz="800">
                <a:sym typeface="Wingdings 3"/>
              </a:rPr>
              <a:t> M</a:t>
            </a:r>
            <a:r>
              <a:rPr lang="en-US" sz="800"/>
              <a:t>andatory</a:t>
            </a:r>
            <a:r>
              <a:rPr lang="en-US" sz="800" baseline="0"/>
              <a:t> </a:t>
            </a:r>
            <a:endParaRPr lang="en-US" sz="800"/>
          </a:p>
        </xdr:txBody>
      </xdr:sp>
      <xdr:cxnSp macro="">
        <xdr:nvCxnSpPr>
          <xdr:cNvPr id="96" name="Straight Connector 95"/>
          <xdr:cNvCxnSpPr/>
        </xdr:nvCxnSpPr>
        <xdr:spPr>
          <a:xfrm flipV="1">
            <a:off x="49368075" y="9248775"/>
            <a:ext cx="228600" cy="0"/>
          </a:xfrm>
          <a:prstGeom prst="line">
            <a:avLst/>
          </a:prstGeom>
          <a:ln>
            <a:solidFill>
              <a:srgbClr val="0000CC"/>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97" name="Straight Connector 96"/>
          <xdr:cNvCxnSpPr/>
        </xdr:nvCxnSpPr>
        <xdr:spPr>
          <a:xfrm flipV="1">
            <a:off x="49653825" y="9363075"/>
            <a:ext cx="228600" cy="0"/>
          </a:xfrm>
          <a:prstGeom prst="line">
            <a:avLst/>
          </a:prstGeom>
          <a:ln>
            <a:solidFill>
              <a:srgbClr val="0000CC"/>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98" name="Straight Connector 97"/>
          <xdr:cNvCxnSpPr/>
        </xdr:nvCxnSpPr>
        <xdr:spPr>
          <a:xfrm flipV="1">
            <a:off x="49930050" y="8886825"/>
            <a:ext cx="228600" cy="0"/>
          </a:xfrm>
          <a:prstGeom prst="line">
            <a:avLst/>
          </a:prstGeom>
          <a:ln>
            <a:solidFill>
              <a:srgbClr val="0000CC"/>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99" name="Straight Connector 98"/>
          <xdr:cNvCxnSpPr/>
        </xdr:nvCxnSpPr>
        <xdr:spPr>
          <a:xfrm flipV="1">
            <a:off x="50711100" y="9401175"/>
            <a:ext cx="228600" cy="0"/>
          </a:xfrm>
          <a:prstGeom prst="line">
            <a:avLst/>
          </a:prstGeom>
          <a:ln>
            <a:solidFill>
              <a:srgbClr val="0000CC"/>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100" name="Straight Connector 99"/>
          <xdr:cNvCxnSpPr/>
        </xdr:nvCxnSpPr>
        <xdr:spPr>
          <a:xfrm flipV="1">
            <a:off x="51292125" y="8953500"/>
            <a:ext cx="228600" cy="0"/>
          </a:xfrm>
          <a:prstGeom prst="line">
            <a:avLst/>
          </a:prstGeom>
          <a:ln>
            <a:solidFill>
              <a:srgbClr val="0000CC"/>
            </a:solidFill>
            <a:prstDash val="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129</xdr:col>
      <xdr:colOff>38100</xdr:colOff>
      <xdr:row>52</xdr:row>
      <xdr:rowOff>28575</xdr:rowOff>
    </xdr:from>
    <xdr:to>
      <xdr:col>136</xdr:col>
      <xdr:colOff>342900</xdr:colOff>
      <xdr:row>65</xdr:row>
      <xdr:rowOff>112395</xdr:rowOff>
    </xdr:to>
    <xdr:graphicFrame macro="">
      <xdr:nvGraphicFramePr>
        <xdr:cNvPr id="101" name="Chart 1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130</xdr:col>
      <xdr:colOff>285750</xdr:colOff>
      <xdr:row>55</xdr:row>
      <xdr:rowOff>57150</xdr:rowOff>
    </xdr:from>
    <xdr:to>
      <xdr:col>136</xdr:col>
      <xdr:colOff>133350</xdr:colOff>
      <xdr:row>62</xdr:row>
      <xdr:rowOff>57150</xdr:rowOff>
    </xdr:to>
    <xdr:grpSp>
      <xdr:nvGrpSpPr>
        <xdr:cNvPr id="32" name="Group 31"/>
        <xdr:cNvGrpSpPr/>
      </xdr:nvGrpSpPr>
      <xdr:grpSpPr>
        <a:xfrm>
          <a:off x="48910875" y="10534650"/>
          <a:ext cx="3505200" cy="1333500"/>
          <a:chOff x="48015525" y="10534650"/>
          <a:chExt cx="3505200" cy="1333500"/>
        </a:xfrm>
      </xdr:grpSpPr>
      <xdr:cxnSp macro="">
        <xdr:nvCxnSpPr>
          <xdr:cNvPr id="102" name="Straight Connector 101"/>
          <xdr:cNvCxnSpPr/>
        </xdr:nvCxnSpPr>
        <xdr:spPr>
          <a:xfrm flipV="1">
            <a:off x="48015525" y="11696700"/>
            <a:ext cx="228600" cy="0"/>
          </a:xfrm>
          <a:prstGeom prst="line">
            <a:avLst/>
          </a:prstGeom>
          <a:ln>
            <a:solidFill>
              <a:srgbClr val="0000CC"/>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103" name="Straight Connector 102"/>
          <xdr:cNvCxnSpPr/>
        </xdr:nvCxnSpPr>
        <xdr:spPr>
          <a:xfrm flipV="1">
            <a:off x="48301275" y="11391900"/>
            <a:ext cx="228600" cy="0"/>
          </a:xfrm>
          <a:prstGeom prst="line">
            <a:avLst/>
          </a:prstGeom>
          <a:ln>
            <a:solidFill>
              <a:srgbClr val="0000CC"/>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104" name="Straight Connector 103"/>
          <xdr:cNvCxnSpPr/>
        </xdr:nvCxnSpPr>
        <xdr:spPr>
          <a:xfrm flipV="1">
            <a:off x="48596550" y="10963275"/>
            <a:ext cx="228600" cy="0"/>
          </a:xfrm>
          <a:prstGeom prst="line">
            <a:avLst/>
          </a:prstGeom>
          <a:ln>
            <a:solidFill>
              <a:srgbClr val="0000CC"/>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105" name="Straight Connector 104"/>
          <xdr:cNvCxnSpPr/>
        </xdr:nvCxnSpPr>
        <xdr:spPr>
          <a:xfrm flipV="1">
            <a:off x="49368075" y="11744325"/>
            <a:ext cx="228600" cy="0"/>
          </a:xfrm>
          <a:prstGeom prst="line">
            <a:avLst/>
          </a:prstGeom>
          <a:ln>
            <a:solidFill>
              <a:srgbClr val="0000CC"/>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106" name="Straight Connector 105"/>
          <xdr:cNvCxnSpPr/>
        </xdr:nvCxnSpPr>
        <xdr:spPr>
          <a:xfrm flipV="1">
            <a:off x="49653825" y="11744325"/>
            <a:ext cx="228600" cy="0"/>
          </a:xfrm>
          <a:prstGeom prst="line">
            <a:avLst/>
          </a:prstGeom>
          <a:ln>
            <a:solidFill>
              <a:srgbClr val="0000CC"/>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107" name="Straight Connector 106"/>
          <xdr:cNvCxnSpPr/>
        </xdr:nvCxnSpPr>
        <xdr:spPr>
          <a:xfrm flipV="1">
            <a:off x="49939575" y="10534650"/>
            <a:ext cx="228600" cy="0"/>
          </a:xfrm>
          <a:prstGeom prst="line">
            <a:avLst/>
          </a:prstGeom>
          <a:ln>
            <a:solidFill>
              <a:srgbClr val="0000CC"/>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108" name="Straight Connector 107"/>
          <xdr:cNvCxnSpPr/>
        </xdr:nvCxnSpPr>
        <xdr:spPr>
          <a:xfrm flipV="1">
            <a:off x="50711100" y="11868150"/>
            <a:ext cx="228600" cy="0"/>
          </a:xfrm>
          <a:prstGeom prst="line">
            <a:avLst/>
          </a:prstGeom>
          <a:ln>
            <a:solidFill>
              <a:srgbClr val="0000CC"/>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109" name="Straight Connector 108"/>
          <xdr:cNvCxnSpPr/>
        </xdr:nvCxnSpPr>
        <xdr:spPr>
          <a:xfrm flipV="1">
            <a:off x="51292125" y="10753725"/>
            <a:ext cx="228600" cy="0"/>
          </a:xfrm>
          <a:prstGeom prst="line">
            <a:avLst/>
          </a:prstGeom>
          <a:ln>
            <a:solidFill>
              <a:srgbClr val="0000CC"/>
            </a:solidFill>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110" name="TextBox 109"/>
          <xdr:cNvSpPr txBox="1"/>
        </xdr:nvSpPr>
        <xdr:spPr>
          <a:xfrm>
            <a:off x="48682275" y="10715625"/>
            <a:ext cx="732893" cy="125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l"/>
            <a:r>
              <a:rPr lang="en-US" sz="800"/>
              <a:t>v      </a:t>
            </a:r>
            <a:r>
              <a:rPr lang="en-US" sz="800">
                <a:sym typeface="Wingdings 3"/>
              </a:rPr>
              <a:t> V</a:t>
            </a:r>
            <a:r>
              <a:rPr lang="en-US" sz="800"/>
              <a:t>oluntary </a:t>
            </a:r>
          </a:p>
        </xdr:txBody>
      </xdr:sp>
      <xdr:sp macro="" textlink="">
        <xdr:nvSpPr>
          <xdr:cNvPr id="111" name="TextBox 110"/>
          <xdr:cNvSpPr txBox="1"/>
        </xdr:nvSpPr>
        <xdr:spPr>
          <a:xfrm>
            <a:off x="48663225" y="11058525"/>
            <a:ext cx="800347" cy="125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l"/>
            <a:r>
              <a:rPr lang="en-US" sz="800"/>
              <a:t>m     </a:t>
            </a:r>
            <a:r>
              <a:rPr lang="en-US" sz="800">
                <a:sym typeface="Wingdings 3"/>
              </a:rPr>
              <a:t> M</a:t>
            </a:r>
            <a:r>
              <a:rPr lang="en-US" sz="800"/>
              <a:t>andatory</a:t>
            </a:r>
            <a:r>
              <a:rPr lang="en-US" sz="800" baseline="0"/>
              <a:t> </a:t>
            </a:r>
            <a:endParaRPr lang="en-US" sz="800"/>
          </a:p>
        </xdr:txBody>
      </xdr:sp>
    </xdr:grpSp>
    <xdr:clientData/>
  </xdr:twoCellAnchor>
  <xdr:twoCellAnchor>
    <xdr:from>
      <xdr:col>129</xdr:col>
      <xdr:colOff>0</xdr:colOff>
      <xdr:row>80</xdr:row>
      <xdr:rowOff>0</xdr:rowOff>
    </xdr:from>
    <xdr:to>
      <xdr:col>136</xdr:col>
      <xdr:colOff>304800</xdr:colOff>
      <xdr:row>93</xdr:row>
      <xdr:rowOff>83820</xdr:rowOff>
    </xdr:to>
    <xdr:graphicFrame macro="">
      <xdr:nvGraphicFramePr>
        <xdr:cNvPr id="112" name="Chart 1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130</xdr:col>
      <xdr:colOff>247650</xdr:colOff>
      <xdr:row>82</xdr:row>
      <xdr:rowOff>142875</xdr:rowOff>
    </xdr:from>
    <xdr:to>
      <xdr:col>136</xdr:col>
      <xdr:colOff>85725</xdr:colOff>
      <xdr:row>90</xdr:row>
      <xdr:rowOff>19050</xdr:rowOff>
    </xdr:to>
    <xdr:grpSp>
      <xdr:nvGrpSpPr>
        <xdr:cNvPr id="37" name="Group 36"/>
        <xdr:cNvGrpSpPr/>
      </xdr:nvGrpSpPr>
      <xdr:grpSpPr>
        <a:xfrm>
          <a:off x="48872775" y="15763875"/>
          <a:ext cx="3495675" cy="1400175"/>
          <a:chOff x="47986950" y="15763875"/>
          <a:chExt cx="3495675" cy="1400175"/>
        </a:xfrm>
      </xdr:grpSpPr>
      <xdr:cxnSp macro="">
        <xdr:nvCxnSpPr>
          <xdr:cNvPr id="113" name="Straight Connector 112"/>
          <xdr:cNvCxnSpPr/>
        </xdr:nvCxnSpPr>
        <xdr:spPr>
          <a:xfrm flipV="1">
            <a:off x="47986950" y="17164050"/>
            <a:ext cx="228600" cy="0"/>
          </a:xfrm>
          <a:prstGeom prst="line">
            <a:avLst/>
          </a:prstGeom>
          <a:ln>
            <a:solidFill>
              <a:srgbClr val="0000CC"/>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114" name="Straight Connector 113"/>
          <xdr:cNvCxnSpPr/>
        </xdr:nvCxnSpPr>
        <xdr:spPr>
          <a:xfrm flipV="1">
            <a:off x="48272700" y="17087850"/>
            <a:ext cx="228600" cy="0"/>
          </a:xfrm>
          <a:prstGeom prst="line">
            <a:avLst/>
          </a:prstGeom>
          <a:ln>
            <a:solidFill>
              <a:srgbClr val="0000CC"/>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115" name="Straight Connector 114"/>
          <xdr:cNvCxnSpPr/>
        </xdr:nvCxnSpPr>
        <xdr:spPr>
          <a:xfrm flipV="1">
            <a:off x="48567975" y="16849725"/>
            <a:ext cx="228600" cy="0"/>
          </a:xfrm>
          <a:prstGeom prst="line">
            <a:avLst/>
          </a:prstGeom>
          <a:ln>
            <a:solidFill>
              <a:srgbClr val="0000CC"/>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116" name="Straight Connector 115"/>
          <xdr:cNvCxnSpPr/>
        </xdr:nvCxnSpPr>
        <xdr:spPr>
          <a:xfrm flipV="1">
            <a:off x="49615725" y="16849725"/>
            <a:ext cx="228600" cy="0"/>
          </a:xfrm>
          <a:prstGeom prst="line">
            <a:avLst/>
          </a:prstGeom>
          <a:ln>
            <a:solidFill>
              <a:srgbClr val="0000CC"/>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117" name="Straight Connector 116"/>
          <xdr:cNvCxnSpPr/>
        </xdr:nvCxnSpPr>
        <xdr:spPr>
          <a:xfrm flipV="1">
            <a:off x="49901475" y="15954375"/>
            <a:ext cx="228600" cy="0"/>
          </a:xfrm>
          <a:prstGeom prst="line">
            <a:avLst/>
          </a:prstGeom>
          <a:ln>
            <a:solidFill>
              <a:srgbClr val="0000CC"/>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118" name="Straight Connector 117"/>
          <xdr:cNvCxnSpPr/>
        </xdr:nvCxnSpPr>
        <xdr:spPr>
          <a:xfrm flipV="1">
            <a:off x="50673000" y="17125950"/>
            <a:ext cx="228600" cy="0"/>
          </a:xfrm>
          <a:prstGeom prst="line">
            <a:avLst/>
          </a:prstGeom>
          <a:ln>
            <a:solidFill>
              <a:srgbClr val="0000CC"/>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119" name="Straight Connector 118"/>
          <xdr:cNvCxnSpPr/>
        </xdr:nvCxnSpPr>
        <xdr:spPr>
          <a:xfrm flipV="1">
            <a:off x="51254025" y="15763875"/>
            <a:ext cx="228600" cy="0"/>
          </a:xfrm>
          <a:prstGeom prst="line">
            <a:avLst/>
          </a:prstGeom>
          <a:ln>
            <a:solidFill>
              <a:srgbClr val="0000CC"/>
            </a:solidFill>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120" name="TextBox 119"/>
          <xdr:cNvSpPr txBox="1"/>
        </xdr:nvSpPr>
        <xdr:spPr>
          <a:xfrm>
            <a:off x="49987200" y="15830550"/>
            <a:ext cx="732893" cy="125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l"/>
            <a:r>
              <a:rPr lang="en-US" sz="800"/>
              <a:t>v      </a:t>
            </a:r>
            <a:r>
              <a:rPr lang="en-US" sz="800">
                <a:sym typeface="Wingdings 3"/>
              </a:rPr>
              <a:t> V</a:t>
            </a:r>
            <a:r>
              <a:rPr lang="en-US" sz="800"/>
              <a:t>oluntary </a:t>
            </a:r>
          </a:p>
        </xdr:txBody>
      </xdr:sp>
      <xdr:sp macro="" textlink="">
        <xdr:nvSpPr>
          <xdr:cNvPr id="121" name="TextBox 120"/>
          <xdr:cNvSpPr txBox="1"/>
        </xdr:nvSpPr>
        <xdr:spPr>
          <a:xfrm>
            <a:off x="49968150" y="15963900"/>
            <a:ext cx="800347" cy="125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l"/>
            <a:r>
              <a:rPr lang="en-US" sz="800"/>
              <a:t>m     </a:t>
            </a:r>
            <a:r>
              <a:rPr lang="en-US" sz="800">
                <a:sym typeface="Wingdings 3"/>
              </a:rPr>
              <a:t> M</a:t>
            </a:r>
            <a:r>
              <a:rPr lang="en-US" sz="800"/>
              <a:t>andatory</a:t>
            </a:r>
            <a:r>
              <a:rPr lang="en-US" sz="800" baseline="0"/>
              <a:t> </a:t>
            </a:r>
            <a:endParaRPr lang="en-US" sz="800"/>
          </a:p>
        </xdr:txBody>
      </xdr:sp>
    </xdr:grpSp>
    <xdr:clientData/>
  </xdr:twoCellAnchor>
  <xdr:twoCellAnchor>
    <xdr:from>
      <xdr:col>129</xdr:col>
      <xdr:colOff>19050</xdr:colOff>
      <xdr:row>66</xdr:row>
      <xdr:rowOff>28575</xdr:rowOff>
    </xdr:from>
    <xdr:to>
      <xdr:col>136</xdr:col>
      <xdr:colOff>323850</xdr:colOff>
      <xdr:row>79</xdr:row>
      <xdr:rowOff>112395</xdr:rowOff>
    </xdr:to>
    <xdr:graphicFrame macro="">
      <xdr:nvGraphicFramePr>
        <xdr:cNvPr id="122" name="Chart 1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130</xdr:col>
      <xdr:colOff>257175</xdr:colOff>
      <xdr:row>69</xdr:row>
      <xdr:rowOff>161925</xdr:rowOff>
    </xdr:from>
    <xdr:to>
      <xdr:col>135</xdr:col>
      <xdr:colOff>142875</xdr:colOff>
      <xdr:row>77</xdr:row>
      <xdr:rowOff>66675</xdr:rowOff>
    </xdr:to>
    <xdr:grpSp>
      <xdr:nvGrpSpPr>
        <xdr:cNvPr id="36" name="Group 35"/>
        <xdr:cNvGrpSpPr/>
      </xdr:nvGrpSpPr>
      <xdr:grpSpPr>
        <a:xfrm>
          <a:off x="48882300" y="13306425"/>
          <a:ext cx="2933700" cy="1428750"/>
          <a:chOff x="47986950" y="13306425"/>
          <a:chExt cx="2933700" cy="1428750"/>
        </a:xfrm>
      </xdr:grpSpPr>
      <xdr:cxnSp macro="">
        <xdr:nvCxnSpPr>
          <xdr:cNvPr id="123" name="Straight Connector 122"/>
          <xdr:cNvCxnSpPr/>
        </xdr:nvCxnSpPr>
        <xdr:spPr>
          <a:xfrm flipV="1">
            <a:off x="47986950" y="14735175"/>
            <a:ext cx="228600" cy="0"/>
          </a:xfrm>
          <a:prstGeom prst="line">
            <a:avLst/>
          </a:prstGeom>
          <a:ln>
            <a:solidFill>
              <a:srgbClr val="0000CC"/>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124" name="Straight Connector 123"/>
          <xdr:cNvCxnSpPr/>
        </xdr:nvCxnSpPr>
        <xdr:spPr>
          <a:xfrm flipV="1">
            <a:off x="48577500" y="14220825"/>
            <a:ext cx="228600" cy="0"/>
          </a:xfrm>
          <a:prstGeom prst="line">
            <a:avLst/>
          </a:prstGeom>
          <a:ln>
            <a:solidFill>
              <a:srgbClr val="0000CC"/>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125" name="Straight Connector 124"/>
          <xdr:cNvCxnSpPr/>
        </xdr:nvCxnSpPr>
        <xdr:spPr>
          <a:xfrm flipV="1">
            <a:off x="49920525" y="13306425"/>
            <a:ext cx="228600" cy="0"/>
          </a:xfrm>
          <a:prstGeom prst="line">
            <a:avLst/>
          </a:prstGeom>
          <a:ln>
            <a:solidFill>
              <a:srgbClr val="0000CC"/>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126" name="Straight Connector 125"/>
          <xdr:cNvCxnSpPr/>
        </xdr:nvCxnSpPr>
        <xdr:spPr>
          <a:xfrm flipV="1">
            <a:off x="50692050" y="14678025"/>
            <a:ext cx="228600" cy="0"/>
          </a:xfrm>
          <a:prstGeom prst="line">
            <a:avLst/>
          </a:prstGeom>
          <a:ln>
            <a:solidFill>
              <a:srgbClr val="0000CC"/>
            </a:solidFill>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127" name="TextBox 126"/>
          <xdr:cNvSpPr txBox="1"/>
        </xdr:nvSpPr>
        <xdr:spPr>
          <a:xfrm>
            <a:off x="48672750" y="14097000"/>
            <a:ext cx="732893" cy="125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l"/>
            <a:r>
              <a:rPr lang="en-US" sz="800"/>
              <a:t>v      </a:t>
            </a:r>
            <a:r>
              <a:rPr lang="en-US" sz="800">
                <a:sym typeface="Wingdings 3"/>
              </a:rPr>
              <a:t> V</a:t>
            </a:r>
            <a:r>
              <a:rPr lang="en-US" sz="800"/>
              <a:t>oluntary </a:t>
            </a:r>
          </a:p>
        </xdr:txBody>
      </xdr:sp>
      <xdr:sp macro="" textlink="">
        <xdr:nvSpPr>
          <xdr:cNvPr id="128" name="TextBox 127"/>
          <xdr:cNvSpPr txBox="1"/>
        </xdr:nvSpPr>
        <xdr:spPr>
          <a:xfrm>
            <a:off x="48653700" y="14230350"/>
            <a:ext cx="800347" cy="125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l"/>
            <a:r>
              <a:rPr lang="en-US" sz="800"/>
              <a:t>m     </a:t>
            </a:r>
            <a:r>
              <a:rPr lang="en-US" sz="800">
                <a:sym typeface="Wingdings 3"/>
              </a:rPr>
              <a:t> M</a:t>
            </a:r>
            <a:r>
              <a:rPr lang="en-US" sz="800"/>
              <a:t>andatory</a:t>
            </a:r>
            <a:r>
              <a:rPr lang="en-US" sz="800" baseline="0"/>
              <a:t> </a:t>
            </a:r>
            <a:endParaRPr lang="en-US" sz="800"/>
          </a:p>
        </xdr:txBody>
      </xdr:sp>
    </xdr:grpSp>
    <xdr:clientData/>
  </xdr:twoCellAnchor>
  <mc:AlternateContent xmlns:mc="http://schemas.openxmlformats.org/markup-compatibility/2006">
    <mc:Choice xmlns:a14="http://schemas.microsoft.com/office/drawing/2010/main" Requires="a14">
      <xdr:twoCellAnchor editAs="oneCell">
        <xdr:from>
          <xdr:col>129</xdr:col>
          <xdr:colOff>19050</xdr:colOff>
          <xdr:row>0</xdr:row>
          <xdr:rowOff>0</xdr:rowOff>
        </xdr:from>
        <xdr:to>
          <xdr:col>132</xdr:col>
          <xdr:colOff>381000</xdr:colOff>
          <xdr:row>0</xdr:row>
          <xdr:rowOff>171450</xdr:rowOff>
        </xdr:to>
        <xdr:sp macro="" textlink="">
          <xdr:nvSpPr>
            <xdr:cNvPr id="145466" name="Check Box 58" hidden="1">
              <a:extLst>
                <a:ext uri="{63B3BB69-23CF-44E3-9099-C40C66FF867C}">
                  <a14:compatExt spid="_x0000_s145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Without small states (population &lt; 500k)</a:t>
              </a:r>
            </a:p>
          </xdr:txBody>
        </xdr:sp>
        <xdr:clientData/>
      </xdr:twoCellAnchor>
    </mc:Choice>
    <mc:Fallback/>
  </mc:AlternateContent>
  <xdr:twoCellAnchor>
    <xdr:from>
      <xdr:col>129</xdr:col>
      <xdr:colOff>42862</xdr:colOff>
      <xdr:row>96</xdr:row>
      <xdr:rowOff>42862</xdr:rowOff>
    </xdr:from>
    <xdr:to>
      <xdr:col>136</xdr:col>
      <xdr:colOff>347662</xdr:colOff>
      <xdr:row>109</xdr:row>
      <xdr:rowOff>126682</xdr:rowOff>
    </xdr:to>
    <xdr:graphicFrame macro="">
      <xdr:nvGraphicFramePr>
        <xdr:cNvPr id="137" name="Chart 1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133</xdr:col>
      <xdr:colOff>581025</xdr:colOff>
      <xdr:row>99</xdr:row>
      <xdr:rowOff>142875</xdr:rowOff>
    </xdr:from>
    <xdr:to>
      <xdr:col>136</xdr:col>
      <xdr:colOff>171450</xdr:colOff>
      <xdr:row>106</xdr:row>
      <xdr:rowOff>66675</xdr:rowOff>
    </xdr:to>
    <xdr:grpSp>
      <xdr:nvGrpSpPr>
        <xdr:cNvPr id="60" name="Group 59"/>
        <xdr:cNvGrpSpPr/>
      </xdr:nvGrpSpPr>
      <xdr:grpSpPr>
        <a:xfrm>
          <a:off x="51034950" y="19002375"/>
          <a:ext cx="1419225" cy="1257300"/>
          <a:chOff x="49453800" y="19002375"/>
          <a:chExt cx="1419225" cy="1257300"/>
        </a:xfrm>
      </xdr:grpSpPr>
      <xdr:cxnSp macro="">
        <xdr:nvCxnSpPr>
          <xdr:cNvPr id="146" name="Straight Connector 145"/>
          <xdr:cNvCxnSpPr/>
        </xdr:nvCxnSpPr>
        <xdr:spPr>
          <a:xfrm flipV="1">
            <a:off x="49672875" y="19107150"/>
            <a:ext cx="180975" cy="0"/>
          </a:xfrm>
          <a:prstGeom prst="line">
            <a:avLst/>
          </a:prstGeom>
          <a:ln>
            <a:solidFill>
              <a:srgbClr val="0000CC"/>
            </a:solidFill>
            <a:prstDash val="dash"/>
          </a:ln>
        </xdr:spPr>
        <xdr:style>
          <a:lnRef idx="1">
            <a:schemeClr val="accent1"/>
          </a:lnRef>
          <a:fillRef idx="0">
            <a:schemeClr val="accent1"/>
          </a:fillRef>
          <a:effectRef idx="0">
            <a:schemeClr val="accent1"/>
          </a:effectRef>
          <a:fontRef idx="minor">
            <a:schemeClr val="tx1"/>
          </a:fontRef>
        </xdr:style>
      </xdr:cxnSp>
      <xdr:grpSp>
        <xdr:nvGrpSpPr>
          <xdr:cNvPr id="3" name="Group 2"/>
          <xdr:cNvGrpSpPr/>
        </xdr:nvGrpSpPr>
        <xdr:grpSpPr>
          <a:xfrm>
            <a:off x="49453800" y="19002375"/>
            <a:ext cx="1419225" cy="1257300"/>
            <a:chOff x="49453800" y="19002375"/>
            <a:chExt cx="1419225" cy="1257300"/>
          </a:xfrm>
        </xdr:grpSpPr>
        <xdr:cxnSp macro="">
          <xdr:nvCxnSpPr>
            <xdr:cNvPr id="144" name="Straight Connector 143"/>
            <xdr:cNvCxnSpPr/>
          </xdr:nvCxnSpPr>
          <xdr:spPr>
            <a:xfrm flipV="1">
              <a:off x="49453800" y="20202525"/>
              <a:ext cx="180975" cy="0"/>
            </a:xfrm>
            <a:prstGeom prst="line">
              <a:avLst/>
            </a:prstGeom>
            <a:ln>
              <a:solidFill>
                <a:srgbClr val="0000CC"/>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147" name="Straight Connector 146"/>
            <xdr:cNvCxnSpPr/>
          </xdr:nvCxnSpPr>
          <xdr:spPr>
            <a:xfrm flipV="1">
              <a:off x="50253900" y="20259675"/>
              <a:ext cx="180975" cy="0"/>
            </a:xfrm>
            <a:prstGeom prst="line">
              <a:avLst/>
            </a:prstGeom>
            <a:ln>
              <a:solidFill>
                <a:srgbClr val="0000CC"/>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148" name="Straight Connector 147"/>
            <xdr:cNvCxnSpPr/>
          </xdr:nvCxnSpPr>
          <xdr:spPr>
            <a:xfrm flipV="1">
              <a:off x="50472975" y="19878675"/>
              <a:ext cx="180975" cy="0"/>
            </a:xfrm>
            <a:prstGeom prst="line">
              <a:avLst/>
            </a:prstGeom>
            <a:ln>
              <a:solidFill>
                <a:srgbClr val="0000CC"/>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149" name="Straight Connector 148"/>
            <xdr:cNvCxnSpPr/>
          </xdr:nvCxnSpPr>
          <xdr:spPr>
            <a:xfrm flipV="1">
              <a:off x="50692050" y="19554825"/>
              <a:ext cx="180975" cy="0"/>
            </a:xfrm>
            <a:prstGeom prst="line">
              <a:avLst/>
            </a:prstGeom>
            <a:ln>
              <a:solidFill>
                <a:srgbClr val="0000CC"/>
              </a:solidFill>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150" name="TextBox 149"/>
            <xdr:cNvSpPr txBox="1"/>
          </xdr:nvSpPr>
          <xdr:spPr>
            <a:xfrm>
              <a:off x="49746031" y="19002375"/>
              <a:ext cx="686470" cy="125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l"/>
              <a:r>
                <a:rPr lang="en-US" sz="800"/>
                <a:t>v    </a:t>
              </a:r>
              <a:r>
                <a:rPr lang="en-US" sz="800">
                  <a:sym typeface="Wingdings 3"/>
                </a:rPr>
                <a:t> V</a:t>
              </a:r>
              <a:r>
                <a:rPr lang="en-US" sz="800"/>
                <a:t>oluntary </a:t>
              </a:r>
            </a:p>
          </xdr:txBody>
        </xdr:sp>
        <xdr:sp macro="" textlink="">
          <xdr:nvSpPr>
            <xdr:cNvPr id="151" name="TextBox 150"/>
            <xdr:cNvSpPr txBox="1"/>
          </xdr:nvSpPr>
          <xdr:spPr>
            <a:xfrm>
              <a:off x="49726981" y="19126200"/>
              <a:ext cx="753924" cy="125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l"/>
              <a:r>
                <a:rPr lang="en-US" sz="800"/>
                <a:t>m   </a:t>
              </a:r>
              <a:r>
                <a:rPr lang="en-US" sz="800">
                  <a:sym typeface="Wingdings 3"/>
                </a:rPr>
                <a:t> M</a:t>
              </a:r>
              <a:r>
                <a:rPr lang="en-US" sz="800"/>
                <a:t>andatory</a:t>
              </a:r>
              <a:r>
                <a:rPr lang="en-US" sz="800" baseline="0"/>
                <a:t> </a:t>
              </a:r>
              <a:endParaRPr lang="en-US" sz="800"/>
            </a:p>
          </xdr:txBody>
        </xdr:sp>
        <xdr:sp macro="" textlink="">
          <xdr:nvSpPr>
            <xdr:cNvPr id="152" name="TextBox 151"/>
            <xdr:cNvSpPr txBox="1"/>
          </xdr:nvSpPr>
          <xdr:spPr>
            <a:xfrm>
              <a:off x="50738517" y="19431000"/>
              <a:ext cx="81946" cy="250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r>
                <a:rPr lang="en-US" sz="800"/>
                <a:t>v</a:t>
              </a:r>
            </a:p>
            <a:p>
              <a:pPr algn="ctr"/>
              <a:r>
                <a:rPr lang="en-US" sz="800"/>
                <a:t>m</a:t>
              </a:r>
            </a:p>
          </xdr:txBody>
        </xdr:sp>
      </xdr:grpSp>
    </xdr:grpSp>
    <xdr:clientData/>
  </xdr:twoCellAnchor>
  <xdr:twoCellAnchor>
    <xdr:from>
      <xdr:col>129</xdr:col>
      <xdr:colOff>42862</xdr:colOff>
      <xdr:row>112</xdr:row>
      <xdr:rowOff>42862</xdr:rowOff>
    </xdr:from>
    <xdr:to>
      <xdr:col>136</xdr:col>
      <xdr:colOff>347662</xdr:colOff>
      <xdr:row>125</xdr:row>
      <xdr:rowOff>126682</xdr:rowOff>
    </xdr:to>
    <xdr:graphicFrame macro="">
      <xdr:nvGraphicFramePr>
        <xdr:cNvPr id="153" name="Chart 1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130</xdr:col>
      <xdr:colOff>400050</xdr:colOff>
      <xdr:row>115</xdr:row>
      <xdr:rowOff>104775</xdr:rowOff>
    </xdr:from>
    <xdr:to>
      <xdr:col>136</xdr:col>
      <xdr:colOff>171450</xdr:colOff>
      <xdr:row>122</xdr:row>
      <xdr:rowOff>180975</xdr:rowOff>
    </xdr:to>
    <xdr:grpSp>
      <xdr:nvGrpSpPr>
        <xdr:cNvPr id="28" name="Group 27"/>
        <xdr:cNvGrpSpPr/>
      </xdr:nvGrpSpPr>
      <xdr:grpSpPr>
        <a:xfrm>
          <a:off x="49025175" y="22012275"/>
          <a:ext cx="3429000" cy="1409700"/>
          <a:chOff x="47444025" y="22012275"/>
          <a:chExt cx="3429000" cy="1409700"/>
        </a:xfrm>
      </xdr:grpSpPr>
      <xdr:cxnSp macro="">
        <xdr:nvCxnSpPr>
          <xdr:cNvPr id="154" name="Straight Connector 153"/>
          <xdr:cNvCxnSpPr/>
        </xdr:nvCxnSpPr>
        <xdr:spPr>
          <a:xfrm flipV="1">
            <a:off x="49453800" y="23183850"/>
            <a:ext cx="180975" cy="0"/>
          </a:xfrm>
          <a:prstGeom prst="line">
            <a:avLst/>
          </a:prstGeom>
          <a:ln>
            <a:solidFill>
              <a:srgbClr val="0000CC"/>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155" name="Straight Connector 154"/>
          <xdr:cNvCxnSpPr/>
        </xdr:nvCxnSpPr>
        <xdr:spPr>
          <a:xfrm flipV="1">
            <a:off x="49672875" y="22126575"/>
            <a:ext cx="180975" cy="0"/>
          </a:xfrm>
          <a:prstGeom prst="line">
            <a:avLst/>
          </a:prstGeom>
          <a:ln>
            <a:solidFill>
              <a:srgbClr val="0000CC"/>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156" name="Straight Connector 155"/>
          <xdr:cNvCxnSpPr/>
        </xdr:nvCxnSpPr>
        <xdr:spPr>
          <a:xfrm flipV="1">
            <a:off x="50253900" y="23421975"/>
            <a:ext cx="180975" cy="0"/>
          </a:xfrm>
          <a:prstGeom prst="line">
            <a:avLst/>
          </a:prstGeom>
          <a:ln>
            <a:solidFill>
              <a:srgbClr val="0000CC"/>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157" name="Straight Connector 156"/>
          <xdr:cNvCxnSpPr/>
        </xdr:nvCxnSpPr>
        <xdr:spPr>
          <a:xfrm flipV="1">
            <a:off x="50472975" y="22917150"/>
            <a:ext cx="180975" cy="0"/>
          </a:xfrm>
          <a:prstGeom prst="line">
            <a:avLst/>
          </a:prstGeom>
          <a:ln>
            <a:solidFill>
              <a:srgbClr val="0000CC"/>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158" name="Straight Connector 157"/>
          <xdr:cNvCxnSpPr/>
        </xdr:nvCxnSpPr>
        <xdr:spPr>
          <a:xfrm flipV="1">
            <a:off x="50692050" y="22793325"/>
            <a:ext cx="180975" cy="0"/>
          </a:xfrm>
          <a:prstGeom prst="line">
            <a:avLst/>
          </a:prstGeom>
          <a:ln>
            <a:solidFill>
              <a:srgbClr val="0000CC"/>
            </a:solidFill>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159" name="TextBox 158"/>
          <xdr:cNvSpPr txBox="1"/>
        </xdr:nvSpPr>
        <xdr:spPr>
          <a:xfrm>
            <a:off x="49746031" y="22012275"/>
            <a:ext cx="686470" cy="125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l"/>
            <a:r>
              <a:rPr lang="en-US" sz="800"/>
              <a:t>v    </a:t>
            </a:r>
            <a:r>
              <a:rPr lang="en-US" sz="800">
                <a:sym typeface="Wingdings 3"/>
              </a:rPr>
              <a:t> V</a:t>
            </a:r>
            <a:r>
              <a:rPr lang="en-US" sz="800"/>
              <a:t>oluntary </a:t>
            </a:r>
          </a:p>
        </xdr:txBody>
      </xdr:sp>
      <xdr:sp macro="" textlink="">
        <xdr:nvSpPr>
          <xdr:cNvPr id="160" name="TextBox 159"/>
          <xdr:cNvSpPr txBox="1"/>
        </xdr:nvSpPr>
        <xdr:spPr>
          <a:xfrm>
            <a:off x="49726981" y="22136100"/>
            <a:ext cx="753924" cy="125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l"/>
            <a:r>
              <a:rPr lang="en-US" sz="800"/>
              <a:t>m   </a:t>
            </a:r>
            <a:r>
              <a:rPr lang="en-US" sz="800">
                <a:sym typeface="Wingdings 3"/>
              </a:rPr>
              <a:t> M</a:t>
            </a:r>
            <a:r>
              <a:rPr lang="en-US" sz="800"/>
              <a:t>andatory</a:t>
            </a:r>
            <a:r>
              <a:rPr lang="en-US" sz="800" baseline="0"/>
              <a:t> </a:t>
            </a:r>
            <a:endParaRPr lang="en-US" sz="800"/>
          </a:p>
        </xdr:txBody>
      </xdr:sp>
      <xdr:sp macro="" textlink="">
        <xdr:nvSpPr>
          <xdr:cNvPr id="161" name="TextBox 160"/>
          <xdr:cNvSpPr txBox="1"/>
        </xdr:nvSpPr>
        <xdr:spPr>
          <a:xfrm>
            <a:off x="50738517" y="22669500"/>
            <a:ext cx="81946" cy="250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r>
              <a:rPr lang="en-US" sz="800"/>
              <a:t>v</a:t>
            </a:r>
          </a:p>
          <a:p>
            <a:pPr algn="ctr"/>
            <a:r>
              <a:rPr lang="en-US" sz="800"/>
              <a:t>m</a:t>
            </a:r>
          </a:p>
        </xdr:txBody>
      </xdr:sp>
      <xdr:cxnSp macro="">
        <xdr:nvCxnSpPr>
          <xdr:cNvPr id="162" name="Straight Connector 161"/>
          <xdr:cNvCxnSpPr/>
        </xdr:nvCxnSpPr>
        <xdr:spPr>
          <a:xfrm flipV="1">
            <a:off x="47444025" y="23421975"/>
            <a:ext cx="180975" cy="0"/>
          </a:xfrm>
          <a:prstGeom prst="line">
            <a:avLst/>
          </a:prstGeom>
          <a:ln>
            <a:solidFill>
              <a:srgbClr val="0000CC"/>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163" name="Straight Connector 162"/>
          <xdr:cNvCxnSpPr/>
        </xdr:nvCxnSpPr>
        <xdr:spPr>
          <a:xfrm flipV="1">
            <a:off x="47653575" y="23031450"/>
            <a:ext cx="180975" cy="0"/>
          </a:xfrm>
          <a:prstGeom prst="line">
            <a:avLst/>
          </a:prstGeom>
          <a:ln>
            <a:solidFill>
              <a:srgbClr val="0000CC"/>
            </a:solidFill>
            <a:prstDash val="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154</xdr:col>
      <xdr:colOff>200025</xdr:colOff>
      <xdr:row>1</xdr:row>
      <xdr:rowOff>38099</xdr:rowOff>
    </xdr:from>
    <xdr:to>
      <xdr:col>159</xdr:col>
      <xdr:colOff>443865</xdr:colOff>
      <xdr:row>10</xdr:row>
      <xdr:rowOff>152399</xdr:rowOff>
    </xdr:to>
    <xdr:graphicFrame macro="">
      <xdr:nvGraphicFramePr>
        <xdr:cNvPr id="164" name="Chart 1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154</xdr:col>
      <xdr:colOff>552449</xdr:colOff>
      <xdr:row>3</xdr:row>
      <xdr:rowOff>19050</xdr:rowOff>
    </xdr:from>
    <xdr:to>
      <xdr:col>159</xdr:col>
      <xdr:colOff>339089</xdr:colOff>
      <xdr:row>4</xdr:row>
      <xdr:rowOff>85725</xdr:rowOff>
    </xdr:to>
    <xdr:grpSp>
      <xdr:nvGrpSpPr>
        <xdr:cNvPr id="165" name="Group 164"/>
        <xdr:cNvGrpSpPr/>
      </xdr:nvGrpSpPr>
      <xdr:grpSpPr>
        <a:xfrm>
          <a:off x="63626999" y="590550"/>
          <a:ext cx="2834640" cy="257175"/>
          <a:chOff x="3000374" y="457200"/>
          <a:chExt cx="2834640" cy="257175"/>
        </a:xfrm>
      </xdr:grpSpPr>
      <xdr:cxnSp macro="">
        <xdr:nvCxnSpPr>
          <xdr:cNvPr id="166" name="Straight Connector 165"/>
          <xdr:cNvCxnSpPr/>
        </xdr:nvCxnSpPr>
        <xdr:spPr>
          <a:xfrm>
            <a:off x="3000374" y="704850"/>
            <a:ext cx="2834640" cy="9525"/>
          </a:xfrm>
          <a:prstGeom prst="line">
            <a:avLst/>
          </a:prstGeom>
          <a:ln>
            <a:solidFill>
              <a:srgbClr val="0000CC"/>
            </a:solidFill>
            <a:prstDash val="lgDash"/>
          </a:ln>
        </xdr:spPr>
        <xdr:style>
          <a:lnRef idx="1">
            <a:schemeClr val="accent1"/>
          </a:lnRef>
          <a:fillRef idx="0">
            <a:schemeClr val="accent1"/>
          </a:fillRef>
          <a:effectRef idx="0">
            <a:schemeClr val="accent1"/>
          </a:effectRef>
          <a:fontRef idx="minor">
            <a:schemeClr val="tx1"/>
          </a:fontRef>
        </xdr:style>
      </xdr:cxnSp>
      <xdr:sp macro="" textlink="">
        <xdr:nvSpPr>
          <xdr:cNvPr id="167" name="TextBox 166"/>
          <xdr:cNvSpPr txBox="1"/>
        </xdr:nvSpPr>
        <xdr:spPr>
          <a:xfrm>
            <a:off x="5261754" y="457200"/>
            <a:ext cx="569450" cy="250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r"/>
            <a:r>
              <a:rPr lang="en-US" sz="800"/>
              <a:t>Avg = 79.6</a:t>
            </a:r>
          </a:p>
          <a:p>
            <a:pPr algn="r"/>
            <a:r>
              <a:rPr lang="en-US" sz="800"/>
              <a:t>168 countries</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19050</xdr:colOff>
      <xdr:row>37</xdr:row>
      <xdr:rowOff>104775</xdr:rowOff>
    </xdr:from>
    <xdr:to>
      <xdr:col>6</xdr:col>
      <xdr:colOff>685800</xdr:colOff>
      <xdr:row>37</xdr:row>
      <xdr:rowOff>104775</xdr:rowOff>
    </xdr:to>
    <xdr:cxnSp macro="">
      <xdr:nvCxnSpPr>
        <xdr:cNvPr id="2" name="Straight Arrow Connector 1"/>
        <xdr:cNvCxnSpPr/>
      </xdr:nvCxnSpPr>
      <xdr:spPr>
        <a:xfrm>
          <a:off x="628650" y="7153275"/>
          <a:ext cx="4572000" cy="0"/>
        </a:xfrm>
        <a:prstGeom prst="straightConnector1">
          <a:avLst/>
        </a:prstGeom>
        <a:ln w="38100">
          <a:solidFill>
            <a:srgbClr val="0000CC"/>
          </a:solidFill>
          <a:headEnd type="oval"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257175</xdr:colOff>
      <xdr:row>37</xdr:row>
      <xdr:rowOff>47625</xdr:rowOff>
    </xdr:from>
    <xdr:to>
      <xdr:col>1</xdr:col>
      <xdr:colOff>348615</xdr:colOff>
      <xdr:row>37</xdr:row>
      <xdr:rowOff>139065</xdr:rowOff>
    </xdr:to>
    <xdr:sp macro="" textlink="">
      <xdr:nvSpPr>
        <xdr:cNvPr id="3" name="Oval 2"/>
        <xdr:cNvSpPr/>
      </xdr:nvSpPr>
      <xdr:spPr>
        <a:xfrm>
          <a:off x="866775" y="7096125"/>
          <a:ext cx="91440" cy="91440"/>
        </a:xfrm>
        <a:prstGeom prst="ellipse">
          <a:avLst/>
        </a:prstGeom>
        <a:solidFill>
          <a:srgbClr val="0000CC"/>
        </a:solidFill>
        <a:ln>
          <a:solidFill>
            <a:srgbClr val="0000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257175</xdr:colOff>
      <xdr:row>37</xdr:row>
      <xdr:rowOff>57150</xdr:rowOff>
    </xdr:from>
    <xdr:to>
      <xdr:col>2</xdr:col>
      <xdr:colOff>348615</xdr:colOff>
      <xdr:row>37</xdr:row>
      <xdr:rowOff>148590</xdr:rowOff>
    </xdr:to>
    <xdr:sp macro="" textlink="">
      <xdr:nvSpPr>
        <xdr:cNvPr id="4" name="Oval 3"/>
        <xdr:cNvSpPr/>
      </xdr:nvSpPr>
      <xdr:spPr>
        <a:xfrm>
          <a:off x="1647825" y="7105650"/>
          <a:ext cx="91440" cy="91440"/>
        </a:xfrm>
        <a:prstGeom prst="ellipse">
          <a:avLst/>
        </a:prstGeom>
        <a:solidFill>
          <a:srgbClr val="0000CC"/>
        </a:solidFill>
        <a:ln>
          <a:solidFill>
            <a:srgbClr val="0000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0</xdr:col>
      <xdr:colOff>151347</xdr:colOff>
      <xdr:row>37</xdr:row>
      <xdr:rowOff>171450</xdr:rowOff>
    </xdr:from>
    <xdr:ext cx="2201500" cy="219163"/>
    <xdr:sp macro="" textlink="">
      <xdr:nvSpPr>
        <xdr:cNvPr id="5" name="TextBox 4"/>
        <xdr:cNvSpPr txBox="1"/>
      </xdr:nvSpPr>
      <xdr:spPr>
        <a:xfrm>
          <a:off x="151347" y="7219950"/>
          <a:ext cx="2201500"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400"/>
            <a:t>Ages:   0-4      5-14   &gt;&gt;&gt;   15+  </a:t>
          </a:r>
        </a:p>
      </xdr:txBody>
    </xdr:sp>
    <xdr:clientData/>
  </xdr:oneCellAnchor>
  <xdr:oneCellAnchor>
    <xdr:from>
      <xdr:col>0</xdr:col>
      <xdr:colOff>203201</xdr:colOff>
      <xdr:row>36</xdr:row>
      <xdr:rowOff>3175</xdr:rowOff>
    </xdr:from>
    <xdr:ext cx="2035365" cy="219163"/>
    <xdr:sp macro="" textlink="">
      <xdr:nvSpPr>
        <xdr:cNvPr id="6" name="TextBox 5"/>
        <xdr:cNvSpPr txBox="1"/>
      </xdr:nvSpPr>
      <xdr:spPr>
        <a:xfrm>
          <a:off x="203201" y="6861175"/>
          <a:ext cx="203536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400"/>
            <a:t>Gap: </a:t>
          </a:r>
          <a:r>
            <a:rPr lang="en-US" sz="1400" baseline="0"/>
            <a:t>    A    +      B     +        C</a:t>
          </a:r>
          <a:r>
            <a:rPr lang="en-US" sz="1400"/>
            <a:t> </a:t>
          </a:r>
        </a:p>
      </xdr:txBody>
    </xdr:sp>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Cem Dener" refreshedDate="42401.829004398147" createdVersion="5" refreshedVersion="5" minRefreshableVersion="3" recordCount="198">
  <cacheSource type="worksheet">
    <worksheetSource ref="A2:IR200" sheet="ID4D"/>
  </cacheSource>
  <cacheFields count="284">
    <cacheField name="#" numFmtId="0">
      <sharedItems containsSemiMixedTypes="0" containsString="0" containsNumber="1" containsInteger="1" minValue="1" maxValue="198"/>
    </cacheField>
    <cacheField name="Flag" numFmtId="0">
      <sharedItems containsNonDate="0" containsString="0" containsBlank="1"/>
    </cacheField>
    <cacheField name="Economy" numFmtId="0">
      <sharedItems/>
    </cacheField>
    <cacheField name="Region" numFmtId="0">
      <sharedItems containsBlank="1" count="7">
        <s v="SAR"/>
        <s v="ECA"/>
        <s v="MNA"/>
        <m/>
        <s v="AFR"/>
        <s v="LCR"/>
        <s v="EAP"/>
      </sharedItems>
    </cacheField>
    <cacheField name="Level" numFmtId="0">
      <sharedItems count="4">
        <s v="LIC"/>
        <s v="UMIC"/>
        <s v="HIC"/>
        <s v="LMIC"/>
      </sharedItems>
    </cacheField>
    <cacheField name="Code" numFmtId="0">
      <sharedItems/>
    </cacheField>
    <cacheField name="Code2" numFmtId="0">
      <sharedItems/>
    </cacheField>
    <cacheField name="CR Gov Entity URL" numFmtId="0">
      <sharedItems longText="1"/>
    </cacheField>
    <cacheField name="CR Gov Entity" numFmtId="0">
      <sharedItems/>
    </cacheField>
    <cacheField name="CR Org" numFmtId="0">
      <sharedItems containsSemiMixedTypes="0" containsString="0" containsNumber="1" containsInteger="1" minValue="1" maxValue="6"/>
    </cacheField>
    <cacheField name="CR Yr" numFmtId="0">
      <sharedItems containsSemiMixedTypes="0" containsString="0" containsNumber="1" containsInteger="1" minValue="1563" maxValue="2012"/>
    </cacheField>
    <cacheField name="CR M" numFmtId="0">
      <sharedItems containsSemiMixedTypes="0" containsString="0" containsNumber="1" containsInteger="1" minValue="1" maxValue="2"/>
    </cacheField>
    <cacheField name="CR Dur" numFmtId="0">
      <sharedItems/>
    </cacheField>
    <cacheField name="CR Cost" numFmtId="0">
      <sharedItems containsMixedTypes="1" containsNumber="1" minValue="0.05" maxValue="45"/>
    </cacheField>
    <cacheField name="Natl ID Org URL" numFmtId="0">
      <sharedItems longText="1"/>
    </cacheField>
    <cacheField name="Natl ID Org" numFmtId="0">
      <sharedItems longText="1"/>
    </cacheField>
    <cacheField name="NID Org" numFmtId="0">
      <sharedItems containsSemiMixedTypes="0" containsString="0" containsNumber="1" containsInteger="1" minValue="0" maxValue="6"/>
    </cacheField>
    <cacheField name="NID Yr" numFmtId="0">
      <sharedItems containsMixedTypes="1" containsNumber="1" containsInteger="1" minValue="1850" maxValue="2016"/>
    </cacheField>
    <cacheField name="NID Card Name" numFmtId="0">
      <sharedItems/>
    </cacheField>
    <cacheField name="NID_B" numFmtId="0">
      <sharedItems containsSemiMixedTypes="0" containsString="0" containsNumber="1" containsInteger="1" minValue="0" maxValue="2" count="3">
        <n v="2"/>
        <n v="1"/>
        <n v="0"/>
      </sharedItems>
    </cacheField>
    <cacheField name="NID_M" numFmtId="0">
      <sharedItems containsSemiMixedTypes="0" containsString="0" containsNumber="1" containsInteger="1" minValue="0" maxValue="2"/>
    </cacheField>
    <cacheField name="NID Age" numFmtId="0">
      <sharedItems containsMixedTypes="1" containsNumber="1" minValue="0" maxValue="19"/>
    </cacheField>
    <cacheField name="NID Cost" numFmtId="0">
      <sharedItems containsMixedTypes="1" containsNumber="1" minValue="2" maxValue="35"/>
    </cacheField>
    <cacheField name="NID" numFmtId="0">
      <sharedItems containsSemiMixedTypes="0" containsString="0" containsNumber="1" containsInteger="1" minValue="0" maxValue="1"/>
    </cacheField>
    <cacheField name="NID M" numFmtId="0">
      <sharedItems containsSemiMixedTypes="0" containsString="0" containsNumber="1" containsInteger="1" minValue="0" maxValue="1"/>
    </cacheField>
    <cacheField name="Wiki NID" numFmtId="0">
      <sharedItems containsBlank="1"/>
    </cacheField>
    <cacheField name="Bw" numFmtId="0">
      <sharedItems containsBlank="1" containsMixedTypes="1" containsNumber="1" containsInteger="1" minValue="1" maxValue="1"/>
    </cacheField>
    <cacheField name="Nw" numFmtId="0">
      <sharedItems containsString="0" containsBlank="1" containsNumber="1" containsInteger="1" minValue="1" maxValue="1"/>
    </cacheField>
    <cacheField name="Dw" numFmtId="0">
      <sharedItems containsString="0" containsBlank="1" containsNumber="1" containsInteger="1" minValue="1" maxValue="1"/>
    </cacheField>
    <cacheField name="e-ID URL" numFmtId="0">
      <sharedItems longText="1"/>
    </cacheField>
    <cacheField name="e-ID Yr" numFmtId="0">
      <sharedItems containsMixedTypes="1" containsNumber="1" containsInteger="1" minValue="1998" maxValue="2016"/>
    </cacheField>
    <cacheField name="e-ID" numFmtId="0">
      <sharedItems containsSemiMixedTypes="0" containsString="0" containsNumber="1" containsInteger="1" minValue="0" maxValue="3"/>
    </cacheField>
    <cacheField name="Card" numFmtId="0">
      <sharedItems containsMixedTypes="1" containsNumber="1" containsInteger="1" minValue="0" maxValue="4"/>
    </cacheField>
    <cacheField name="e-ID Services" numFmtId="0">
      <sharedItems/>
    </cacheField>
    <cacheField name="D Sign" numFmtId="0">
      <sharedItems containsMixedTypes="1" containsNumber="1" containsInteger="1" minValue="0" maxValue="1"/>
    </cacheField>
    <cacheField name="R Use" numFmtId="0">
      <sharedItems containsMixedTypes="1" containsNumber="1" containsInteger="1" minValue="0" maxValue="1"/>
    </cacheField>
    <cacheField name="Produced" numFmtId="3">
      <sharedItems containsBlank="1" containsMixedTypes="1" containsNumber="1" minValue="40" maxValue="1200000"/>
    </cacheField>
    <cacheField name="Soln" numFmtId="0">
      <sharedItems containsMixedTypes="1" containsNumber="1" containsInteger="1" minValue="0" maxValue="18"/>
    </cacheField>
    <cacheField name="Technology URL" numFmtId="0">
      <sharedItems/>
    </cacheField>
    <cacheField name="Ch" numFmtId="0">
      <sharedItems containsMixedTypes="1" containsNumber="1" containsInteger="1" minValue="1" maxValue="6"/>
    </cacheField>
    <cacheField name="BID" numFmtId="0">
      <sharedItems containsSemiMixedTypes="0" containsString="0" containsNumber="1" containsInteger="1" minValue="0" maxValue="1"/>
    </cacheField>
    <cacheField name="BID M" numFmtId="0">
      <sharedItems containsSemiMixedTypes="0" containsString="0" containsNumber="1" containsInteger="1" minValue="0" maxValue="1"/>
    </cacheField>
    <cacheField name="e-Pass Org URL" numFmtId="0">
      <sharedItems longText="1"/>
    </cacheField>
    <cacheField name="e-Pass Org" numFmtId="0">
      <sharedItems/>
    </cacheField>
    <cacheField name="e-P" numFmtId="0">
      <sharedItems containsSemiMixedTypes="0" containsString="0" containsNumber="1" containsInteger="1" minValue="0" maxValue="2"/>
    </cacheField>
    <cacheField name="e-P Org" numFmtId="0">
      <sharedItems containsSemiMixedTypes="0" containsString="0" containsNumber="1" containsInteger="1" minValue="1" maxValue="6"/>
    </cacheField>
    <cacheField name="e-P Yr" numFmtId="0">
      <sharedItems containsMixedTypes="1" containsNumber="1" containsInteger="1" minValue="1994" maxValue="2015"/>
    </cacheField>
    <cacheField name="Valid" numFmtId="0">
      <sharedItems containsSemiMixedTypes="0" containsString="0" containsNumber="1" containsInteger="1" minValue="3" maxValue="10"/>
    </cacheField>
    <cacheField name="Est Issued" numFmtId="3">
      <sharedItems containsMixedTypes="1" containsNumber="1" containsInteger="1" minValue="4" maxValue="72000"/>
    </cacheField>
    <cacheField name="Link" numFmtId="0">
      <sharedItems containsSemiMixedTypes="0" containsString="0" containsNumber="1" containsInteger="1" minValue="0" maxValue="1"/>
    </cacheField>
    <cacheField name="Business Registry" numFmtId="0">
      <sharedItems longText="1"/>
    </cacheField>
    <cacheField name="BReg Yr" numFmtId="0">
      <sharedItems containsMixedTypes="1" containsNumber="1" containsInteger="1" minValue="1911" maxValue="2016"/>
    </cacheField>
    <cacheField name="BR a" numFmtId="0">
      <sharedItems containsSemiMixedTypes="0" containsString="0" containsNumber="1" containsInteger="1" minValue="0" maxValue="1"/>
    </cacheField>
    <cacheField name="c-ID" numFmtId="0">
      <sharedItems containsSemiMixedTypes="0" containsString="0" containsNumber="1" containsInteger="1" minValue="0" maxValue="2"/>
    </cacheField>
    <cacheField name="Unique Bus ID URL" numFmtId="0">
      <sharedItems/>
    </cacheField>
    <cacheField name="c-ID Yr" numFmtId="0">
      <sharedItems containsMixedTypes="1" containsNumber="1" containsInteger="1" minValue="1913" maxValue="2016"/>
    </cacheField>
    <cacheField name="c-ID S" numFmtId="0">
      <sharedItems containsSemiMixedTypes="0" containsString="0" containsNumber="1" containsInteger="1" minValue="0" maxValue="2"/>
    </cacheField>
    <cacheField name="c-ID Services" numFmtId="0">
      <sharedItems/>
    </cacheField>
    <cacheField name="SSO" numFmtId="0">
      <sharedItems containsSemiMixedTypes="0" containsString="0" containsNumber="1" containsInteger="1" minValue="0" maxValue="1"/>
    </cacheField>
    <cacheField name="SSO Services URL" numFmtId="0">
      <sharedItems/>
    </cacheField>
    <cacheField name="DPL" numFmtId="0">
      <sharedItems containsSemiMixedTypes="0" containsString="0" containsNumber="1" containsInteger="1" minValue="0" maxValue="3"/>
    </cacheField>
    <cacheField name="RTI" numFmtId="0">
      <sharedItems containsSemiMixedTypes="0" containsString="0" containsNumber="1" containsInteger="1" minValue="0" maxValue="1"/>
    </cacheField>
    <cacheField name="Population" numFmtId="3">
      <sharedItems containsSemiMixedTypes="0" containsString="0" containsNumber="1" minValue="9.4879999999999995" maxValue="1376048.943"/>
    </cacheField>
    <cacheField name="Pop F%" numFmtId="167">
      <sharedItems containsSemiMixedTypes="0" containsString="0" containsNumber="1" minValue="24.260415397419717" maxValue="55.7"/>
    </cacheField>
    <cacheField name="Pop M" numFmtId="3">
      <sharedItems containsSemiMixedTypes="0" containsString="0" containsNumber="1" minValue="4.5" maxValue="708977.11600000004"/>
    </cacheField>
    <cacheField name="Pop F" numFmtId="3">
      <sharedItems containsSemiMixedTypes="0" containsString="0" containsNumber="1" minValue="4.9879999999999995" maxValue="667071.82700000005"/>
    </cacheField>
    <cacheField name="Pop 0-4" numFmtId="3">
      <sharedItems containsSemiMixedTypes="0" containsString="0" containsNumber="1" minValue="1.028" maxValue="123711.48699999999"/>
    </cacheField>
    <cacheField name="P 0-4 F%" numFmtId="167">
      <sharedItems containsSemiMixedTypes="0" containsString="0" containsNumber="1" minValue="45" maxValue="55.084745762711862"/>
    </cacheField>
    <cacheField name="Pop 0-4 M" numFmtId="3">
      <sharedItems containsSemiMixedTypes="0" containsString="0" containsNumber="1" minValue="0.52800000000000002" maxValue="65115.106"/>
    </cacheField>
    <cacheField name="Pop 0-4 F" numFmtId="3">
      <sharedItems containsSemiMixedTypes="0" containsString="0" containsNumber="1" minValue="0.5" maxValue="58596.381000000001"/>
    </cacheField>
    <cacheField name="Pop 5-9" numFmtId="3">
      <sharedItems containsSemiMixedTypes="0" containsString="0" containsNumber="1" minValue="0.98" maxValue="126965.226"/>
    </cacheField>
    <cacheField name="P 5-9 F%" numFmtId="167">
      <sharedItems containsSemiMixedTypes="0" containsString="0" containsNumber="1" minValue="46.143451022365902" maxValue="57.142857142857153"/>
    </cacheField>
    <cacheField name="Pop 5-9 M" numFmtId="3">
      <sharedItems containsSemiMixedTypes="0" containsString="0" containsNumber="1" minValue="0.42" maxValue="66946.070000000007"/>
    </cacheField>
    <cacheField name="Pop 5-9 F" numFmtId="3">
      <sharedItems containsSemiMixedTypes="0" containsString="0" containsNumber="1" minValue="0.495" maxValue="60019.156000000003"/>
    </cacheField>
    <cacheField name="Pop 10-14" numFmtId="3">
      <sharedItems containsSemiMixedTypes="0" containsString="0" containsNumber="1" minValue="0.91999999999999993" maxValue="126750.182"/>
    </cacheField>
    <cacheField name="P 10-14 F%" numFmtId="167">
      <sharedItems containsSemiMixedTypes="0" containsString="0" containsNumber="1" minValue="43.745614718952211" maxValue="55.434782608695656"/>
    </cacheField>
    <cacheField name="Pop 10-14 M" numFmtId="3">
      <sharedItems containsSemiMixedTypes="0" containsString="0" containsNumber="1" minValue="0.41" maxValue="66884.312999999995"/>
    </cacheField>
    <cacheField name="Pop 10-14 F" numFmtId="3">
      <sharedItems containsSemiMixedTypes="0" containsString="0" containsNumber="1" minValue="0.49299999999999999" maxValue="59865.868999999999"/>
    </cacheField>
    <cacheField name="Pop 15+" numFmtId="3">
      <sharedItems containsSemiMixedTypes="0" containsString="0" containsNumber="1" minValue="6.4079999999999995" maxValue="1138933.6869999999"/>
    </cacheField>
    <cacheField name="P 15+ F%" numFmtId="167">
      <sharedItems containsSemiMixedTypes="0" containsString="0" containsNumber="1" minValue="20.395421034640201" maxValue="56.42264547791541"/>
    </cacheField>
    <cacheField name="Pop 15+ M" numFmtId="3">
      <sharedItems containsSemiMixedTypes="0" containsString="0" containsNumber="1" minValue="3.1399999999999997" maxValue="581616.71"/>
    </cacheField>
    <cacheField name="Pop 15+ F" numFmtId="3">
      <sharedItems containsSemiMixedTypes="0" containsString="0" containsNumber="1" minValue="3.2679999999999989" maxValue="557316.97700000007"/>
    </cacheField>
    <cacheField name="Pop Rf Year" numFmtId="0">
      <sharedItems containsSemiMixedTypes="0" containsString="0" containsNumber="1" containsInteger="1" minValue="2014" maxValue="2015"/>
    </cacheField>
    <cacheField name="Pop Source" numFmtId="3">
      <sharedItems/>
    </cacheField>
    <cacheField name="Birth Reg %" numFmtId="0">
      <sharedItems containsSemiMixedTypes="0" containsString="0" containsNumber="1" minValue="2.2999999999999998" maxValue="100"/>
    </cacheField>
    <cacheField name="BR M%" numFmtId="0">
      <sharedItems containsSemiMixedTypes="0" containsString="0" containsNumber="1" minValue="2.2999999999999998" maxValue="100"/>
    </cacheField>
    <cacheField name="BR F%" numFmtId="0">
      <sharedItems containsSemiMixedTypes="0" containsString="0" containsNumber="1" minValue="2.2999999999999998" maxValue="100"/>
    </cacheField>
    <cacheField name="BR Urban" numFmtId="0">
      <sharedItems containsBlank="1" containsMixedTypes="1" containsNumber="1" minValue="5.3" maxValue="100"/>
    </cacheField>
    <cacheField name="BR Rural" numFmtId="0">
      <sharedItems containsBlank="1" containsMixedTypes="1" containsNumber="1" minValue="1.5" maxValue="100"/>
    </cacheField>
    <cacheField name="BR Ref Yr" numFmtId="0">
      <sharedItems containsMixedTypes="1" containsNumber="1" containsInteger="1" minValue="2005" maxValue="2015"/>
    </cacheField>
    <cacheField name="BR Source" numFmtId="0">
      <sharedItems/>
    </cacheField>
    <cacheField name="Total Registration" numFmtId="0">
      <sharedItems containsSemiMixedTypes="0" containsString="0" containsNumber="1" minValue="5.7039999999999997" maxValue="1362288.943"/>
    </cacheField>
    <cacheField name="Reg Pop %" numFmtId="172">
      <sharedItems containsSemiMixedTypes="0" containsString="0" containsNumber="1" minValue="4.6923986819178927" maxValue="100"/>
    </cacheField>
    <cacheField name="Registered Male" numFmtId="170">
      <sharedItems containsSemiMixedTypes="0" containsString="0" containsNumber="1" minValue="2.7053119730185502" maxValue="701887.59700738953"/>
    </cacheField>
    <cacheField name="Registered Female" numFmtId="170">
      <sharedItems containsSemiMixedTypes="0" containsString="0" containsNumber="1" minValue="2.9986880269814495" maxValue="660401.34599261044"/>
    </cacheField>
    <cacheField name="Reg Rf Year" numFmtId="0">
      <sharedItems containsSemiMixedTypes="0" containsString="0" containsNumber="1" containsInteger="1" minValue="1984" maxValue="2016"/>
    </cacheField>
    <cacheField name="Registration Source" numFmtId="0">
      <sharedItems longText="1"/>
    </cacheField>
    <cacheField name="NID Age2" numFmtId="0">
      <sharedItems containsMixedTypes="1" containsNumber="1" minValue="0" maxValue="19"/>
    </cacheField>
    <cacheField name="Voter Age" numFmtId="0">
      <sharedItems containsSemiMixedTypes="0" containsString="0" containsNumber="1" containsInteger="1" minValue="16" maxValue="25"/>
    </cacheField>
    <cacheField name="Election Year" numFmtId="0">
      <sharedItems/>
    </cacheField>
    <cacheField name="Registered Voters" numFmtId="3">
      <sharedItems containsMixedTypes="1" containsNumber="1" minValue="5.7039999999999997" maxValue="834101.47900000005"/>
    </cacheField>
    <cacheField name="Voting Age Population" numFmtId="3">
      <sharedItems containsMixedTypes="1" containsNumber="1" minValue="5.71" maxValue="787860.32799999998"/>
    </cacheField>
    <cacheField name="Population " numFmtId="3">
      <sharedItems containsMixedTypes="1" containsNumber="1" minValue="9.4339999999999993" maxValue="1236344.6310000001"/>
    </cacheField>
    <cacheField name="Verify" numFmtId="0">
      <sharedItems containsSemiMixedTypes="0" containsString="0" containsNumber="1" containsInteger="1" minValue="1" maxValue="20"/>
    </cacheField>
    <cacheField name="Control Group" numFmtId="0">
      <sharedItems containsSemiMixedTypes="0" containsString="0" containsNumber="1" containsInteger="1" minValue="2" maxValue="6"/>
    </cacheField>
    <cacheField name="Check" numFmtId="170">
      <sharedItems/>
    </cacheField>
    <cacheField name="Categ" numFmtId="170">
      <sharedItems count="3">
        <s v="A"/>
        <s v="B"/>
        <s v="C"/>
      </sharedItems>
    </cacheField>
    <cacheField name="Unregist Population" numFmtId="3">
      <sharedItems containsSemiMixedTypes="0" containsString="0" containsNumber="1" minValue="0" maxValue="476967.71299999999"/>
    </cacheField>
    <cacheField name="Unreg P%" numFmtId="0">
      <sharedItems containsSemiMixedTypes="0" containsString="0" containsNumber="1" minValue="0" maxValue="73.871092103796371"/>
    </cacheField>
    <cacheField name="Unreg F%" numFmtId="0">
      <sharedItems containsSemiMixedTypes="0" containsString="0" containsNumber="1" minValue="0" maxValue="96.345410712369258"/>
    </cacheField>
    <cacheField name="Unreg M" numFmtId="3">
      <sharedItems containsSemiMixedTypes="0" containsString="0" containsNumber="1" minValue="0" maxValue="242484.50900000008"/>
    </cacheField>
    <cacheField name="Unreg F" numFmtId="3">
      <sharedItems containsSemiMixedTypes="0" containsString="0" containsNumber="1" minValue="0" maxValue="234483.20399999997"/>
    </cacheField>
    <cacheField name="UM / TotM" numFmtId="167">
      <sharedItems containsSemiMixedTypes="0" containsString="0" containsNumber="1" minValue="0" maxValue="73.083454951275286"/>
    </cacheField>
    <cacheField name="UF / TotF" numFmtId="167">
      <sharedItems containsSemiMixedTypes="0" containsString="0" containsNumber="1" minValue="0" maxValue="74.896176150512133"/>
    </cacheField>
    <cacheField name="Unreg 15+" numFmtId="3">
      <sharedItems containsSemiMixedTypes="0" containsString="0" containsNumber="1" minValue="0" maxValue="415069.70221999998"/>
    </cacheField>
    <cacheField name="U15+ F%" numFmtId="167">
      <sharedItems containsSemiMixedTypes="0" containsString="0" containsNumber="1" minValue="0" maxValue="96.345410712369258"/>
    </cacheField>
    <cacheField name="Unreg M 15+" numFmtId="3">
      <sharedItems containsSemiMixedTypes="0" containsString="0" containsNumber="1" minValue="0" maxValue="209857.44880400007"/>
    </cacheField>
    <cacheField name="Unreg F 15+" numFmtId="3">
      <sharedItems containsSemiMixedTypes="0" containsString="0" containsNumber="1" minValue="0" maxValue="205212.25341599996"/>
    </cacheField>
    <cacheField name="Unreg 5-14" numFmtId="3">
      <sharedItems containsSemiMixedTypes="0" containsString="0" containsNumber="1" minValue="0" maxValue="41609.326912000004"/>
    </cacheField>
    <cacheField name="U5-14 F%" numFmtId="167">
      <sharedItems containsSemiMixedTypes="0" containsString="0" containsNumber="1" minValue="0" maxValue="107.9871032345502"/>
    </cacheField>
    <cacheField name="Unreg M 5-14" numFmtId="3">
      <sharedItems containsSemiMixedTypes="0" containsString="0" containsNumber="1" minValue="0" maxValue="21948.182812000006"/>
    </cacheField>
    <cacheField name="Unreg F 5-14" numFmtId="3">
      <sharedItems containsSemiMixedTypes="0" containsString="0" containsNumber="1" minValue="0" maxValue="19661.144100000005"/>
    </cacheField>
    <cacheField name="Unreg 0-4" numFmtId="3">
      <sharedItems containsSemiMixedTypes="0" containsString="0" containsNumber="1" minValue="0" maxValue="21838.631723999999"/>
    </cacheField>
    <cacheField name="U0-4 F%" numFmtId="0">
      <sharedItems containsSemiMixedTypes="0" containsString="0" containsNumber="1" minValue="0" maxValue="109.30593889328522"/>
    </cacheField>
    <cacheField name="Unreg M    0-4" numFmtId="3">
      <sharedItems containsSemiMixedTypes="0" containsString="0" containsNumber="1" minValue="0" maxValue="11170.572396000001"/>
    </cacheField>
    <cacheField name="Unreg F     0-4" numFmtId="3">
      <sharedItems containsSemiMixedTypes="0" containsString="0" containsNumber="1" minValue="0" maxValue="10652.124131999999"/>
    </cacheField>
    <cacheField name="UM 0-4 / TotM" numFmtId="167">
      <sharedItems containsSemiMixedTypes="0" containsString="0" containsNumber="1" minValue="0" maxValue="97.7"/>
    </cacheField>
    <cacheField name="UF 0-4 / TotF" numFmtId="167">
      <sharedItems containsSemiMixedTypes="0" containsString="0" containsNumber="1" minValue="0" maxValue="97.699999999999989"/>
    </cacheField>
    <cacheField name="Population2" numFmtId="3">
      <sharedItems containsSemiMixedTypes="0" containsString="0" containsNumber="1" minValue="9.3219999999999992" maxValue="1357380"/>
    </cacheField>
    <cacheField name="Pop F%2" numFmtId="164">
      <sharedItems containsSemiMixedTypes="0" containsString="0" containsNumber="1" minValue="23.470112829366162" maxValue="54.284600312409204"/>
    </cacheField>
    <cacheField name="Pop 0-14" numFmtId="3">
      <sharedItems containsSemiMixedTypes="0" containsString="0" containsNumber="1" minValue="3.0799999999999996" maxValue="364250.39400000055"/>
    </cacheField>
    <cacheField name="0-14 F%" numFmtId="167">
      <sharedItems containsSemiMixedTypes="0" containsString="0" containsNumber="1" minValue="43.279040481551192" maxValue="55.844155844155843"/>
    </cacheField>
    <cacheField name="Pop 0-42" numFmtId="3">
      <sharedItems containsSemiMixedTypes="0" containsString="0" containsNumber="1" minValue="0.95629211850173645" maxValue="121292.978"/>
    </cacheField>
    <cacheField name="0-4 F%" numFmtId="164">
      <sharedItems containsSemiMixedTypes="0" containsString="0" containsNumber="1" minValue="45.102514203660476" maxValue="53.448275862068954"/>
    </cacheField>
    <cacheField name="NID (%)" numFmtId="164">
      <sharedItems containsSemiMixedTypes="0" containsString="0" containsNumber="1" minValue="0.66201307815043475" maxValue="99.777515216752349"/>
    </cacheField>
    <cacheField name="Natl ID Reg" numFmtId="3">
      <sharedItems containsSemiMixedTypes="0" containsString="0" containsNumber="1" minValue="6" maxValue="974611.23423844588"/>
    </cacheField>
    <cacheField name="Unreg 15+2" numFmtId="3">
      <sharedItems containsSemiMixedTypes="0" containsString="0" containsNumber="1" minValue="0.26222914800000019" maxValue="302852.5959999999"/>
    </cacheField>
    <cacheField name="UP F%" numFmtId="167">
      <sharedItems containsSemiMixedTypes="0" containsString="0" containsNumber="1" minValue="23.470112829366162" maxValue="54.284600312409204"/>
    </cacheField>
    <cacheField name="Unreg 0-14" numFmtId="3">
      <sharedItems containsSemiMixedTypes="0" containsString="0" containsNumber="1" minValue="0" maxValue="56823.061464000057"/>
    </cacheField>
    <cacheField name="U0-14 F%" numFmtId="167">
      <sharedItems containsSemiMixedTypes="0" containsString="0" containsNumber="1" minValue="43.279040481551192" maxValue="55.844155844155843"/>
    </cacheField>
    <cacheField name="Unreg 0-42" numFmtId="3">
      <sharedItems containsSemiMixedTypes="0" containsString="0" containsNumber="1" minValue="0" maxValue="21442.972136433898"/>
    </cacheField>
    <cacheField name="U0-4 F%2" numFmtId="164">
      <sharedItems containsSemiMixedTypes="0" containsString="0" containsNumber="1" minValue="45.102514203660476" maxValue="53.448275862068954"/>
    </cacheField>
    <cacheField name="Urban" numFmtId="3">
      <sharedItems containsMixedTypes="1" containsNumber="1" minValue="0" maxValue="720095.52"/>
    </cacheField>
    <cacheField name="Urb %" numFmtId="0">
      <sharedItems containsMixedTypes="1" containsNumber="1" minValue="0" maxValue="100"/>
    </cacheField>
    <cacheField name="Urb F%" numFmtId="0">
      <sharedItems containsMixedTypes="1" containsNumber="1" minValue="4.4625827717407249" maxValue="77.308547181248727"/>
    </cacheField>
    <cacheField name="Rural" numFmtId="3">
      <sharedItems containsMixedTypes="1" containsNumber="1" minValue="0" maxValue="851141.89"/>
    </cacheField>
    <cacheField name="Rur %" numFmtId="0">
      <sharedItems containsMixedTypes="1" containsNumber="1" minValue="0" maxValue="88.5"/>
    </cacheField>
    <cacheField name="Rur F%" numFmtId="164">
      <sharedItems containsMixedTypes="1" containsNumber="1" minValue="16.703504499409441" maxValue="562.37515003819146"/>
    </cacheField>
    <cacheField name="Po 0-4" numFmtId="164">
      <sharedItems containsSemiMixedTypes="0" containsString="0" containsNumber="1" minValue="3.34" maxValue="20.696911715945028"/>
    </cacheField>
    <cacheField name="Po 5-9" numFmtId="164">
      <sharedItems containsSemiMixedTypes="0" containsString="0" containsNumber="1" minValue="3.2985619372239707" maxValue="16.190182550781373"/>
    </cacheField>
    <cacheField name="Po 10-14" numFmtId="164">
      <sharedItems containsSemiMixedTypes="0" containsString="0" containsNumber="1" minValue="3.5302286250907375" maxValue="14.581805353847487"/>
    </cacheField>
    <cacheField name="Po 0-14" numFmtId="164">
      <sharedItems containsSemiMixedTypes="0" containsString="0" containsNumber="1" minValue="11.722365695165699" maxValue="50.093465019597602"/>
    </cacheField>
    <cacheField name="Po 15-64" numFmtId="164">
      <sharedItems containsSemiMixedTypes="0" containsString="0" containsNumber="1" minValue="47.289458350414698" maxValue="85.358189086137003"/>
    </cacheField>
    <cacheField name="Po 65+" numFmtId="164">
      <sharedItems containsSemiMixedTypes="0" containsString="0" containsNumber="1" minValue="0.41788423849060902" maxValue="29.5"/>
    </cacheField>
    <cacheField name="Birth Reg %2" numFmtId="164">
      <sharedItems containsSemiMixedTypes="0" containsString="0" containsNumber="1" minValue="0" maxValue="100"/>
    </cacheField>
    <cacheField name="BR F%2" numFmtId="164">
      <sharedItems containsSemiMixedTypes="0" containsString="0" containsNumber="1" minValue="0" maxValue="100"/>
    </cacheField>
    <cacheField name="BR M%2" numFmtId="164">
      <sharedItems containsSemiMixedTypes="0" containsString="0" containsNumber="1" minValue="0" maxValue="100"/>
    </cacheField>
    <cacheField name="BR Urban2" numFmtId="164">
      <sharedItems containsSemiMixedTypes="0" containsString="0" containsNumber="1" minValue="0" maxValue="100"/>
    </cacheField>
    <cacheField name="BR Rural2" numFmtId="164">
      <sharedItems containsSemiMixedTypes="0" containsString="0" containsNumber="1" minValue="0" maxValue="100"/>
    </cacheField>
    <cacheField name="BR Ref Yr2" numFmtId="0">
      <sharedItems containsSemiMixedTypes="0" containsString="0" containsNumber="1" containsInteger="1" minValue="1994" maxValue="2014"/>
    </cacheField>
    <cacheField name="Pov (%p)" numFmtId="164">
      <sharedItems containsMixedTypes="1" containsNumber="1" minValue="0" maxValue="87.72"/>
    </cacheField>
    <cacheField name="Year" numFmtId="1">
      <sharedItems containsMixedTypes="1" containsNumber="1" containsInteger="1" minValue="1992" maxValue="2014"/>
    </cacheField>
    <cacheField name="People" numFmtId="3">
      <sharedItems containsString="0" containsBlank="1" containsNumber="1" minValue="0" maxValue="405967.87092000002"/>
    </cacheField>
    <cacheField name="PovN (%p)" numFmtId="164">
      <sharedItems containsMixedTypes="1" containsNumber="1" minValue="2.5" maxValue="77"/>
    </cacheField>
    <cacheField name="YearN" numFmtId="1">
      <sharedItems containsMixedTypes="1" containsNumber="1" containsInteger="1" minValue="2000" maxValue="2013"/>
    </cacheField>
    <cacheField name="PeopleN" numFmtId="3">
      <sharedItems containsString="0" containsBlank="1" containsNumber="1" minValue="23.697675" maxValue="369964.60408000002"/>
    </cacheField>
    <cacheField name="PovL (%p)" numFmtId="164">
      <sharedItems containsMixedTypes="1" containsNumber="1" minValue="1.5" maxValue="80"/>
    </cacheField>
    <cacheField name="Year2" numFmtId="0">
      <sharedItems containsMixedTypes="1" containsNumber="1" containsInteger="1" minValue="1989" maxValue="2014"/>
    </cacheField>
    <cacheField name="Literacy %" numFmtId="164">
      <sharedItems containsMixedTypes="1" containsNumber="1" minValue="15.4566974639893" maxValue="99.998260498046903"/>
    </cacheField>
    <cacheField name="Off Lang" numFmtId="0">
      <sharedItems/>
    </cacheField>
    <cacheField name="Priority" numFmtId="0">
      <sharedItems containsSemiMixedTypes="0" containsString="0" containsNumber="1" containsInteger="1" minValue="0" maxValue="3"/>
    </cacheField>
    <cacheField name="Category" numFmtId="0">
      <sharedItems containsMixedTypes="1" containsNumber="1" containsInteger="1" minValue="1" maxValue="3"/>
    </cacheField>
    <cacheField name="Rapid A" numFmtId="0">
      <sharedItems/>
    </cacheField>
    <cacheField name="Compr A" numFmtId="0">
      <sharedItems/>
    </cacheField>
    <cacheField name="Str Plan/Com" numFmtId="0">
      <sharedItems/>
    </cacheField>
    <cacheField name="Inv Plan" numFmtId="0">
      <sharedItems/>
    </cacheField>
    <cacheField name="Pol Com" numFmtId="0">
      <sharedItems/>
    </cacheField>
    <cacheField name="BR cov %" numFmtId="9">
      <sharedItems containsMixedTypes="1" containsNumber="1" minValue="0" maxValue="1"/>
    </cacheField>
    <cacheField name="DR cov%" numFmtId="9">
      <sharedItems containsMixedTypes="1" containsNumber="1" minValue="0.27" maxValue="0.99"/>
    </cacheField>
    <cacheField name="#Prj" numFmtId="0">
      <sharedItems containsMixedTypes="1" containsNumber="1" containsInteger="1" minValue="1" maxValue="6"/>
    </cacheField>
    <cacheField name="Civil Reg" numFmtId="0">
      <sharedItems containsBlank="1"/>
    </cacheField>
    <cacheField name="Beneficiary" numFmtId="0">
      <sharedItems containsBlank="1"/>
    </cacheField>
    <cacheField name="Taxpayer" numFmtId="0">
      <sharedItems containsBlank="1" containsMixedTypes="1" containsNumber="1" containsInteger="1" minValue="0" maxValue="0"/>
    </cacheField>
    <cacheField name="Business" numFmtId="0">
      <sharedItems containsBlank="1"/>
    </cacheField>
    <cacheField name="CS Reg" numFmtId="0">
      <sharedItems containsBlank="1"/>
    </cacheField>
    <cacheField name="Other" numFmtId="0">
      <sharedItems containsBlank="1"/>
    </cacheField>
    <cacheField name="Population3" numFmtId="3">
      <sharedItems containsBlank="1" containsMixedTypes="1" containsNumber="1" containsInteger="1" minValue="256600" maxValue="189953000"/>
    </cacheField>
    <cacheField name="Year3" numFmtId="0">
      <sharedItems containsString="0" containsBlank="1" containsNumber="1" containsInteger="1" minValue="2000" maxValue="2010"/>
    </cacheField>
    <cacheField name="Urban2" numFmtId="164">
      <sharedItems containsString="0" containsBlank="1" containsNumber="1" minValue="14" maxValue="93"/>
    </cacheField>
    <cacheField name="Rural2" numFmtId="164">
      <sharedItems containsString="0" containsBlank="1" containsNumber="1" minValue="7" maxValue="86"/>
    </cacheField>
    <cacheField name="Pov %" numFmtId="164">
      <sharedItems containsBlank="1" containsMixedTypes="1" containsNumber="1" minValue="9.3000000000000007" maxValue="67.8"/>
    </cacheField>
    <cacheField name="Indigeneous" numFmtId="0">
      <sharedItems containsBlank="1" containsMixedTypes="1" containsNumber="1" containsInteger="1" minValue="600329" maxValue="600329"/>
    </cacheField>
    <cacheField name="Literacy" numFmtId="0">
      <sharedItems containsBlank="1" containsMixedTypes="1" containsNumber="1" minValue="56" maxValue="99"/>
    </cacheField>
    <cacheField name="Lang" numFmtId="0">
      <sharedItems containsBlank="1"/>
    </cacheField>
    <cacheField name="Unreg B" numFmtId="0">
      <sharedItems containsBlank="1" containsMixedTypes="1" containsNumber="1" minValue="3" maxValue="31.7"/>
    </cacheField>
    <cacheField name="Unreg P" numFmtId="0">
      <sharedItems containsBlank="1" containsMixedTypes="1" containsNumber="1" minValue="4.5999999999999996" maxValue="11.9"/>
    </cacheField>
    <cacheField name="CR Org2" numFmtId="0">
      <sharedItems containsString="0" containsBlank="1" containsNumber="1" containsInteger="1" minValue="1" maxValue="4"/>
    </cacheField>
    <cacheField name="CR Dur2" numFmtId="0">
      <sharedItems containsBlank="1"/>
    </cacheField>
    <cacheField name="CR Cost2" numFmtId="0">
      <sharedItems containsBlank="1" containsMixedTypes="1" containsNumber="1" minValue="2.86" maxValue="2.86"/>
    </cacheField>
    <cacheField name="NID2" numFmtId="0">
      <sharedItems containsBlank="1"/>
    </cacheField>
    <cacheField name="ID Cost" numFmtId="0">
      <sharedItems containsBlank="1" containsMixedTypes="1" containsNumber="1" minValue="2" maxValue="10.31"/>
    </cacheField>
    <cacheField name="Unique" numFmtId="0">
      <sharedItems containsBlank="1"/>
    </cacheField>
    <cacheField name="IDB Ref URLs" numFmtId="0">
      <sharedItems containsBlank="1"/>
    </cacheField>
    <cacheField name="Leg" numFmtId="0">
      <sharedItems containsString="0" containsBlank="1" containsNumber="1" containsInteger="1" minValue="1" maxValue="2"/>
    </cacheField>
    <cacheField name="Legal" numFmtId="0">
      <sharedItems containsBlank="1"/>
    </cacheField>
    <cacheField name="Ele" numFmtId="0">
      <sharedItems containsString="0" containsBlank="1" containsNumber="1" containsInteger="1" minValue="1" maxValue="1"/>
    </cacheField>
    <cacheField name="Elections" numFmtId="0">
      <sharedItems containsBlank="1"/>
    </cacheField>
    <cacheField name="Tra" numFmtId="0">
      <sharedItems containsString="0" containsBlank="1" containsNumber="1" containsInteger="1" minValue="1" maxValue="1"/>
    </cacheField>
    <cacheField name="Transfers" numFmtId="0">
      <sharedItems containsBlank="1"/>
    </cacheField>
    <cacheField name="Civ" numFmtId="0">
      <sharedItems containsString="0" containsBlank="1" containsNumber="1" containsInteger="1" minValue="1" maxValue="1"/>
    </cacheField>
    <cacheField name="Civil Serv" numFmtId="0">
      <sharedItems containsBlank="1"/>
    </cacheField>
    <cacheField name="Hea" numFmtId="0">
      <sharedItems containsString="0" containsBlank="1" containsNumber="1" containsInteger="1" minValue="1" maxValue="1"/>
    </cacheField>
    <cacheField name="Health" numFmtId="0">
      <sharedItems containsBlank="1"/>
    </cacheField>
    <cacheField name="Fin" numFmtId="0">
      <sharedItems containsString="0" containsBlank="1" containsNumber="1" containsInteger="1" minValue="1" maxValue="1"/>
    </cacheField>
    <cacheField name="Financial" numFmtId="0">
      <sharedItems containsBlank="1"/>
    </cacheField>
    <cacheField name="Oth" numFmtId="0">
      <sharedItems containsBlank="1" containsMixedTypes="1" containsNumber="1" containsInteger="1" minValue="1" maxValue="1"/>
    </cacheField>
    <cacheField name="Other2" numFmtId="0">
      <sharedItems containsBlank="1"/>
    </cacheField>
    <cacheField name="Leg Sys" numFmtId="0">
      <sharedItems containsSemiMixedTypes="0" containsString="0" containsNumber="1" containsInteger="1" minValue="1" maxValue="3"/>
    </cacheField>
    <cacheField name="Law" numFmtId="0">
      <sharedItems/>
    </cacheField>
    <cacheField name="Status" numFmtId="0">
      <sharedItems/>
    </cacheField>
    <cacheField name="PR" numFmtId="0">
      <sharedItems containsMixedTypes="1" containsNumber="1" containsInteger="1" minValue="1" maxValue="7"/>
    </cacheField>
    <cacheField name="CL" numFmtId="0">
      <sharedItems containsMixedTypes="1" containsNumber="1" containsInteger="1" minValue="1" maxValue="7"/>
    </cacheField>
    <cacheField name="StatN" numFmtId="0">
      <sharedItems/>
    </cacheField>
    <cacheField name="ScoreN" numFmtId="0">
      <sharedItems containsMixedTypes="1" containsNumber="1" containsInteger="1" minValue="6" maxValue="89"/>
    </cacheField>
    <cacheField name="A" numFmtId="0">
      <sharedItems containsMixedTypes="1" containsNumber="1" containsInteger="1" minValue="1" maxValue="25"/>
    </cacheField>
    <cacheField name="B" numFmtId="0">
      <sharedItems containsMixedTypes="1" containsNumber="1" containsInteger="1" minValue="1" maxValue="31"/>
    </cacheField>
    <cacheField name="C" numFmtId="0">
      <sharedItems containsMixedTypes="1" containsNumber="1" containsInteger="1" minValue="4" maxValue="39"/>
    </cacheField>
    <cacheField name="StatP" numFmtId="0">
      <sharedItems/>
    </cacheField>
    <cacheField name="ScoreP" numFmtId="0">
      <sharedItems containsSemiMixedTypes="0" containsString="0" containsNumber="1" containsInteger="1" minValue="10" maxValue="97"/>
    </cacheField>
    <cacheField name="A2" numFmtId="0">
      <sharedItems containsMixedTypes="1" containsNumber="1" containsInteger="1" minValue="1" maxValue="30"/>
    </cacheField>
    <cacheField name="B2" numFmtId="0">
      <sharedItems containsMixedTypes="1" containsNumber="1" containsInteger="1" minValue="3" maxValue="40"/>
    </cacheField>
    <cacheField name="C2" numFmtId="0">
      <sharedItems containsMixedTypes="1" containsNumber="1" containsInteger="1" minValue="4" maxValue="29"/>
    </cacheField>
    <cacheField name="Pol IV" numFmtId="0">
      <sharedItems containsString="0" containsBlank="1" containsNumber="1" containsInteger="1" minValue="-10" maxValue="10"/>
    </cacheField>
    <cacheField name="V&amp;A" numFmtId="2">
      <sharedItems containsSemiMixedTypes="0" containsString="0" containsNumber="1" minValue="-2.1919858455657959" maxValue="1.7594175338745117"/>
    </cacheField>
    <cacheField name="PS" numFmtId="2">
      <sharedItems containsSemiMixedTypes="0" containsString="0" containsNumber="1" minValue="-2.7475802898406982" maxValue="1.4497004747390747"/>
    </cacheField>
    <cacheField name="GE" numFmtId="2">
      <sharedItems containsMixedTypes="1" containsNumber="1" minValue="-2.2076852321624756" maxValue="2.1680662631988525"/>
    </cacheField>
    <cacheField name="RQ" numFmtId="2">
      <sharedItems containsMixedTypes="1" containsNumber="1" minValue="-2.517986536026001" maxValue="1.9603413343429565"/>
    </cacheField>
    <cacheField name="RoL" numFmtId="2">
      <sharedItems containsSemiMixedTypes="0" containsString="0" containsNumber="1" minValue="-2.4434440135955811" maxValue="1.9680243730545044"/>
    </cacheField>
    <cacheField name="CoC" numFmtId="2">
      <sharedItems containsMixedTypes="1" containsNumber="1" minValue="-1.6088148355484009" maxValue="2.4107282161712646"/>
    </cacheField>
    <cacheField name="eGov14" numFmtId="0">
      <sharedItems containsMixedTypes="1" containsNumber="1" containsInteger="1" minValue="1" maxValue="193"/>
    </cacheField>
    <cacheField name="eGov" numFmtId="2">
      <sharedItems containsMixedTypes="1" containsNumber="1" minValue="1.387E-2" maxValue="0.94623000000000002"/>
    </cacheField>
    <cacheField name="ePart" numFmtId="2">
      <sharedItems containsMixedTypes="1" containsNumber="1" minValue="0" maxValue="1"/>
    </cacheField>
    <cacheField name="eOS" numFmtId="2">
      <sharedItems containsMixedTypes="1" containsNumber="1" minValue="0" maxValue="1"/>
    </cacheField>
    <cacheField name="eTI" numFmtId="2">
      <sharedItems containsMixedTypes="1" containsNumber="1" minValue="0" maxValue="1"/>
    </cacheField>
    <cacheField name="eHC" numFmtId="2">
      <sharedItems containsMixedTypes="1" containsNumber="1" minValue="0" maxValue="1"/>
    </cacheField>
    <cacheField name="IDI-14" numFmtId="0">
      <sharedItems containsMixedTypes="1" containsNumber="1" containsInteger="1" minValue="1" maxValue="166"/>
    </cacheField>
    <cacheField name="IDI Index" numFmtId="0">
      <sharedItems containsMixedTypes="1" containsNumber="1" minValue="0.96" maxValue="8.86"/>
    </cacheField>
    <cacheField name="Access" numFmtId="0">
      <sharedItems containsMixedTypes="1" containsNumber="1" minValue="1.27" maxValue="9.4600000000000009"/>
    </cacheField>
    <cacheField name="Use" numFmtId="0">
      <sharedItems containsMixedTypes="1" containsNumber="1" minValue="0.03" maxValue="8.7100000000000009"/>
    </cacheField>
    <cacheField name="Skills" numFmtId="0">
      <sharedItems containsMixedTypes="1" containsNumber="1" minValue="1.1000000000000001" maxValue="164"/>
    </cacheField>
    <cacheField name="Key Act / Bill" numFmtId="0">
      <sharedItems/>
    </cacheField>
    <cacheField name="Act/Bill URL" numFmtId="0">
      <sharedItems longText="1"/>
    </cacheField>
    <cacheField name="From" numFmtId="0">
      <sharedItems containsMixedTypes="1" containsNumber="1" containsInteger="1" minValue="1973" maxValue="2014"/>
    </cacheField>
    <cacheField name="Latest" numFmtId="0">
      <sharedItems containsMixedTypes="1" containsNumber="1" containsInteger="1" minValue="1981" maxValue="2015"/>
    </cacheField>
    <cacheField name="Sec" numFmtId="0">
      <sharedItems/>
    </cacheField>
    <cacheField name="DPA" numFmtId="0">
      <sharedItems containsBlank="1"/>
    </cacheField>
    <cacheField name="DPA URL" numFmtId="0">
      <sharedItems containsBlank="1"/>
    </cacheField>
    <cacheField name="DPAA" numFmtId="0">
      <sharedItems/>
    </cacheField>
    <cacheField name="Rank" numFmtId="0">
      <sharedItems containsMixedTypes="1" containsNumber="1" containsInteger="1" minValue="1" maxValue="100"/>
    </cacheField>
    <cacheField name="Score" numFmtId="0">
      <sharedItems containsMixedTypes="1" containsNumber="1" containsInteger="1" minValue="37" maxValue="135"/>
    </cacheField>
    <cacheField name="RTI Yr" numFmtId="0">
      <sharedItems containsMixedTypes="1" containsNumber="1" containsInteger="1" minValue="1766" maxValue="2014"/>
    </cacheField>
    <cacheField name="Law URL" numFmtId="0">
      <sharedItems/>
    </cacheField>
    <cacheField name="RoA" numFmtId="0">
      <sharedItems containsMixedTypes="1" containsNumber="1" containsInteger="1" minValue="0" maxValue="6"/>
    </cacheField>
    <cacheField name="Scope" numFmtId="0">
      <sharedItems containsMixedTypes="1" containsNumber="1" containsInteger="1" minValue="8" maxValue="30"/>
    </cacheField>
    <cacheField name="ReqP" numFmtId="0">
      <sharedItems containsMixedTypes="1" containsNumber="1" containsInteger="1" minValue="5" maxValue="26"/>
    </cacheField>
    <cacheField name="ExcR" numFmtId="0">
      <sharedItems containsMixedTypes="1" containsNumber="1" containsInteger="1" minValue="2" maxValue="27"/>
    </cacheField>
    <cacheField name="Appeal" numFmtId="0">
      <sharedItems containsMixedTypes="1" containsNumber="1" containsInteger="1" minValue="1" maxValue="29"/>
    </cacheField>
    <cacheField name="SancP" numFmtId="0">
      <sharedItems containsMixedTypes="1" containsNumber="1" containsInteger="1" minValue="0" maxValue="8"/>
    </cacheField>
    <cacheField name="ProM" numFmtId="0">
      <sharedItems containsMixedTypes="1" containsNumber="1" containsInteger="1" minValue="0" maxValue="16"/>
    </cacheField>
    <cacheField name="Zone" numFmtId="0">
      <sharedItems containsBlank="1"/>
    </cacheField>
    <cacheField name="OECD" numFmtId="0">
      <sharedItems containsBlank="1"/>
    </cacheField>
    <cacheField name="APEC" numFmtId="0">
      <sharedItems containsBlank="1"/>
    </cacheField>
    <cacheField name="FCS" numFmtId="0">
      <sharedItems containsBlank="1" containsMixedTypes="1" containsNumber="1" containsInteger="1" minValue="1" maxValue="1"/>
    </cacheField>
    <cacheField name="NRR" numFmtId="164">
      <sharedItems containsString="0" containsBlank="1" containsNumber="1" minValue="21.2" maxValue="60.2"/>
    </cacheField>
    <cacheField name="Len Cat" numFmtId="0">
      <sharedItems/>
    </cacheField>
    <cacheField name="HIPC" numFmtId="0">
      <sharedItems containsBlank="1"/>
    </cacheField>
    <cacheField name="Select" numFmtId="0">
      <sharedItems containsSemiMixedTypes="0" containsString="0" containsNumber="1" containsInteger="1" minValue="0" maxValue="1"/>
    </cacheField>
    <cacheField name="Tot Pts" numFmtId="2">
      <sharedItems containsSemiMixedTypes="0" containsString="0" containsNumber="1" containsInteger="1" minValue="2" maxValue="24"/>
    </cacheField>
    <cacheField name="Score2" numFmtId="2">
      <sharedItems containsSemiMixedTypes="0" containsString="0" containsNumber="1" minValue="8" maxValue="96"/>
    </cacheField>
    <cacheField name="Group" numFmtId="0">
      <sharedItems/>
    </cacheField>
    <cacheField name="AU" numFmtId="0">
      <sharedItems containsString="0" containsBlank="1" containsNumber="1" containsInteger="1" minValue="1" maxValue="1"/>
    </cacheField>
    <cacheField name="Cnt" numFmtId="0">
      <sharedItems containsSemiMixedTypes="0" containsString="0" containsNumber="1" containsInteger="1" minValue="1" maxValue="6"/>
    </cacheField>
    <cacheField name="Big" numFmtId="0">
      <sharedItems containsSemiMixedTypes="0" containsString="0" containsNumber="1" containsInteger="1" minValue="0" maxValue="2"/>
    </cacheField>
    <cacheField name="VoID" numFmtId="0">
      <sharedItems containsSemiMixedTypes="0" containsString="0" containsNumber="1" containsInteger="1" minValue="0" maxValue="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98">
  <r>
    <n v="1"/>
    <m/>
    <s v="Afghanistan"/>
    <x v="0"/>
    <x v="0"/>
    <s v="AFG"/>
    <s v="AF"/>
    <s v="http://moi.gov.af/en/page/7180"/>
    <s v="Min of Interior Affairs, Statistics Office"/>
    <n v="2"/>
    <n v="1992"/>
    <n v="2"/>
    <s v="6 m"/>
    <s v="free"/>
    <s v="http://mcit.gov.af/en/page/7081"/>
    <s v="Ministry of Interior"/>
    <n v="2"/>
    <n v="2014"/>
    <s v="Tazkira / eNID"/>
    <x v="0"/>
    <n v="2"/>
    <n v="0"/>
    <s v="free"/>
    <n v="1"/>
    <n v="1"/>
    <m/>
    <n v="1"/>
    <n v="1"/>
    <m/>
    <s v="http://www.etazkira.gov.af/"/>
    <n v="2015"/>
    <n v="2"/>
    <s v="4B"/>
    <s v="C, E, F, H, S, V"/>
    <n v="1"/>
    <n v="0"/>
    <n v="15000"/>
    <n v="10"/>
    <s v="http://74.208.70.104/blog48631/7u7r597z2148631/national-identification-document-enid-2/"/>
    <s v="-"/>
    <n v="0"/>
    <n v="0"/>
    <s v="http://mfa.gov.af/en"/>
    <s v="Afghan Ministry of Foreign Affairs"/>
    <n v="2"/>
    <n v="3"/>
    <n v="2011"/>
    <n v="5"/>
    <s v="-"/>
    <n v="0"/>
    <s v="http://acbr.gov.af"/>
    <n v="2015"/>
    <n v="0"/>
    <n v="1"/>
    <s v="http://ard.gov.af/index.php/2012-06-04-16-53-00/2013-07-20-04-50-44/standard-issue-of-tin "/>
    <n v="2012"/>
    <n v="0"/>
    <s v="-"/>
    <n v="0"/>
    <s v="-"/>
    <n v="0"/>
    <n v="1"/>
    <n v="32526.562000000002"/>
    <n v="48.430750228075134"/>
    <n v="16773.704000000002"/>
    <n v="15752.858"/>
    <n v="4950.25"/>
    <n v="48.719842432200394"/>
    <n v="2538.4960000000001"/>
    <n v="2411.7539999999999"/>
    <n v="4903.2730000000001"/>
    <n v="48.808071669678604"/>
    <n v="2510.08"/>
    <n v="2393.1930000000002"/>
    <n v="4471.8090000000002"/>
    <n v="48.606570629470077"/>
    <n v="2298.2159999999999"/>
    <n v="2173.5929999999998"/>
    <n v="18201.23"/>
    <n v="48.207280496977404"/>
    <n v="9426.9120000000021"/>
    <n v="8774.3179999999993"/>
    <n v="2015"/>
    <s v="http://esa.un.org/unpd/wpp/Download/Standard/Population/"/>
    <n v="37.4"/>
    <n v="38.299999999999997"/>
    <n v="36.5"/>
    <n v="60"/>
    <n v="33.1"/>
    <s v="2010-2011"/>
    <s v="MICS"/>
    <n v="16783.348999999998"/>
    <n v="51.598902460087849"/>
    <n v="8655.047165903854"/>
    <n v="8128.3018340961453"/>
    <n v="2014"/>
    <s v="http://iec.org.af/2012-05-31-16-45-49/voter-registration"/>
    <n v="0"/>
    <n v="18"/>
    <s v="AF2014"/>
    <n v="20845.988000000001"/>
    <n v="16208.254999999999"/>
    <n v="31822.848000000002"/>
    <n v="1"/>
    <n v="6"/>
    <s v="CD"/>
    <x v="0"/>
    <n v="10385.538832000002"/>
    <n v="31.929408438555544"/>
    <n v="48.88902875466956"/>
    <n v="5304.8354980961485"/>
    <n v="5077.3890659038543"/>
    <n v="31.625903843874603"/>
    <n v="32.2315421487571"/>
    <n v="1417.8810000000012"/>
    <n v="45.562086374234042"/>
    <n v="771.86483409614812"/>
    <n v="646.01616590385402"/>
    <n v="5868.801332"/>
    <n v="49.412289596311041"/>
    <n v="2966.7186320000001"/>
    <n v="2899.9091100000001"/>
    <n v="3098.8564999999999"/>
    <n v="49.420287451193694"/>
    <n v="1566.2520320000001"/>
    <n v="1531.46379"/>
    <n v="61.7"/>
    <n v="63.5"/>
    <n v="30551.673999999999"/>
    <n v="49.296683383044737"/>
    <n v="14244.323999999986"/>
    <n v="48.884229783930621"/>
    <n v="4904.7730000000001"/>
    <n v="48.81470458956386"/>
    <n v="50"/>
    <n v="15275.837"/>
    <n v="15275.837"/>
    <n v="49.296683383044737"/>
    <n v="8916.9468239999915"/>
    <n v="48.884229783930621"/>
    <n v="3067.4361091601318"/>
    <n v="48.81470458956386"/>
    <n v="7382.384"/>
    <n v="24.163599999999999"/>
    <n v="39.912581084917825"/>
    <n v="23169.29"/>
    <n v="75.836399999999998"/>
    <n v="41.042258955712498"/>
    <n v="16.038589840819945"/>
    <n v="16.003315178780518"/>
    <n v="14.581805353847487"/>
    <n v="46.623710373447899"/>
    <n v="51.027721099668703"/>
    <n v="2.3485685268833398"/>
    <n v="37.4"/>
    <n v="36.5"/>
    <n v="38.299999999999997"/>
    <n v="60"/>
    <n v="33.1"/>
    <n v="2011"/>
    <n v="35.799999999999997"/>
    <n v="2011"/>
    <n v="10937.499291999999"/>
    <n v="36"/>
    <n v="2008"/>
    <n v="12715.360200000001"/>
    <n v="36"/>
    <n v="2008"/>
    <n v="31.741117477416999"/>
    <s v="per"/>
    <n v="1"/>
    <n v="1"/>
    <s v="Yes"/>
    <s v="Completed"/>
    <s v="Plan"/>
    <s v="-"/>
    <s v="Health Minister "/>
    <n v="0.06"/>
    <s v="-"/>
    <n v="2"/>
    <s v="-"/>
    <s v="-"/>
    <s v="-"/>
    <s v="-"/>
    <s v="P082610 (C); P099980 (C)"/>
    <s v="-"/>
    <m/>
    <m/>
    <m/>
    <m/>
    <m/>
    <m/>
    <m/>
    <m/>
    <m/>
    <m/>
    <m/>
    <m/>
    <m/>
    <m/>
    <m/>
    <m/>
    <m/>
    <n v="1"/>
    <s v="Electronic Tazkera (ID)"/>
    <n v="1"/>
    <s v="Enhancing Legal &amp; Electoral Capacity for Tomorrow (ELECT)"/>
    <m/>
    <m/>
    <m/>
    <m/>
    <m/>
    <m/>
    <m/>
    <m/>
    <m/>
    <m/>
    <n v="3"/>
    <s v="civil + customary + religious"/>
    <s v="NF"/>
    <n v="6"/>
    <n v="6"/>
    <s v="-"/>
    <s v="-"/>
    <s v="-"/>
    <s v="-"/>
    <s v="-"/>
    <s v="NF"/>
    <n v="66"/>
    <n v="20"/>
    <n v="27"/>
    <n v="19"/>
    <n v="-6"/>
    <n v="-1.2882300615310669"/>
    <n v="-2.4741945266723633"/>
    <n v="-1.4288873672485352"/>
    <n v="-1.2122533321380615"/>
    <n v="-1.6711688041687012"/>
    <n v="-1.4264214038848877"/>
    <n v="173"/>
    <n v="0.19003"/>
    <n v="0.13725000000000001"/>
    <n v="0.18110000000000001"/>
    <n v="0.14721999999999999"/>
    <n v="0.24179999999999999"/>
    <n v="155"/>
    <n v="1.67"/>
    <n v="2.44"/>
    <n v="0.24"/>
    <n v="2.98"/>
    <s v="-"/>
    <s v="-"/>
    <s v="-"/>
    <s v="-"/>
    <s v="-"/>
    <s v="-"/>
    <s v="-"/>
    <s v="-"/>
    <s v="-"/>
    <s v="-"/>
    <n v="2002"/>
    <s v="http://www.afghan-web.com/politics/storage/law_on_mass_media.pdf"/>
    <s v="-"/>
    <s v="-"/>
    <s v="-"/>
    <s v="-"/>
    <s v="-"/>
    <s v="-"/>
    <s v="-"/>
    <m/>
    <m/>
    <m/>
    <n v="1"/>
    <n v="25.3"/>
    <s v="IDA"/>
    <s v="HIPC"/>
    <n v="0"/>
    <n v="16"/>
    <n v="64"/>
    <s v="B"/>
    <m/>
    <n v="6"/>
    <n v="0"/>
    <n v="0"/>
  </r>
  <r>
    <n v="2"/>
    <m/>
    <s v="Albania"/>
    <x v="1"/>
    <x v="1"/>
    <s v="ALB"/>
    <s v="AL"/>
    <s v="http://www.moi.gov.al"/>
    <s v="Vital Statistics Offices &gt; Min of Interior, General Directorate of Civil Status (GDCS)"/>
    <n v="2"/>
    <n v="1930"/>
    <n v="2"/>
    <s v="60 d"/>
    <s v="100 Leke"/>
    <s v="http://www.moi.gov.al"/>
    <s v="General Directorate of Civil Status, MoI"/>
    <n v="2"/>
    <n v="2012"/>
    <s v="Letërnjoftimi / Albanian Identity Card"/>
    <x v="1"/>
    <n v="2"/>
    <n v="16"/>
    <s v="1200 Lek ($15)"/>
    <n v="1"/>
    <n v="1"/>
    <s v="http://en.wikipedia.org/wiki/Albanian_Identity_Card"/>
    <n v="1"/>
    <n v="1"/>
    <m/>
    <s v="www.aleat.al"/>
    <n v="2009"/>
    <n v="2"/>
    <s v="4B"/>
    <s v="C, F, R, S"/>
    <n v="1"/>
    <n v="1"/>
    <n v="3200"/>
    <n v="2"/>
    <s v="http://www.morpho.com/references/identity/new-id-for-albania?lang=en"/>
    <n v="4"/>
    <n v="1"/>
    <n v="1"/>
    <s v="http://www.moi.gov.al/"/>
    <s v="Ministry of Interior"/>
    <n v="2"/>
    <n v="2"/>
    <n v="2009"/>
    <n v="5"/>
    <n v="900"/>
    <n v="0"/>
    <s v="http://www.qkr.gov.al/nrc/default.aspx"/>
    <n v="2007"/>
    <n v="1"/>
    <n v="0"/>
    <s v="-"/>
    <s v="-"/>
    <n v="0"/>
    <s v="-"/>
    <n v="0"/>
    <s v="-"/>
    <n v="3"/>
    <n v="1"/>
    <n v="2896.6790000000001"/>
    <n v="50.397679549580744"/>
    <n v="1436.82"/>
    <n v="1459.8589999999999"/>
    <n v="185.49799999999999"/>
    <n v="48.14499347701863"/>
    <n v="96.19"/>
    <n v="89.308000000000007"/>
    <n v="155.37899999999999"/>
    <n v="48.057330784726389"/>
    <n v="80.707999999999998"/>
    <n v="74.671000000000006"/>
    <n v="196.34700000000001"/>
    <n v="48.048098519457895"/>
    <n v="102.006"/>
    <n v="94.340999999999994"/>
    <n v="2359.4549999999999"/>
    <n v="50.924429582255229"/>
    <n v="1157.9159999999997"/>
    <n v="1201.539"/>
    <n v="2015"/>
    <s v="http://esa.un.org/unpd/wpp/Download/Standard/Population/"/>
    <n v="98.6"/>
    <n v="99.4"/>
    <n v="97.9"/>
    <n v="99"/>
    <n v="98.4"/>
    <s v="2008-2009"/>
    <s v="DHS"/>
    <n v="2850"/>
    <n v="98.388533903825731"/>
    <n v="1398.6537569057261"/>
    <n v="1451.3462430942739"/>
    <n v="2015"/>
    <s v="http://www.morpho.com/en/country/morpho-albania"/>
    <n v="16"/>
    <n v="18"/>
    <s v="AL2013"/>
    <n v="3271.8850000000002"/>
    <n v="2274.8150000000001"/>
    <n v="3011.4050000000002"/>
    <n v="2"/>
    <n v="3"/>
    <s v="CD"/>
    <x v="1"/>
    <n v="46.679000000000087"/>
    <n v="1.6114660961742771"/>
    <n v="18.236802214541974"/>
    <n v="38.166243094273796"/>
    <n v="8.5127569057260644"/>
    <n v="2.6562995430376666"/>
    <n v="0.58312185668109484"/>
    <n v="39.157864000000082"/>
    <n v="7.8861219440521113"/>
    <n v="36.49281909427382"/>
    <n v="3.0880369057260886"/>
    <n v="4.9241640000000046"/>
    <n v="72.078265468005952"/>
    <n v="1.0962839999999807"/>
    <n v="3.5492519999999841"/>
    <n v="2.5969720000000023"/>
    <n v="72.217490215527562"/>
    <n v="0.57713999999998977"/>
    <n v="1.8754679999999919"/>
    <n v="0.59999999999998932"/>
    <n v="2.0999999999999908"/>
    <n v="2773.62"/>
    <n v="49.878894729631313"/>
    <n v="572.17437488950736"/>
    <n v="47.745345973886543"/>
    <n v="198.423"/>
    <n v="47.890152356800556"/>
    <n v="99"/>
    <n v="2179.4311688593875"/>
    <n v="22.014456251104946"/>
    <n v="49.878894729631313"/>
    <n v="8.0104412484531107"/>
    <n v="47.745345973886543"/>
    <n v="2.4008470075210431"/>
    <n v="47.890152356800556"/>
    <n v="1539.6310000000001"/>
    <n v="55.509799999999998"/>
    <n v="49.617387638451362"/>
    <n v="1233.989"/>
    <n v="44.490200000000002"/>
    <n v="81.174143367566487"/>
    <n v="6.182861097258769"/>
    <n v="6.3997980632490554"/>
    <n v="8.0464825387876804"/>
    <n v="20.629155215548899"/>
    <n v="68.643113052745903"/>
    <n v="10.7277317317052"/>
    <n v="98.6"/>
    <n v="97.9"/>
    <n v="99.4"/>
    <n v="99"/>
    <n v="98.4"/>
    <n v="2009"/>
    <n v="0.62"/>
    <n v="2008"/>
    <n v="20"/>
    <n v="12.4"/>
    <n v="2008"/>
    <n v="398.782512"/>
    <n v="14.3"/>
    <n v="2012"/>
    <n v="96.845298767089801"/>
    <s v="alb"/>
    <n v="3"/>
    <s v="-"/>
    <s v="-"/>
    <s v="-"/>
    <s v="-"/>
    <s v="-"/>
    <s v="-"/>
    <s v="-"/>
    <s v="-"/>
    <n v="6"/>
    <s v="-"/>
    <s v="P107382 (C); P122233 (A)"/>
    <s v="-"/>
    <s v="-"/>
    <s v="P105143 (C); P129332 (A)"/>
    <s v="P096263 (C); P151972 (P)"/>
    <s v=" "/>
    <m/>
    <m/>
    <m/>
    <m/>
    <m/>
    <m/>
    <m/>
    <m/>
    <m/>
    <m/>
    <m/>
    <m/>
    <m/>
    <m/>
    <m/>
    <m/>
    <n v="1"/>
    <s v="Letërnjoftimi (ID)"/>
    <m/>
    <m/>
    <m/>
    <m/>
    <m/>
    <m/>
    <m/>
    <m/>
    <m/>
    <m/>
    <m/>
    <m/>
    <n v="1"/>
    <s v="civil"/>
    <s v="PF"/>
    <n v="3"/>
    <n v="3"/>
    <s v="-"/>
    <s v="-"/>
    <s v="-"/>
    <s v="-"/>
    <s v="-"/>
    <s v="PF"/>
    <n v="49"/>
    <n v="15"/>
    <n v="17"/>
    <n v="17"/>
    <n v="9"/>
    <n v="3.8705013692378998E-2"/>
    <n v="5.8038730174303055E-2"/>
    <n v="-0.33354252576828003"/>
    <n v="0.17541241645812988"/>
    <n v="-0.57411551475524902"/>
    <n v="-0.71658492088317871"/>
    <n v="84"/>
    <n v="0.50455000000000005"/>
    <n v="0.52941000000000005"/>
    <n v="0.44880999999999999"/>
    <n v="0.3548"/>
    <n v="0.71"/>
    <n v="84"/>
    <n v="4.72"/>
    <n v="4.62"/>
    <n v="3.26"/>
    <n v="7.82"/>
    <s v="Act on the Protection of Personal Data"/>
    <s v="http://www.legislationline.org/documents/action/popup/id/6493"/>
    <n v="1999"/>
    <n v="1999"/>
    <s v="Both"/>
    <s v="Office for Personal Data Protection"/>
    <s v="http://www.kmdp.al"/>
    <s v="ICDPPC; EDPA; AFAPDP, CEEDPA"/>
    <n v="78"/>
    <n v="69"/>
    <n v="1999"/>
    <s v="http://www.rti-rating.org/files/pdf/Albania.pdf"/>
    <n v="4"/>
    <n v="27"/>
    <n v="11"/>
    <n v="3"/>
    <n v="18"/>
    <n v="2"/>
    <n v="4"/>
    <m/>
    <m/>
    <m/>
    <m/>
    <m/>
    <s v="IBRD"/>
    <s v=""/>
    <n v="0"/>
    <n v="18"/>
    <n v="72"/>
    <s v="B"/>
    <m/>
    <n v="3"/>
    <n v="0"/>
    <n v="0"/>
  </r>
  <r>
    <n v="3"/>
    <m/>
    <s v="Algeria"/>
    <x v="2"/>
    <x v="1"/>
    <s v="DZA"/>
    <s v="DZ"/>
    <s v="http://www.interieur.gov.dz"/>
    <s v="Min of Interior and Local Communities"/>
    <n v="2"/>
    <n v="1967"/>
    <n v="2"/>
    <s v="5 - 60 d"/>
    <s v="free"/>
    <s v="http://www.interieur.gov.dz/"/>
    <s v="Ministry of the Interior and Local Governments"/>
    <n v="2"/>
    <n v="1967"/>
    <s v="Carte Nationale d'Identité"/>
    <x v="1"/>
    <n v="2"/>
    <n v="18"/>
    <s v="free"/>
    <n v="1"/>
    <n v="1"/>
    <m/>
    <n v="1"/>
    <m/>
    <m/>
    <s v="http://www.interieur.gov.dz/Dynamics/frmItem.aspx?html=30&amp;s=2"/>
    <n v="2015"/>
    <n v="1"/>
    <s v="4B"/>
    <s v="C"/>
    <n v="0"/>
    <n v="0"/>
    <s v="-"/>
    <n v="10"/>
    <s v="http://fr.allafrica.com/stories/201408182536.html"/>
    <s v="-"/>
    <n v="0"/>
    <n v="0"/>
    <s v="http://www.interieur.gov.dz/Dynamics/frmItem.aspx?html=57&amp;s=2"/>
    <s v="Ministry of Interior"/>
    <n v="2"/>
    <n v="2"/>
    <n v="2010"/>
    <n v="5"/>
    <n v="500"/>
    <n v="0"/>
    <s v="http://www.cnrc.org.dz/fr/src/recherche.php"/>
    <n v="2008"/>
    <n v="1"/>
    <n v="1"/>
    <s v="http://www.mfdgi.gov.dz/index.php/component/content/article/8-contenu-en-francais/actualites/431-procedure-de-demande-d-immatriculation-en-matiere-du-numero-d-identification-fiscale-nif"/>
    <n v="2012"/>
    <n v="0"/>
    <s v="-"/>
    <n v="0"/>
    <s v="-"/>
    <n v="0"/>
    <n v="0"/>
    <n v="39666.519"/>
    <n v="49.686525303619412"/>
    <n v="19957.603999999999"/>
    <n v="19708.915000000001"/>
    <n v="4589.8130000000001"/>
    <n v="49.156338177612028"/>
    <n v="2333.6289999999999"/>
    <n v="2256.1840000000002"/>
    <n v="3817.0529999999999"/>
    <n v="49.237016095925313"/>
    <n v="1937.65"/>
    <n v="1879.403"/>
    <n v="2913.4470000000001"/>
    <n v="49.208308920670248"/>
    <n v="1479.789"/>
    <n v="1433.6579999999999"/>
    <n v="28346.205999999998"/>
    <n v="49.882054762460982"/>
    <n v="14206.535999999998"/>
    <n v="14139.67"/>
    <n v="2015"/>
    <s v="http://esa.un.org/unpd/wpp/Download/Standard/Population/"/>
    <n v="99.4"/>
    <n v="99.5"/>
    <n v="99.4"/>
    <n v="99.6"/>
    <n v="99.2"/>
    <n v="2006"/>
    <s v="MICS"/>
    <n v="21871.393"/>
    <n v="55.13817080848461"/>
    <n v="11004.257782800956"/>
    <n v="10867.135217199044"/>
    <n v="2014"/>
    <s v="http://www.interieur.gov.dz/PublishingFiles/VAC_Cloture_Fr_17-04-14.pdf"/>
    <n v="18"/>
    <n v="18"/>
    <s v="DZ2014"/>
    <n v="22880.678"/>
    <n v="25951.371999999999"/>
    <n v="38813.722000000002"/>
    <n v="1"/>
    <n v="4"/>
    <s v="CD"/>
    <x v="0"/>
    <n v="6542.7348779999966"/>
    <n v="16.494351011743674"/>
    <n v="50.528568166765275"/>
    <n v="3231.0335571990422"/>
    <n v="3305.9502528009552"/>
    <n v="16.189486258966969"/>
    <n v="16.773882544021092"/>
    <n v="6474.8129999999983"/>
    <n v="50.542537410747727"/>
    <n v="3202.278217199042"/>
    <n v="3272.5347828009562"/>
    <n v="40.382999999999285"/>
    <n v="49.224589555010773"/>
    <n v="17.087195000000015"/>
    <n v="19.878365999999648"/>
    <n v="27.538877999999517"/>
    <n v="49.156338177612028"/>
    <n v="11.66814500000001"/>
    <n v="13.537103999999763"/>
    <n v="0.50000000000000044"/>
    <n v="0.59999999999998943"/>
    <n v="39208.194000000003"/>
    <n v="49.444103444295344"/>
    <n v="10890.905999999995"/>
    <n v="48.800157435511501"/>
    <n v="4557.3869999999997"/>
    <n v="48.890397714623205"/>
    <n v="97"/>
    <n v="27467.769360000006"/>
    <n v="849.51864000000103"/>
    <n v="49.444103444295344"/>
    <n v="65.345435999998827"/>
    <n v="48.800157435511501"/>
    <n v="26.847665984831703"/>
    <n v="48.890397714623205"/>
    <n v="29228.531999999999"/>
    <n v="74.546999999999997"/>
    <n v="28.751536341270921"/>
    <n v="9979.6620000000003"/>
    <n v="25.453000000000003"/>
    <n v="59.837948419495568"/>
    <n v="11.412438424151924"/>
    <n v="8.9424827835199991"/>
    <n v="7.4221959939007887"/>
    <n v="27.7771172015727"/>
    <n v="67.625491753075906"/>
    <n v="4.5973910453513902"/>
    <n v="99.4"/>
    <n v="99.4"/>
    <n v="99.5"/>
    <n v="99.6"/>
    <n v="99.2"/>
    <n v="2011"/>
    <n v="6.79"/>
    <n v="1995"/>
    <n v="2446.6531239999999"/>
    <s v="-"/>
    <s v="-"/>
    <m/>
    <n v="23"/>
    <n v="2006"/>
    <n v="72.648681640625"/>
    <s v="fre"/>
    <n v="0"/>
    <s v="-"/>
    <s v="-"/>
    <s v="-"/>
    <s v="-"/>
    <s v="-"/>
    <s v="-"/>
    <s v="-"/>
    <s v="-"/>
    <s v="-"/>
    <m/>
    <m/>
    <m/>
    <m/>
    <m/>
    <m/>
    <m/>
    <m/>
    <m/>
    <m/>
    <m/>
    <m/>
    <m/>
    <m/>
    <m/>
    <m/>
    <m/>
    <m/>
    <m/>
    <m/>
    <m/>
    <m/>
    <m/>
    <m/>
    <m/>
    <m/>
    <m/>
    <m/>
    <m/>
    <m/>
    <m/>
    <m/>
    <m/>
    <m/>
    <m/>
    <m/>
    <m/>
    <n v="3"/>
    <s v="civil + religious"/>
    <s v="NF"/>
    <n v="6"/>
    <n v="5"/>
    <s v="-"/>
    <s v="-"/>
    <s v="-"/>
    <s v="-"/>
    <s v="-"/>
    <s v="PF"/>
    <n v="59"/>
    <n v="20"/>
    <n v="22"/>
    <n v="17"/>
    <n v="2"/>
    <n v="-0.89130175113677979"/>
    <n v="-1.1702249050140381"/>
    <n v="-0.6012689471244812"/>
    <n v="-1.1862273216247559"/>
    <n v="-0.68056273460388184"/>
    <n v="-0.47877040505409241"/>
    <n v="136"/>
    <n v="0.31064000000000003"/>
    <n v="7.843E-2"/>
    <n v="7.8740000000000004E-2"/>
    <n v="0.19885"/>
    <n v="0.65429999999999999"/>
    <n v="114"/>
    <n v="3.42"/>
    <n v="4.46"/>
    <n v="0.73"/>
    <n v="6.72"/>
    <s v="-"/>
    <s v="-"/>
    <s v="-"/>
    <s v="-"/>
    <s v="-"/>
    <s v="-"/>
    <s v="-"/>
    <s v="-"/>
    <s v="-"/>
    <s v="-"/>
    <s v="-"/>
    <s v="-"/>
    <s v="-"/>
    <s v="-"/>
    <s v="-"/>
    <s v="-"/>
    <s v="-"/>
    <s v="-"/>
    <s v="-"/>
    <m/>
    <m/>
    <m/>
    <m/>
    <m/>
    <s v="IBRD"/>
    <s v=""/>
    <n v="0"/>
    <n v="14"/>
    <n v="56.000000000000007"/>
    <s v="B"/>
    <n v="1"/>
    <n v="3"/>
    <n v="0"/>
    <n v="0"/>
  </r>
  <r>
    <n v="4"/>
    <m/>
    <s v="Andorra"/>
    <x v="3"/>
    <x v="2"/>
    <s v="AND"/>
    <s v="AD"/>
    <s v="http://www.registrecivil.ad"/>
    <s v="Civil Registry Office, Mon of Justice"/>
    <n v="1"/>
    <n v="1563"/>
    <n v="2"/>
    <s v="15 d"/>
    <s v="free"/>
    <s v="-"/>
    <s v="-"/>
    <n v="0"/>
    <s v="-"/>
    <s v="-"/>
    <x v="2"/>
    <n v="0"/>
    <s v="-"/>
    <s v="-"/>
    <n v="0"/>
    <n v="0"/>
    <m/>
    <n v="1"/>
    <m/>
    <m/>
    <s v="-"/>
    <s v="-"/>
    <n v="0"/>
    <n v="0"/>
    <s v="-"/>
    <s v="-"/>
    <s v="-"/>
    <s v="-"/>
    <n v="0"/>
    <s v="-"/>
    <s v="-"/>
    <n v="0"/>
    <n v="0"/>
    <s v="http://www.tramits.ad/documentacio-personal/141-peticio-de-documents-del-servei-de-passaports"/>
    <s v="The General Administration"/>
    <n v="2"/>
    <n v="6"/>
    <n v="2006"/>
    <n v="5"/>
    <n v="19"/>
    <n v="0"/>
    <s v="http://www.ompa.ad/index.php?lang=en"/>
    <n v="2000"/>
    <n v="1"/>
    <n v="0"/>
    <s v="-"/>
    <s v="-"/>
    <n v="0"/>
    <s v="-"/>
    <n v="0"/>
    <s v="-"/>
    <n v="3"/>
    <n v="0"/>
    <n v="78.013999999999996"/>
    <n v="49.042479554951676"/>
    <n v="39.753999999999998"/>
    <n v="38.26"/>
    <n v="3.2559999999999998"/>
    <n v="50.061425061425055"/>
    <n v="1.6259999999999999"/>
    <n v="1.63"/>
    <n v="4.1240000000000006"/>
    <n v="49.296799224054304"/>
    <n v="2.0910000000000002"/>
    <n v="2.0329999999999999"/>
    <n v="4.0540000000000003"/>
    <n v="47.681302417365565"/>
    <n v="2.121"/>
    <n v="1.9330000000000001"/>
    <n v="66.58"/>
    <n v="49.059777711024324"/>
    <n v="33.915999999999997"/>
    <n v="32.663999999999994"/>
    <n v="2015"/>
    <s v="http://www.estadistica.ad"/>
    <n v="100"/>
    <n v="100"/>
    <n v="100"/>
    <s v="–"/>
    <s v="–"/>
    <n v="2012"/>
    <s v="UNSD "/>
    <n v="66.579999999999984"/>
    <n v="85.343656266823885"/>
    <n v="33.915999999999997"/>
    <n v="32.663999999999994"/>
    <n v="2015"/>
    <s v="http://www.estadistica.ad/serveiestudis/web/banc_dades4.asp?lang=4&amp;codi_tema=2&amp;codi_divisio=1006&amp;codi_subtemes=140"/>
    <s v="-"/>
    <n v="18"/>
    <s v="AD2015"/>
    <n v="24.512"/>
    <n v="70.016999999999996"/>
    <n v="85.457999999999998"/>
    <n v="20"/>
    <n v="5"/>
    <s v="CD"/>
    <x v="2"/>
    <n v="11.434000000000012"/>
    <n v="14.656343733176113"/>
    <n v="48.94175266748293"/>
    <n v="5.838000000000001"/>
    <n v="5.5960000000000036"/>
    <n v="14.685314685314687"/>
    <n v="14.626241505488771"/>
    <n v="11.434000000000012"/>
    <n v="48.94175266748293"/>
    <n v="5.838000000000001"/>
    <n v="5.5960000000000036"/>
    <n v="0"/>
    <n v="0"/>
    <n v="0"/>
    <n v="0"/>
    <n v="0"/>
    <n v="0"/>
    <n v="0"/>
    <n v="0"/>
    <n v="0"/>
    <n v="0"/>
    <n v="76.097999999999999"/>
    <n v="49.126126836447739"/>
    <n v="11.642994000000002"/>
    <n v="48.600137409824804"/>
    <n v="3.9481525193201898"/>
    <n v="49.945783433692881"/>
    <n v="99"/>
    <n v="63.810455940000004"/>
    <n v="0.64455006000000059"/>
    <n v="49.126126836447739"/>
    <n v="0"/>
    <n v="48.600137409824804"/>
    <n v="0"/>
    <n v="49.945783433692881"/>
    <n v="68.298000000000002"/>
    <n v="86.215000000000003"/>
    <n v="49.126126836447739"/>
    <n v="10.92"/>
    <n v="13.784999999999997"/>
    <n v="49.126126836447739"/>
    <n v="4.5999999999999996"/>
    <n v="5.3"/>
    <n v="5.4"/>
    <n v="15.3"/>
    <n v="70.400000000000006"/>
    <n v="14.3"/>
    <n v="100"/>
    <n v="100"/>
    <n v="100"/>
    <n v="100"/>
    <n v="100"/>
    <n v="2012"/>
    <s v="-"/>
    <s v="-"/>
    <m/>
    <s v="-"/>
    <s v="-"/>
    <m/>
    <s v="-"/>
    <s v="-"/>
    <s v="-"/>
    <s v="cat"/>
    <n v="0"/>
    <s v="-"/>
    <s v="-"/>
    <s v="-"/>
    <s v="-"/>
    <s v="-"/>
    <s v="-"/>
    <s v="-"/>
    <s v="-"/>
    <s v="-"/>
    <m/>
    <m/>
    <m/>
    <m/>
    <m/>
    <m/>
    <m/>
    <m/>
    <m/>
    <m/>
    <m/>
    <m/>
    <m/>
    <m/>
    <m/>
    <m/>
    <m/>
    <m/>
    <m/>
    <m/>
    <m/>
    <m/>
    <m/>
    <m/>
    <m/>
    <m/>
    <m/>
    <m/>
    <m/>
    <m/>
    <m/>
    <m/>
    <m/>
    <m/>
    <m/>
    <m/>
    <m/>
    <n v="1"/>
    <s v="civil"/>
    <s v="F"/>
    <n v="1"/>
    <n v="1"/>
    <s v="-"/>
    <s v="-"/>
    <s v="-"/>
    <s v="-"/>
    <s v="-"/>
    <s v="F"/>
    <n v="13"/>
    <n v="1"/>
    <n v="4"/>
    <n v="8"/>
    <m/>
    <n v="1.4048292636871338"/>
    <n v="1.3230555057525635"/>
    <n v="1.5271795988082886"/>
    <n v="1.5465918779373169"/>
    <n v="1.431373119354248"/>
    <n v="1.2859820127487183"/>
    <n v="43"/>
    <n v="0.64259999999999995"/>
    <n v="0.43136999999999998"/>
    <n v="0.43307000000000001"/>
    <n v="0.76705999999999996"/>
    <n v="0.72770000000000001"/>
    <n v="20"/>
    <n v="7.73"/>
    <n v="7.84"/>
    <n v="6.79"/>
    <n v="9.41"/>
    <s v="Law on the protection of personal data"/>
    <s v="https://www.apda.ad/system/files/2-%20(FR)%20Decret%20Reglament%20Ag%C3%A8ncia%20Andorrana%20Protecci%C3%B3%20Dades%20.pdf "/>
    <n v="2003"/>
    <n v="2003"/>
    <s v="Both"/>
    <s v="Data Protection Agency"/>
    <s v="https://www.apda.ad"/>
    <s v="ICDPPC; EDPA (O); RedIPD; AFAPDP"/>
    <s v="-"/>
    <s v="-"/>
    <s v="-"/>
    <s v="-"/>
    <s v="-"/>
    <s v="-"/>
    <s v="-"/>
    <s v="-"/>
    <s v="-"/>
    <s v="-"/>
    <s v="-"/>
    <s v="EUR"/>
    <m/>
    <m/>
    <m/>
    <m/>
    <s v=".."/>
    <m/>
    <n v="1"/>
    <n v="8"/>
    <n v="32"/>
    <s v="C"/>
    <n v="1"/>
    <n v="1"/>
    <n v="0"/>
    <n v="0"/>
  </r>
  <r>
    <n v="5"/>
    <m/>
    <s v="Angola"/>
    <x v="4"/>
    <x v="1"/>
    <s v="AGO"/>
    <s v="AO"/>
    <s v="http://www.minjusdh.gov.ao"/>
    <s v="Civil Registry (DNRN), Min of Justice and Human Rights"/>
    <n v="1"/>
    <n v="1914"/>
    <n v="2"/>
    <s v="5 d"/>
    <s v="free"/>
    <s v="http://www.minjusdh.gov.ao/VerPrestadorServico.aspx?id=228"/>
    <s v="National Directorate of Archives of Civil and Criminal"/>
    <n v="1"/>
    <n v="1999"/>
    <s v="Bilhete de Identidade"/>
    <x v="1"/>
    <n v="2"/>
    <n v="10"/>
    <s v="15 kwanza"/>
    <n v="1"/>
    <n v="1"/>
    <m/>
    <n v="1"/>
    <n v="1"/>
    <m/>
    <s v="http://www.cidadao.gov.ao/VerServico.aspx?id=231"/>
    <n v="2009"/>
    <n v="1"/>
    <s v="4B"/>
    <s v="C"/>
    <n v="0"/>
    <n v="0"/>
    <n v="4408.8760000000002"/>
    <n v="7"/>
    <s v="http://www.smartcardalliance.org/digital-identification-solutions-was-chosen-as-the-personalization-solution-provider-for-the-angola-national-id-card-program/"/>
    <s v="-"/>
    <n v="1"/>
    <n v="1"/>
    <s v="http://www.minint.gov.ao/"/>
    <s v="Ministry of Interior"/>
    <n v="1"/>
    <n v="2"/>
    <n v="2012"/>
    <n v="10"/>
    <s v="-"/>
    <n v="0"/>
    <s v="http://www.minjusdh.gov.ao/VerServico.aspx?id=304"/>
    <n v="2011"/>
    <n v="1"/>
    <n v="2"/>
    <s v="http://www.fornecedores.minfin.gv.ao "/>
    <n v="2011"/>
    <n v="1"/>
    <s v="C"/>
    <n v="0"/>
    <s v="-"/>
    <n v="2"/>
    <n v="1"/>
    <n v="25021.973999999998"/>
    <n v="50.378847008633286"/>
    <n v="12416.191999999999"/>
    <n v="12605.781999999999"/>
    <n v="4717.8919999999998"/>
    <n v="49.694863723035631"/>
    <n v="2373.3420000000001"/>
    <n v="2344.5500000000002"/>
    <n v="3934.6570000000002"/>
    <n v="49.840761215018233"/>
    <n v="1973.5940000000001"/>
    <n v="1961.0630000000001"/>
    <n v="3270.5320000000002"/>
    <n v="49.892861467186371"/>
    <n v="1638.77"/>
    <n v="1631.7619999999999"/>
    <n v="13098.893"/>
    <n v="50.908172163861487"/>
    <n v="6430.485999999999"/>
    <n v="6668.4070000000002"/>
    <n v="2015"/>
    <s v="http://esa.un.org/unpd/wpp/Download/Standard/Population/"/>
    <n v="56"/>
    <n v="55.5"/>
    <n v="56.5"/>
    <n v="39.9"/>
    <n v="25.8"/>
    <n v="2013"/>
    <s v="http://www.unicef.org/esaro/5440_angola_eight-citizens.html"/>
    <n v="9757.6710000000003"/>
    <n v="38.99640771747265"/>
    <n v="4841.8688553042221"/>
    <n v="4915.8021446957773"/>
    <n v="2012"/>
    <s v="http://www.electionguide.org/countries/id/7/"/>
    <n v="10"/>
    <n v="18"/>
    <s v="AO2012"/>
    <n v="9757.6710000000003"/>
    <n v="8554.9660000000003"/>
    <n v="18056.072"/>
    <n v="1"/>
    <n v="4"/>
    <s v="CD"/>
    <x v="0"/>
    <n v="8587.3776399999988"/>
    <n v="34.319345228318113"/>
    <n v="50.485295535509067"/>
    <n v="4252.2563146957764"/>
    <n v="4335.3629803042231"/>
    <n v="34.247668807761485"/>
    <n v="34.391860658102949"/>
    <n v="3341.2219999999998"/>
    <n v="52.454008003784935"/>
    <n v="1588.6171446957769"/>
    <n v="1752.6048553042228"/>
    <n v="3170.28316"/>
    <n v="49.297769193588387"/>
    <n v="1607.5019799999998"/>
    <n v="1562.8788750000003"/>
    <n v="2075.8724799999995"/>
    <n v="49.130149362546604"/>
    <n v="1056.1371899999999"/>
    <n v="1019.8792500000002"/>
    <n v="44.499999999999993"/>
    <n v="43.500000000000007"/>
    <n v="21471.617999999999"/>
    <n v="50.417807358532549"/>
    <n v="10199.200999999995"/>
    <n v="49.723835592028919"/>
    <n v="4020.7559999999999"/>
    <n v="49.708938666755884"/>
    <n v="39.104302120831754"/>
    <n v="4408"/>
    <n v="6864.4170000000022"/>
    <n v="50.417807358532549"/>
    <n v="4487.6484399999972"/>
    <n v="49.723835592028919"/>
    <n v="1763.5174386487072"/>
    <n v="49.708938666755884"/>
    <n v="13026.788"/>
    <n v="60.669800000000002"/>
    <n v="59.948737939083671"/>
    <n v="8444.83"/>
    <n v="39.330199999999998"/>
    <n v="56.489212926725585"/>
    <n v="18.666474872769545"/>
    <n v="15.784311887800165"/>
    <n v="13.050062965799301"/>
    <n v="47.500849726368997"/>
    <n v="50.097198077946402"/>
    <n v="2.40195219568455"/>
    <n v="56"/>
    <n v="56.5"/>
    <n v="56"/>
    <n v="39.9"/>
    <n v="25.8"/>
    <n v="2013"/>
    <n v="43.37"/>
    <n v="2009"/>
    <n v="10652.808575999999"/>
    <n v="62.3"/>
    <n v="2000"/>
    <n v="12222.283136"/>
    <n v="40.5"/>
    <n v="2006"/>
    <n v="70.580368041992202"/>
    <s v="por"/>
    <n v="1"/>
    <n v="2"/>
    <s v="-"/>
    <s v="Underway"/>
    <s v="-"/>
    <s v="-"/>
    <s v="CR Minister"/>
    <n v="0.28999999999999998"/>
    <s v="-"/>
    <s v="-"/>
    <m/>
    <m/>
    <m/>
    <m/>
    <m/>
    <m/>
    <m/>
    <m/>
    <m/>
    <m/>
    <m/>
    <m/>
    <m/>
    <m/>
    <m/>
    <m/>
    <m/>
    <m/>
    <m/>
    <m/>
    <m/>
    <m/>
    <m/>
    <n v="1"/>
    <s v="B.I. (ID)"/>
    <n v="1"/>
    <s v="Voter Registration"/>
    <m/>
    <m/>
    <m/>
    <m/>
    <m/>
    <m/>
    <m/>
    <m/>
    <m/>
    <m/>
    <n v="1"/>
    <s v="civil"/>
    <s v="NF"/>
    <n v="6"/>
    <n v="5"/>
    <s v="PF"/>
    <n v="38"/>
    <n v="15"/>
    <n v="7"/>
    <n v="16"/>
    <s v="NF"/>
    <n v="69"/>
    <n v="19"/>
    <n v="29"/>
    <n v="21"/>
    <n v="-2"/>
    <n v="-1.1202912330627441"/>
    <n v="-0.37216398119926453"/>
    <n v="-1.2555354833602905"/>
    <n v="-1.0521498918533325"/>
    <n v="-1.2796025276184082"/>
    <n v="-1.3247987031936646"/>
    <n v="140"/>
    <n v="0.29703000000000002"/>
    <n v="0.23529"/>
    <n v="0.29920999999999998"/>
    <n v="9.7780000000000006E-2"/>
    <n v="0.49409999999999998"/>
    <n v="139"/>
    <n v="2.17"/>
    <n v="2.52"/>
    <n v="1.06"/>
    <n v="3.65"/>
    <s v="Lei da Protecção de Dados Pessoais"/>
    <s v="http://www.right2info.org/resources/publications/Angola-%20Access%20to%20Adm%20doc.doc "/>
    <n v="2011"/>
    <n v="2011"/>
    <s v="Both"/>
    <s v="-"/>
    <s v="-"/>
    <s v="-"/>
    <n v="62"/>
    <n v="76"/>
    <n v="2002"/>
    <s v="http://www.rti-rating.org/files/pdf/Angola.pdf"/>
    <n v="4"/>
    <n v="20"/>
    <n v="11"/>
    <n v="18"/>
    <n v="18"/>
    <n v="0"/>
    <n v="5"/>
    <m/>
    <m/>
    <m/>
    <s v="prev"/>
    <n v="49.6"/>
    <s v="IBRD"/>
    <m/>
    <n v="0"/>
    <n v="18"/>
    <n v="72"/>
    <s v="B"/>
    <m/>
    <n v="2"/>
    <n v="0"/>
    <n v="0"/>
  </r>
  <r>
    <n v="6"/>
    <m/>
    <s v="Antigua and Barbuda"/>
    <x v="5"/>
    <x v="2"/>
    <s v="ATG"/>
    <s v="AG"/>
    <s v="http://www.ab.gov.ag"/>
    <s v="Civil Registry, High Court of Justice"/>
    <n v="1"/>
    <n v="1930"/>
    <n v="2"/>
    <s v="30 d"/>
    <s v="EC 10"/>
    <s v="-"/>
    <s v="-"/>
    <n v="0"/>
    <s v="-"/>
    <s v="-"/>
    <x v="2"/>
    <n v="0"/>
    <s v="-"/>
    <s v="-"/>
    <n v="0"/>
    <n v="0"/>
    <m/>
    <n v="1"/>
    <m/>
    <m/>
    <s v="-"/>
    <s v="-"/>
    <n v="0"/>
    <n v="0"/>
    <s v="-"/>
    <s v="-"/>
    <s v="-"/>
    <s v="-"/>
    <n v="0"/>
    <s v="-"/>
    <s v="-"/>
    <n v="0"/>
    <n v="0"/>
    <s v="http://foreignaffairs.gov.ag/"/>
    <s v="Ministry of Foreign Affairs"/>
    <n v="1"/>
    <n v="3"/>
    <n v="2009"/>
    <n v="5"/>
    <s v="-"/>
    <n v="0"/>
    <s v="http://www.fsrc.gov.ag"/>
    <n v="2002"/>
    <n v="1"/>
    <n v="0"/>
    <s v="-"/>
    <s v="-"/>
    <n v="0"/>
    <s v="-"/>
    <n v="0"/>
    <s v="-"/>
    <n v="1"/>
    <n v="1"/>
    <n v="91.817999999999998"/>
    <n v="52.200004356444275"/>
    <n v="43.889000000000003"/>
    <n v="47.929000000000002"/>
    <n v="7.28"/>
    <n v="49.739010989010993"/>
    <n v="3.6589999999999998"/>
    <n v="3.621"/>
    <n v="7.3"/>
    <n v="49.945205479452056"/>
    <n v="3.6539999999999999"/>
    <n v="3.6459999999999999"/>
    <n v="7.62"/>
    <n v="49.960629921259844"/>
    <n v="3.8130000000000002"/>
    <n v="3.8069999999999999"/>
    <n v="69.617999999999995"/>
    <n v="52.938895113332762"/>
    <n v="32.763000000000005"/>
    <n v="36.854999999999997"/>
    <n v="2015"/>
    <s v="http://esa.un.org/unpd/wpp/Download/Standard/Population/"/>
    <n v="90"/>
    <n v="90"/>
    <n v="90"/>
    <s v="–"/>
    <s v="–"/>
    <n v="2013"/>
    <s v="http://www.unicef.org/infobycountry/antiguabarbuda_statistics.html"/>
    <n v="47.720999999999997"/>
    <n v="51.973469254394558"/>
    <n v="22.810635921061227"/>
    <n v="24.91036407893877"/>
    <n v="2014"/>
    <s v="http://www.electionguide.org/countries/id/10/"/>
    <s v="-"/>
    <n v="18"/>
    <s v="AG2014"/>
    <n v="47.720999999999997"/>
    <n v="61.570999999999998"/>
    <n v="91.295000000000002"/>
    <n v="1"/>
    <n v="4"/>
    <s v="CD"/>
    <x v="1"/>
    <n v="24.117000000000001"/>
    <n v="26.266091616023001"/>
    <n v="54.119649712075415"/>
    <n v="11.064964078938779"/>
    <n v="13.052035921061227"/>
    <n v="25.211246733666243"/>
    <n v="27.232022201717598"/>
    <n v="21.896999999999998"/>
    <n v="54.549189026173572"/>
    <n v="9.9523640789387784"/>
    <n v="11.944635921061227"/>
    <n v="1.4919999999999995"/>
    <n v="49.953083109919575"/>
    <n v="0.74669999999999981"/>
    <n v="0.74529999999999985"/>
    <n v="0.72799999999999987"/>
    <n v="49.739010989010993"/>
    <n v="0.36589999999999989"/>
    <n v="0.36209999999999992"/>
    <n v="9.9999999999999982"/>
    <n v="9.9999999999999982"/>
    <n v="89.984999999999999"/>
    <n v="52.230927376785019"/>
    <n v="22.454000000000043"/>
    <n v="49.787288929030957"/>
    <n v="7.27"/>
    <n v="49.787121474427416"/>
    <n v="69.597666256978329"/>
    <n v="47"/>
    <n v="20.530999999999949"/>
    <n v="52.230927376785019"/>
    <n v="2.2454000000000036"/>
    <n v="49.787288929030957"/>
    <n v="0.72630769378071891"/>
    <n v="49.787121474427416"/>
    <n v="26.869"/>
    <n v="29.8598"/>
    <n v="43.592988202017196"/>
    <n v="63.116"/>
    <n v="70.140199999999993"/>
    <n v="35.659737625958556"/>
    <n v="8.0714307249065858"/>
    <n v="8.2270142441888705"/>
    <n v="8.6546027610817955"/>
    <n v="24.9530477301773"/>
    <n v="67.922431516363801"/>
    <n v="7.1245207534589099"/>
    <n v="90"/>
    <n v="90"/>
    <n v="90"/>
    <n v="90"/>
    <n v="90"/>
    <n v="2010"/>
    <s v="-"/>
    <s v="-"/>
    <m/>
    <s v="-"/>
    <s v="-"/>
    <m/>
    <s v="-"/>
    <s v="-"/>
    <n v="98.949996948242202"/>
    <s v="eng"/>
    <n v="0"/>
    <s v="-"/>
    <s v="-"/>
    <s v="-"/>
    <s v="-"/>
    <s v="-"/>
    <s v="-"/>
    <s v="-"/>
    <s v="-"/>
    <n v="1"/>
    <s v="-"/>
    <s v="P126791 (A)"/>
    <s v="-"/>
    <s v="-"/>
    <s v="P126791 (A)"/>
    <s v="-"/>
    <m/>
    <m/>
    <m/>
    <m/>
    <m/>
    <m/>
    <m/>
    <m/>
    <m/>
    <m/>
    <m/>
    <m/>
    <m/>
    <m/>
    <m/>
    <m/>
    <m/>
    <m/>
    <m/>
    <m/>
    <m/>
    <m/>
    <m/>
    <m/>
    <m/>
    <m/>
    <m/>
    <m/>
    <m/>
    <m/>
    <m/>
    <n v="2"/>
    <s v="common"/>
    <s v="F"/>
    <n v="2"/>
    <n v="2"/>
    <s v="-"/>
    <s v="-"/>
    <s v="-"/>
    <s v="-"/>
    <s v="-"/>
    <s v="PF"/>
    <n v="39"/>
    <n v="9"/>
    <n v="17"/>
    <n v="13"/>
    <m/>
    <n v="0.64654046297073364"/>
    <n v="0.97778099775314331"/>
    <n v="0.48129847645759583"/>
    <n v="0.59754198789596558"/>
    <n v="0.8620147705078125"/>
    <n v="1.2859820127487183"/>
    <n v="60"/>
    <n v="0.59265999999999996"/>
    <n v="0.50980000000000003"/>
    <n v="0.41732000000000002"/>
    <n v="0.59377999999999997"/>
    <n v="0.76690000000000003"/>
    <n v="57"/>
    <n v="5.89"/>
    <n v="7.02"/>
    <n v="3.99"/>
    <n v="7.41"/>
    <s v="Data Protection Act"/>
    <s v="http://www.laws.gov.ag/acts/2004/a2004-19.pdf "/>
    <n v="2013"/>
    <s v="-"/>
    <s v="-"/>
    <s v="-"/>
    <s v="-"/>
    <s v="-"/>
    <n v="8"/>
    <n v="116"/>
    <n v="2004"/>
    <s v="http://www.rti-rating.org/files/pdf/Antigua.pdf"/>
    <n v="3"/>
    <n v="24"/>
    <n v="20"/>
    <n v="23"/>
    <n v="24"/>
    <n v="8"/>
    <n v="14"/>
    <m/>
    <m/>
    <m/>
    <m/>
    <m/>
    <s v="IBRD"/>
    <s v=""/>
    <n v="1"/>
    <n v="6"/>
    <n v="24"/>
    <s v="D"/>
    <m/>
    <n v="1"/>
    <n v="0"/>
    <n v="0"/>
  </r>
  <r>
    <n v="7"/>
    <m/>
    <s v="Argentina"/>
    <x v="5"/>
    <x v="1"/>
    <s v="ARG"/>
    <s v="AR"/>
    <s v="http://www.mininterior.gov.ar/renaper/renaper.php"/>
    <s v="Min of Interior and Transportation"/>
    <n v="2"/>
    <n v="1881"/>
    <n v="2"/>
    <s v="40 d"/>
    <s v="ARS 35 ($ 9)"/>
    <s v="http://www.nuevodni.gov.ar/inicio/index.php"/>
    <s v="National Citizen Register, Ministry of the Interior"/>
    <n v="2"/>
    <n v="1968"/>
    <s v="DNI (Documento Nacional de Identidad) / SIBIOS (Sistema Federal de Identificación Biométrica para la Seguridad)"/>
    <x v="0"/>
    <n v="2"/>
    <n v="0"/>
    <s v="ARS 35 ($ 9)"/>
    <n v="1"/>
    <n v="1"/>
    <s v="http://en.wikipedia.org/wiki/Documento_Nacional_de_Identidad_(Argentina)"/>
    <n v="1"/>
    <n v="1"/>
    <m/>
    <s v="http://www.nuevodni.gov.ar"/>
    <n v="2014"/>
    <n v="2"/>
    <s v="4B"/>
    <s v="C, E, F, H, S, R"/>
    <n v="0"/>
    <n v="0"/>
    <n v="30000"/>
    <n v="2"/>
    <s v="http://tiempo.infonews.com/nota/133789/como-funciona-sibios-el-archivo-que-almacenara-todos-los-datos-personales"/>
    <n v="3"/>
    <n v="1"/>
    <n v="1"/>
    <s v="http://www.mininterior.gov.ar/"/>
    <s v="Ministry of Interior"/>
    <n v="2"/>
    <n v="2"/>
    <n v="2012"/>
    <n v="5"/>
    <n v="1500"/>
    <n v="0"/>
    <s v="https://www.argentinacompra.gov.ar/prod/onc/sitio/Paginas/Contenido/FrontEnd/index2.asp"/>
    <n v="1994"/>
    <n v="1"/>
    <n v="1"/>
    <s v="http://www.afip.gob.ar/english/taxInformation.asp "/>
    <n v="2007"/>
    <n v="0"/>
    <s v="-"/>
    <n v="0"/>
    <s v="-"/>
    <n v="3"/>
    <n v="1"/>
    <n v="43416.754999999997"/>
    <n v="51.067964429861235"/>
    <n v="21244.702000000001"/>
    <n v="22172.053"/>
    <n v="3718.14"/>
    <n v="49.121899659507172"/>
    <n v="1891.7190000000001"/>
    <n v="1826.421"/>
    <n v="3638.3440000000001"/>
    <n v="49.1408179105659"/>
    <n v="1850.432"/>
    <n v="1787.912"/>
    <n v="3582.0189999999998"/>
    <n v="49.156941936935567"/>
    <n v="1821.2080000000001"/>
    <n v="1760.8109999999999"/>
    <n v="32478.252"/>
    <n v="51.717404618943164"/>
    <n v="15681.342999999999"/>
    <n v="16796.909"/>
    <n v="2015"/>
    <s v="http://esa.un.org/unpd/wpp/Download/Standard/Population/"/>
    <n v="99.5"/>
    <n v="99.6"/>
    <n v="99.5"/>
    <s v="–"/>
    <s v="–"/>
    <s v="2011-2012"/>
    <s v="MICS"/>
    <n v="32000"/>
    <n v="73.70426463239825"/>
    <n v="15658.251382444405"/>
    <n v="16341.748617555595"/>
    <n v="2015"/>
    <s v="http://www.resultados.gob.ar/balotage/dat99/DPR99999A.htm"/>
    <n v="0"/>
    <n v="16"/>
    <s v="AR2015"/>
    <n v="32130.852999999999"/>
    <n v="31996.331999999999"/>
    <n v="43431.885999999999"/>
    <n v="1"/>
    <n v="6"/>
    <s v="CD"/>
    <x v="1"/>
    <n v="532.94451500000037"/>
    <n v="1.2275088614982865"/>
    <n v="90.447708697105995"/>
    <n v="45.345053555594006"/>
    <n v="482.03610244440466"/>
    <n v="0.21344170210339503"/>
    <n v="2.1740706755680437"/>
    <n v="478.25200000000041"/>
    <n v="95.171663149219285"/>
    <n v="23.091617555593984"/>
    <n v="455.1603824444046"/>
    <n v="36.10181500000003"/>
    <n v="49.148817033160235"/>
    <n v="14.686560000000014"/>
    <n v="17.743615000000013"/>
    <n v="18.590700000000016"/>
    <n v="49.121899659507172"/>
    <n v="7.5668760000000068"/>
    <n v="9.1321050000000081"/>
    <n v="0.40000000000000036"/>
    <n v="0.50000000000000044"/>
    <n v="41446.245999999999"/>
    <n v="51.061010447122278"/>
    <n v="10044.064000000006"/>
    <n v="49.060917971052362"/>
    <n v="3433.5920000000001"/>
    <n v="49.078529558624211"/>
    <n v="85"/>
    <n v="35229.309099999999"/>
    <n v="6216.9369000000006"/>
    <n v="51.061010447122278"/>
    <n v="50.220320000000072"/>
    <n v="49.060917971052362"/>
    <n v="17.076805428713719"/>
    <n v="49.078529558624211"/>
    <n v="38456.480000000003"/>
    <n v="92.7864"/>
    <n v="49.256283986469903"/>
    <n v="2989.7660000000001"/>
    <n v="7.2135999999999996"/>
    <n v="81.805632949200699"/>
    <n v="8.2404594272367646"/>
    <n v="8.0155608866723647"/>
    <n v="7.9779332267806593"/>
    <n v="24.2339535406898"/>
    <n v="64.818082679912706"/>
    <n v="10.947963779397501"/>
    <n v="99.5"/>
    <n v="99.5"/>
    <n v="99.6"/>
    <n v="99.5"/>
    <n v="99.5"/>
    <n v="2012"/>
    <n v="0.92"/>
    <n v="2010"/>
    <n v="375"/>
    <n v="6.5"/>
    <n v="2011"/>
    <n v="2649.6964650000004"/>
    <n v="30"/>
    <s v="-"/>
    <n v="97.916091918945298"/>
    <s v="spa"/>
    <n v="0"/>
    <s v="-"/>
    <s v="-"/>
    <s v="-"/>
    <s v="-"/>
    <s v="-"/>
    <s v="-"/>
    <s v="-"/>
    <s v="-"/>
    <n v="3"/>
    <s v="P070448 (C); P101171 (C)"/>
    <s v="P101171 (C)"/>
    <s v="P070448 (C)"/>
    <s v="P070448 (C)"/>
    <s v="P006029 (C); P070448 (C)"/>
    <s v="-"/>
    <n v="40117096"/>
    <n v="2010"/>
    <n v="89"/>
    <n v="11"/>
    <n v="17.100000000000001"/>
    <n v="600329"/>
    <n v="79"/>
    <s v="esp"/>
    <n v="7"/>
    <n v="10"/>
    <n v="4"/>
    <s v="40 d"/>
    <s v="ARS 35 ($ 9)"/>
    <s v="DNI (Documento Nacional de Identidad)"/>
    <s v="ARD 9 ($2)"/>
    <s v="yes"/>
    <s v="http://idbdocs.iadb.org/wsdocs/getdocument.aspx?docnum=1959580"/>
    <n v="1"/>
    <s v="RENAPER (civil registry &amp; ID) &quot;SIBIOS&quot;"/>
    <m/>
    <m/>
    <m/>
    <m/>
    <m/>
    <m/>
    <m/>
    <m/>
    <m/>
    <m/>
    <n v="1"/>
    <s v="Clave Única de Identificación Tributaria (Tax ID)"/>
    <n v="1"/>
    <s v="civil"/>
    <s v="F"/>
    <n v="2"/>
    <n v="2"/>
    <s v="F"/>
    <n v="27"/>
    <n v="7"/>
    <n v="9"/>
    <n v="11"/>
    <s v="PF"/>
    <n v="51"/>
    <n v="14"/>
    <n v="21"/>
    <n v="16"/>
    <n v="8"/>
    <n v="0.2367413341999054"/>
    <n v="5.9716705232858658E-2"/>
    <n v="-0.29012247920036316"/>
    <n v="-0.98913514614105225"/>
    <n v="-0.73170936107635498"/>
    <n v="-0.45917874574661255"/>
    <n v="46"/>
    <n v="0.63058999999999998"/>
    <n v="0.54901"/>
    <n v="0.55118"/>
    <n v="0.48347000000000001"/>
    <n v="0.85709999999999997"/>
    <n v="59"/>
    <n v="5.8"/>
    <n v="6.62"/>
    <n v="3.42"/>
    <n v="8.94"/>
    <s v="Personal Data Protection Act"/>
    <s v="http://www.protecciondedatos.com.ar/law25326.htm "/>
    <n v="2000"/>
    <n v="2000"/>
    <s v="Both"/>
    <s v="National Direction for Personal Data Protection"/>
    <s v="http://www.jus.gob.ar/datos-personales.aspx "/>
    <s v="ICDPPC; RedIPD"/>
    <n v="79"/>
    <n v="66"/>
    <n v="2004"/>
    <s v="http://www.rti-rating.org/files/pdf/Argentina.pdf"/>
    <n v="6"/>
    <n v="19"/>
    <n v="22"/>
    <n v="15"/>
    <n v="3"/>
    <n v="1"/>
    <n v="0"/>
    <m/>
    <m/>
    <m/>
    <m/>
    <m/>
    <s v="IBRD"/>
    <s v=""/>
    <n v="0"/>
    <n v="20"/>
    <n v="80"/>
    <s v="A"/>
    <m/>
    <n v="6"/>
    <n v="2"/>
    <n v="0"/>
  </r>
  <r>
    <n v="8"/>
    <m/>
    <s v="Armenia"/>
    <x v="1"/>
    <x v="3"/>
    <s v="ARM"/>
    <s v="AM"/>
    <s v="http://www.moj.am/services/civil_registry/item/518"/>
    <s v="Min of Justice"/>
    <n v="1"/>
    <n v="1920"/>
    <n v="2"/>
    <s v="1 y"/>
    <s v="free"/>
    <s v="http://www.passportvisa.am/biometric/"/>
    <s v="Police Department"/>
    <n v="2"/>
    <n v="1991"/>
    <s v="ID Card / Passport"/>
    <x v="0"/>
    <n v="2"/>
    <n v="16"/>
    <s v="free"/>
    <n v="1"/>
    <n v="1"/>
    <m/>
    <n v="1"/>
    <n v="1"/>
    <n v="1"/>
    <s v="http://www.ekeng.am/?page_id=69"/>
    <n v="2012"/>
    <n v="2"/>
    <s v="4B"/>
    <s v="C, E, H, S, R"/>
    <n v="1"/>
    <n v="1"/>
    <n v="1000"/>
    <n v="9"/>
    <s v="http://www.secureidnews.com/news-item/armenia-picks-pwpw-s-a-for-biometric-passports-e-ids/"/>
    <s v="-"/>
    <n v="0"/>
    <n v="0"/>
    <s v="http://www.mfa.am/en/passport/"/>
    <s v="Ministry of Foreign Affairs"/>
    <n v="2"/>
    <n v="3"/>
    <n v="2012"/>
    <n v="10"/>
    <s v="-"/>
    <n v="0"/>
    <s v="https://www.e-register.am/en/search"/>
    <n v="2011"/>
    <n v="1"/>
    <n v="1"/>
    <s v="http://www.parliament.am/law_docs/301210HO246eng.pdf "/>
    <n v="2001"/>
    <n v="0"/>
    <s v="-"/>
    <n v="0"/>
    <s v="-"/>
    <n v="2"/>
    <n v="1"/>
    <n v="3017.712"/>
    <n v="53.623440540382916"/>
    <n v="1399.511"/>
    <n v="1618.201"/>
    <n v="207.244"/>
    <n v="48.580417285904545"/>
    <n v="106.56399999999999"/>
    <n v="100.68"/>
    <n v="188.82900000000001"/>
    <n v="48.451773827113421"/>
    <n v="97.337999999999994"/>
    <n v="91.491"/>
    <n v="158.69999999999999"/>
    <n v="47.449905482041586"/>
    <n v="83.397000000000006"/>
    <n v="75.302999999999997"/>
    <n v="2462.9389999999999"/>
    <n v="54.842080944757463"/>
    <n v="1112.212"/>
    <n v="1350.7269999999999"/>
    <n v="2015"/>
    <s v="http://esa.un.org/unpd/wpp/Download/Standard/Population/"/>
    <n v="99.6"/>
    <n v="100"/>
    <n v="99.1"/>
    <n v="99.3"/>
    <n v="100"/>
    <n v="2010"/>
    <s v="DHS"/>
    <n v="2509.4340000000002"/>
    <n v="83.15684200480365"/>
    <n v="1163.7891511098474"/>
    <n v="1345.6448488901526"/>
    <n v="2013"/>
    <s v="http://www.electionguide.org/countries/id/12/"/>
    <n v="16"/>
    <n v="18"/>
    <s v="AM2013"/>
    <n v="2528.7730000000001"/>
    <n v="2050.6550000000002"/>
    <n v="3064.2669999999998"/>
    <n v="2"/>
    <n v="6"/>
    <s v="CD"/>
    <x v="1"/>
    <n v="508.27799999999979"/>
    <n v="16.843157995196353"/>
    <n v="53.62344054038293"/>
    <n v="235.72184889015261"/>
    <n v="272.55615110984741"/>
    <n v="16.843157995196368"/>
    <n v="16.843157995196357"/>
    <n v="506.0589079999998"/>
    <n v="53.382892947681796"/>
    <n v="235.72184889015261"/>
    <n v="270.14888510984741"/>
    <n v="1.3901160000000012"/>
    <n v="107.9871032345502"/>
    <n v="0"/>
    <n v="1.5011460000000012"/>
    <n v="0.82897600000000071"/>
    <n v="109.30593889328522"/>
    <n v="0"/>
    <n v="0.90612000000000081"/>
    <n v="0"/>
    <n v="0.9000000000000008"/>
    <n v="2976.5659999999998"/>
    <n v="48.572045773552475"/>
    <n v="602.71899999999926"/>
    <n v="43.279040481551192"/>
    <n v="209.886"/>
    <n v="45.102514203660476"/>
    <n v="75.55686653680786"/>
    <n v="2249"/>
    <n v="727.56599999999958"/>
    <n v="48.572045773552475"/>
    <n v="2.4108759999999991"/>
    <n v="43.279040481551192"/>
    <n v="0.83201570162034288"/>
    <n v="45.102514203660476"/>
    <n v="1911.3240000000001"/>
    <n v="64.212400000000002"/>
    <n v="69.396135872306317"/>
    <n v="1065.242"/>
    <n v="35.787599999999998"/>
    <n v="58.724496405511616"/>
    <n v="6.9880501693927011"/>
    <n v="6.9832458302355436"/>
    <n v="6.2775074873429828"/>
    <n v="20.248803486971202"/>
    <n v="69.402022330430398"/>
    <n v="10.349174182598301"/>
    <n v="99.6"/>
    <n v="99.1"/>
    <n v="99"/>
    <n v="99.3"/>
    <n v="99"/>
    <n v="2010"/>
    <n v="2.4700000000000002"/>
    <n v="2010"/>
    <n v="77.505899999999997"/>
    <n v="35.799999999999997"/>
    <n v="2010"/>
    <n v="1109.8844879999999"/>
    <n v="35.799999999999997"/>
    <n v="2010"/>
    <n v="99.609947204589801"/>
    <s v="arm"/>
    <n v="0"/>
    <s v="-"/>
    <s v="-"/>
    <s v="-"/>
    <s v="-"/>
    <s v="-"/>
    <s v="-"/>
    <s v="-"/>
    <s v="-"/>
    <n v="2"/>
    <s v="P115647 (A)"/>
    <s v="-"/>
    <s v="P111942 (A)"/>
    <s v="-"/>
    <s v="-"/>
    <s v="-"/>
    <m/>
    <m/>
    <m/>
    <m/>
    <m/>
    <m/>
    <m/>
    <m/>
    <m/>
    <m/>
    <m/>
    <m/>
    <m/>
    <m/>
    <m/>
    <m/>
    <m/>
    <n v="1"/>
    <s v="National ID"/>
    <m/>
    <m/>
    <m/>
    <m/>
    <m/>
    <m/>
    <m/>
    <m/>
    <m/>
    <m/>
    <m/>
    <m/>
    <n v="1"/>
    <s v="civil"/>
    <s v="PF"/>
    <n v="5"/>
    <n v="4"/>
    <s v="F"/>
    <n v="28"/>
    <n v="7"/>
    <n v="9"/>
    <n v="12"/>
    <s v="NF"/>
    <n v="62"/>
    <n v="19"/>
    <n v="23"/>
    <n v="20"/>
    <n v="7"/>
    <n v="-0.60038983821868896"/>
    <n v="7.0397138595581055E-2"/>
    <n v="6.5453171730041504E-2"/>
    <n v="0.22855187952518463"/>
    <n v="-0.31475764513015747"/>
    <n v="-0.46610239148139954"/>
    <n v="61"/>
    <n v="0.58969000000000005"/>
    <n v="0.52941000000000005"/>
    <n v="0.61416999999999999"/>
    <n v="0.38890000000000002"/>
    <n v="0.76600000000000001"/>
    <n v="74"/>
    <n v="5.08"/>
    <n v="5.64"/>
    <n v="3.02"/>
    <n v="8.0399999999999991"/>
    <s v="Law on Personal Data"/>
    <s v="http://www.legislationline.org/download/action/download/id/5317/file/Armenia_Law_on_personal_data_2002_am2012_en.pdf "/>
    <n v="2002"/>
    <s v="-"/>
    <s v="Both"/>
    <s v="-"/>
    <s v="-"/>
    <s v="-"/>
    <n v="33"/>
    <n v="96"/>
    <n v="2003"/>
    <s v="http://www.rti-rating.org/files/pdf/Armenia.pdf"/>
    <n v="3"/>
    <n v="24"/>
    <n v="18"/>
    <n v="20"/>
    <n v="19"/>
    <n v="2"/>
    <n v="10"/>
    <m/>
    <m/>
    <m/>
    <m/>
    <m/>
    <s v="IBRD"/>
    <s v=""/>
    <n v="0"/>
    <n v="19"/>
    <n v="76"/>
    <s v="A"/>
    <m/>
    <n v="6"/>
    <n v="0"/>
    <n v="0"/>
  </r>
  <r>
    <n v="9"/>
    <m/>
    <s v="Australia"/>
    <x v="3"/>
    <x v="2"/>
    <s v="AUS"/>
    <s v="AU"/>
    <s v="http://www.australia.gov.au/topics/law-and-justice/births-deaths-and-marriages-registries"/>
    <s v="States &gt; BRs are maintained by indivudual states"/>
    <n v="5"/>
    <n v="1838"/>
    <n v="2"/>
    <s v="-"/>
    <s v="free"/>
    <s v="http://www.identity-cards.net/record/australia-2"/>
    <s v="-"/>
    <n v="0"/>
    <s v="-"/>
    <s v="-"/>
    <x v="2"/>
    <n v="0"/>
    <s v="-"/>
    <s v="-"/>
    <n v="1"/>
    <n v="0"/>
    <s v="http://en.wikipedia.org/wiki/Tax_File_Number"/>
    <n v="1"/>
    <m/>
    <m/>
    <s v="-"/>
    <s v="-"/>
    <n v="0"/>
    <n v="0"/>
    <s v="-"/>
    <s v="-"/>
    <s v="-"/>
    <s v="-"/>
    <n v="0"/>
    <s v="-"/>
    <s v="-"/>
    <n v="1"/>
    <n v="1"/>
    <s v="http://www.dfat.gov.au/"/>
    <s v="Department of Foreign Affairs and Trade"/>
    <n v="2"/>
    <n v="3"/>
    <n v="2005"/>
    <n v="10"/>
    <n v="10800"/>
    <n v="0"/>
    <s v="http://www.asic.gov.au"/>
    <n v="2001"/>
    <n v="1"/>
    <n v="2"/>
    <s v="https://abr.gov.au "/>
    <n v="2000"/>
    <n v="2"/>
    <s v="C, R"/>
    <n v="1"/>
    <s v="https://abr.gov.au/AUSkey/AUSkey-explained"/>
    <n v="3"/>
    <n v="1"/>
    <n v="23968.973000000002"/>
    <n v="50.035677373411033"/>
    <n v="11975.934999999999"/>
    <n v="11993.038"/>
    <n v="1545.971"/>
    <n v="48.634030004443815"/>
    <n v="794.10299999999995"/>
    <n v="751.86800000000005"/>
    <n v="1522.9549999999999"/>
    <n v="48.611416620976989"/>
    <n v="782.625"/>
    <n v="740.33"/>
    <n v="1412.8140000000001"/>
    <n v="48.734369846278412"/>
    <n v="724.28800000000001"/>
    <n v="688.52599999999995"/>
    <n v="19487.233"/>
    <n v="50.352525676682781"/>
    <n v="9674.9189999999999"/>
    <n v="9812.3140000000003"/>
    <n v="2015"/>
    <s v="http://esa.un.org/unpd/wpp/Download/Standard/Population/"/>
    <n v="100"/>
    <n v="100"/>
    <n v="100"/>
    <s v="–"/>
    <s v="–"/>
    <n v="2012"/>
    <s v="UNSD"/>
    <n v="15406.161"/>
    <n v="64.275432243175374"/>
    <n v="7471.5860000000002"/>
    <n v="7934.5749999999998"/>
    <n v="2015"/>
    <s v="http://www.aec.gov.au/Enrolling_to_vote/Enrolment_stats/elector_count/index.htm"/>
    <s v="-"/>
    <n v="18"/>
    <s v="AU2013"/>
    <n v="14722.754000000001"/>
    <n v="17406.251"/>
    <n v="22262.501"/>
    <n v="20"/>
    <n v="5"/>
    <s v="CD"/>
    <x v="2"/>
    <n v="8562.8120000000017"/>
    <n v="35.724567756824626"/>
    <n v="47.396381001941883"/>
    <n v="4504.3489999999993"/>
    <n v="4058.4630000000006"/>
    <n v="37.611668734006983"/>
    <n v="33.840157931626671"/>
    <n v="8562.8120000000017"/>
    <n v="47.396381001941883"/>
    <n v="4504.3489999999993"/>
    <n v="4058.4630000000006"/>
    <n v="0"/>
    <n v="0"/>
    <n v="0"/>
    <n v="0"/>
    <n v="0"/>
    <n v="0"/>
    <n v="0"/>
    <n v="0"/>
    <n v="0"/>
    <n v="0"/>
    <n v="23130.9"/>
    <n v="50.233925182331859"/>
    <n v="4411.9496564064766"/>
    <n v="48.540702176184617"/>
    <n v="1564.817"/>
    <n v="48.669844043078861"/>
    <n v="78.647572271799618"/>
    <n v="14722"/>
    <n v="3996.9503435935253"/>
    <n v="50.233925182331859"/>
    <n v="0"/>
    <n v="48.540702176184617"/>
    <n v="0"/>
    <n v="48.669844043078861"/>
    <n v="20698.177"/>
    <n v="89.482799999999997"/>
    <n v="47.543916548785916"/>
    <n v="2432.723"/>
    <n v="10.517200000000003"/>
    <n v="66.638741854292491"/>
    <n v="6.6597854196530877"/>
    <n v="6.2517880743710883"/>
    <n v="6.1622628028773727"/>
    <n v="19.0738348114707"/>
    <n v="66.598327954958506"/>
    <n v="14.327837233570801"/>
    <n v="100"/>
    <n v="100"/>
    <n v="100"/>
    <n v="100"/>
    <n v="100"/>
    <n v="2012"/>
    <s v="-"/>
    <s v="-"/>
    <m/>
    <s v="-"/>
    <s v="-"/>
    <m/>
    <s v="-"/>
    <s v="-"/>
    <s v="-"/>
    <s v="eng"/>
    <n v="0"/>
    <s v="-"/>
    <s v="-"/>
    <s v="-"/>
    <s v="-"/>
    <s v="-"/>
    <s v="-"/>
    <s v="-"/>
    <s v="-"/>
    <s v="-"/>
    <m/>
    <m/>
    <m/>
    <m/>
    <m/>
    <m/>
    <m/>
    <m/>
    <m/>
    <m/>
    <m/>
    <m/>
    <m/>
    <m/>
    <m/>
    <m/>
    <m/>
    <m/>
    <m/>
    <m/>
    <m/>
    <m/>
    <m/>
    <m/>
    <m/>
    <m/>
    <m/>
    <m/>
    <m/>
    <m/>
    <m/>
    <m/>
    <m/>
    <m/>
    <m/>
    <m/>
    <m/>
    <n v="2"/>
    <s v="common"/>
    <s v="F"/>
    <n v="1"/>
    <n v="1"/>
    <s v="F"/>
    <n v="17"/>
    <n v="2"/>
    <n v="5"/>
    <n v="10"/>
    <s v="F"/>
    <n v="22"/>
    <n v="5"/>
    <n v="10"/>
    <n v="7"/>
    <n v="10"/>
    <n v="1.4381312131881714"/>
    <n v="1.016480565071106"/>
    <n v="1.6246250867843628"/>
    <n v="1.7893579006195068"/>
    <n v="1.7536464929580688"/>
    <n v="1.7606610059738159"/>
    <n v="2"/>
    <n v="0.91034000000000004"/>
    <n v="0.94116999999999995"/>
    <n v="0.92913000000000001"/>
    <n v="0.80405000000000004"/>
    <n v="0.99780000000000002"/>
    <n v="12"/>
    <n v="8.18"/>
    <n v="8.23"/>
    <n v="7.48"/>
    <n v="9.5"/>
    <s v="Privacy Act 1988"/>
    <s v="http://www.oaic.gov.au/privacy/privacy-act/the-privacy-act "/>
    <n v="1988"/>
    <n v="2001"/>
    <s v="Both"/>
    <s v="Information Commissioner"/>
    <s v="http://www.oaic.gov.au/. "/>
    <s v="ICDPPC; APPA; GPEN; APEC CPEA"/>
    <n v="50"/>
    <n v="83"/>
    <n v="1982"/>
    <s v="http://www.rti-rating.org/files/pdf/Australia.pdf"/>
    <n v="2"/>
    <n v="10"/>
    <n v="21"/>
    <n v="15"/>
    <n v="23"/>
    <n v="2"/>
    <n v="10"/>
    <s v="PAC"/>
    <s v="OECD"/>
    <s v="APEC"/>
    <m/>
    <m/>
    <s v=".."/>
    <s v=""/>
    <n v="0"/>
    <n v="14"/>
    <n v="56.000000000000007"/>
    <s v="B"/>
    <m/>
    <n v="1"/>
    <n v="2"/>
    <n v="0"/>
  </r>
  <r>
    <n v="10"/>
    <m/>
    <s v="Austria"/>
    <x v="3"/>
    <x v="2"/>
    <s v="AUT"/>
    <s v="AT"/>
    <s v="https://www.help.gv.at/Portal.Node/hlpd/public/content/8/Seite.080100.html"/>
    <s v="Municipality or Registry Office of Community"/>
    <n v="5"/>
    <n v="1868"/>
    <n v="2"/>
    <s v="6 m"/>
    <n v="14.3"/>
    <s v="https://www.help.gv.at/Portal.Node/hlpd/public/content/54/Seite.540600.html"/>
    <s v="State Police, Ministry of Interior"/>
    <n v="2"/>
    <n v="2005"/>
    <s v="Bürgerkarte / Personalausweis / Austrian Citizen Card"/>
    <x v="1"/>
    <n v="1"/>
    <s v="-"/>
    <s v="various"/>
    <n v="1"/>
    <n v="1"/>
    <m/>
    <n v="1"/>
    <n v="1"/>
    <m/>
    <s v="https://www.buergerkarte.at"/>
    <n v="2005"/>
    <n v="2"/>
    <s v="4B"/>
    <s v="C, H, R, S"/>
    <n v="1"/>
    <n v="1"/>
    <n v="7500"/>
    <n v="1"/>
    <s v="http://www.buergerkarte.at/en/functions-card.html"/>
    <s v="-"/>
    <n v="0"/>
    <n v="0"/>
    <s v="http://www.bmeia.gv.at/"/>
    <s v="Federal Ministry Republic of Austria"/>
    <n v="2"/>
    <n v="2"/>
    <n v="2006"/>
    <n v="10"/>
    <n v="2500"/>
    <n v="0"/>
    <s v="http://www.firmenabc.at"/>
    <n v="1991"/>
    <n v="1"/>
    <n v="1"/>
    <s v="https://ec.europa.eu/taxation_customs/tin/pdf/en/TIN_-_country_sheet_AT_en.pdf "/>
    <n v="1965"/>
    <n v="0"/>
    <s v="-"/>
    <n v="0"/>
    <s v="-"/>
    <n v="3"/>
    <n v="1"/>
    <n v="8544.5859999999993"/>
    <n v="50.889124411644993"/>
    <n v="4196.3209999999999"/>
    <n v="4348.2650000000003"/>
    <n v="403.86200000000002"/>
    <n v="48.675785292996125"/>
    <n v="207.279"/>
    <n v="196.583"/>
    <n v="396.64400000000001"/>
    <n v="48.78303970310909"/>
    <n v="203.149"/>
    <n v="193.495"/>
    <n v="413.47800000000001"/>
    <n v="49.133690305167391"/>
    <n v="210.321"/>
    <n v="203.15700000000001"/>
    <n v="7330.601999999999"/>
    <n v="51.224033169445036"/>
    <n v="3575.5720000000001"/>
    <n v="3755.0300000000007"/>
    <n v="2015"/>
    <s v="http://esa.un.org/unpd/wpp/Download/Standard/Population/"/>
    <n v="100"/>
    <n v="100"/>
    <n v="100"/>
    <s v="–"/>
    <s v="–"/>
    <n v="2011"/>
    <s v="UNSD "/>
    <n v="8401.94"/>
    <n v="98.330568619708444"/>
    <n v="4093.9380000000001"/>
    <n v="4308.0020000000004"/>
    <n v="2011"/>
    <s v="http://www.statistik.at/web_en/statistics/PeopleSociety/population/population_stock_and_population_change/total_population_annual_average/index.html"/>
    <s v="-"/>
    <n v="16"/>
    <s v="AT2013"/>
    <n v="6384.3310000000001"/>
    <n v="6900.0609999999997"/>
    <n v="8221.6460000000006"/>
    <n v="20"/>
    <n v="5"/>
    <s v="CD"/>
    <x v="2"/>
    <n v="142.64599999999882"/>
    <n v="1.6694313802915535"/>
    <n v="28.225817758647459"/>
    <n v="102.38299999999981"/>
    <n v="40.26299999999992"/>
    <n v="2.4398276490287518"/>
    <n v="0.9259555247897705"/>
    <n v="142.64599999999882"/>
    <n v="28.225817758647459"/>
    <n v="102.38299999999981"/>
    <n v="40.26299999999992"/>
    <n v="0"/>
    <n v="0"/>
    <n v="0"/>
    <n v="0"/>
    <n v="0"/>
    <n v="0"/>
    <n v="0"/>
    <n v="0"/>
    <n v="0"/>
    <n v="0"/>
    <n v="8473.7860000000001"/>
    <n v="51.172439332312614"/>
    <n v="1227.5927333767711"/>
    <n v="48.616296940039703"/>
    <n v="407.161"/>
    <n v="48.743542341485742"/>
    <n v="88.04801065308942"/>
    <n v="7461"/>
    <n v="866.06424728335969"/>
    <n v="51.172439332312614"/>
    <n v="0"/>
    <n v="48.616296940039703"/>
    <n v="0"/>
    <n v="48.743542341485742"/>
    <n v="5770.1570000000002"/>
    <n v="68.094200000000001"/>
    <n v="50.766538934729155"/>
    <n v="2703.6289999999999"/>
    <n v="31.905799999999999"/>
    <n v="68.45961483620718"/>
    <n v="4.7940301554260287"/>
    <n v="4.7167154431609868"/>
    <n v="4.9762027383192979"/>
    <n v="14.486945190458799"/>
    <n v="67.153709559989807"/>
    <n v="18.359345249551399"/>
    <n v="100"/>
    <n v="100"/>
    <n v="100"/>
    <n v="100"/>
    <n v="100"/>
    <n v="2011"/>
    <s v="-"/>
    <s v="-"/>
    <m/>
    <s v="-"/>
    <s v="-"/>
    <m/>
    <n v="6.2"/>
    <n v="2012"/>
    <s v="-"/>
    <s v="ger"/>
    <n v="0"/>
    <s v="-"/>
    <s v="-"/>
    <s v="-"/>
    <s v="-"/>
    <s v="-"/>
    <s v="-"/>
    <s v="-"/>
    <s v="-"/>
    <s v="-"/>
    <m/>
    <m/>
    <m/>
    <m/>
    <m/>
    <m/>
    <m/>
    <m/>
    <m/>
    <m/>
    <m/>
    <m/>
    <m/>
    <m/>
    <m/>
    <m/>
    <m/>
    <m/>
    <m/>
    <m/>
    <m/>
    <m/>
    <m/>
    <m/>
    <m/>
    <m/>
    <m/>
    <m/>
    <m/>
    <m/>
    <m/>
    <m/>
    <m/>
    <m/>
    <m/>
    <m/>
    <m/>
    <n v="1"/>
    <s v="civil"/>
    <s v="F"/>
    <n v="1"/>
    <n v="1"/>
    <s v="-"/>
    <s v="-"/>
    <s v="-"/>
    <s v="-"/>
    <s v="-"/>
    <s v="F"/>
    <n v="21"/>
    <n v="8"/>
    <n v="8"/>
    <n v="5"/>
    <n v="10"/>
    <n v="1.4644901752471924"/>
    <n v="1.3427889347076416"/>
    <n v="1.5663824081420898"/>
    <n v="1.4784309864044189"/>
    <n v="1.8288122415542603"/>
    <n v="1.5065270662307739"/>
    <n v="20"/>
    <n v="0.79124000000000005"/>
    <n v="0.62744999999999995"/>
    <n v="0.74802999999999997"/>
    <n v="0.75971999999999995"/>
    <n v="0.86599999999999999"/>
    <n v="24"/>
    <n v="7.62"/>
    <n v="8.2799999999999994"/>
    <n v="6.28"/>
    <n v="8.9600000000000009"/>
    <s v="Datenschutzgesetz"/>
    <s v="https://www.ris.bka.gv.at/GeltendeFassung.wxe?Abfrage=bundesnormen&amp;Gesetzesnummer=10001597 "/>
    <n v="1978"/>
    <n v="2009"/>
    <s v="Both"/>
    <s v="Data Protection Commissioner"/>
    <s v="http://www.bka.gv.at"/>
    <s v="ICDPPC; EDPA; A29WP"/>
    <n v="100"/>
    <n v="37"/>
    <n v="1987"/>
    <s v="http://www.rti-rating.org/files/pdf/Austria.pdf"/>
    <n v="2"/>
    <n v="23"/>
    <n v="8"/>
    <n v="2"/>
    <n v="2"/>
    <n v="0"/>
    <n v="0"/>
    <s v="EU"/>
    <s v="OECD"/>
    <m/>
    <m/>
    <m/>
    <s v=".."/>
    <s v="EMU"/>
    <n v="0"/>
    <n v="18"/>
    <n v="72"/>
    <s v="B"/>
    <m/>
    <n v="2"/>
    <n v="0"/>
    <n v="0"/>
  </r>
  <r>
    <n v="11"/>
    <m/>
    <s v="Azerbaijan"/>
    <x v="1"/>
    <x v="1"/>
    <s v="AZE"/>
    <s v="AZ"/>
    <s v="http://www.justice.gov.az"/>
    <s v="ZAGS (Civil Registry Offices), Min of Justice"/>
    <n v="1"/>
    <n v="1920"/>
    <n v="2"/>
    <s v="-"/>
    <s v="free"/>
    <s v="http://www.mia.gov.az/index.php?/en/content/171/"/>
    <s v="Ministry of International Affairs"/>
    <n v="2"/>
    <n v="1994"/>
    <s v="National ID card / Azərbaycan Respublikası vətəndaşının şəxsiyyət vəsiqəsi"/>
    <x v="1"/>
    <n v="2"/>
    <n v="16"/>
    <s v="free"/>
    <n v="0"/>
    <n v="0"/>
    <m/>
    <n v="1"/>
    <m/>
    <m/>
    <s v="http://www.mia.gov.az/index.php?/en/content/171/"/>
    <n v="2015"/>
    <n v="2"/>
    <s v="4B"/>
    <s v="C, F, H, S, R"/>
    <n v="1"/>
    <n v="1"/>
    <s v="-"/>
    <n v="15"/>
    <s v="http://www.secureidnews.com/news-item/trub-ag-deploys-national-e-id-solution-in-the-republic-of-azerbaijan/"/>
    <n v="3"/>
    <n v="0"/>
    <n v="0"/>
    <s v="http://www.mia.gov.az/"/>
    <s v="Ministry of Internal Affairs "/>
    <n v="2"/>
    <n v="2"/>
    <n v="2013"/>
    <n v="5"/>
    <s v="-"/>
    <n v="0"/>
    <s v="https://www.e-taxes.gov.az/ebyn/commersialChecker.jsp"/>
    <n v="2003"/>
    <n v="1"/>
    <n v="1"/>
    <s v="http://apps.who.int/fctc/reporting/party_reports/azerbaijan_annex2_tax_code_of_azerbaijan_2010_eng.pdf "/>
    <n v="2000"/>
    <n v="0"/>
    <s v="-"/>
    <n v="1"/>
    <s v="https://www.e-taxes.gov.az/ebyn/commersialChecker.jsp "/>
    <n v="2"/>
    <n v="1"/>
    <n v="9753.9680000000008"/>
    <n v="50.219787475210076"/>
    <n v="4855.5460000000003"/>
    <n v="4898.4219999999996"/>
    <n v="930.423"/>
    <n v="45.691045900627998"/>
    <n v="505.303"/>
    <n v="425.12"/>
    <n v="618.62199999999996"/>
    <n v="46.907966415678722"/>
    <n v="328.43900000000002"/>
    <n v="290.18299999999999"/>
    <n v="588.88300000000004"/>
    <n v="47.092546397162081"/>
    <n v="311.56299999999999"/>
    <n v="277.32"/>
    <n v="7616.0400000000009"/>
    <n v="51.28385617722595"/>
    <n v="3710.2410000000004"/>
    <n v="3905.7989999999995"/>
    <n v="2015"/>
    <s v="http://esa.un.org/unpd/wpp/Download/Standard/Population/"/>
    <n v="93.6"/>
    <n v="93.4"/>
    <n v="93.9"/>
    <n v="95.5"/>
    <n v="91.7"/>
    <n v="2006"/>
    <s v="DHS"/>
    <n v="5096.4680000000008"/>
    <n v="52.250202174130578"/>
    <n v="2463.5010000000002"/>
    <n v="2632.9670000000001"/>
    <n v="2015"/>
    <s v="https://www.infocenter.gov.az/content/?i=10&amp;title=statistika"/>
    <n v="16"/>
    <n v="18"/>
    <s v="AZ2015"/>
    <n v="5211.7650000000003"/>
    <n v="7150.5060000000003"/>
    <n v="9780.7800000000007"/>
    <n v="10"/>
    <n v="4"/>
    <s v="CD"/>
    <x v="1"/>
    <n v="2656.3993919999998"/>
    <n v="27.234038413904983"/>
    <n v="50.19508764441094"/>
    <n v="1322.3301300000001"/>
    <n v="1333.3820029999993"/>
    <n v="27.233397232772589"/>
    <n v="27.220643770585699"/>
    <n v="2519.5720000000001"/>
    <n v="50.517786354190285"/>
    <n v="1246.7400000000002"/>
    <n v="1272.8319999999994"/>
    <n v="77.280320000000074"/>
    <n v="44.794952971209149"/>
    <n v="42.240131999999967"/>
    <n v="34.617682999999971"/>
    <n v="59.54707200000005"/>
    <n v="43.549278124035979"/>
    <n v="33.349997999999971"/>
    <n v="25.932319999999976"/>
    <n v="6.5999999999999943"/>
    <n v="6.0999999999999943"/>
    <n v="9416.598"/>
    <n v="50.309304910329608"/>
    <n v="2091.6108960600959"/>
    <n v="46.429798898809373"/>
    <n v="786.55700000000002"/>
    <n v="46.574736522157437"/>
    <n v="71.181012690050153"/>
    <n v="5214"/>
    <n v="2110.987103939904"/>
    <n v="50.309304910329608"/>
    <n v="133.86309734784626"/>
    <n v="46.429798898809373"/>
    <n v="49.92160446705202"/>
    <n v="46.574736522157437"/>
    <n v="5097.43"/>
    <n v="54.132399999999997"/>
    <n v="49.64070129457393"/>
    <n v="4319.1679999999997"/>
    <n v="45.867600000000003"/>
    <n v="51.053814067894557"/>
    <n v="8.2835124723141753"/>
    <n v="7.0150364801686722"/>
    <n v="6.9134112480056924"/>
    <n v="22.211959096693899"/>
    <n v="72.180620858306497"/>
    <n v="5.6074200449995901"/>
    <n v="93.6"/>
    <n v="93.9"/>
    <n v="93.4"/>
    <n v="95.5"/>
    <n v="91.7"/>
    <n v="2006"/>
    <n v="0.43"/>
    <n v="2008"/>
    <n v="39"/>
    <n v="15.8"/>
    <n v="2008"/>
    <n v="1448.5439999999999"/>
    <n v="6"/>
    <n v="2012"/>
    <n v="99.775772094726605"/>
    <s v="aze"/>
    <n v="3"/>
    <n v="3"/>
    <s v="Yes"/>
    <s v="-"/>
    <s v="-"/>
    <s v="-"/>
    <s v="-"/>
    <n v="0.94"/>
    <n v="0.85"/>
    <s v="-"/>
    <m/>
    <m/>
    <m/>
    <m/>
    <m/>
    <m/>
    <m/>
    <m/>
    <m/>
    <m/>
    <m/>
    <m/>
    <m/>
    <m/>
    <m/>
    <m/>
    <m/>
    <m/>
    <m/>
    <m/>
    <m/>
    <m/>
    <m/>
    <m/>
    <m/>
    <m/>
    <m/>
    <m/>
    <m/>
    <m/>
    <m/>
    <m/>
    <m/>
    <m/>
    <m/>
    <m/>
    <m/>
    <n v="1"/>
    <s v="civil"/>
    <s v="NF"/>
    <n v="6"/>
    <n v="6"/>
    <s v="PF"/>
    <n v="55"/>
    <n v="14"/>
    <n v="17"/>
    <n v="24"/>
    <s v="NF"/>
    <n v="84"/>
    <n v="28"/>
    <n v="34"/>
    <n v="22"/>
    <n v="1"/>
    <n v="-1.3539718389511108"/>
    <n v="-0.41039389371871948"/>
    <n v="-0.45513376593589783"/>
    <n v="-0.42655724287033081"/>
    <n v="-0.67366319894790649"/>
    <n v="-0.90131652355194092"/>
    <n v="68"/>
    <n v="0.54720000000000002"/>
    <n v="0.43136999999999998"/>
    <n v="0.43307000000000001"/>
    <n v="0.46049000000000001"/>
    <n v="0.748"/>
    <n v="64"/>
    <n v="5.65"/>
    <n v="6.07"/>
    <n v="4.4000000000000004"/>
    <n v="7.33"/>
    <s v="Law on Personal Data 2010 (replaces 1998 Act)"/>
    <s v="http://www.coe.int/t/dghl/standardsetting/dataprotection/National%20laws/AZERBAIJAN_DP_LAW.pdf "/>
    <n v="1998"/>
    <n v="2010"/>
    <s v="Both"/>
    <s v="-"/>
    <s v="-"/>
    <s v="-"/>
    <n v="10"/>
    <n v="115"/>
    <n v="2005"/>
    <s v="http://www.rti-rating.org/files/pdf/Azerbaijan.pdf"/>
    <n v="5"/>
    <n v="28"/>
    <n v="24"/>
    <n v="24"/>
    <n v="19"/>
    <n v="3"/>
    <n v="12"/>
    <m/>
    <m/>
    <m/>
    <m/>
    <n v="42.6"/>
    <s v="IBRD"/>
    <s v=""/>
    <n v="0"/>
    <n v="19"/>
    <n v="76"/>
    <s v="A"/>
    <m/>
    <n v="4"/>
    <n v="0"/>
    <n v="0"/>
  </r>
  <r>
    <n v="12"/>
    <m/>
    <s v="Bahamas"/>
    <x v="5"/>
    <x v="2"/>
    <s v="BHS"/>
    <s v="BS"/>
    <s v="http://www.bahamas.gov.bs"/>
    <s v="Registrar General’s Department"/>
    <n v="1"/>
    <n v="1850"/>
    <n v="2"/>
    <s v="21 d"/>
    <s v="free"/>
    <s v="http://www.bahamas.gov.bs/wps/portal/public/!ut/p/b1/04_Sj9CPykssy0xPLMnMz0vMAfGjzOKNDdx9HR1NLHzdQ8IMDDwNDRyDgg0DDfyNDYEKIoEKDHAARwNC-sP1o_ArMYIqwGOFn0d-bqp-QW6EQZaJoyIA1iL9zQ!!/dl4/d5/L2dBISEvZ0FBIS9nQSEh/"/>
    <s v="Minister of Legal Affairs"/>
    <n v="1"/>
    <n v="1914"/>
    <s v="Certificate of Registration "/>
    <x v="0"/>
    <n v="2"/>
    <n v="0"/>
    <s v="1.1 Man"/>
    <n v="1"/>
    <n v="1"/>
    <m/>
    <n v="1"/>
    <m/>
    <m/>
    <s v="-"/>
    <s v="-"/>
    <n v="0"/>
    <n v="1"/>
    <s v="-"/>
    <s v="-"/>
    <s v="-"/>
    <s v="-"/>
    <n v="0"/>
    <s v="-"/>
    <s v="-"/>
    <n v="0"/>
    <n v="0"/>
    <s v="http://www.bahamas.gov.bs/"/>
    <s v="Ministry of Foreign Affairs and Immigration"/>
    <n v="2"/>
    <n v="3"/>
    <n v="2007"/>
    <n v="5"/>
    <n v="200"/>
    <n v="0"/>
    <s v="https://www.bahamas.gov.bs/wps/portal/public/business%20registry/!ut/p/b1/vVbbsqI4FP2W_gAOCSQEHlGUm9xFwRdLLg1yUQQE5OtHZ7pqes5Un37pc7KfUnsla6-1s6tCH-iAPlxOwzk79efr5VS99gfuyMqW4SwRb_AcEoAKt6YqrWxWxvAJCF8AIBui-ATIGHBA9e2NaBOFsRD45_wv0gqh93SghNNC6tRstdoP6BpWtVOe81OgnKRYDn3XkBe3TOtxCvqAbGYBd8Zqn1pzIZ0G0a8o21dKR0Jr3BWKCXeqX1sNeyrqAQur2aeowD1fWBCg0SC9vdYvl0lP14osm1rVAqbL15b3HcaV7V19u0ki51br_W55U8L5COz2Zi1q59u3HzrBL5b4W50f-_QE_MbnPX34kOLl9N-Aj0r88AaJ0OETQH4CbHfgWQUQXQ86ADksvaUDgI5e8WjUuZzdYnY3XmsBU4pZOPvAW7Vb0y-BmezM7UYHUNqZXhGOhqTZRrQwtqZtJzvXX4jSo-XG6j2hxWxfspeQ030Mli7-bEIZW_zTArK1RcwA-WniFxMyX2qpbFufTvju0XDojxNq9OEc1W9jXL-BNwIxZiHACCKehQTTuyJEZMlr4krdHr3m2idRygAkMl4pdmF-w5Pk44fEoP3RRsKEXP3BdIfhENWLsuOTm0aJwAHS2TpBJkpSwwCyy8lozcdKmt0nteqYNJuqKtdh1h9ytct8sj42p6N1WFjyebwkVIkskuXBPsJEw-4eca7PzLnlFW7fQV-4r8W7M6RaTA71rku0eBIp87gs0-FqjbgJr1cHeokAW3gfxFZ_FsiXNVeR2MypUxc_KOFB1O-FkPk9aSaLNpVrnb5vA89pr77rlr4RdNZR_j9KYJw8sho9yZnA7LNdu_XN7Yo1Ex2aGxGAFQBe9MwX4dwX4sPopR9tEOuFcQk-nl1PJ59N-E6hgL6aEH6ppbKkwa9W-Od7-J_Z5QgvMJBhOQB4hFjyml0gPL8Co6Tuh_Guu1NhRNYYX4Od5DU1U2oq7gDxWI1rw71WpBeMKICHy61q7pm6hPDMIagyvmjHfjeK-yarxq5uob7AY6OP1G2qrI4bGtG1zZbhbVlrHkLHTqBBm8hj6pjVhmVSbwIzG5yDY_MTJaTnpBKSecx3eR_ZDWOE87or4TmvNTiEIV9S1VEO1oSV-NE02jPd1P6gbzhXmYOfIpWH-t_4C-EhBTk!/dl4/d5/L2dBISEvZ0FBIS9nQSEh/"/>
    <n v="2004"/>
    <n v="1"/>
    <n v="0"/>
    <s v="-"/>
    <s v="-"/>
    <n v="0"/>
    <s v="-"/>
    <n v="0"/>
    <s v="-"/>
    <n v="3"/>
    <n v="1"/>
    <n v="388.01900000000001"/>
    <n v="51.044407619214525"/>
    <n v="189.95699999999999"/>
    <n v="198.06200000000001"/>
    <n v="29.111999999999998"/>
    <n v="48.677521297059634"/>
    <n v="14.941000000000001"/>
    <n v="14.170999999999999"/>
    <n v="27.137"/>
    <n v="48.85212072078712"/>
    <n v="13.88"/>
    <n v="13.257"/>
    <n v="24.928999999999998"/>
    <n v="48.947009506999883"/>
    <n v="12.727"/>
    <n v="12.202"/>
    <n v="306.84100000000001"/>
    <n v="51.633256311900958"/>
    <n v="148.40899999999999"/>
    <n v="158.43200000000002"/>
    <n v="2015"/>
    <s v="http://esa.un.org/unpd/wpp/Download/Standard/Population/"/>
    <n v="85"/>
    <n v="85"/>
    <n v="85"/>
    <s v="–"/>
    <s v="–"/>
    <n v="2013"/>
    <s v="http://www.unicef.org/infobycountry/bahamas.html#121"/>
    <n v="172.12799999999999"/>
    <n v="44.360714294918544"/>
    <n v="84.26628205319841"/>
    <n v="87.861717946801562"/>
    <n v="2012"/>
    <s v="http://www.electionguide.org/countries/id/17/"/>
    <n v="0"/>
    <n v="18"/>
    <s v="BS2012"/>
    <n v="171.93199999999999"/>
    <n v="231.90299999999999"/>
    <n v="316.18200000000002"/>
    <n v="1"/>
    <n v="6"/>
    <s v="CD"/>
    <x v="1"/>
    <n v="146.88970000000003"/>
    <n v="37.856316314407287"/>
    <n v="52.089957330703527"/>
    <n v="70.374917946801588"/>
    <n v="76.514782053198445"/>
    <n v="37.04781500381749"/>
    <n v="38.631732514666339"/>
    <n v="134.71300000000002"/>
    <n v="52.385651016010662"/>
    <n v="64.142717946801582"/>
    <n v="70.570282053198454"/>
    <n v="7.8099000000000007"/>
    <n v="48.897553105673566"/>
    <n v="3.9910500000000004"/>
    <n v="3.8188500000000003"/>
    <n v="4.3668000000000005"/>
    <n v="48.677521297059634"/>
    <n v="2.2411500000000006"/>
    <n v="2.1256500000000003"/>
    <n v="15.000000000000002"/>
    <n v="15.000000000000002"/>
    <n v="377.37400000000002"/>
    <n v="51.073205891237869"/>
    <n v="80.483000000000075"/>
    <n v="48.79539778586792"/>
    <n v="28.701000000000001"/>
    <n v="48.716255139997365"/>
    <n v="45.313137630043407"/>
    <n v="171"/>
    <n v="206.374"/>
    <n v="51.073205891237869"/>
    <n v="13.682110000000016"/>
    <n v="48.79539778586792"/>
    <n v="4.7667867600385669"/>
    <n v="48.716255139997365"/>
    <n v="319.40699999999998"/>
    <n v="84.639399999999995"/>
    <n v="41.716055064541479"/>
    <n v="57.966999999999999"/>
    <n v="15.360600000000005"/>
    <n v="39.07740611037314"/>
    <n v="7.4302739769761335"/>
    <n v="6.8263655328193718"/>
    <n v="7.0704789456359771"/>
    <n v="21.327118455431499"/>
    <n v="70.975742896966906"/>
    <n v="7.6971386476015802"/>
    <n v="83"/>
    <n v="83"/>
    <n v="83"/>
    <n v="83"/>
    <n v="83"/>
    <n v="2003"/>
    <s v="-"/>
    <s v="-"/>
    <m/>
    <n v="9.3000000000000007"/>
    <n v="2001"/>
    <n v="32.287368000000001"/>
    <n v="9.3000000000000007"/>
    <n v="2010"/>
    <s v="-"/>
    <s v="eng"/>
    <n v="0"/>
    <s v="-"/>
    <s v="-"/>
    <s v="-"/>
    <s v="-"/>
    <s v="-"/>
    <s v="-"/>
    <s v="-"/>
    <s v="-"/>
    <s v="-"/>
    <m/>
    <m/>
    <m/>
    <m/>
    <m/>
    <m/>
    <n v="345700"/>
    <n v="2010"/>
    <n v="84"/>
    <n v="16"/>
    <n v="9.3000000000000007"/>
    <s v="?"/>
    <s v="?"/>
    <s v="eng"/>
    <n v="14"/>
    <s v="?"/>
    <n v="1"/>
    <s v="21 d"/>
    <s v="-"/>
    <s v="-"/>
    <s v="-"/>
    <s v="-"/>
    <s v="-"/>
    <m/>
    <m/>
    <m/>
    <m/>
    <m/>
    <m/>
    <m/>
    <m/>
    <m/>
    <m/>
    <m/>
    <m/>
    <m/>
    <m/>
    <n v="2"/>
    <s v="common"/>
    <s v="F"/>
    <n v="1"/>
    <n v="1"/>
    <s v="-"/>
    <s v="-"/>
    <s v="-"/>
    <s v="-"/>
    <s v="-"/>
    <s v="F"/>
    <n v="20"/>
    <n v="4"/>
    <n v="9"/>
    <n v="7"/>
    <m/>
    <n v="0.90511327981948853"/>
    <n v="1.120907187461853"/>
    <n v="0.86234778165817261"/>
    <n v="0.15620195865631104"/>
    <n v="0.59814250469207764"/>
    <n v="1.3565871715545654"/>
    <n v="92"/>
    <n v="0.49"/>
    <n v="0.19606999999999999"/>
    <n v="0.33857999999999999"/>
    <n v="0.41758000000000001"/>
    <n v="0.71379999999999999"/>
    <s v="-"/>
    <s v="-"/>
    <s v="-"/>
    <s v="-"/>
    <s v="-"/>
    <s v="Data Protection (Privacy of Information) Act"/>
    <s v="http://www.lexbahamas.com/Data%20Protection%202003.pdf "/>
    <n v="2003"/>
    <n v="2003"/>
    <s v="Both"/>
    <s v="Data Protection Commissioner"/>
    <s v="http://www.bahamas.gov.bs"/>
    <s v="-"/>
    <s v="-"/>
    <s v="-"/>
    <n v="2012"/>
    <s v="http://www.humanrightsinitiative.org/programs/ai/rti/international/laws_&amp;_papers.htm#12 "/>
    <s v="-"/>
    <s v="-"/>
    <s v="-"/>
    <s v="-"/>
    <s v="-"/>
    <s v="-"/>
    <s v="-"/>
    <m/>
    <m/>
    <m/>
    <m/>
    <m/>
    <s v=".."/>
    <s v=""/>
    <n v="1"/>
    <n v="14"/>
    <n v="56.000000000000007"/>
    <s v="B"/>
    <m/>
    <n v="6"/>
    <n v="0"/>
    <n v="0"/>
  </r>
  <r>
    <n v="13"/>
    <m/>
    <s v="Bahrain"/>
    <x v="2"/>
    <x v="2"/>
    <s v="BHR"/>
    <s v="BH"/>
    <s v="http://www.moh.gov.bh"/>
    <s v="Min of Health"/>
    <n v="3"/>
    <n v="1971"/>
    <n v="2"/>
    <s v="-"/>
    <s v="BD 1"/>
    <s v="http://www.cio.gov.bh/CIO_ENG/SubDetailed.aspx?subcatid=29"/>
    <s v="Central Informatics Organization"/>
    <n v="5"/>
    <n v="1984"/>
    <s v="Smart Card"/>
    <x v="0"/>
    <n v="2"/>
    <n v="0"/>
    <s v="various"/>
    <n v="1"/>
    <n v="1"/>
    <m/>
    <n v="1"/>
    <n v="1"/>
    <n v="1"/>
    <s v="http://www.smartcard.gov.bh/?lang=en"/>
    <n v="2005"/>
    <n v="3"/>
    <s v="4B"/>
    <s v="C, E, F, H, R, S, T"/>
    <n v="1"/>
    <n v="1"/>
    <s v="-"/>
    <n v="1"/>
    <s v="http://www.gemalto.com/govt/customer-cases/bahrain"/>
    <s v="-"/>
    <n v="0"/>
    <n v="0"/>
    <s v="http://www.mofa.gov.bh/"/>
    <s v="Passport Service"/>
    <n v="1"/>
    <n v="3"/>
    <n v="1994"/>
    <n v="5"/>
    <s v="-"/>
    <n v="0"/>
    <s v="http://www.moic.gov.bh/En/Main/eServices/Commercial%20Registration%20Inquiry/Pages/Commercial%20Registration%20Inquiry.aspx?eserviceID=3"/>
    <n v="1992"/>
    <n v="1"/>
    <n v="0"/>
    <s v="-"/>
    <s v="-"/>
    <n v="0"/>
    <s v="-"/>
    <n v="0"/>
    <s v="-"/>
    <n v="0"/>
    <n v="0"/>
    <n v="1377.2370000000001"/>
    <n v="38.020326203841456"/>
    <n v="853.60699999999997"/>
    <n v="523.63"/>
    <n v="108.72799999999999"/>
    <n v="48.570745346184978"/>
    <n v="55.917999999999999"/>
    <n v="52.81"/>
    <n v="99.858000000000004"/>
    <n v="48.626048989565184"/>
    <n v="51.301000000000002"/>
    <n v="48.557000000000002"/>
    <n v="87.174999999999997"/>
    <n v="49.482076283338117"/>
    <n v="44.039000000000001"/>
    <n v="43.136000000000003"/>
    <n v="1081.4760000000001"/>
    <n v="35.056441381963161"/>
    <n v="702.34899999999993"/>
    <n v="379.12699999999995"/>
    <n v="2015"/>
    <s v="http://esa.un.org/unpd/wpp/Download/Standard/Population/"/>
    <n v="98"/>
    <n v="98"/>
    <n v="98"/>
    <s v="–"/>
    <s v="–"/>
    <n v="2013"/>
    <s v="http://unstats.un.org/unsd/vitalstatkb/Attachment26.aspx"/>
    <n v="349.71300000000002"/>
    <n v="25.392361663243147"/>
    <n v="216.75097662275994"/>
    <n v="132.96202337724009"/>
    <n v="2014"/>
    <s v="http://www.electionguide.org/countries/id/18/"/>
    <n v="0"/>
    <n v="20"/>
    <s v="BH2014"/>
    <n v="349.71300000000002"/>
    <n v="997.149"/>
    <n v="1314.0889999999999"/>
    <n v="1"/>
    <n v="6"/>
    <s v="CD"/>
    <x v="1"/>
    <n v="737.67822000000024"/>
    <n v="53.562184286364669"/>
    <n v="33.762015723164467"/>
    <n v="488.62318337723997"/>
    <n v="249.05503662275987"/>
    <n v="57.242171558719647"/>
    <n v="47.563171824142984"/>
    <n v="731.76300000000015"/>
    <n v="33.639986802114869"/>
    <n v="485.59802337724"/>
    <n v="246.16497662275987"/>
    <n v="3.7406600000000032"/>
    <n v="49.025038362214161"/>
    <n v="1.9068000000000018"/>
    <n v="1.8338600000000018"/>
    <n v="2.1745600000000018"/>
    <n v="48.570745346184978"/>
    <n v="1.1183600000000009"/>
    <n v="1.0562000000000009"/>
    <n v="2.0000000000000018"/>
    <n v="2.0000000000000018"/>
    <n v="1332.171"/>
    <n v="37.824798768326289"/>
    <n v="279.62099999999987"/>
    <n v="47.947567548674463"/>
    <n v="102.599"/>
    <n v="48.478930367381921"/>
    <n v="99"/>
    <n v="1318.8492900000001"/>
    <n v="13.321710000000012"/>
    <n v="37.824798768326289"/>
    <n v="2.7962100000000012"/>
    <n v="47.947567548674463"/>
    <n v="1.0260086639741726"/>
    <n v="48.478930367381921"/>
    <n v="1183.309"/>
    <n v="88.825599999999994"/>
    <n v="39.394359376967472"/>
    <n v="148.86199999999999"/>
    <n v="11.174400000000006"/>
    <n v="21.880668001236046"/>
    <n v="7.7017790056544664"/>
    <n v="6.9272549209296832"/>
    <n v="6.3608389951353592"/>
    <n v="20.989872921719499"/>
    <n v="76.771150250230605"/>
    <n v="2.2389768280498501"/>
    <n v="99"/>
    <n v="99"/>
    <n v="99"/>
    <n v="99"/>
    <n v="99"/>
    <n v="2007"/>
    <s v="-"/>
    <s v="-"/>
    <m/>
    <s v="-"/>
    <s v="-"/>
    <m/>
    <s v="-"/>
    <s v="-"/>
    <n v="94.556793212890597"/>
    <s v="ara"/>
    <n v="0"/>
    <s v="-"/>
    <s v="-"/>
    <s v="-"/>
    <s v="-"/>
    <s v="-"/>
    <s v="-"/>
    <s v="-"/>
    <s v="-"/>
    <s v="-"/>
    <m/>
    <m/>
    <m/>
    <m/>
    <m/>
    <m/>
    <m/>
    <m/>
    <m/>
    <m/>
    <m/>
    <m/>
    <m/>
    <m/>
    <m/>
    <m/>
    <m/>
    <m/>
    <m/>
    <m/>
    <m/>
    <m/>
    <m/>
    <m/>
    <m/>
    <m/>
    <m/>
    <m/>
    <m/>
    <m/>
    <m/>
    <m/>
    <m/>
    <m/>
    <m/>
    <m/>
    <m/>
    <n v="3"/>
    <s v="civil + customary + religious"/>
    <s v="NF"/>
    <n v="6"/>
    <n v="6"/>
    <s v="NF"/>
    <n v="74"/>
    <n v="12"/>
    <n v="27"/>
    <n v="35"/>
    <s v="NF"/>
    <n v="87"/>
    <n v="28"/>
    <n v="37"/>
    <n v="22"/>
    <n v="-5"/>
    <n v="-1.3208080530166626"/>
    <n v="-1.3421005010604858"/>
    <n v="0.58405262231826782"/>
    <n v="0.60090500116348267"/>
    <n v="0.35160991549491882"/>
    <n v="0.45250546932220459"/>
    <n v="18"/>
    <n v="0.80884999999999996"/>
    <n v="0.82352000000000003"/>
    <n v="0.93700000000000006"/>
    <n v="0.70550000000000002"/>
    <n v="0.78400000000000003"/>
    <n v="27"/>
    <n v="7.4"/>
    <n v="7.72"/>
    <n v="7.06"/>
    <n v="7.44"/>
    <s v="-"/>
    <s v="-"/>
    <s v="-"/>
    <s v="-"/>
    <s v="-"/>
    <s v="-"/>
    <s v="-"/>
    <s v="-"/>
    <s v="-"/>
    <s v="-"/>
    <s v="-"/>
    <s v="-"/>
    <s v="-"/>
    <s v="-"/>
    <s v="-"/>
    <s v="-"/>
    <s v="-"/>
    <s v="-"/>
    <s v="-"/>
    <m/>
    <m/>
    <m/>
    <m/>
    <n v="25.1"/>
    <s v=".."/>
    <m/>
    <n v="0"/>
    <n v="15"/>
    <n v="60"/>
    <s v="B"/>
    <m/>
    <n v="6"/>
    <n v="0"/>
    <n v="0"/>
  </r>
  <r>
    <n v="14"/>
    <m/>
    <s v="Bangladesh"/>
    <x v="0"/>
    <x v="0"/>
    <s v="BGD"/>
    <s v="BD"/>
    <s v="http://br.lgd.gov.bd"/>
    <s v="Birth and Death Registration, Local Government Division"/>
    <n v="6"/>
    <n v="1873"/>
    <n v="2"/>
    <s v="45 d"/>
    <s v="free"/>
    <s v="http://www.nidw.gov.bd"/>
    <s v="Bangladesh Election Commission , National ID Registration Wing"/>
    <n v="4"/>
    <n v="1973"/>
    <s v="NID (National ID Card)"/>
    <x v="1"/>
    <n v="1"/>
    <n v="18"/>
    <s v="free"/>
    <n v="1"/>
    <n v="0"/>
    <m/>
    <n v="1"/>
    <n v="1"/>
    <m/>
    <s v="http://www.nidw.gov.bd"/>
    <n v="2016"/>
    <n v="2"/>
    <s v="4B"/>
    <s v="C, H, S, R"/>
    <n v="0"/>
    <n v="0"/>
    <n v="90000"/>
    <n v="13"/>
    <s v="http://documents.worldbank.org/curated/en/2011/04/14089715/bangladesh-identification-system-enhancing-access-services-idea-project"/>
    <s v="-"/>
    <n v="1"/>
    <n v="1"/>
    <s v="http://www.passport.gov.bd/"/>
    <s v="Passport Office"/>
    <n v="1"/>
    <n v="2"/>
    <n v="2010"/>
    <n v="5"/>
    <s v="-"/>
    <n v="0"/>
    <s v="http://www.roc.gov.bd/"/>
    <n v="1994"/>
    <n v="1"/>
    <n v="2"/>
    <s v="http://me3con.com/?p=264 "/>
    <n v="1994"/>
    <n v="2"/>
    <s v="C, R"/>
    <n v="0"/>
    <s v="-"/>
    <n v="0"/>
    <n v="1"/>
    <n v="160995.64199999999"/>
    <n v="49.516046527520288"/>
    <n v="81276.964999999997"/>
    <n v="79718.676999999996"/>
    <n v="15331.343999999999"/>
    <n v="48.936133714043599"/>
    <n v="7828.777"/>
    <n v="7502.567"/>
    <n v="15667.941000000001"/>
    <n v="48.968004155747074"/>
    <n v="7995.6629999999996"/>
    <n v="7672.2780000000002"/>
    <n v="16409.061000000002"/>
    <n v="48.949851548482876"/>
    <n v="8376.85"/>
    <n v="8032.2110000000002"/>
    <n v="113587.29599999997"/>
    <n v="49.751709029150589"/>
    <n v="57075.674999999996"/>
    <n v="56511.620999999999"/>
    <n v="2015"/>
    <s v="http://esa.un.org/unpd/wpp/Download/Standard/Population/"/>
    <n v="30.5"/>
    <n v="30.5"/>
    <n v="30.5"/>
    <n v="35"/>
    <n v="29.2"/>
    <n v="2011"/>
    <s v="DHS"/>
    <n v="91422.65"/>
    <n v="56.785791754537051"/>
    <n v="45782.697"/>
    <n v="45639.953000000001"/>
    <n v="2015"/>
    <s v="http://www.nidw.gov.bd/"/>
    <n v="18"/>
    <n v="18"/>
    <s v="BD2014"/>
    <n v="92007.112999999998"/>
    <n v="97373.463000000003"/>
    <n v="163654.85999999999"/>
    <n v="10"/>
    <n v="4"/>
    <s v="CD"/>
    <x v="0"/>
    <n v="55113.446469999981"/>
    <n v="34.232880955870833"/>
    <n v="48.990897229947826"/>
    <n v="28112.874549999997"/>
    <n v="27000.571919999998"/>
    <n v="34.588981699796491"/>
    <n v="33.869819390003173"/>
    <n v="22164.645999999979"/>
    <n v="49.049590054359577"/>
    <n v="11292.977999999996"/>
    <n v="10871.667999999998"/>
    <n v="22293.516390000004"/>
    <n v="48.9587181495328"/>
    <n v="11378.896535"/>
    <n v="10914.619855000001"/>
    <n v="10655.284079999999"/>
    <n v="48.936133714043606"/>
    <n v="5441.0000150000005"/>
    <n v="5214.2840650000007"/>
    <n v="69.5"/>
    <n v="69.5"/>
    <n v="156594.962"/>
    <n v="49.397867601896408"/>
    <n v="46976.763999999974"/>
    <n v="48.910664442402869"/>
    <n v="15127.794"/>
    <n v="48.835994250529524"/>
    <n v="81.373350070943488"/>
    <n v="89200"/>
    <n v="20418.198000000033"/>
    <n v="49.397867601896408"/>
    <n v="32648.850979999985"/>
    <n v="48.910664442402869"/>
    <n v="10568.849576552091"/>
    <n v="48.835994250529524"/>
    <n v="46011.671000000002"/>
    <n v="29.3826"/>
    <n v="40.075512580275557"/>
    <n v="110583.291"/>
    <n v="70.617400000000004"/>
    <n v="50.550593579277724"/>
    <n v="9.7110262129560834"/>
    <n v="9.9200897687354939"/>
    <n v="10.367782705738735"/>
    <n v="29.998898687430302"/>
    <n v="65.221592505638895"/>
    <n v="4.7795088069308402"/>
    <n v="30.5"/>
    <n v="30.5"/>
    <n v="30.5"/>
    <n v="35"/>
    <n v="29.2"/>
    <n v="2011"/>
    <n v="43.25"/>
    <n v="2010"/>
    <n v="65163.753913999994"/>
    <n v="31.5"/>
    <n v="2010"/>
    <n v="47405.502269999997"/>
    <n v="31.5"/>
    <n v="2010"/>
    <n v="58.7877197265625"/>
    <s v="ben"/>
    <n v="1"/>
    <n v="1"/>
    <s v="Yes"/>
    <s v="Completed"/>
    <s v="Plan + Committee"/>
    <s v="Yes"/>
    <s v="Through UNESCAP in 2-14"/>
    <n v="0.1"/>
    <s v="-"/>
    <n v="4"/>
    <s v="P121528 (A)"/>
    <s v="P132634 (A); P146520 (P)"/>
    <s v="P129770 (A)"/>
    <s v="-"/>
    <s v="-"/>
    <s v="-"/>
    <m/>
    <m/>
    <m/>
    <m/>
    <m/>
    <m/>
    <m/>
    <m/>
    <m/>
    <m/>
    <m/>
    <m/>
    <m/>
    <m/>
    <m/>
    <m/>
    <m/>
    <n v="1"/>
    <s v="PERP (Preparation of Electoral Roll with Photographs) + National ID"/>
    <n v="1"/>
    <s v="PERP (Preparation of Electoral Roll with Photographs) + National ID"/>
    <m/>
    <m/>
    <m/>
    <m/>
    <m/>
    <m/>
    <m/>
    <m/>
    <m/>
    <m/>
    <n v="2"/>
    <s v="common"/>
    <s v="PF"/>
    <n v="3"/>
    <n v="4"/>
    <s v="PF"/>
    <n v="49"/>
    <n v="12"/>
    <n v="12"/>
    <n v="25"/>
    <s v="PF"/>
    <n v="54"/>
    <n v="15"/>
    <n v="23"/>
    <n v="16"/>
    <n v="8"/>
    <n v="-0.42340254783630371"/>
    <n v="-1.6127743721008301"/>
    <n v="-0.81985312700271606"/>
    <n v="-0.92749875783920288"/>
    <n v="-0.83167016506195068"/>
    <n v="-0.89083665609359741"/>
    <n v="148"/>
    <n v="0.27572000000000002"/>
    <n v="0.39215"/>
    <n v="0.34644999999999998"/>
    <n v="9.4140000000000001E-2"/>
    <n v="0.3866"/>
    <n v="145"/>
    <n v="1.97"/>
    <n v="2.57"/>
    <n v="0.27"/>
    <n v="4.18"/>
    <s v="-"/>
    <s v="-"/>
    <s v="-"/>
    <s v="-"/>
    <s v="-"/>
    <s v="-"/>
    <s v="-"/>
    <s v="-"/>
    <n v="19"/>
    <n v="107"/>
    <n v="2008"/>
    <s v="http://www.rti-rating.org/files/pdf/Bangladesh.pdf"/>
    <n v="2"/>
    <n v="25"/>
    <n v="16"/>
    <n v="20"/>
    <n v="23"/>
    <n v="6"/>
    <n v="15"/>
    <m/>
    <m/>
    <m/>
    <m/>
    <m/>
    <s v="IDA"/>
    <s v=""/>
    <n v="0"/>
    <n v="17"/>
    <n v="68"/>
    <s v="B"/>
    <m/>
    <n v="4"/>
    <n v="1"/>
    <n v="1"/>
  </r>
  <r>
    <n v="15"/>
    <m/>
    <s v="Barbados"/>
    <x v="5"/>
    <x v="2"/>
    <s v="BRB"/>
    <s v="BB"/>
    <s v="http://www.lawcourts.gov.bb/Recordbranch.html"/>
    <s v="Barbados Supreme Court / Records Branch"/>
    <n v="1"/>
    <n v="1890"/>
    <n v="2"/>
    <s v="28 d"/>
    <s v="free"/>
    <s v="http://www.electoral.barbados.gov.bb/nationalregqualifications.html"/>
    <s v="Barbados Electoral and Boundaries Commission"/>
    <n v="4"/>
    <n v="1904"/>
    <s v="National Identification Card"/>
    <x v="1"/>
    <n v="2"/>
    <n v="16"/>
    <s v="free"/>
    <n v="1"/>
    <n v="0"/>
    <m/>
    <n v="1"/>
    <n v="1"/>
    <m/>
    <s v="http://www.electoral.barbados.gov.bb/nationalregqualifications.html"/>
    <n v="2015"/>
    <n v="2"/>
    <n v="4"/>
    <s v="C, F, V"/>
    <n v="0"/>
    <n v="0"/>
    <s v="-"/>
    <n v="10"/>
    <s v="http://www.barbadosadvocate.com/newsitem.asp?more=&amp;NewsID=22375"/>
    <s v="-"/>
    <n v="0"/>
    <n v="0"/>
    <s v="http://www.immigration.gov.bb/pages/Passport.aspx"/>
    <s v="Immigration Department"/>
    <n v="1"/>
    <n v="2"/>
    <n v="2009"/>
    <n v="5"/>
    <s v="-"/>
    <n v="0"/>
    <s v="http://www.caipo.gov.bb/site/index.php?option=com_easytable&amp;view=easytable&amp;id=3&amp;Itemid=61"/>
    <n v="2001"/>
    <n v="1"/>
    <n v="0"/>
    <s v="-"/>
    <s v="-"/>
    <n v="0"/>
    <s v="-"/>
    <n v="0"/>
    <s v="-"/>
    <n v="1"/>
    <n v="1"/>
    <n v="284.21499999999997"/>
    <n v="52.086976408704679"/>
    <n v="136.17599999999999"/>
    <n v="148.03899999999999"/>
    <n v="17.36"/>
    <n v="49.377880184331794"/>
    <n v="8.7880000000000003"/>
    <n v="8.5719999999999992"/>
    <n v="18.577999999999999"/>
    <n v="48.70814942404995"/>
    <n v="9.5289999999999999"/>
    <n v="9.0489999999999995"/>
    <n v="19.103000000000002"/>
    <n v="48.57352248337957"/>
    <n v="9.8239999999999998"/>
    <n v="9.2789999999999999"/>
    <n v="229.17399999999995"/>
    <n v="52.858963058636675"/>
    <n v="108.035"/>
    <n v="121.13899999999998"/>
    <n v="2015"/>
    <s v="http://esa.un.org/unpd/wpp/Download/Standard/Population/"/>
    <n v="90"/>
    <n v="90"/>
    <n v="90"/>
    <s v="–"/>
    <s v="–"/>
    <n v="2013"/>
    <s v="http://www.unicef.org/infobycountry/barbados_statistics.html#121"/>
    <n v="220"/>
    <n v="77.406188976655002"/>
    <n v="105.4086519008497"/>
    <n v="114.5913480991503"/>
    <n v="2012"/>
    <s v="http://www.electoral.barbados.gov.bb/electoralreginfo.html"/>
    <n v="16"/>
    <n v="18"/>
    <s v="BB2013"/>
    <n v="235.51"/>
    <n v="219.56100000000001"/>
    <n v="288.72500000000002"/>
    <n v="1"/>
    <n v="4"/>
    <s v="CD"/>
    <x v="1"/>
    <n v="14.678099999999947"/>
    <n v="5.1644353746283445"/>
    <n v="62.934929594768519"/>
    <n v="5.4404480991502915"/>
    <n v="9.2376519008496842"/>
    <n v="3.9951592785441572"/>
    <n v="6.2400123621813748"/>
    <n v="9.1739999999999498"/>
    <n v="71.371832361562269"/>
    <n v="2.6263480991502917"/>
    <n v="6.5476519008496865"/>
    <n v="3.7680999999999991"/>
    <n v="48.639898091876546"/>
    <n v="1.9352999999999994"/>
    <n v="1.8327999999999995"/>
    <n v="1.7359999999999995"/>
    <n v="49.377880184331794"/>
    <n v="0.8787999999999998"/>
    <n v="0.85719999999999974"/>
    <n v="9.9999999999999982"/>
    <n v="9.9999999999999982"/>
    <n v="284.64400000000001"/>
    <n v="50.108556653222969"/>
    <n v="53.737000000000108"/>
    <n v="48.983009844241522"/>
    <n v="17.986000000000001"/>
    <n v="49.165172650502782"/>
    <n v="82.559267014235331"/>
    <n v="235"/>
    <n v="40.271873315439613"/>
    <n v="50.108556653222969"/>
    <n v="8.060550000000017"/>
    <n v="48.983009844241522"/>
    <n v="2.6945903544720946"/>
    <n v="49.165172650502782"/>
    <n v="129.28800000000001"/>
    <n v="45.4208"/>
    <n v="50.108556653222969"/>
    <n v="155.35599999999999"/>
    <n v="54.5792"/>
    <n v="50.108556653222969"/>
    <n v="6.3110185693289269"/>
    <n v="6.260429313359726"/>
    <n v="6.3072216132431054"/>
    <n v="18.878669495931799"/>
    <n v="70.252666488666506"/>
    <n v="10.8686640154017"/>
    <n v="85"/>
    <n v="85"/>
    <n v="85"/>
    <n v="85"/>
    <n v="85"/>
    <n v="1994"/>
    <s v="-"/>
    <s v="-"/>
    <m/>
    <s v="-"/>
    <s v="-"/>
    <m/>
    <s v="-"/>
    <s v="-"/>
    <s v="-"/>
    <s v="eng"/>
    <n v="0"/>
    <s v="-"/>
    <s v="-"/>
    <s v="-"/>
    <s v="-"/>
    <s v="-"/>
    <s v="-"/>
    <s v="-"/>
    <s v="-"/>
    <s v="-"/>
    <m/>
    <m/>
    <m/>
    <m/>
    <m/>
    <m/>
    <n v="256600"/>
    <n v="2010"/>
    <n v="44"/>
    <n v="56"/>
    <n v="13.9"/>
    <s v="?"/>
    <n v="97.6"/>
    <s v="eng"/>
    <s v="?"/>
    <s v="?"/>
    <n v="1"/>
    <s v="-"/>
    <s v="-"/>
    <s v="-"/>
    <s v="-"/>
    <s v="-"/>
    <s v="-"/>
    <m/>
    <m/>
    <m/>
    <m/>
    <m/>
    <m/>
    <m/>
    <m/>
    <m/>
    <m/>
    <m/>
    <m/>
    <m/>
    <m/>
    <n v="2"/>
    <s v="common"/>
    <s v="F"/>
    <n v="1"/>
    <n v="1"/>
    <s v="-"/>
    <s v="-"/>
    <s v="-"/>
    <s v="-"/>
    <s v="-"/>
    <s v="F"/>
    <n v="18"/>
    <n v="3"/>
    <n v="9"/>
    <n v="6"/>
    <m/>
    <n v="1.1830390691757202"/>
    <n v="1.2929487228393555"/>
    <n v="1.3450701236724854"/>
    <n v="0.42688986659049988"/>
    <n v="0.99901491403579712"/>
    <n v="1.6100748777389526"/>
    <n v="59"/>
    <n v="0.59330000000000005"/>
    <n v="9.8030000000000006E-2"/>
    <n v="0.22047"/>
    <n v="0.67295000000000005"/>
    <n v="0.88649999999999995"/>
    <n v="35"/>
    <n v="6.95"/>
    <n v="7.86"/>
    <n v="5.2"/>
    <n v="8.65"/>
    <s v="Data Protection Bill"/>
    <s v="http://unpan1.un.org/intradoc/groups/public/documents/TASF/UNPAN024631.pdf "/>
    <n v="2005"/>
    <s v="-"/>
    <s v="Both"/>
    <s v="The Data Protection Commissioner"/>
    <s v="http://www.commerce.gov.bb"/>
    <s v="-"/>
    <s v="-"/>
    <s v="-"/>
    <n v="2008"/>
    <s v="http://www.humanrightsinitiative.org/programs/ai/rti/international/laws_papers/barbados/barbados_foi_act_2008.pdf "/>
    <s v="-"/>
    <s v="-"/>
    <s v="-"/>
    <s v="-"/>
    <s v="-"/>
    <s v="-"/>
    <s v="-"/>
    <m/>
    <m/>
    <m/>
    <m/>
    <m/>
    <s v=".."/>
    <s v=""/>
    <n v="1"/>
    <n v="15"/>
    <n v="60"/>
    <s v="B"/>
    <m/>
    <n v="4"/>
    <n v="0"/>
    <n v="1"/>
  </r>
  <r>
    <n v="16"/>
    <m/>
    <s v="Belarus"/>
    <x v="1"/>
    <x v="1"/>
    <s v="BLR"/>
    <s v="BY"/>
    <s v="http://mvd.gov.by/ru/main.aspx?guid=152273"/>
    <s v="Ministry of Interior"/>
    <n v="2"/>
    <n v="1917"/>
    <n v="2"/>
    <s v="3 m"/>
    <s v="free"/>
    <s v="http://mvd.gov.by/ru/main.aspx?guid=12611"/>
    <s v="Ministry of Interior"/>
    <n v="2"/>
    <n v="1923"/>
    <s v="National Passport"/>
    <x v="0"/>
    <n v="2"/>
    <n v="16"/>
    <s v="free"/>
    <n v="1"/>
    <n v="1"/>
    <s v="http://en.wikipedia.org/wiki/Belarusian_passport"/>
    <n v="1"/>
    <m/>
    <m/>
    <s v="-"/>
    <s v="-"/>
    <n v="0"/>
    <n v="1"/>
    <s v="-"/>
    <s v="-"/>
    <s v="-"/>
    <s v="-"/>
    <n v="0"/>
    <s v="-"/>
    <s v="-"/>
    <n v="0"/>
    <n v="0"/>
    <s v="http://mfa.gov.by/"/>
    <s v="Ministry of Internal Affairs and Ministry of Foreign Affairs"/>
    <n v="2"/>
    <n v="2"/>
    <n v="2014"/>
    <n v="5"/>
    <s v="-"/>
    <n v="0"/>
    <s v="http://www.mintorg.gov.by/index.php?option=com_content&amp;task=view&amp;id=73&amp;Itemid=80"/>
    <n v="2011"/>
    <n v="1"/>
    <n v="0"/>
    <s v="-"/>
    <s v="-"/>
    <n v="0"/>
    <s v="-"/>
    <n v="0"/>
    <s v="-"/>
    <n v="0"/>
    <n v="0"/>
    <n v="9495.8259999999991"/>
    <n v="53.521378761573771"/>
    <n v="4413.5290000000005"/>
    <n v="5082.2969999999996"/>
    <n v="586.33000000000004"/>
    <n v="48.505108044957609"/>
    <n v="301.93"/>
    <n v="284.39999999999998"/>
    <n v="497.26799999999997"/>
    <n v="48.628103960037649"/>
    <n v="255.45599999999999"/>
    <n v="241.81200000000001"/>
    <n v="442.21100000000001"/>
    <n v="48.679476539480021"/>
    <n v="226.94499999999999"/>
    <n v="215.26599999999999"/>
    <n v="7970.0169999999989"/>
    <n v="54.464363124946921"/>
    <n v="3629.1979999999999"/>
    <n v="4340.8190000000004"/>
    <n v="2015"/>
    <s v="http://esa.un.org/unpd/wpp/Download/Standard/Population/"/>
    <n v="100"/>
    <n v="100"/>
    <n v="100"/>
    <s v="–"/>
    <s v="–"/>
    <n v="2012"/>
    <s v="Vital registration "/>
    <n v="7008.6819999999998"/>
    <n v="73.808028917126336"/>
    <n v="3257.5387605857563"/>
    <n v="3751.1432394142439"/>
    <n v="2015"/>
    <s v="http://www.electionguide.org/countries/id/21/"/>
    <n v="16"/>
    <n v="18"/>
    <s v="BY2015"/>
    <n v="7008.6819999999998"/>
    <n v="7828.768"/>
    <n v="9589.6890000000003"/>
    <n v="1"/>
    <n v="6"/>
    <s v="CD"/>
    <x v="1"/>
    <n v="961.33499999999913"/>
    <n v="10.123763851612269"/>
    <n v="61.339258488014792"/>
    <n v="371.65923941424353"/>
    <n v="589.67576058575651"/>
    <n v="8.420908515934606"/>
    <n v="11.602544294159836"/>
    <n v="961.33499999999913"/>
    <n v="61.339258488014792"/>
    <n v="371.65923941424353"/>
    <n v="589.67576058575651"/>
    <n v="0"/>
    <n v="0"/>
    <n v="0"/>
    <n v="0"/>
    <n v="0"/>
    <n v="0"/>
    <n v="0"/>
    <n v="0"/>
    <n v="0"/>
    <n v="0"/>
    <n v="9466"/>
    <n v="53.585020071836041"/>
    <n v="1448.5967158429485"/>
    <n v="48.607007126036414"/>
    <n v="521.16899999999998"/>
    <n v="48.571559602799724"/>
    <n v="74.18128037185717"/>
    <n v="7022"/>
    <n v="2444"/>
    <n v="53.585020071836041"/>
    <n v="0"/>
    <n v="48.607007126036414"/>
    <n v="0"/>
    <n v="48.571559602799724"/>
    <n v="7178.5219999999999"/>
    <n v="75.834800000000001"/>
    <n v="53.970385547331333"/>
    <n v="2287.4780000000001"/>
    <n v="24.165199999999999"/>
    <n v="138.35652189878985"/>
    <n v="5.5187316735164638"/>
    <n v="5.1576313246207182"/>
    <n v="4.6267956750088146"/>
    <n v="15.303155671275601"/>
    <n v="70.873604926876794"/>
    <n v="13.8232394018475"/>
    <n v="100"/>
    <n v="100"/>
    <n v="100"/>
    <n v="100"/>
    <n v="100"/>
    <n v="2012"/>
    <n v="7.0000000000000007E-2"/>
    <n v="2011"/>
    <n v="7"/>
    <n v="5.4"/>
    <n v="2009"/>
    <n v="511.54200000000003"/>
    <n v="27.1"/>
    <n v="2003"/>
    <n v="99.617057800292997"/>
    <s v="rus"/>
    <n v="0"/>
    <s v="-"/>
    <s v="-"/>
    <s v="-"/>
    <s v="-"/>
    <s v="-"/>
    <s v="-"/>
    <s v="-"/>
    <s v="-"/>
    <s v="-"/>
    <m/>
    <m/>
    <m/>
    <m/>
    <m/>
    <m/>
    <m/>
    <m/>
    <m/>
    <m/>
    <m/>
    <m/>
    <m/>
    <m/>
    <m/>
    <m/>
    <m/>
    <m/>
    <m/>
    <m/>
    <m/>
    <m/>
    <m/>
    <m/>
    <m/>
    <m/>
    <m/>
    <m/>
    <m/>
    <m/>
    <m/>
    <m/>
    <m/>
    <m/>
    <m/>
    <m/>
    <m/>
    <n v="1"/>
    <s v="civil"/>
    <s v="NF"/>
    <n v="7"/>
    <n v="6"/>
    <s v="NF"/>
    <n v="62"/>
    <n v="15"/>
    <n v="20"/>
    <n v="27"/>
    <s v="NF"/>
    <n v="93"/>
    <n v="29"/>
    <n v="36"/>
    <n v="28"/>
    <n v="7"/>
    <n v="-1.5394941568374634"/>
    <n v="-2.5405453518033028E-2"/>
    <n v="-0.94329619407653809"/>
    <n v="-1.093110203742981"/>
    <n v="-0.88880389928817749"/>
    <n v="-0.51814579963684082"/>
    <n v="55"/>
    <n v="0.60528999999999999"/>
    <n v="0.35293999999999998"/>
    <n v="0.32283000000000001"/>
    <n v="0.60690999999999995"/>
    <n v="0.8861"/>
    <n v="38"/>
    <n v="6.89"/>
    <n v="7.39"/>
    <n v="4.99"/>
    <n v="9.69"/>
    <s v="-"/>
    <s v="-"/>
    <s v="-"/>
    <s v="-"/>
    <s v="-"/>
    <s v="-"/>
    <s v="-"/>
    <s v="-"/>
    <s v="-"/>
    <s v="-"/>
    <s v="-"/>
    <s v="-"/>
    <s v="-"/>
    <s v="-"/>
    <s v="-"/>
    <s v="-"/>
    <s v="-"/>
    <s v="-"/>
    <s v="-"/>
    <m/>
    <m/>
    <m/>
    <m/>
    <m/>
    <s v="IBRD"/>
    <s v=""/>
    <n v="0"/>
    <n v="10"/>
    <n v="40"/>
    <s v="C"/>
    <m/>
    <n v="6"/>
    <n v="0"/>
    <n v="0"/>
  </r>
  <r>
    <n v="17"/>
    <m/>
    <s v="Belgium"/>
    <x v="3"/>
    <x v="2"/>
    <s v="BEL"/>
    <s v="BE"/>
    <s v="http://www.brussels.be/artdet.cfm/4840"/>
    <s v="Municipality, Civil Status Dept"/>
    <n v="5"/>
    <n v="1796"/>
    <n v="2"/>
    <s v="15 d"/>
    <s v="free"/>
    <s v="http://www.belgium.be/nl/familie/identiteit/"/>
    <s v="City Administrations / Consulates (citizens registered abroad)"/>
    <n v="5"/>
    <n v="2000"/>
    <s v="BelPIC / Identiteitskaart / Carte d’Identité / Personalausweis (Identity Card)"/>
    <x v="1"/>
    <n v="2"/>
    <n v="12"/>
    <s v="various"/>
    <n v="1"/>
    <n v="1"/>
    <s v="http://en.wikipedia.org/wiki/Belgian_national_identity_card"/>
    <n v="1"/>
    <n v="1"/>
    <n v="1"/>
    <s v="http://eid.belgium.be"/>
    <n v="2001"/>
    <n v="3"/>
    <n v="4"/>
    <s v="C, E, F, H, R, T"/>
    <n v="1"/>
    <n v="1"/>
    <n v="10000"/>
    <n v="1"/>
    <s v="http://www.gemalto.com/govt/customer-cases/belgium"/>
    <s v="-"/>
    <n v="0"/>
    <n v="0"/>
    <s v="http://diplomatie.belgium.be/en/"/>
    <s v="Federal Public Service Foreign Affairs"/>
    <n v="2"/>
    <n v="3"/>
    <n v="2004"/>
    <n v="5"/>
    <n v="3500"/>
    <n v="1"/>
    <s v="http://economie.fgov.be/fr/entreprises/bce/#.VK6nazLGV8E"/>
    <n v="1988"/>
    <n v="1"/>
    <n v="2"/>
    <s v="http://business.belgium.be/en/managing_your_business/setting_up_your_business/main_steps/company_number/"/>
    <n v="1988"/>
    <n v="1"/>
    <s v="C"/>
    <n v="0"/>
    <s v="-"/>
    <n v="3"/>
    <n v="1"/>
    <n v="11299.191999999999"/>
    <n v="50.800897975713667"/>
    <n v="5559.1009999999997"/>
    <n v="5740.0910000000003"/>
    <n v="652.95100000000002"/>
    <n v="48.814535853379503"/>
    <n v="334.21600000000001"/>
    <n v="318.73500000000001"/>
    <n v="651.19000000000005"/>
    <n v="48.850258757044791"/>
    <n v="333.08199999999999"/>
    <n v="318.108"/>
    <n v="610.44399999999996"/>
    <n v="48.846741060605076"/>
    <n v="312.262"/>
    <n v="298.18200000000002"/>
    <n v="9384.6069999999982"/>
    <n v="51.201568696483527"/>
    <n v="4579.5409999999993"/>
    <n v="4805.0660000000007"/>
    <n v="2015"/>
    <s v="http://esa.un.org/unpd/wpp/Download/Standard/Population/"/>
    <n v="100"/>
    <n v="100"/>
    <n v="100"/>
    <s v="–"/>
    <s v="–"/>
    <n v="2010"/>
    <s v="UNSD "/>
    <n v="8001.8779999999997"/>
    <n v="70.818143456629471"/>
    <n v="3936.8521210789227"/>
    <n v="4065.025878921077"/>
    <n v="2014"/>
    <s v="http://www.electionguide.org/countries/id/22/"/>
    <n v="12"/>
    <n v="18"/>
    <s v="BE2014"/>
    <n v="8008.7759999999998"/>
    <n v="8206.7620000000006"/>
    <n v="10449.361000000001"/>
    <n v="1"/>
    <n v="4"/>
    <s v="CD"/>
    <x v="2"/>
    <n v="1382.7289999999985"/>
    <n v="12.237414852318631"/>
    <n v="53.52025748204634"/>
    <n v="642.68887892107659"/>
    <n v="740.04012107892368"/>
    <n v="11.561021807682152"/>
    <n v="12.892480643232373"/>
    <n v="1382.7289999999985"/>
    <n v="53.52025748204634"/>
    <n v="642.68887892107659"/>
    <n v="740.04012107892368"/>
    <n v="0"/>
    <n v="0"/>
    <n v="0"/>
    <n v="0"/>
    <n v="0"/>
    <n v="0"/>
    <n v="0"/>
    <n v="0"/>
    <n v="0"/>
    <n v="0"/>
    <n v="11195.138000000001"/>
    <n v="50.923266868170799"/>
    <n v="1901.5503958798249"/>
    <n v="48.838835452332852"/>
    <n v="655.39300000000003"/>
    <n v="48.812894605612037"/>
    <n v="96.840965872102842"/>
    <n v="9000"/>
    <n v="293.58760412017574"/>
    <n v="50.923266868170799"/>
    <n v="0"/>
    <n v="48.838835452332852"/>
    <n v="0"/>
    <n v="48.812894605612037"/>
    <n v="10920.208000000001"/>
    <n v="97.544200000000004"/>
    <n v="50.722248147654327"/>
    <n v="274.93"/>
    <n v="2.4557999999999964"/>
    <n v="562.37515003819146"/>
    <n v="5.8703794560185818"/>
    <n v="5.7303728768339059"/>
    <n v="5.3847461933827407"/>
    <n v="16.985502062411602"/>
    <n v="65.031506214250896"/>
    <n v="17.982991723337499"/>
    <n v="100"/>
    <n v="100"/>
    <n v="100"/>
    <n v="100"/>
    <n v="100"/>
    <n v="2010"/>
    <s v="-"/>
    <s v="-"/>
    <m/>
    <s v="-"/>
    <s v="-"/>
    <m/>
    <n v="15.2"/>
    <n v="2007"/>
    <s v="-"/>
    <s v="dut"/>
    <n v="0"/>
    <s v="-"/>
    <s v="-"/>
    <s v="-"/>
    <s v="-"/>
    <s v="-"/>
    <s v="-"/>
    <s v="-"/>
    <s v="-"/>
    <s v="-"/>
    <m/>
    <m/>
    <m/>
    <m/>
    <m/>
    <m/>
    <m/>
    <m/>
    <m/>
    <m/>
    <m/>
    <m/>
    <m/>
    <m/>
    <m/>
    <m/>
    <m/>
    <m/>
    <m/>
    <m/>
    <m/>
    <m/>
    <m/>
    <n v="2"/>
    <m/>
    <m/>
    <m/>
    <m/>
    <m/>
    <m/>
    <m/>
    <m/>
    <m/>
    <m/>
    <m/>
    <m/>
    <m/>
    <n v="1"/>
    <s v="civil"/>
    <s v="F"/>
    <n v="1"/>
    <n v="1"/>
    <s v="-"/>
    <s v="-"/>
    <s v="-"/>
    <s v="-"/>
    <s v="-"/>
    <s v="F"/>
    <n v="11"/>
    <n v="2"/>
    <n v="4"/>
    <n v="5"/>
    <n v="10"/>
    <n v="1.3732528686523438"/>
    <n v="0.9173169732093811"/>
    <n v="1.590151309967041"/>
    <n v="1.2914557456970215"/>
    <n v="1.4032244682312012"/>
    <n v="1.6297614574432373"/>
    <n v="25"/>
    <n v="0.75638000000000005"/>
    <n v="0.62744999999999995"/>
    <n v="0.67715999999999998"/>
    <n v="0.69879999999999998"/>
    <n v="0.89319999999999999"/>
    <n v="25"/>
    <n v="7.57"/>
    <n v="8.26"/>
    <n v="6.18"/>
    <n v="8.99"/>
    <s v="Law on Privacy Protection in relation to the Processing of Personal Data"/>
    <s v="http://www.legislationline.org/download/action/download/id/5514/file/Belgium_Privacy_Act_1992_as_of_2014_en.pdf   "/>
    <n v="1992"/>
    <n v="2011"/>
    <s v="Both"/>
    <s v="Privacy Commission"/>
    <s v="www.privacycommission.be "/>
    <s v="ICDPPC; EDPA; A29WP; GPEN; AFADP"/>
    <n v="92"/>
    <n v="59"/>
    <n v="1994"/>
    <s v="http://www.rti-rating.org/files/pdf/Belgium.pdf"/>
    <n v="2"/>
    <n v="17"/>
    <n v="14"/>
    <n v="15"/>
    <n v="11"/>
    <n v="0"/>
    <n v="0"/>
    <s v="EU"/>
    <s v="OECD"/>
    <m/>
    <m/>
    <m/>
    <s v=".."/>
    <s v="EMU"/>
    <n v="0"/>
    <n v="22"/>
    <n v="88"/>
    <s v="A"/>
    <m/>
    <n v="3"/>
    <n v="0"/>
    <n v="0"/>
  </r>
  <r>
    <n v="18"/>
    <m/>
    <s v="Belize"/>
    <x v="5"/>
    <x v="1"/>
    <s v="BLZ"/>
    <s v="BZ"/>
    <s v="http://www.belizejudiciary.org/web/supreme-court/general-registry/"/>
    <s v="General Registry, Vital Statistics Unit"/>
    <n v="1"/>
    <n v="2000"/>
    <n v="2"/>
    <s v="3 m"/>
    <s v="$ 4 - 15"/>
    <s v="http://www.elections.gov.bz/modules/article_publish/?tac=Requirements_For_Registration"/>
    <s v="Registration Office of Elections and Boundaries Department"/>
    <n v="0"/>
    <n v="1989"/>
    <s v="National Voting Card / Tarjeta nacional de votación (solo ciudadanos mayores de 18 años)"/>
    <x v="1"/>
    <n v="1"/>
    <n v="18"/>
    <s v="free"/>
    <n v="0"/>
    <n v="0"/>
    <m/>
    <n v="1"/>
    <n v="1"/>
    <m/>
    <s v="-"/>
    <s v="-"/>
    <n v="0"/>
    <n v="1"/>
    <s v="-"/>
    <s v="-"/>
    <s v="-"/>
    <s v="-"/>
    <n v="0"/>
    <s v="-"/>
    <s v="-"/>
    <n v="0"/>
    <n v="0"/>
    <s v="http://www.mfa.gov.bz/"/>
    <s v="Ministry of Foreign Affairs"/>
    <n v="2"/>
    <n v="3"/>
    <n v="2013"/>
    <n v="5"/>
    <s v="-"/>
    <n v="0"/>
    <s v="http://belizecompaniesregistry.gov.bz"/>
    <n v="2009"/>
    <n v="1"/>
    <n v="0"/>
    <s v="-"/>
    <s v="-"/>
    <n v="0"/>
    <s v="-"/>
    <n v="0"/>
    <s v="-"/>
    <n v="0"/>
    <n v="1"/>
    <n v="359.28699999999998"/>
    <n v="50.150158508379093"/>
    <n v="179.10400000000001"/>
    <n v="180.18299999999999"/>
    <n v="39.453000000000003"/>
    <n v="49.349859326286968"/>
    <n v="19.983000000000001"/>
    <n v="19.47"/>
    <n v="37.880000000000003"/>
    <n v="49.086589229144664"/>
    <n v="19.286000000000001"/>
    <n v="18.594000000000001"/>
    <n v="39.271000000000001"/>
    <n v="49.695704209212899"/>
    <n v="19.754999999999999"/>
    <n v="19.515999999999998"/>
    <n v="242.68299999999994"/>
    <n v="50.51981391362397"/>
    <n v="120.08000000000001"/>
    <n v="122.60300000000001"/>
    <n v="2015"/>
    <s v="http://esa.un.org/unpd/wpp/Download/Standard/Population/"/>
    <n v="95.2"/>
    <n v="95"/>
    <n v="95.4"/>
    <n v="94.6"/>
    <n v="95.6"/>
    <n v="2011"/>
    <s v="MICS"/>
    <n v="197.3"/>
    <n v="54.914316410000929"/>
    <n v="99.263000000000005"/>
    <n v="98.037000000000006"/>
    <n v="2015"/>
    <s v="http://www.elections.gov.bz/modules/wfdownloads/singlefile.php?cid=234&amp;lid=934"/>
    <n v="18"/>
    <n v="18"/>
    <s v="BZ2015"/>
    <n v="196.58699999999999"/>
    <n v="203.524"/>
    <n v="347.36900000000003"/>
    <n v="10"/>
    <n v="4"/>
    <s v="CD"/>
    <x v="1"/>
    <n v="50.979991999999918"/>
    <n v="14.18921141037664"/>
    <n v="53.383060554423082"/>
    <n v="23.768200000000007"/>
    <n v="27.214679999999998"/>
    <n v="13.270613721636595"/>
    <n v="15.103911023792477"/>
    <n v="45.382999999999925"/>
    <n v="54.130401251570071"/>
    <n v="20.817000000000007"/>
    <n v="24.566000000000003"/>
    <n v="3.703247999999995"/>
    <n v="47.338444522214004"/>
    <n v="1.9520500000000016"/>
    <n v="1.7530599999999974"/>
    <n v="1.8937439999999974"/>
    <n v="47.293615187691671"/>
    <n v="0.99915000000000087"/>
    <n v="0.89561999999999853"/>
    <n v="5.0000000000000044"/>
    <n v="4.5999999999999925"/>
    <n v="331.9"/>
    <n v="50.044591744501354"/>
    <n v="112.3790000000001"/>
    <n v="49.410179570357435"/>
    <n v="38.338999999999999"/>
    <n v="49.395349851308822"/>
    <n v="81.085636453915626"/>
    <n v="178"/>
    <n v="41.520999999999866"/>
    <n v="50.044591744501354"/>
    <n v="5.3941919999999977"/>
    <n v="49.410179570357435"/>
    <n v="1.8431097695951033"/>
    <n v="49.395349851308822"/>
    <n v="147.374"/>
    <n v="44.403199999999998"/>
    <n v="56.111287329263504"/>
    <n v="184.52600000000001"/>
    <n v="55.596800000000002"/>
    <n v="52.434102192304181"/>
    <n v="11.569183549231106"/>
    <n v="11.315793216712658"/>
    <n v="10.974318202420202"/>
    <n v="33.859294968363997"/>
    <n v="62.1651099728834"/>
    <n v="3.9755950587526399"/>
    <n v="95.2"/>
    <n v="95.4"/>
    <n v="95"/>
    <n v="94.6"/>
    <n v="95.6"/>
    <n v="2011"/>
    <n v="12.2"/>
    <n v="1999"/>
    <n v="43.505200000000002"/>
    <n v="33.5"/>
    <n v="2002"/>
    <n v="119.461"/>
    <n v="41"/>
    <n v="2013"/>
    <n v="70.298423767089801"/>
    <s v="eng "/>
    <n v="3"/>
    <s v="-"/>
    <s v="-"/>
    <s v="-"/>
    <s v="-"/>
    <s v="-"/>
    <s v="-"/>
    <s v="-"/>
    <s v="-"/>
    <s v="-"/>
    <m/>
    <m/>
    <m/>
    <m/>
    <m/>
    <m/>
    <n v="312900"/>
    <n v="2010"/>
    <n v="52"/>
    <n v="48"/>
    <s v="-"/>
    <s v="?"/>
    <s v="?"/>
    <s v="eng"/>
    <n v="6"/>
    <s v="?"/>
    <n v="1"/>
    <s v="3 m"/>
    <s v="-"/>
    <s v="National Voting Card / Tarjeta nacional de votación (solo ciudadanos mayores de 18 años)"/>
    <s v="-"/>
    <s v="-"/>
    <s v="http://www.elections.gov.bz"/>
    <m/>
    <m/>
    <m/>
    <m/>
    <m/>
    <m/>
    <m/>
    <m/>
    <m/>
    <m/>
    <m/>
    <m/>
    <m/>
    <m/>
    <n v="2"/>
    <s v="common"/>
    <s v="F"/>
    <n v="1"/>
    <n v="2"/>
    <s v="-"/>
    <s v="-"/>
    <s v="-"/>
    <s v="-"/>
    <s v="-"/>
    <s v="F"/>
    <n v="22"/>
    <n v="8"/>
    <n v="9"/>
    <n v="5"/>
    <m/>
    <n v="0.70198327302932739"/>
    <n v="0.17344166338443756"/>
    <n v="-0.18518771231174469"/>
    <n v="-0.49239137768745422"/>
    <n v="-0.44881483912467957"/>
    <n v="1.8382901325821877E-2"/>
    <n v="120"/>
    <n v="0.37737999999999999"/>
    <n v="0.29410999999999998"/>
    <n v="0.37795000000000001"/>
    <n v="0.15295"/>
    <n v="0.60119999999999996"/>
    <s v="-"/>
    <s v="-"/>
    <s v="-"/>
    <s v="-"/>
    <s v="-"/>
    <s v="-"/>
    <s v="-"/>
    <s v="-"/>
    <s v="-"/>
    <s v="-"/>
    <s v="-"/>
    <s v="-"/>
    <s v="-"/>
    <n v="51"/>
    <n v="83"/>
    <n v="1994"/>
    <s v="http://www.rti-rating.org/files/pdf/Belize.pdf"/>
    <n v="1"/>
    <n v="19"/>
    <n v="20"/>
    <n v="16"/>
    <n v="19"/>
    <n v="2"/>
    <n v="6"/>
    <m/>
    <m/>
    <m/>
    <m/>
    <m/>
    <s v="IBRD"/>
    <s v=""/>
    <n v="1"/>
    <n v="9"/>
    <n v="36"/>
    <s v="C"/>
    <m/>
    <n v="4"/>
    <n v="0"/>
    <n v="1"/>
  </r>
  <r>
    <n v="19"/>
    <m/>
    <s v="Benin"/>
    <x v="4"/>
    <x v="0"/>
    <s v="BEN"/>
    <s v="BJ"/>
    <s v="http://www.gouv.bj"/>
    <s v="Min of Interior &amp; Public security"/>
    <n v="2"/>
    <n v="1960"/>
    <n v="2"/>
    <s v="10 d"/>
    <s v="free"/>
    <s v="http://www.gouv.bj/demarches-administratives/demande-de-carte-didentit"/>
    <s v="Prefecture of Mayor"/>
    <n v="6"/>
    <n v="1992"/>
    <s v="Carte d'identitade"/>
    <x v="1"/>
    <n v="2"/>
    <n v="18"/>
    <s v="2400 F"/>
    <n v="0"/>
    <n v="0"/>
    <m/>
    <n v="1"/>
    <n v="1"/>
    <m/>
    <s v="-"/>
    <s v="-"/>
    <n v="0"/>
    <n v="1"/>
    <s v="-"/>
    <s v="-"/>
    <s v="-"/>
    <s v="-"/>
    <n v="0"/>
    <s v="-"/>
    <s v="-"/>
    <n v="0"/>
    <n v="0"/>
    <s v="http://www.gouv.bj/demarches-administratives/pas"/>
    <s v="Ministry of Interior &amp; Public Security"/>
    <n v="1"/>
    <n v="2"/>
    <n v="2007"/>
    <n v="5"/>
    <s v="-"/>
    <n v="0"/>
    <s v="http://www.ccibenin.org/index.php/repertoire-entreprises.html "/>
    <n v="1992"/>
    <n v="0"/>
    <n v="0"/>
    <s v="-"/>
    <s v="-"/>
    <n v="0"/>
    <s v="-"/>
    <n v="0"/>
    <s v="-"/>
    <n v="3"/>
    <n v="0"/>
    <n v="10879.829"/>
    <n v="50.128361392444674"/>
    <n v="5425.9489999999996"/>
    <n v="5453.88"/>
    <n v="1707.7329999999999"/>
    <n v="49.40344889979874"/>
    <n v="864.05399999999997"/>
    <n v="843.67899999999997"/>
    <n v="1523.6479999999999"/>
    <n v="49.478422837820808"/>
    <n v="769.77099999999996"/>
    <n v="753.87699999999995"/>
    <n v="1355.3810000000001"/>
    <n v="49.625677208106055"/>
    <n v="682.76400000000001"/>
    <n v="672.61699999999996"/>
    <n v="6293.0669999999991"/>
    <n v="50.590705613018272"/>
    <n v="3109.3599999999997"/>
    <n v="3183.7070000000003"/>
    <n v="2015"/>
    <s v="http://esa.un.org/unpd/wpp/Download/Standard/Population/"/>
    <n v="80.2"/>
    <n v="80.599999999999994"/>
    <n v="79.7"/>
    <n v="86.9"/>
    <n v="75.8"/>
    <s v="2011-2012"/>
    <s v="DHS (prelim)"/>
    <n v="4470"/>
    <n v="41.085204556064255"/>
    <n v="2229.2622457577231"/>
    <n v="2240.7377542422769"/>
    <n v="2015"/>
    <s v="http://www.electionguide.org/countries/id/24/"/>
    <n v="18"/>
    <n v="18"/>
    <s v="BJ2015"/>
    <n v="4470"/>
    <n v="5196.4620000000004"/>
    <n v="10448.647000000001"/>
    <n v="1"/>
    <n v="4"/>
    <s v="LH"/>
    <x v="0"/>
    <n v="2731.2458759999986"/>
    <n v="25.103757384422114"/>
    <n v="51.398315219194281"/>
    <n v="1329.5160202422769"/>
    <n v="1403.8143647577233"/>
    <n v="24.502921428901693"/>
    <n v="25.739736935131013"/>
    <n v="1823.0669999999991"/>
    <n v="51.724332992573721"/>
    <n v="880.09775424227655"/>
    <n v="942.96924575772346"/>
    <n v="570.04774199999986"/>
    <n v="50.798952555100207"/>
    <n v="281.79179000000011"/>
    <n v="289.57828199999994"/>
    <n v="338.13113399999992"/>
    <n v="50.651010740702752"/>
    <n v="167.62647600000005"/>
    <n v="171.26683699999995"/>
    <n v="19.400000000000006"/>
    <n v="20.299999999999997"/>
    <n v="10323.474"/>
    <n v="50.166339354368503"/>
    <n v="4414.3640000000041"/>
    <n v="49.4684720529633"/>
    <n v="1656.88"/>
    <n v="49.394733126004887"/>
    <n v="62.073645608221916"/>
    <n v="3668"/>
    <n v="2241.1099999999969"/>
    <n v="50.166339354368503"/>
    <n v="874.0440720000006"/>
    <n v="49.4684720529633"/>
    <n v="327.76108102007714"/>
    <n v="49.394733126004887"/>
    <n v="4770.4570000000003"/>
    <n v="46.209800000000001"/>
    <n v="43.375466962599177"/>
    <n v="5553.0169999999998"/>
    <n v="53.790199999999999"/>
    <n v="45.938829288655157"/>
    <n v="16.034902543958506"/>
    <n v="14.19428185097189"/>
    <n v="12.531266205322966"/>
    <n v="42.7604506002534"/>
    <n v="54.349001121134201"/>
    <n v="2.8905482786124099"/>
    <n v="80.2"/>
    <n v="79.7"/>
    <n v="80.599999999999994"/>
    <n v="86.9"/>
    <n v="75.8"/>
    <n v="2012"/>
    <n v="47.3"/>
    <n v="2003"/>
    <n v="4304.2631059999994"/>
    <n v="33.299999999999997"/>
    <n v="2007"/>
    <n v="3030.2740259999996"/>
    <n v="37.4"/>
    <n v="2007"/>
    <n v="28.702112197876001"/>
    <s v="fre"/>
    <n v="1"/>
    <n v="2"/>
    <s v="-"/>
    <s v="Underway"/>
    <s v="-"/>
    <s v="-"/>
    <s v="CR Minister"/>
    <n v="0.6"/>
    <s v="-"/>
    <s v="-"/>
    <m/>
    <m/>
    <m/>
    <m/>
    <m/>
    <m/>
    <m/>
    <m/>
    <m/>
    <m/>
    <m/>
    <m/>
    <m/>
    <m/>
    <m/>
    <m/>
    <m/>
    <m/>
    <m/>
    <m/>
    <m/>
    <m/>
    <m/>
    <m/>
    <m/>
    <n v="1"/>
    <s v="LEPI (Liste Electorale Permanente Informatisee)"/>
    <m/>
    <m/>
    <m/>
    <m/>
    <n v="1"/>
    <s v="e-Health card (insurance) + VaxTrac (vaccinations)"/>
    <m/>
    <m/>
    <m/>
    <m/>
    <n v="1"/>
    <s v="civil"/>
    <s v="F"/>
    <n v="2"/>
    <n v="2"/>
    <s v="-"/>
    <s v="-"/>
    <s v="-"/>
    <s v="-"/>
    <s v="-"/>
    <s v="PF"/>
    <n v="36"/>
    <n v="12"/>
    <n v="11"/>
    <n v="13"/>
    <n v="7"/>
    <n v="0.11524518579244614"/>
    <n v="0.28032535314559937"/>
    <n v="-0.55364251136779785"/>
    <n v="-0.42389330267906189"/>
    <n v="-0.63234573602676392"/>
    <n v="-0.825234055519104"/>
    <n v="180"/>
    <n v="0.16850000000000001"/>
    <n v="0.17646999999999999"/>
    <n v="0.11022999999999999"/>
    <n v="0.11964"/>
    <n v="0.27560000000000001"/>
    <n v="149"/>
    <n v="1.84"/>
    <n v="2.94"/>
    <n v="0.18"/>
    <n v="2.96"/>
    <s v="Loi Portant Protection des données à Caractère Personnel"/>
    <s v="http://www.afapdp.org/wp-content/uploads/2012/01/B%C3%A9nin-LOI-SUR-PROTECTION-DES-DONNEES-A-CARACTERE-PERSONNEL-20092.pdf "/>
    <n v="2009"/>
    <n v="2009"/>
    <s v="Both"/>
    <s v="Commission nationale de l’informatique et des libertés"/>
    <s v="http://cnilbenin.bj/ "/>
    <s v="AFAPDP"/>
    <s v="-"/>
    <s v="-"/>
    <s v="-"/>
    <s v="-"/>
    <s v="-"/>
    <s v="-"/>
    <s v="-"/>
    <s v="-"/>
    <s v="-"/>
    <s v="-"/>
    <s v="-"/>
    <m/>
    <m/>
    <m/>
    <m/>
    <m/>
    <s v="IDA"/>
    <s v="HIPC"/>
    <n v="0"/>
    <n v="10"/>
    <n v="40"/>
    <s v="C"/>
    <n v="1"/>
    <n v="4"/>
    <n v="0"/>
    <n v="0"/>
  </r>
  <r>
    <n v="20"/>
    <m/>
    <s v="Bhutan"/>
    <x v="0"/>
    <x v="3"/>
    <s v="BTN"/>
    <s v="BT"/>
    <s v="http://www.mohca.gov.bt"/>
    <s v="Min of Home &amp; Cultural Affairs, Dept of Civl Reg and Census (DCRC) "/>
    <n v="6"/>
    <n v="1958"/>
    <n v="2"/>
    <s v="30 d"/>
    <s v="free"/>
    <s v="https://www.citizenservices.gov.bt/web/guest/issuance-new-cid"/>
    <s v="Department of Civil Registration and Census"/>
    <n v="2"/>
    <n v="1985"/>
    <s v="Citizenship Identity Card"/>
    <x v="1"/>
    <n v="2"/>
    <n v="15"/>
    <s v="Nu. 100"/>
    <n v="1"/>
    <n v="1"/>
    <m/>
    <n v="1"/>
    <n v="1"/>
    <m/>
    <s v="https://www.citizenservices.gov.bt/web/guest/issuance-new-cid"/>
    <n v="2004"/>
    <n v="2"/>
    <s v="4B"/>
    <s v="C, E, F, H, T, O"/>
    <n v="0"/>
    <n v="0"/>
    <s v="-"/>
    <n v="6"/>
    <s v="http://findbiometrics.com/archive/new-citizenship-id-cards-in-bhutan/"/>
    <s v="-"/>
    <n v="0"/>
    <n v="0"/>
    <s v="http://www.mfa.gov.bt/passport/notifications"/>
    <s v="Ministry of Foreign Affairs"/>
    <n v="1"/>
    <n v="3"/>
    <n v="2006"/>
    <n v="5"/>
    <s v="-"/>
    <n v="0"/>
    <s v="http://www.moea.gov.bt/departments/department.php?id=2 "/>
    <n v="2000"/>
    <n v="0"/>
    <n v="0"/>
    <s v="-"/>
    <s v="-"/>
    <n v="0"/>
    <s v="-"/>
    <n v="0"/>
    <s v="-"/>
    <n v="0"/>
    <n v="0"/>
    <n v="774.83"/>
    <n v="46.274150458810311"/>
    <n v="416.28399999999999"/>
    <n v="358.54599999999999"/>
    <n v="65.933999999999997"/>
    <n v="49.184032517365857"/>
    <n v="33.505000000000003"/>
    <n v="32.429000000000002"/>
    <n v="71.519000000000005"/>
    <n v="49.282008976635581"/>
    <n v="36.273000000000003"/>
    <n v="35.246000000000002"/>
    <n v="70.706999999999994"/>
    <n v="49.364277935706518"/>
    <n v="35.802999999999997"/>
    <n v="34.904000000000003"/>
    <n v="566.67000000000007"/>
    <n v="45.17038135069793"/>
    <n v="310.70299999999997"/>
    <n v="255.96699999999998"/>
    <n v="2015"/>
    <s v="http://esa.un.org/unpd/wpp/Download/Standard/Population/"/>
    <n v="99.9"/>
    <n v="100"/>
    <n v="99.8"/>
    <n v="100"/>
    <n v="99.8"/>
    <n v="2010"/>
    <s v="MICS"/>
    <n v="381.79"/>
    <n v="49.274034304299008"/>
    <n v="205.11992096330812"/>
    <n v="176.6700790366919"/>
    <n v="2013"/>
    <s v="http://www.electionguide.org/countries/id/26/"/>
    <n v="15"/>
    <n v="18"/>
    <s v="BT2013"/>
    <n v="381.79"/>
    <n v="467.89600000000002"/>
    <n v="725.29600000000005"/>
    <n v="1"/>
    <n v="4"/>
    <s v="CD"/>
    <x v="1"/>
    <n v="185.08816000000004"/>
    <n v="23.887583082740736"/>
    <n v="42.953627592012403"/>
    <n v="105.58307903669186"/>
    <n v="79.50207896330808"/>
    <n v="25.36323256159061"/>
    <n v="22.173466992605714"/>
    <n v="184.88000000000005"/>
    <n v="42.891021723987485"/>
    <n v="105.58307903669186"/>
    <n v="79.296920963308082"/>
    <n v="0.14222599999998434"/>
    <n v="98.645817220491054"/>
    <n v="0"/>
    <n v="0.14030000000000015"/>
    <n v="6.5933999999992735E-2"/>
    <n v="98.368065034742642"/>
    <n v="0"/>
    <n v="6.4858000000000068E-2"/>
    <n v="0"/>
    <n v="0.20000000000000018"/>
    <n v="753.947"/>
    <n v="46.268902190737542"/>
    <n v="211.58600000000038"/>
    <n v="49.121397445955765"/>
    <n v="70.972999999999999"/>
    <n v="49.104548138781119"/>
    <n v="70.248413879316587"/>
    <n v="381"/>
    <n v="161.36099999999968"/>
    <n v="46.268902190737542"/>
    <n v="0.21158599999997707"/>
    <n v="49.121397445955765"/>
    <n v="7.0812177930488718E-2"/>
    <n v="49.104548138781119"/>
    <n v="279.82299999999998"/>
    <n v="37.114400000000003"/>
    <n v="47.460716238479321"/>
    <n v="474.12400000000002"/>
    <n v="62.885599999999997"/>
    <n v="47.419451451519009"/>
    <n v="9.3921957286780788"/>
    <n v="9.1740100198355048"/>
    <n v="9.4975706177296679"/>
    <n v="28.0637763662433"/>
    <n v="67.140926351587098"/>
    <n v="4.7952972821696997"/>
    <n v="99.9"/>
    <n v="99.8"/>
    <n v="100"/>
    <n v="100"/>
    <n v="99.8"/>
    <n v="2010"/>
    <n v="1.66"/>
    <n v="2012"/>
    <n v="75.303234000000003"/>
    <n v="23.2"/>
    <n v="2007"/>
    <n v="171.27794400000002"/>
    <n v="12"/>
    <n v="2012"/>
    <n v="52.814689636230497"/>
    <s v="eng"/>
    <n v="0"/>
    <s v="-"/>
    <s v="-"/>
    <s v="-"/>
    <s v="-"/>
    <s v="-"/>
    <s v="-"/>
    <s v="-"/>
    <s v="-"/>
    <s v="-"/>
    <m/>
    <m/>
    <m/>
    <m/>
    <m/>
    <m/>
    <m/>
    <m/>
    <m/>
    <m/>
    <m/>
    <m/>
    <m/>
    <m/>
    <m/>
    <m/>
    <m/>
    <m/>
    <m/>
    <m/>
    <m/>
    <m/>
    <m/>
    <m/>
    <m/>
    <m/>
    <m/>
    <m/>
    <m/>
    <m/>
    <m/>
    <m/>
    <m/>
    <m/>
    <m/>
    <m/>
    <m/>
    <n v="2"/>
    <s v="common"/>
    <s v="PF"/>
    <n v="3"/>
    <n v="4"/>
    <s v="-"/>
    <s v="-"/>
    <s v="-"/>
    <s v="-"/>
    <s v="-"/>
    <s v="PF"/>
    <n v="59"/>
    <n v="18"/>
    <n v="21"/>
    <n v="20"/>
    <n v="5"/>
    <n v="-0.1830267459154129"/>
    <n v="0.79980015754699707"/>
    <n v="0.35873487591743469"/>
    <n v="-1.0974836349487305"/>
    <n v="0.24319683015346527"/>
    <n v="0.82372254133224487"/>
    <n v="143"/>
    <n v="0.28284999999999999"/>
    <n v="0.35293999999999998"/>
    <n v="0.24409"/>
    <n v="0.17546"/>
    <n v="0.42899999999999999"/>
    <n v="123"/>
    <n v="2.85"/>
    <n v="3.18"/>
    <n v="1.67"/>
    <n v="4.54"/>
    <s v="-"/>
    <s v="-"/>
    <s v="-"/>
    <s v="-"/>
    <s v="-"/>
    <s v="-"/>
    <s v="-"/>
    <s v="-"/>
    <s v="-"/>
    <s v="-"/>
    <s v="-"/>
    <s v="-"/>
    <s v="-"/>
    <s v="-"/>
    <s v="-"/>
    <s v="-"/>
    <s v="-"/>
    <s v="-"/>
    <s v="-"/>
    <m/>
    <m/>
    <m/>
    <m/>
    <n v="22.9"/>
    <s v="IDA"/>
    <s v=""/>
    <n v="0"/>
    <n v="12"/>
    <n v="48"/>
    <s v="C"/>
    <m/>
    <n v="4"/>
    <n v="0"/>
    <n v="0"/>
  </r>
  <r>
    <n v="21"/>
    <m/>
    <s v="Bolivia"/>
    <x v="5"/>
    <x v="3"/>
    <s v="BOL"/>
    <s v="BO"/>
    <s v="http://sereci.oep.org.bo/sereci/"/>
    <s v="National Civil Registry"/>
    <n v="4"/>
    <n v="1940"/>
    <n v="1"/>
    <s v="0 -12 y"/>
    <s v="BOB 83 ($11.82)"/>
    <s v="https://www.segip.gob.bo/index.php/requisitos-para-obtener-la-cedula-de-identidad"/>
    <s v="Servicio General de Identificacion Personal"/>
    <n v="5"/>
    <n v="2011"/>
    <s v="Cédula de Identidad"/>
    <x v="1"/>
    <n v="2"/>
    <n v="18"/>
    <s v="BOB 17 ($2.45)"/>
    <n v="1"/>
    <n v="1"/>
    <s v="http://en.wikipedia.org/wiki/C%C3%A9dula_de_identidad"/>
    <n v="1"/>
    <n v="1"/>
    <m/>
    <s v="http://www.segip.gob.bo/web/"/>
    <n v="2012"/>
    <n v="2"/>
    <s v="4B"/>
    <s v="C, E, H, S, R, V"/>
    <n v="0"/>
    <n v="0"/>
    <s v="-"/>
    <n v="9"/>
    <s v="http://siteresources.worldbank.org/EXTABCDE/Resources/7455676-1315933592317/8143947-1335963402037/8622235-1336401589879/Yanez-Pagans-PPT.pdf"/>
    <s v="-"/>
    <n v="1"/>
    <n v="1"/>
    <s v="http://www.cancilleria.bo/"/>
    <s v="Ministry of Foreign Affairs"/>
    <n v="1"/>
    <n v="3"/>
    <n v="2010"/>
    <n v="5"/>
    <s v="-"/>
    <n v="0"/>
    <s v="http://www.fundempresa.org.bo/"/>
    <n v="2010"/>
    <n v="1"/>
    <n v="1"/>
    <s v="http://www.doingbusiness.org/data/exploreeconomies/bolivia/starting-a-business/"/>
    <n v="2004"/>
    <n v="0"/>
    <s v="-"/>
    <n v="0"/>
    <s v="-"/>
    <n v="0"/>
    <n v="0"/>
    <n v="10724.705"/>
    <n v="49.922025827283825"/>
    <n v="5370.7150000000001"/>
    <n v="5353.99"/>
    <n v="1185.5630000000001"/>
    <n v="48.992082242782537"/>
    <n v="604.73099999999999"/>
    <n v="580.83199999999999"/>
    <n v="1160.1179999999999"/>
    <n v="49.106384005764937"/>
    <n v="590.42600000000004"/>
    <n v="569.69200000000001"/>
    <n v="1133.9749999999999"/>
    <n v="49.175158182499615"/>
    <n v="576.34100000000001"/>
    <n v="557.63400000000001"/>
    <n v="7245.0489999999991"/>
    <n v="50.321702448113179"/>
    <n v="3599.2170000000001"/>
    <n v="3645.8319999999994"/>
    <n v="2015"/>
    <s v="http://esa.un.org/unpd/wpp/Download/Standard/Population/"/>
    <n v="75.8"/>
    <n v="76.2"/>
    <n v="75.400000000000006"/>
    <n v="79"/>
    <n v="71.900000000000006"/>
    <n v="2008"/>
    <s v="DHS"/>
    <n v="5973.9009999999998"/>
    <n v="55.702240760934686"/>
    <n v="2991.6085998836334"/>
    <n v="2982.2924001163665"/>
    <n v="2015"/>
    <s v="http://www.idea.int/vt/countryview.cfm?id=29"/>
    <n v="18"/>
    <n v="18"/>
    <s v="BO2014"/>
    <n v="5973.9009999999998"/>
    <n v="6060.98"/>
    <n v="10631.486000000001"/>
    <n v="1"/>
    <n v="5"/>
    <s v="LH"/>
    <x v="1"/>
    <n v="2113.2247519999992"/>
    <n v="19.704269273607053"/>
    <n v="51.284013537034014"/>
    <n v="1029.2249241163668"/>
    <n v="1083.7464678836329"/>
    <n v="19.163648119782316"/>
    <n v="20.241847068889427"/>
    <n v="1271.1479999999992"/>
    <n v="52.200027052997243"/>
    <n v="607.60840011636674"/>
    <n v="663.53959988363295"/>
    <n v="555.17050599999993"/>
    <n v="49.952616899284628"/>
    <n v="277.69054599999998"/>
    <n v="277.32219599999996"/>
    <n v="286.90624600000001"/>
    <n v="49.801868726134316"/>
    <n v="143.92597799999999"/>
    <n v="142.88467199999999"/>
    <n v="23.799999999999997"/>
    <n v="24.6"/>
    <n v="10671.2"/>
    <n v="50.057631756503483"/>
    <n v="3719.9679999999953"/>
    <n v="49.009229614399189"/>
    <n v="1278.7529999999999"/>
    <n v="48.998764497951321"/>
    <n v="39.41747304650454"/>
    <n v="2740"/>
    <n v="4211.2320000000054"/>
    <n v="50.057631756503483"/>
    <n v="900.23225599999887"/>
    <n v="49.009229614399189"/>
    <n v="311.04692746831012"/>
    <n v="48.998764497951321"/>
    <n v="7217.5940000000001"/>
    <n v="67.636200000000002"/>
    <n v="49.236940205567805"/>
    <n v="3453.6060000000002"/>
    <n v="32.363799999999998"/>
    <n v="48.368504048792474"/>
    <n v="12.044736131835736"/>
    <n v="11.585303307512227"/>
    <n v="11.229845109718683"/>
    <n v="34.859884549066599"/>
    <n v="60.236412024889397"/>
    <n v="4.9037034260439301"/>
    <n v="75.8"/>
    <n v="75.400000000000006"/>
    <n v="76.2"/>
    <n v="79"/>
    <n v="71.900000000000006"/>
    <n v="2008"/>
    <n v="15.61"/>
    <n v="2008"/>
    <n v="1573.744848"/>
    <n v="51.3"/>
    <n v="2009"/>
    <n v="5175.199404"/>
    <n v="45"/>
    <s v="-"/>
    <n v="94.460563659667997"/>
    <s v="spa"/>
    <n v="2"/>
    <n v="1"/>
    <s v="-"/>
    <s v="-"/>
    <s v="PAHO regional plan; also with other partners"/>
    <s v="-"/>
    <s v="PAHO RC commitment "/>
    <n v="0.74"/>
    <s v="-"/>
    <n v="1"/>
    <s v="-"/>
    <s v="-"/>
    <s v="P006160 (C)"/>
    <s v="-"/>
    <s v="-"/>
    <s v="-"/>
    <n v="8274325"/>
    <n v="2001"/>
    <n v="65"/>
    <n v="35"/>
    <n v="58.6"/>
    <s v="62 %"/>
    <n v="74"/>
    <s v="esp"/>
    <n v="10"/>
    <s v="10 - 30"/>
    <n v="2"/>
    <s v="12 y"/>
    <s v="BOB 83 ($11.82) El costo de inscripción solo se hace efective para los mayores de 18 años "/>
    <s v="Cédula de Identidad"/>
    <s v="BOB 17 ($2.45)"/>
    <s v="-"/>
    <s v="http://idbdocs.iadb.org/wsdocs/getdocument.aspx?docnum=1963774"/>
    <n v="1"/>
    <s v="RIU (Registro  Único de Identificación)"/>
    <n v="1"/>
    <s v="Biomertic Census"/>
    <m/>
    <m/>
    <m/>
    <m/>
    <m/>
    <m/>
    <n v="1"/>
    <s v="PRODEM FFP (smart card bank accounts)"/>
    <m/>
    <m/>
    <n v="1"/>
    <s v="civil"/>
    <s v="PF"/>
    <n v="3"/>
    <n v="3"/>
    <s v="-"/>
    <s v="-"/>
    <s v="-"/>
    <s v="-"/>
    <s v="-"/>
    <s v="PF"/>
    <n v="48"/>
    <n v="14"/>
    <n v="22"/>
    <n v="12"/>
    <n v="9"/>
    <n v="-0.10269919782876968"/>
    <n v="-0.34758844971656799"/>
    <n v="-0.39799454808235168"/>
    <n v="-0.78808808326721191"/>
    <n v="-1.0710729360580444"/>
    <n v="-0.58881908655166626"/>
    <n v="103"/>
    <n v="0.45617000000000002"/>
    <n v="0.41176000000000001"/>
    <n v="0.39369999999999999"/>
    <n v="0.23241999999999999"/>
    <n v="0.74239999999999995"/>
    <n v="107"/>
    <n v="3.78"/>
    <n v="4.1100000000000003"/>
    <n v="1.86"/>
    <n v="6.97"/>
    <s v="-"/>
    <s v="-"/>
    <s v="-"/>
    <s v="-"/>
    <s v="-"/>
    <s v="-"/>
    <s v="-"/>
    <s v="-"/>
    <s v="-"/>
    <s v="-"/>
    <s v="-"/>
    <s v="-"/>
    <s v="-"/>
    <s v="-"/>
    <s v="-"/>
    <s v="-"/>
    <s v="-"/>
    <s v="-"/>
    <s v="-"/>
    <m/>
    <m/>
    <m/>
    <m/>
    <m/>
    <s v="Blend"/>
    <s v="HIPC"/>
    <n v="0"/>
    <n v="13"/>
    <n v="52"/>
    <s v="B"/>
    <m/>
    <n v="5"/>
    <n v="0"/>
    <n v="0"/>
  </r>
  <r>
    <n v="22"/>
    <m/>
    <s v="Bosnia and Herzegovina"/>
    <x v="1"/>
    <x v="1"/>
    <s v="BIH"/>
    <s v="BA"/>
    <s v="http://www.centar.ba"/>
    <s v="Municipality"/>
    <n v="5"/>
    <n v="2002"/>
    <n v="2"/>
    <s v="15 d"/>
    <s v="KM 4"/>
    <s v="http://mup.ks.gov.ba/node/35"/>
    <s v="Ministry of Internal Affairs"/>
    <n v="2"/>
    <n v="2001"/>
    <s v="Lična Karta (Identity Card)"/>
    <x v="1"/>
    <n v="2"/>
    <n v="16"/>
    <s v="free"/>
    <n v="1"/>
    <n v="1"/>
    <s v="http://en.wikipedia.org/wiki/Bosnian-Herzegovinian_identity_card"/>
    <n v="1"/>
    <m/>
    <m/>
    <s v="http://www.muptk.ba/index.php?option=com_content&amp;view=category&amp;layout=blog&amp;id=65&amp;Itemid=87"/>
    <n v="2013"/>
    <n v="1"/>
    <s v="4B"/>
    <s v="C"/>
    <n v="1"/>
    <n v="0"/>
    <s v="-"/>
    <n v="5"/>
    <s v="http://www.trueb.ee/services-and-products/documents/id-cards"/>
    <s v="-"/>
    <n v="1"/>
    <n v="1"/>
    <s v="http://www.fmup.ba/"/>
    <s v="Ministry of Interior"/>
    <n v="2"/>
    <n v="2"/>
    <n v="2009"/>
    <n v="5"/>
    <n v="600"/>
    <n v="0"/>
    <s v="http://bizreg.pravosudje.ba/"/>
    <n v="2005"/>
    <n v="1"/>
    <n v="2"/>
    <s v="http://www.fipa.gov.ba/publikacije_materijali/zakoni/10%20FBiH%20Law%20on%20Registartion%20of%20Business%20Entities.pdf"/>
    <n v="2005"/>
    <n v="1"/>
    <s v="C"/>
    <n v="0"/>
    <s v="-"/>
    <n v="3"/>
    <n v="1"/>
    <n v="3810.4160000000002"/>
    <n v="50.22981742675865"/>
    <n v="1896.451"/>
    <n v="1913.9649999999999"/>
    <n v="172.49"/>
    <n v="48.46193982259841"/>
    <n v="88.897999999999996"/>
    <n v="83.591999999999999"/>
    <n v="175.952"/>
    <n v="48.477425661544054"/>
    <n v="90.655000000000001"/>
    <n v="85.296999999999997"/>
    <n v="165.89099999999999"/>
    <n v="48.493287761240815"/>
    <n v="85.444999999999993"/>
    <n v="80.445999999999998"/>
    <n v="3296.0830000000001"/>
    <n v="50.503279195335793"/>
    <n v="1631.4530000000002"/>
    <n v="1664.6299999999999"/>
    <n v="2015"/>
    <s v="http://esa.un.org/unpd/wpp/Download/Standard/Population/"/>
    <n v="99.5"/>
    <n v="99.7"/>
    <n v="99.4"/>
    <n v="99.1"/>
    <n v="99.8"/>
    <n v="2006"/>
    <s v="MICS"/>
    <n v="3014.585"/>
    <n v="79.114327674458636"/>
    <n v="1500.3644583255477"/>
    <n v="1514.2205416744523"/>
    <n v="2014"/>
    <s v="http://www.electionguide.org/countries/id/28/"/>
    <n v="16"/>
    <n v="18"/>
    <s v="BA2014"/>
    <n v="3278.9079999999999"/>
    <n v="3014.585"/>
    <n v="3871.643"/>
    <n v="1"/>
    <n v="4"/>
    <s v="CD"/>
    <x v="1"/>
    <n v="284.0696650000001"/>
    <n v="7.4550827258756014"/>
    <n v="53.474723647647316"/>
    <n v="131.88353567445247"/>
    <n v="151.90546832554756"/>
    <n v="6.9542284864967492"/>
    <n v="7.9366899773792925"/>
    <n v="281.49800000000005"/>
    <n v="53.43180353876317"/>
    <n v="131.08854167445247"/>
    <n v="150.40945832554758"/>
    <n v="1.7092150000000015"/>
    <n v="58.182147945108234"/>
    <n v="0.52830000000000044"/>
    <n v="0.99445799999998252"/>
    <n v="0.86245000000000083"/>
    <n v="58.154327787117012"/>
    <n v="0.26669400000000021"/>
    <n v="0.50155199999999112"/>
    <n v="0.30000000000000027"/>
    <n v="0.59999999999998932"/>
    <n v="3829.3069999999998"/>
    <n v="51.179077571999322"/>
    <n v="601.64600000000019"/>
    <n v="48.922929731113896"/>
    <n v="161.61199999999999"/>
    <n v="48.455032865784744"/>
    <n v="85.602956357377451"/>
    <n v="3278"/>
    <n v="464.68776280590748"/>
    <n v="51.179077571999322"/>
    <n v="3.0082300000000037"/>
    <n v="48.922929731113896"/>
    <n v="0.82169957028473872"/>
    <n v="48.455032865784744"/>
    <n v="1889.8779999999999"/>
    <n v="49.353000000000002"/>
    <n v="46.841647979393379"/>
    <n v="1939.4290000000001"/>
    <n v="50.646999999999998"/>
    <n v="67.44191202668415"/>
    <n v="4.2916359032312537"/>
    <n v="4.8698603294905514"/>
    <n v="6.5501194721563891"/>
    <n v="15.7116157048782"/>
    <n v="68.712171680150007"/>
    <n v="15.5762126149718"/>
    <n v="99.5"/>
    <n v="99.4"/>
    <n v="99.7"/>
    <n v="99.1"/>
    <n v="99.8"/>
    <n v="2006"/>
    <n v="0.04"/>
    <n v="2007"/>
    <n v="2"/>
    <n v="14"/>
    <n v="2007"/>
    <n v="525.31191999999999"/>
    <n v="18.600000000000001"/>
    <n v="2007"/>
    <n v="98.153381347656307"/>
    <s v="hrv"/>
    <n v="0"/>
    <s v="-"/>
    <s v="-"/>
    <s v="-"/>
    <s v="-"/>
    <s v="-"/>
    <s v="-"/>
    <s v="-"/>
    <s v="-"/>
    <s v="-"/>
    <m/>
    <m/>
    <m/>
    <m/>
    <m/>
    <m/>
    <m/>
    <m/>
    <m/>
    <m/>
    <m/>
    <m/>
    <m/>
    <m/>
    <m/>
    <m/>
    <m/>
    <m/>
    <m/>
    <m/>
    <m/>
    <m/>
    <m/>
    <m/>
    <m/>
    <m/>
    <m/>
    <m/>
    <m/>
    <m/>
    <m/>
    <m/>
    <m/>
    <m/>
    <m/>
    <m/>
    <m/>
    <n v="1"/>
    <s v="civil"/>
    <s v="PF"/>
    <n v="3"/>
    <n v="3"/>
    <s v="-"/>
    <s v="-"/>
    <s v="-"/>
    <s v="-"/>
    <s v="-"/>
    <s v="PF"/>
    <n v="50"/>
    <n v="10"/>
    <n v="23"/>
    <n v="17"/>
    <n v="-6"/>
    <n v="-0.16004045307636261"/>
    <n v="-0.36593383550643921"/>
    <n v="-0.45276486873626709"/>
    <n v="-8.300231397151947E-2"/>
    <n v="-0.16539673507213593"/>
    <n v="-0.22317834198474884"/>
    <n v="97"/>
    <n v="0.47069"/>
    <n v="0.23529"/>
    <n v="0.28345999999999999"/>
    <n v="0.39979999999999999"/>
    <n v="0.7288"/>
    <n v="69"/>
    <n v="5.23"/>
    <n v="5.63"/>
    <n v="3.71"/>
    <n v="7.5"/>
    <s v="Law on the protection of personal data"/>
    <s v="http://www.coe.int/t/dghl/standardsetting/dataprotection/National%20laws/BiH_DP_LAW.pdf "/>
    <n v="2001"/>
    <n v="2001"/>
    <s v="Both"/>
    <s v="Personal Data Protection Agency"/>
    <s v="http://www.azlp.gov.ba"/>
    <s v="ICDPPC; EDPA; CEEDPA"/>
    <n v="24"/>
    <n v="102"/>
    <n v="2000"/>
    <s v="http://www.rti-rating.org/files/pdf/Bosnia%20and%20Herzegovina.pdf"/>
    <n v="4"/>
    <n v="30"/>
    <n v="21"/>
    <n v="19"/>
    <n v="16"/>
    <n v="0"/>
    <n v="12"/>
    <m/>
    <m/>
    <m/>
    <n v="1"/>
    <m/>
    <s v="IBRD"/>
    <s v=""/>
    <n v="0"/>
    <n v="20"/>
    <n v="80"/>
    <s v="A"/>
    <m/>
    <n v="4"/>
    <n v="0"/>
    <n v="0"/>
  </r>
  <r>
    <n v="23"/>
    <m/>
    <s v="Botswana"/>
    <x v="4"/>
    <x v="1"/>
    <s v="BWA"/>
    <s v="BW"/>
    <s v="http://www.gov.bw/en/Ministries--Authorities/Ministries/Ministry-of-Labour--Home-Affairs-MLHA/Tools--Services/Services--Forms/Birth-registration/"/>
    <s v="Min of Labor and Home Affairs"/>
    <n v="2"/>
    <n v="1966"/>
    <n v="2"/>
    <s v="60 d"/>
    <s v="free"/>
    <s v="http://unstats.un.org/unsd/demographic/CRVS/Technical%20report%20SADC%20final%20v2.pdf"/>
    <s v="Department of Civil and National Registration (under the Ministry of Labour and Home Affairs)"/>
    <n v="2"/>
    <n v="1999"/>
    <s v="Omang (National ID Card)"/>
    <x v="1"/>
    <n v="2"/>
    <n v="16"/>
    <s v="free"/>
    <n v="1"/>
    <n v="1"/>
    <m/>
    <n v="1"/>
    <n v="1"/>
    <m/>
    <s v="http://www.gov.bw/en/Ministries--Authorities/Ministries/Ministry-of-Labour--Home-Affairs-MLHA/Department--Units/Civil-and-National-Registration/"/>
    <n v="1999"/>
    <n v="1"/>
    <s v="4B"/>
    <s v="C"/>
    <n v="0"/>
    <n v="0"/>
    <s v="-"/>
    <n v="10"/>
    <s v="http://nip-global.com/advanced-technological-systems-and-solution-provider"/>
    <s v="-"/>
    <n v="1"/>
    <n v="1"/>
    <s v="http://www.gov.bw/en/Ministries--Authorities/Ministries/Ministry-of-Labour--Home-Affairs-MLHA/"/>
    <s v="Deprtment of Immigration and Citizenship"/>
    <n v="2"/>
    <n v="2"/>
    <n v="2010"/>
    <n v="5"/>
    <n v="120"/>
    <n v="0"/>
    <s v="http://www.mti.gov.bw/businessregistration"/>
    <n v="2010"/>
    <n v="1"/>
    <n v="0"/>
    <s v="-"/>
    <s v="-"/>
    <n v="0"/>
    <s v="-"/>
    <n v="0"/>
    <s v="-"/>
    <n v="0"/>
    <n v="1"/>
    <n v="2262.4850000000001"/>
    <n v="50.036840023248772"/>
    <n v="1130.4090000000001"/>
    <n v="1132.076"/>
    <n v="266.262"/>
    <n v="49.492980598057557"/>
    <n v="134.48099999999999"/>
    <n v="131.78100000000001"/>
    <n v="236.661"/>
    <n v="49.564989584257653"/>
    <n v="119.36"/>
    <n v="117.301"/>
    <n v="221.029"/>
    <n v="49.575395083903018"/>
    <n v="111.453"/>
    <n v="109.57599999999999"/>
    <n v="1538.5330000000001"/>
    <n v="50.269834966165817"/>
    <n v="765.11500000000012"/>
    <n v="773.41800000000001"/>
    <n v="2015"/>
    <s v="http://esa.un.org/unpd/wpp/Download/Standard/Population/"/>
    <n v="72.2"/>
    <n v="71.8"/>
    <n v="72.7"/>
    <n v="77.5"/>
    <n v="66.900000000000006"/>
    <s v="2007-2008"/>
    <s v="BFHS"/>
    <n v="824.07299999999998"/>
    <n v="36.42335750292267"/>
    <n v="411.73291131521313"/>
    <n v="412.34008868478685"/>
    <n v="2014"/>
    <s v="http://www.electionguide.org/countries/id/29/"/>
    <n v="16"/>
    <n v="18"/>
    <s v="BW2014"/>
    <n v="824.07299999999998"/>
    <n v="1267.7190000000001"/>
    <n v="2155.7840000000001"/>
    <n v="1"/>
    <n v="4"/>
    <s v="CD"/>
    <x v="0"/>
    <n v="915.71865600000012"/>
    <n v="40.474021087432625"/>
    <n v="50.123642486455267"/>
    <n v="456.39499668478697"/>
    <n v="458.99154531521322"/>
    <n v="40.374324398053005"/>
    <n v="40.544234248867852"/>
    <n v="714.46000000000015"/>
    <n v="50.538576171543973"/>
    <n v="353.38208868478699"/>
    <n v="361.07791131521316"/>
    <n v="127.23782"/>
    <n v="48.678467612852842"/>
    <n v="65.089266000000009"/>
    <n v="61.937421000000001"/>
    <n v="74.020836000000003"/>
    <n v="48.602819076509753"/>
    <n v="37.923642000000001"/>
    <n v="35.976213000000001"/>
    <n v="28.200000000000003"/>
    <n v="27.3"/>
    <n v="2021.144"/>
    <n v="49.702544697458464"/>
    <n v="677.36199999999951"/>
    <n v="49.574427599133735"/>
    <n v="231.55199999999999"/>
    <n v="49.526283260687592"/>
    <n v="61.319469973552245"/>
    <n v="824"/>
    <n v="519.78200000000038"/>
    <n v="49.702544697458464"/>
    <n v="188.30663599999988"/>
    <n v="49.574427599133735"/>
    <n v="64.103153948959573"/>
    <n v="49.526283260687592"/>
    <n v="1271.106"/>
    <n v="62.8904"/>
    <n v="41.484109114424761"/>
    <n v="750.03800000000001"/>
    <n v="37.1096"/>
    <n v="56.701660449203906"/>
    <n v="11.408731129918879"/>
    <n v="11.167432286530557"/>
    <n v="10.937628772528688"/>
    <n v="33.513792188978101"/>
    <n v="62.854996972011897"/>
    <n v="3.6312108390099902"/>
    <n v="72.2"/>
    <n v="72.7"/>
    <n v="71.8"/>
    <n v="77.5"/>
    <n v="66.900000000000006"/>
    <n v="2008"/>
    <n v="31.2"/>
    <n v="1994"/>
    <n v="633.59025599999995"/>
    <n v="30.6"/>
    <n v="2003"/>
    <n v="621.40582800000004"/>
    <n v="30.3"/>
    <n v="2003"/>
    <n v="86.728813171386705"/>
    <s v="eng"/>
    <n v="1"/>
    <n v="1"/>
    <s v="-"/>
    <s v="Underway"/>
    <s v="Plan"/>
    <s v="-"/>
    <s v="CR Minister"/>
    <n v="0.72"/>
    <s v="-"/>
    <s v="-"/>
    <m/>
    <m/>
    <m/>
    <m/>
    <m/>
    <m/>
    <m/>
    <m/>
    <m/>
    <m/>
    <m/>
    <m/>
    <m/>
    <m/>
    <m/>
    <m/>
    <m/>
    <m/>
    <m/>
    <m/>
    <m/>
    <m/>
    <m/>
    <n v="1"/>
    <s v="Omang (ID)"/>
    <m/>
    <m/>
    <n v="1"/>
    <s v="SmartSwitch (banking, transfers)"/>
    <m/>
    <m/>
    <m/>
    <m/>
    <m/>
    <m/>
    <m/>
    <m/>
    <n v="2"/>
    <s v="civil + common"/>
    <s v="F"/>
    <n v="3"/>
    <n v="2"/>
    <s v="-"/>
    <s v="-"/>
    <s v="-"/>
    <s v="-"/>
    <s v="-"/>
    <s v="PF"/>
    <n v="41"/>
    <n v="11"/>
    <n v="17"/>
    <n v="13"/>
    <n v="8"/>
    <n v="0.4713079035282135"/>
    <n v="1.0563554763793945"/>
    <n v="0.27771461009979248"/>
    <n v="0.65586107969284058"/>
    <n v="0.59308719635009766"/>
    <n v="0.92223060131072998"/>
    <n v="112"/>
    <n v="0.41983999999999999"/>
    <n v="0.31372"/>
    <n v="0.30708000000000002"/>
    <n v="0.29693999999999998"/>
    <n v="0.65549999999999997"/>
    <n v="104"/>
    <n v="4.01"/>
    <n v="4.0599999999999996"/>
    <n v="3.03"/>
    <n v="5.86"/>
    <s v="-"/>
    <s v="-"/>
    <s v="-"/>
    <s v="-"/>
    <s v="-"/>
    <s v="-"/>
    <s v="-"/>
    <s v="-"/>
    <s v="-"/>
    <s v="-"/>
    <n v="1966"/>
    <s v="http://www.humanrightsinitiative.org/programs/ai/rti/international/laws_&amp;_papers.htm#12 "/>
    <s v="-"/>
    <s v="-"/>
    <s v="-"/>
    <s v="-"/>
    <s v="-"/>
    <s v="-"/>
    <s v="-"/>
    <m/>
    <m/>
    <m/>
    <m/>
    <m/>
    <s v="IBRD"/>
    <s v=""/>
    <n v="0"/>
    <n v="14"/>
    <n v="56.000000000000007"/>
    <s v="B"/>
    <n v="1"/>
    <n v="4"/>
    <n v="0"/>
    <n v="0"/>
  </r>
  <r>
    <n v="24"/>
    <m/>
    <s v="Brazil"/>
    <x v="5"/>
    <x v="1"/>
    <s v="BRA"/>
    <s v="BR"/>
    <s v="http://portal.mj.gov.br/data/Pages/MJ01CEB978PTBRIE.htm"/>
    <s v="Registro Civil de Brasil"/>
    <n v="1"/>
    <n v="1850"/>
    <n v="2"/>
    <s v="15 d"/>
    <s v="free"/>
    <s v="http://justica.gov.br/"/>
    <s v="Ministry of Justice, Federal Police"/>
    <n v="1"/>
    <n v="1997"/>
    <s v="Carteria de Identidade / Civil Identity Registry (RIC)"/>
    <x v="1"/>
    <n v="2"/>
    <n v="18"/>
    <s v="R$ 12.85 ($5.95) Varia segun el estado."/>
    <n v="1"/>
    <n v="1"/>
    <s v="http://en.wikipedia.org/wiki/Brazilian_Identity_Card"/>
    <n v="1"/>
    <n v="1"/>
    <n v="1"/>
    <s v="http://www.dnt.adv.br/noticias/especificacoes-da-nova-identidade-o-ric-preveem-dois-chips-e-certificado-digital/"/>
    <n v="2012"/>
    <n v="2"/>
    <s v="4B"/>
    <s v="C, H, R, S, V"/>
    <n v="1"/>
    <n v="1"/>
    <s v="-"/>
    <n v="4"/>
    <s v="https://www.gi-de.com/en/products_and_solutions/products/national_id_cards/National-ID-cards-for-secure-identification-6530.jsp"/>
    <s v="-"/>
    <n v="1"/>
    <n v="1"/>
    <s v="http://www.dpf.gov.br/"/>
    <s v="Federal Police Department"/>
    <n v="2"/>
    <n v="2"/>
    <n v="2010"/>
    <n v="5"/>
    <n v="2200"/>
    <n v="0"/>
    <s v="http://www.facil.dnrc.gov.br"/>
    <n v="2008"/>
    <n v="1"/>
    <n v="2"/>
    <s v="http://thebrazilbusiness.com/article/company-register-in-brazil"/>
    <n v="2008"/>
    <n v="2"/>
    <s v="C, P, R"/>
    <n v="0"/>
    <s v="-"/>
    <n v="1"/>
    <n v="1"/>
    <n v="207847.52799999999"/>
    <n v="50.828985562917062"/>
    <n v="102200.738"/>
    <n v="105646.79"/>
    <n v="15032.203"/>
    <n v="48.968763926351976"/>
    <n v="7671.1189999999997"/>
    <n v="7361.0839999999998"/>
    <n v="15407.519"/>
    <n v="49.015750037368115"/>
    <n v="7855.4080000000004"/>
    <n v="7552.1109999999999"/>
    <n v="17422.670999999998"/>
    <n v="49.046389041037401"/>
    <n v="8877.48"/>
    <n v="8545.1910000000007"/>
    <n v="159985.13499999998"/>
    <n v="51.372525328681306"/>
    <n v="77796.731"/>
    <n v="82188.40399999998"/>
    <n v="2015"/>
    <s v="http://esa.un.org/unpd/wpp/Download/Standard/Population/"/>
    <n v="92.8"/>
    <n v="92.8"/>
    <n v="92.8"/>
    <s v="–"/>
    <s v="–"/>
    <n v="2011"/>
    <s v="IBGE"/>
    <n v="142822.046"/>
    <n v="68.714815795163091"/>
    <n v="70227.04885799723"/>
    <n v="72594.997142002772"/>
    <n v="2014"/>
    <s v="http://www.electionguide.org/countries/id/31/"/>
    <n v="18"/>
    <n v="18"/>
    <s v="BR2014"/>
    <n v="140488.492"/>
    <n v="150803.26800000001"/>
    <n v="202656.788"/>
    <n v="1"/>
    <n v="4"/>
    <s v="CD"/>
    <x v="1"/>
    <n v="20609.181295999981"/>
    <n v="9.9155287023668528"/>
    <n v="54.744584406111294"/>
    <n v="9326.7706460027712"/>
    <n v="11282.410649997211"/>
    <n v="9.1259327755566417"/>
    <n v="10.679369103403154"/>
    <n v="17163.088999999978"/>
    <n v="55.895572516096728"/>
    <n v="7569.68214200277"/>
    <n v="9593.4068579972081"/>
    <n v="2363.7736800000021"/>
    <n v="49.032009866528334"/>
    <n v="1204.7679360000011"/>
    <n v="1159.005744000001"/>
    <n v="1082.3186160000009"/>
    <n v="48.968763926351983"/>
    <n v="552.32056800000043"/>
    <n v="529.99804800000049"/>
    <n v="7.2000000000000064"/>
    <n v="7.2000000000000064"/>
    <n v="200361.92499999999"/>
    <n v="50.825922140646227"/>
    <n v="48256.432000000001"/>
    <n v="49.012406189718611"/>
    <n v="14636.329"/>
    <n v="48.952127922205854"/>
    <n v="93.896674724298094"/>
    <n v="142822"/>
    <n v="9283.4929999999986"/>
    <n v="50.825922140646227"/>
    <n v="3474.4631040000031"/>
    <n v="49.012406189718611"/>
    <n v="1066.7983117833721"/>
    <n v="48.952127922205854"/>
    <n v="170587.34099999999"/>
    <n v="85.139600000000002"/>
    <n v="48.781829010395327"/>
    <n v="29774.583999999999"/>
    <n v="14.860399999999998"/>
    <n v="66.242809639254745"/>
    <n v="7.394939542137803"/>
    <n v="7.9604117578945779"/>
    <n v="8.7292805480595135"/>
    <n v="24.084631848091899"/>
    <n v="68.389688809388304"/>
    <n v="7.5256793425197896"/>
    <n v="92.8"/>
    <n v="92.8"/>
    <n v="92.8"/>
    <n v="92.8"/>
    <n v="92.8"/>
    <n v="2011"/>
    <n v="6.14"/>
    <n v="2009"/>
    <n v="11995.955854"/>
    <n v="21.4"/>
    <n v="2009"/>
    <n v="42084.172995999994"/>
    <n v="21.4"/>
    <s v="-"/>
    <n v="91.333740234375"/>
    <s v="por"/>
    <n v="3"/>
    <n v="1"/>
    <s v="-"/>
    <s v="-"/>
    <s v="PAHO regional plan; also other partners"/>
    <s v="-"/>
    <s v="PAHO RC commitment"/>
    <n v="0.91"/>
    <n v="0.94"/>
    <n v="1"/>
    <s v="-"/>
    <s v="P101504 (A)"/>
    <s v="-"/>
    <s v="-"/>
    <s v="-"/>
    <s v="-"/>
    <n v="189953000"/>
    <n v="2008"/>
    <n v="87"/>
    <n v="13"/>
    <n v="24.1"/>
    <s v="0.2 %"/>
    <n v="79"/>
    <s v="por"/>
    <n v="8.9"/>
    <s v="?"/>
    <n v="1"/>
    <s v="15 d"/>
    <s v="-"/>
    <s v="Carteria de Identidade"/>
    <s v="R$ 12.85 ($5.95) Varia segun el estado."/>
    <s v="-"/>
    <s v="http://idbdocs.iadb.org/wsdocs/getdocument.aspx?docnum=1964014"/>
    <n v="1"/>
    <s v="RIC (Registro de Identidade Civil)"/>
    <n v="1"/>
    <s v="Cadastro Biométrico (voter_x000a_ID, authentication)"/>
    <m/>
    <m/>
    <m/>
    <m/>
    <m/>
    <m/>
    <m/>
    <m/>
    <m/>
    <m/>
    <n v="1"/>
    <s v="civil"/>
    <s v="F"/>
    <n v="2"/>
    <n v="2"/>
    <s v="F"/>
    <n v="30"/>
    <n v="7"/>
    <n v="7"/>
    <n v="16"/>
    <s v="PF"/>
    <n v="45"/>
    <n v="13"/>
    <n v="21"/>
    <n v="11"/>
    <n v="8"/>
    <n v="0.36718088388442993"/>
    <n v="-0.27828651666641235"/>
    <n v="-7.9037651419639587E-2"/>
    <n v="6.5406553447246552E-2"/>
    <n v="-0.11938825249671936"/>
    <n v="-0.11527151614427567"/>
    <n v="57"/>
    <n v="0.60082000000000002"/>
    <n v="0.70587999999999995"/>
    <n v="0.59841999999999995"/>
    <n v="0.46681"/>
    <n v="0.73719999999999997"/>
    <n v="65"/>
    <n v="5.5"/>
    <n v="6.14"/>
    <n v="4.01"/>
    <n v="7.22"/>
    <s v="Protection of Personal Data Bill"/>
    <s v="http://www.right2info.org/resources/publications/laws_brazil-ati-bill-2011 "/>
    <n v="2011"/>
    <s v="-"/>
    <s v="Both"/>
    <s v="Ministério da Justiça, Acesso à Informação"/>
    <s v="http://portal.mj.gov.br"/>
    <s v="RedIPD"/>
    <n v="18"/>
    <n v="108"/>
    <n v="2011"/>
    <s v="http://www.rti-rating.org/files/pdf/Brazil.pdf"/>
    <n v="6"/>
    <n v="29"/>
    <n v="19"/>
    <n v="16"/>
    <n v="22"/>
    <n v="3"/>
    <n v="13"/>
    <m/>
    <m/>
    <m/>
    <m/>
    <m/>
    <s v="IBRD"/>
    <s v=""/>
    <n v="0"/>
    <n v="20"/>
    <n v="80"/>
    <s v="A"/>
    <m/>
    <n v="3"/>
    <n v="1"/>
    <n v="0"/>
  </r>
  <r>
    <n v="25"/>
    <m/>
    <s v="Brunei Darussalam"/>
    <x v="3"/>
    <x v="2"/>
    <s v="BRN"/>
    <s v="BN"/>
    <s v="http://www.imigresen.gov.bn"/>
    <s v="JIPK (Dept of Immigration and Registration)"/>
    <n v="2"/>
    <n v="2009"/>
    <n v="2"/>
    <s v="14 d"/>
    <s v="free"/>
    <s v="http://imigresen.gov.bn/IM%20WSS/KPP1.html"/>
    <s v="Immigration and National Registration Department"/>
    <n v="2"/>
    <n v="1965"/>
    <s v="National Registration Identity card"/>
    <x v="1"/>
    <n v="2"/>
    <n v="12"/>
    <s v="various"/>
    <n v="1"/>
    <n v="1"/>
    <m/>
    <n v="1"/>
    <n v="1"/>
    <m/>
    <s v="http://imigresen.gov.bn/IM%20WSS/KPP1.html"/>
    <n v="2000"/>
    <n v="2"/>
    <s v="4B"/>
    <s v="C, E, R, T, S, O"/>
    <n v="1"/>
    <n v="1"/>
    <s v="-"/>
    <n v="9"/>
    <s v="http://www.baliprocess.net/files/ConferenceDocumentation/2004/IdentityManagementWorkshop/BALI%20II%20Matrix.pdf"/>
    <s v="-"/>
    <n v="1"/>
    <n v="1"/>
    <s v="http://www.immigration.gov.bn/"/>
    <s v="Department of Immigration and National Registration"/>
    <n v="2"/>
    <n v="2"/>
    <n v="2007"/>
    <n v="10"/>
    <n v="80"/>
    <n v="0"/>
    <s v="http://www.eregistry.agc.gov.bn/WorkAreaBusiness/WorkFunctionSearch/WebViewSearch/DoRcbNumberSearch.aspx "/>
    <n v="2005"/>
    <n v="1"/>
    <n v="0"/>
    <s v="-"/>
    <s v="-"/>
    <n v="0"/>
    <s v="-"/>
    <n v="1"/>
    <s v="http://www.eregistry.agc.gov.bn/WorkAreaSecurity/WorkFunctionSecurity/WebViewSecurity/loginPage.aspx?ReturnUrl=%2fWorkAreaTrademark%2fWorkFunctionFiling%2fWebViewFiling%2fDoTrademarkFiling.aspx "/>
    <n v="0"/>
    <n v="0"/>
    <n v="423.18799999999999"/>
    <n v="48.479871830014091"/>
    <n v="218.02699999999999"/>
    <n v="205.161"/>
    <n v="33.783000000000001"/>
    <n v="48.696089749282187"/>
    <n v="17.332000000000001"/>
    <n v="16.451000000000001"/>
    <n v="30.36"/>
    <n v="48.32674571805007"/>
    <n v="15.688000000000001"/>
    <n v="14.672000000000001"/>
    <n v="33.648000000000003"/>
    <n v="48.674512601046125"/>
    <n v="17.27"/>
    <n v="16.378"/>
    <n v="325.39699999999993"/>
    <n v="48.451583757686784"/>
    <n v="167.73699999999999"/>
    <n v="157.66000000000003"/>
    <n v="2015"/>
    <s v="http://esa.un.org/unpd/wpp/Download/Standard/Population/"/>
    <n v="90"/>
    <n v="90"/>
    <n v="90"/>
    <s v="–"/>
    <s v="–"/>
    <n v="2014"/>
    <s v="http://www.depd.gov.bn/SitePages/Vital%20Statistics.aspx"/>
    <n v="393.37200000000001"/>
    <n v="92.954431600139898"/>
    <n v="203.14400000000001"/>
    <n v="190.22800000000001"/>
    <n v="2012"/>
    <s v="http://www.depd.gov.bn/SitePages/Population.aspx"/>
    <n v="12"/>
    <n v="18"/>
    <s v="BN2014"/>
    <s v="-"/>
    <s v="-"/>
    <s v="-"/>
    <n v="20"/>
    <n v="3"/>
    <s v="CD"/>
    <x v="2"/>
    <n v="29.815999999999978"/>
    <n v="7.0455683998601044"/>
    <n v="50.083847598604791"/>
    <n v="14.882999999999981"/>
    <n v="14.932999999999993"/>
    <n v="6.8262187710696294"/>
    <n v="7.278673822022701"/>
    <n v="20.036899999999978"/>
    <n v="50.820735742555016"/>
    <n v="9.8539999999999814"/>
    <n v="10.182899999999993"/>
    <n v="6.4007999999999985"/>
    <n v="48.5095613048369"/>
    <n v="3.2957999999999994"/>
    <n v="3.1049999999999995"/>
    <n v="3.3782999999999994"/>
    <n v="48.696089749282187"/>
    <n v="1.7331999999999996"/>
    <n v="1.6450999999999998"/>
    <n v="9.9999999999999982"/>
    <n v="9.9999999999999982"/>
    <n v="417.78399999999999"/>
    <n v="49.343440629607642"/>
    <n v="105.78200000000001"/>
    <n v="48.696848462040151"/>
    <n v="32.826999999999998"/>
    <n v="48.692568984044392"/>
    <n v="97.179403711008561"/>
    <n v="406"/>
    <n v="8.8003168335790711"/>
    <n v="49.343440629607642"/>
    <n v="17.982940000000006"/>
    <n v="48.696848462040151"/>
    <n v="5.6691057314160505"/>
    <n v="48.692568984044392"/>
    <n v="320.38900000000001"/>
    <n v="76.687799999999996"/>
    <n v="37.034042991488469"/>
    <n v="97.394999999999996"/>
    <n v="23.312200000000004"/>
    <n v="46.426407926484927"/>
    <n v="7.9820387504154269"/>
    <n v="8.6486447796788823"/>
    <n v="8.6890989412305846"/>
    <n v="25.319782471324899"/>
    <n v="70.398339811960298"/>
    <n v="4.2818777167148596"/>
    <n v="83"/>
    <n v="83"/>
    <n v="83"/>
    <n v="83"/>
    <n v="83"/>
    <n v="2003"/>
    <s v="-"/>
    <s v="-"/>
    <m/>
    <s v="-"/>
    <s v="-"/>
    <m/>
    <s v="-"/>
    <s v="-"/>
    <n v="95.394851684570298"/>
    <s v="eng"/>
    <n v="0"/>
    <s v="-"/>
    <s v="-"/>
    <s v="-"/>
    <s v="-"/>
    <s v="-"/>
    <s v="-"/>
    <s v="-"/>
    <s v="-"/>
    <s v="-"/>
    <m/>
    <m/>
    <m/>
    <m/>
    <m/>
    <m/>
    <m/>
    <m/>
    <m/>
    <m/>
    <m/>
    <m/>
    <m/>
    <m/>
    <m/>
    <m/>
    <m/>
    <m/>
    <m/>
    <m/>
    <m/>
    <m/>
    <m/>
    <m/>
    <m/>
    <m/>
    <m/>
    <m/>
    <m/>
    <m/>
    <m/>
    <m/>
    <m/>
    <m/>
    <m/>
    <m/>
    <m/>
    <n v="3"/>
    <s v="common + religious"/>
    <s v="NF"/>
    <n v="6"/>
    <n v="5"/>
    <s v="-"/>
    <s v="-"/>
    <s v="-"/>
    <s v="-"/>
    <s v="-"/>
    <s v="NF"/>
    <n v="75"/>
    <n v="28"/>
    <n v="25"/>
    <n v="22"/>
    <m/>
    <n v="-0.49512064456939697"/>
    <n v="1.0825595855712891"/>
    <n v="0.85853230953216553"/>
    <n v="1.0973128080368042"/>
    <n v="0.61238980293273926"/>
    <n v="0.72216993570327759"/>
    <n v="86"/>
    <n v="0.50424000000000002"/>
    <n v="5.8819999999999997E-2"/>
    <n v="0.36220000000000002"/>
    <n v="0.36897999999999997"/>
    <n v="0.78149999999999997"/>
    <n v="66"/>
    <n v="5.43"/>
    <n v="7.24"/>
    <n v="2.68"/>
    <n v="7.32"/>
    <s v="-"/>
    <s v="-"/>
    <s v="-"/>
    <s v="-"/>
    <s v="-"/>
    <s v="-"/>
    <s v="-"/>
    <s v="-"/>
    <s v="-"/>
    <s v="-"/>
    <s v="-"/>
    <s v="-"/>
    <s v="-"/>
    <s v="-"/>
    <s v="-"/>
    <s v="-"/>
    <s v="-"/>
    <s v="-"/>
    <s v="-"/>
    <s v="PAC"/>
    <m/>
    <s v="APEC"/>
    <m/>
    <n v="45.3"/>
    <s v=".."/>
    <s v=""/>
    <n v="1"/>
    <n v="15"/>
    <n v="60"/>
    <s v="B"/>
    <m/>
    <n v="3"/>
    <n v="0"/>
    <n v="0"/>
  </r>
  <r>
    <n v="26"/>
    <m/>
    <s v="Bulgaria"/>
    <x v="1"/>
    <x v="1"/>
    <s v="BGR"/>
    <s v="BG"/>
    <s v="http://www.mh.government.bg"/>
    <s v="Town Hall, Min of Health"/>
    <n v="3"/>
    <n v="2000"/>
    <n v="2"/>
    <s v="7 d"/>
    <s v="free"/>
    <s v="http://www.mvr.bg/en/CSCA/default.htm"/>
    <s v="Ministry of Interior"/>
    <n v="2"/>
    <n v="1999"/>
    <s v="Identity Card / Лична карта"/>
    <x v="1"/>
    <n v="2"/>
    <n v="14"/>
    <s v="free"/>
    <n v="1"/>
    <n v="1"/>
    <s v="http://en.wikipedia.org/wiki/Bulgarian_identity_card"/>
    <n v="1"/>
    <n v="1"/>
    <n v="1"/>
    <s v="http://psc.egov.bg/en/psc-electronic-identification"/>
    <n v="2013"/>
    <n v="2"/>
    <n v="4"/>
    <s v="C, R, S"/>
    <n v="0"/>
    <n v="0"/>
    <s v="-"/>
    <n v="4"/>
    <s v="https://www.gi-de.com/en/products_and_solutions/products/national_id_cards/National-ID-cards-for-secure-identification-6530.jsp"/>
    <s v="-"/>
    <n v="0"/>
    <n v="0"/>
    <s v="http://www.mvr.bg/"/>
    <s v="Ministry of Interior Affairs"/>
    <n v="2"/>
    <n v="2"/>
    <n v="2010"/>
    <n v="5"/>
    <n v="750"/>
    <n v="1"/>
    <s v="https://public.brra.bg/CheckUps/Default.ra?"/>
    <n v="2008"/>
    <n v="1"/>
    <n v="0"/>
    <s v="-"/>
    <s v="-"/>
    <n v="0"/>
    <s v="-"/>
    <n v="0"/>
    <s v="-"/>
    <n v="3"/>
    <n v="1"/>
    <n v="7149.7870000000003"/>
    <n v="51.419447880055728"/>
    <n v="3473.4059999999999"/>
    <n v="3676.3809999999999"/>
    <n v="337.02600000000001"/>
    <n v="48.626515461715115"/>
    <n v="173.142"/>
    <n v="163.88399999999999"/>
    <n v="357.291"/>
    <n v="48.749058890372268"/>
    <n v="183.11500000000001"/>
    <n v="174.17599999999999"/>
    <n v="316.95"/>
    <n v="48.448335699637163"/>
    <n v="163.393"/>
    <n v="153.55699999999999"/>
    <n v="6138.52"/>
    <n v="51.881626190026253"/>
    <n v="2953.7560000000003"/>
    <n v="3184.7640000000001"/>
    <n v="2015"/>
    <s v="http://esa.un.org/unpd/wpp/Download/Standard/Population/"/>
    <n v="100"/>
    <n v="100"/>
    <n v="100"/>
    <s v="–"/>
    <s v="–"/>
    <n v="2012"/>
    <s v="Vital registration"/>
    <n v="5750.9759999999997"/>
    <n v="80.435626963432611"/>
    <n v="2793.8558930854865"/>
    <n v="2957.1201069145136"/>
    <n v="2014"/>
    <s v="http://www.electionguide.org/countries/id/34/"/>
    <n v="14"/>
    <n v="18"/>
    <s v="BG2014"/>
    <n v="6858.3040000000001"/>
    <n v="5750.9759999999997"/>
    <n v="6924.7160000000003"/>
    <n v="1"/>
    <n v="4"/>
    <s v="CD"/>
    <x v="1"/>
    <n v="387.54400000000078"/>
    <n v="5.4203572777762572"/>
    <n v="58.740141270536007"/>
    <n v="159.9001069145138"/>
    <n v="227.64389308548652"/>
    <n v="4.60355359881666"/>
    <n v="6.1920647801597966"/>
    <n v="387.54400000000078"/>
    <n v="58.740141270536007"/>
    <n v="159.9001069145138"/>
    <n v="227.64389308548652"/>
    <n v="0"/>
    <n v="0"/>
    <n v="0"/>
    <n v="0"/>
    <n v="0"/>
    <n v="0"/>
    <n v="0"/>
    <n v="0"/>
    <n v="0"/>
    <n v="0"/>
    <n v="7265.1149999999998"/>
    <n v="51.403563467336724"/>
    <n v="994.21313456717019"/>
    <n v="48.540640368319558"/>
    <n v="344.07400000000001"/>
    <n v="48.563658935738452"/>
    <n v="94.396303430847269"/>
    <n v="6858"/>
    <n v="351.40231268819383"/>
    <n v="51.403563467336724"/>
    <n v="0"/>
    <n v="48.540640368319558"/>
    <n v="0"/>
    <n v="48.563658935738452"/>
    <n v="5390.4830000000002"/>
    <n v="74.196799999999996"/>
    <n v="57.178902150326792"/>
    <n v="1874.6320000000001"/>
    <n v="25.803200000000004"/>
    <n v="141.65446871706021"/>
    <n v="4.7543916588818336"/>
    <n v="4.5798644615551911"/>
    <n v="4.35049628885037"/>
    <n v="13.6847542615247"/>
    <n v="67.002854653567098"/>
    <n v="19.312391084908199"/>
    <n v="100"/>
    <n v="100"/>
    <n v="100"/>
    <n v="100"/>
    <n v="100"/>
    <n v="2012"/>
    <n v="0"/>
    <n v="2007"/>
    <n v="0"/>
    <n v="10.6"/>
    <n v="2007"/>
    <n v="792.4559999999999"/>
    <n v="21.8"/>
    <n v="2008"/>
    <n v="98.352447509765597"/>
    <s v="bul"/>
    <n v="0"/>
    <s v="-"/>
    <s v="-"/>
    <s v="-"/>
    <s v="-"/>
    <s v="-"/>
    <s v="-"/>
    <s v="-"/>
    <s v="-"/>
    <s v="-"/>
    <m/>
    <m/>
    <m/>
    <m/>
    <m/>
    <m/>
    <m/>
    <m/>
    <m/>
    <m/>
    <m/>
    <m/>
    <m/>
    <m/>
    <m/>
    <m/>
    <m/>
    <m/>
    <m/>
    <m/>
    <m/>
    <m/>
    <m/>
    <m/>
    <m/>
    <m/>
    <m/>
    <m/>
    <m/>
    <m/>
    <m/>
    <m/>
    <m/>
    <m/>
    <m/>
    <m/>
    <m/>
    <n v="1"/>
    <s v="civil"/>
    <s v="F"/>
    <n v="2"/>
    <n v="2"/>
    <s v="-"/>
    <s v="-"/>
    <s v="-"/>
    <s v="-"/>
    <s v="-"/>
    <s v="PF"/>
    <n v="39"/>
    <n v="11"/>
    <n v="16"/>
    <n v="12"/>
    <n v="9"/>
    <n v="0.31791785359382629"/>
    <n v="0.17550905048847198"/>
    <n v="0.15302065014839172"/>
    <n v="0.51947492361068726"/>
    <n v="-0.13734309375286102"/>
    <n v="-0.29260116815567017"/>
    <n v="73"/>
    <n v="0.54208999999999996"/>
    <n v="0.25490000000000002"/>
    <n v="0.23622000000000001"/>
    <n v="0.59406000000000003"/>
    <n v="0.79600000000000004"/>
    <n v="49"/>
    <n v="6.31"/>
    <n v="6.77"/>
    <n v="4.7699999999999996"/>
    <n v="8.4600000000000009"/>
    <s v="Law for Protection of Personal Data"/>
    <s v="http://store.aip-bg.org/laws/PDPA.pdf"/>
    <n v="2002"/>
    <n v="2007"/>
    <s v="Both"/>
    <s v="Commission for Personal Data Protection"/>
    <s v="www.cpdp.bg "/>
    <s v="ICDPPC; EDPA; A29WP; CEEDPA; GPEN"/>
    <n v="41"/>
    <n v="91"/>
    <n v="2000"/>
    <s v="http://www.rti-rating.org/files/pdf/Bulgaria.pdf"/>
    <n v="5"/>
    <n v="30"/>
    <n v="21"/>
    <n v="20"/>
    <n v="3"/>
    <n v="4"/>
    <n v="8"/>
    <s v="EU"/>
    <m/>
    <m/>
    <m/>
    <m/>
    <s v="IBRD"/>
    <s v=""/>
    <n v="0"/>
    <n v="18"/>
    <n v="72"/>
    <s v="B"/>
    <m/>
    <n v="4"/>
    <n v="0"/>
    <n v="0"/>
  </r>
  <r>
    <n v="27"/>
    <m/>
    <s v="Burkina Faso"/>
    <x v="4"/>
    <x v="0"/>
    <s v="BFA"/>
    <s v="BF"/>
    <s v="http://www.fonction-publuqie.gov.bf"/>
    <s v="Min of Civil Service and State Reform"/>
    <n v="6"/>
    <n v="1990"/>
    <n v="1"/>
    <s v="0 - 18 y"/>
    <s v="free"/>
    <s v="http://www.matds.gov.bf/index.php/le-ministere/les-services-centraux/dgmec"/>
    <s v="National Identification Office"/>
    <n v="1"/>
    <n v="1989"/>
    <s v="ID Card"/>
    <x v="1"/>
    <n v="2"/>
    <n v="0"/>
    <s v="500 F"/>
    <n v="0"/>
    <n v="0"/>
    <m/>
    <n v="1"/>
    <m/>
    <m/>
    <s v="-"/>
    <s v="-"/>
    <n v="0"/>
    <n v="1"/>
    <s v="-"/>
    <s v="-"/>
    <s v="-"/>
    <s v="-"/>
    <n v="0"/>
    <s v="-"/>
    <s v="-"/>
    <n v="0"/>
    <n v="0"/>
    <s v="http://www.oni.bf/"/>
    <s v="Office National d'Identification, Min of Territorial Administration and Security"/>
    <n v="1"/>
    <n v="6"/>
    <n v="2007"/>
    <n v="5"/>
    <s v="-"/>
    <n v="0"/>
    <s v="http://www.me.bf/Fr/creation-d-entreprise_7_219"/>
    <n v="2014"/>
    <n v="1"/>
    <n v="1"/>
    <s v="http://www.doingbusiness.org/data/exploreeconomies/burkina-faso/starting-a-business/ "/>
    <n v="2005"/>
    <n v="0"/>
    <s v="-"/>
    <n v="0"/>
    <s v="-"/>
    <n v="3"/>
    <n v="0"/>
    <n v="18105.57"/>
    <n v="50.378944159173123"/>
    <n v="8984.1749999999993"/>
    <n v="9121.3950000000004"/>
    <n v="3143.9119999999998"/>
    <n v="49.457841059164508"/>
    <n v="1589.001"/>
    <n v="1554.9110000000001"/>
    <n v="2756.9749999999999"/>
    <n v="49.696134350148256"/>
    <n v="1386.865"/>
    <n v="1370.11"/>
    <n v="2350.1950000000002"/>
    <n v="49.323311469899302"/>
    <n v="1191.001"/>
    <n v="1159.194"/>
    <n v="9854.4879999999994"/>
    <n v="51.115593220063793"/>
    <n v="4817.3079999999991"/>
    <n v="5037.18"/>
    <n v="2015"/>
    <s v="http://esa.un.org/unpd/wpp/Download/Standard/Population/"/>
    <n v="76.900000000000006"/>
    <n v="77"/>
    <n v="76.7"/>
    <n v="92.9"/>
    <n v="73.599999999999994"/>
    <n v="2010"/>
    <s v="DHS/MICS"/>
    <n v="5517.0150000000003"/>
    <n v="30.471368755581846"/>
    <n v="2737.6010938967952"/>
    <n v="2779.4139061032056"/>
    <n v="2015"/>
    <s v="http://www.electionguide.org/countries/id/35/"/>
    <n v="0"/>
    <n v="18"/>
    <s v="BF2015"/>
    <n v="5517.0150000000003"/>
    <n v="9100.0310000000009"/>
    <n v="18931.686000000002"/>
    <n v="1"/>
    <n v="4"/>
    <s v="LH"/>
    <x v="0"/>
    <n v="6243.4729419999985"/>
    <n v="34.483713807408428"/>
    <n v="51.403893613555361"/>
    <n v="3038.0863161032039"/>
    <n v="3209.3881888967944"/>
    <n v="33.815974378317478"/>
    <n v="35.18527800733105"/>
    <n v="4337.472999999999"/>
    <n v="52.052568255682409"/>
    <n v="2079.7069061032039"/>
    <n v="2257.7660938967947"/>
    <n v="1179.7562699999999"/>
    <n v="49.953354517878509"/>
    <n v="592.90917999999999"/>
    <n v="589.32783199999994"/>
    <n v="726.24367199999995"/>
    <n v="49.886047475261172"/>
    <n v="365.47022999999996"/>
    <n v="362.294263"/>
    <n v="23"/>
    <n v="23.299999999999997"/>
    <n v="16934.839"/>
    <n v="50.286949878885764"/>
    <n v="7712.0860000000075"/>
    <n v="49.037094349803446"/>
    <n v="2983.038"/>
    <n v="49.120286005883109"/>
    <n v="47.328601340619272"/>
    <n v="4365"/>
    <n v="4857.7529999999915"/>
    <n v="50.286949878885764"/>
    <n v="1781.4918660000017"/>
    <n v="49.037094349803446"/>
    <n v="687.54658976291807"/>
    <n v="49.120286005883109"/>
    <n v="4774.4390000000003"/>
    <n v="28.193000000000001"/>
    <n v="35.447180286521615"/>
    <n v="12160.4"/>
    <n v="71.807000000000002"/>
    <n v="47.141080885497189"/>
    <n v="17.575556304230801"/>
    <n v="14.996600437870846"/>
    <n v="12.96760894448091"/>
    <n v="45.539765686582598"/>
    <n v="52.0142884145518"/>
    <n v="2.4459458988656499"/>
    <n v="76.900000000000006"/>
    <n v="76.7"/>
    <n v="77"/>
    <n v="92.9"/>
    <n v="73.599999999999994"/>
    <n v="2010"/>
    <n v="44.6"/>
    <n v="2009"/>
    <n v="7567.6588700000011"/>
    <n v="46.7"/>
    <n v="2009"/>
    <n v="7923.983615000001"/>
    <n v="46.7"/>
    <n v="2009"/>
    <n v="28.729213714599599"/>
    <s v="fre"/>
    <n v="1"/>
    <n v="1"/>
    <s v="-"/>
    <s v="Completed"/>
    <s v="Committee"/>
    <s v="-"/>
    <s v="CR Minister"/>
    <n v="0.64"/>
    <s v="-"/>
    <n v="2"/>
    <s v="-"/>
    <s v="P124015 (A)"/>
    <s v="P000301 (C)"/>
    <s v="-"/>
    <s v="P000301 (C)"/>
    <s v="-"/>
    <m/>
    <m/>
    <m/>
    <m/>
    <m/>
    <m/>
    <m/>
    <m/>
    <m/>
    <m/>
    <m/>
    <m/>
    <m/>
    <m/>
    <m/>
    <m/>
    <m/>
    <m/>
    <m/>
    <m/>
    <m/>
    <m/>
    <m/>
    <m/>
    <m/>
    <m/>
    <m/>
    <m/>
    <m/>
    <m/>
    <m/>
    <n v="1"/>
    <s v="civil"/>
    <s v="PF"/>
    <n v="5"/>
    <n v="3"/>
    <s v="-"/>
    <s v="-"/>
    <s v="-"/>
    <s v="-"/>
    <s v="-"/>
    <s v="PF"/>
    <n v="44"/>
    <n v="14"/>
    <n v="17"/>
    <n v="13"/>
    <n v="5"/>
    <n v="-0.29411286115646362"/>
    <n v="-0.75272607803344727"/>
    <n v="-0.61724656820297241"/>
    <n v="-0.16716399788856506"/>
    <n v="-0.52660852670669556"/>
    <n v="-0.57933026552200317"/>
    <n v="178"/>
    <n v="0.18043000000000001"/>
    <n v="0.13725000000000001"/>
    <n v="0.29920999999999998"/>
    <n v="8.4229999999999999E-2"/>
    <n v="0.1578"/>
    <n v="156"/>
    <n v="1.56"/>
    <n v="2.46"/>
    <n v="0.45"/>
    <n v="164"/>
    <s v="Loi Portant Protection des données à Caractère Personnel"/>
    <s v="http://www.afapdp.org/wp-content/uploads/2012/01/Burkina-Faso-Loi-portant-protection-des-donn%C3%A9es-%C3%A0-caract%C3%A8re-personnel-20042.pdf "/>
    <n v="2004"/>
    <n v="2004"/>
    <s v="Both"/>
    <s v="Commission for Informatics and Liberties"/>
    <s v="http://www.cil.bf"/>
    <s v="ICDPPC; AFAPDP"/>
    <s v="-"/>
    <s v="-"/>
    <s v="-"/>
    <s v="-"/>
    <s v="-"/>
    <s v="-"/>
    <s v="-"/>
    <s v="-"/>
    <s v="-"/>
    <s v="-"/>
    <s v="-"/>
    <m/>
    <m/>
    <m/>
    <m/>
    <m/>
    <s v="IDA"/>
    <s v="HIPC"/>
    <n v="0"/>
    <n v="11"/>
    <n v="44"/>
    <s v="C"/>
    <n v="1"/>
    <n v="4"/>
    <n v="0"/>
    <n v="0"/>
  </r>
  <r>
    <n v="28"/>
    <m/>
    <s v="Burundi"/>
    <x v="4"/>
    <x v="0"/>
    <s v="BDI"/>
    <s v="BI"/>
    <s v="http://www.burundi-gov.bi"/>
    <s v="Vital Statistics Records, Officier de l'Etat"/>
    <n v="6"/>
    <n v="1980"/>
    <n v="2"/>
    <s v="6 m"/>
    <s v="free"/>
    <s v="http://www.burundi-gov.bi/Composition-du-Gouvernement-de-la"/>
    <s v="Ministry of Interior"/>
    <n v="2"/>
    <n v="1980"/>
    <s v="ID Card"/>
    <x v="1"/>
    <n v="1"/>
    <n v="16"/>
    <s v="6000 F"/>
    <n v="1"/>
    <n v="1"/>
    <m/>
    <n v="1"/>
    <n v="1"/>
    <m/>
    <s v="http://burundi-gov.bi/Burundi-TIC-Projet-de-carte-d"/>
    <n v="2015"/>
    <n v="2"/>
    <s v="4B"/>
    <s v="C, S, V"/>
    <n v="0"/>
    <n v="0"/>
    <s v="-"/>
    <n v="10"/>
    <s v="http://www.iwacu-burundi.org/blogs/english/the-new-national-biometric-identity-card-soon-in-place/"/>
    <n v="3"/>
    <n v="0"/>
    <n v="0"/>
    <s v="http://www.burundi-gov.bi/"/>
    <s v="Minister of Interior and Public Security"/>
    <n v="2"/>
    <n v="2"/>
    <n v="2012"/>
    <n v="5"/>
    <s v="-"/>
    <n v="0"/>
    <s v="http://www.investburundi.com/en/"/>
    <n v="2009"/>
    <n v="1"/>
    <n v="1"/>
    <s v="http://www.investburundi.com/official-launch-of-doing-business-report-by-the-2nd-vice-president-of-burundi"/>
    <n v="2012"/>
    <n v="0"/>
    <s v="-"/>
    <n v="0"/>
    <s v="-"/>
    <n v="0"/>
    <n v="0"/>
    <n v="11178.921"/>
    <n v="50.583495491201703"/>
    <n v="5524.232"/>
    <n v="5654.6890000000003"/>
    <n v="2061.8969999999999"/>
    <n v="49.690697449969612"/>
    <n v="1037.326"/>
    <n v="1024.5709999999999"/>
    <n v="1651.675"/>
    <n v="50.036962477484984"/>
    <n v="825.22699999999998"/>
    <n v="826.44799999999998"/>
    <n v="1294.732"/>
    <n v="50.419469048420837"/>
    <n v="641.93499999999995"/>
    <n v="652.79700000000003"/>
    <n v="6170.6170000000011"/>
    <n v="51.062527458761423"/>
    <n v="3019.7440000000001"/>
    <n v="3150.8730000000005"/>
    <n v="2015"/>
    <s v="http://esa.un.org/unpd/wpp/Download/Standard/Population/"/>
    <n v="75.2"/>
    <n v="75.400000000000006"/>
    <n v="74.900000000000006"/>
    <n v="86.6"/>
    <n v="74.099999999999994"/>
    <n v="2010"/>
    <s v="DHS"/>
    <n v="3843.0239999999999"/>
    <n v="34.377414421302376"/>
    <n v="1899.0881282342007"/>
    <n v="1943.9358717657992"/>
    <n v="2015"/>
    <s v="http://www.electionguide.org/countries/id/36/"/>
    <n v="16"/>
    <n v="18"/>
    <s v="BI2015"/>
    <n v="3843.0239999999999"/>
    <n v="5143.6329999999998"/>
    <n v="10742.276"/>
    <n v="1"/>
    <n v="4"/>
    <s v="LH"/>
    <x v="0"/>
    <n v="3569.6523920000013"/>
    <n v="31.931994080645183"/>
    <n v="51.416629483238495"/>
    <n v="1736.7599197657994"/>
    <n v="1835.3949442342009"/>
    <n v="31.438938838300047"/>
    <n v="32.457929060894436"/>
    <n v="2327.5930000000012"/>
    <n v="51.853443803714846"/>
    <n v="1120.6558717657995"/>
    <n v="1206.9371282342013"/>
    <n v="730.70893599999999"/>
    <n v="50.812365458741269"/>
    <n v="360.92185199999994"/>
    <n v="371.29049499999985"/>
    <n v="511.35045600000001"/>
    <n v="50.291794596541791"/>
    <n v="255.182196"/>
    <n v="257.16732099999984"/>
    <n v="24.6"/>
    <n v="25.099999999999987"/>
    <n v="10162.531999999999"/>
    <n v="50.60488862421294"/>
    <n v="4528.8169999999982"/>
    <n v="49.997506185613332"/>
    <n v="1896.73"/>
    <n v="49.803657442107458"/>
    <n v="63.066733052701451"/>
    <n v="3553"/>
    <n v="2080.7150000000011"/>
    <n v="50.60488862421294"/>
    <n v="1123.1466159999995"/>
    <n v="49.997506185613332"/>
    <n v="467.78817192080709"/>
    <n v="49.803657442107458"/>
    <n v="1168.691"/>
    <n v="11.5"/>
    <n v="31.596889169164477"/>
    <n v="8993.8410000000003"/>
    <n v="88.5"/>
    <n v="41.354945011814195"/>
    <n v="18.560754629977371"/>
    <n v="14.391371285669038"/>
    <n v="11.611738680302706"/>
    <n v="44.563864595949099"/>
    <n v="53.029914198548198"/>
    <n v="2.4062212055027201"/>
    <n v="75.2"/>
    <n v="74.900000000000006"/>
    <n v="75.400000000000006"/>
    <n v="86.6"/>
    <n v="74.099999999999994"/>
    <n v="2010"/>
    <n v="81.319999999999993"/>
    <n v="2006"/>
    <n v="6971.6148360000007"/>
    <n v="66.900000000000006"/>
    <n v="2006"/>
    <n v="5736.7900680000012"/>
    <n v="68"/>
    <n v="2002"/>
    <n v="86.947868347167997"/>
    <s v="fre"/>
    <n v="1"/>
    <n v="2"/>
    <s v="Yes"/>
    <s v="Planned"/>
    <s v="-"/>
    <s v="-"/>
    <s v="CR Minister"/>
    <n v="0.6"/>
    <s v="-"/>
    <n v="1"/>
    <s v="-"/>
    <s v="-"/>
    <s v="P078627 (C)"/>
    <s v="P078627 (C)"/>
    <s v="P078627 (C)"/>
    <s v="-"/>
    <m/>
    <m/>
    <m/>
    <m/>
    <m/>
    <m/>
    <m/>
    <m/>
    <m/>
    <m/>
    <m/>
    <m/>
    <m/>
    <m/>
    <m/>
    <m/>
    <m/>
    <m/>
    <m/>
    <m/>
    <m/>
    <n v="1"/>
    <s v="demobilization, payments"/>
    <n v="1"/>
    <s v="military/police, census, civil servant registration"/>
    <m/>
    <m/>
    <m/>
    <m/>
    <n v="1"/>
    <s v="UNHCR proGres (refugee tracking)"/>
    <n v="1"/>
    <s v="civil"/>
    <s v="PF"/>
    <n v="5"/>
    <n v="5"/>
    <s v="-"/>
    <s v="-"/>
    <s v="-"/>
    <s v="-"/>
    <s v="-"/>
    <s v="NF"/>
    <n v="74"/>
    <n v="24"/>
    <n v="29"/>
    <n v="21"/>
    <n v="6"/>
    <n v="-0.96507418155670166"/>
    <n v="-1.2978800535202026"/>
    <n v="-1.0748013257980347"/>
    <n v="-0.87122142314910889"/>
    <n v="-1.0620208978652954"/>
    <n v="-1.3862658739089966"/>
    <n v="172"/>
    <n v="0.19278000000000001"/>
    <n v="5.8819999999999997E-2"/>
    <n v="1.5740000000000001E-2"/>
    <n v="2.332E-2"/>
    <n v="0.5393"/>
    <s v="-"/>
    <s v="-"/>
    <s v="-"/>
    <s v="-"/>
    <s v="-"/>
    <s v="-"/>
    <s v="-"/>
    <s v="-"/>
    <s v="-"/>
    <s v="-"/>
    <s v="-"/>
    <s v="-"/>
    <s v="-"/>
    <s v="-"/>
    <s v="-"/>
    <s v="-"/>
    <s v="-"/>
    <s v="-"/>
    <s v="-"/>
    <s v="-"/>
    <s v="-"/>
    <s v="-"/>
    <s v="-"/>
    <s v="-"/>
    <m/>
    <m/>
    <m/>
    <n v="1"/>
    <n v="21.2"/>
    <s v="IDA"/>
    <s v="HIPC"/>
    <n v="0"/>
    <n v="14"/>
    <n v="56.000000000000007"/>
    <s v="B"/>
    <n v="1"/>
    <n v="4"/>
    <n v="0"/>
    <n v="0"/>
  </r>
  <r>
    <n v="29"/>
    <m/>
    <s v="Cambodia"/>
    <x v="6"/>
    <x v="0"/>
    <s v="KHM"/>
    <s v="KH"/>
    <s v="http://www.interior.gov.kh"/>
    <s v="Min of Interior"/>
    <n v="2"/>
    <n v="1979"/>
    <n v="2"/>
    <s v="30 d"/>
    <s v="free"/>
    <s v="http://www.interior.gov.kh/"/>
    <s v="Ministry of Interior"/>
    <n v="2"/>
    <n v="1975"/>
    <s v="ID Card"/>
    <x v="1"/>
    <n v="1"/>
    <n v="15"/>
    <s v="various"/>
    <n v="1"/>
    <n v="1"/>
    <m/>
    <n v="1"/>
    <m/>
    <m/>
    <s v="http://www.akp.gov.kh/?p=39831"/>
    <n v="2013"/>
    <n v="2"/>
    <s v="4B"/>
    <s v="C, E, H, S"/>
    <n v="0"/>
    <n v="0"/>
    <n v="7700"/>
    <n v="10"/>
    <s v="http://www.biometricupdate.com/201312/cambodia-introducing-eids"/>
    <s v="-"/>
    <n v="1"/>
    <n v="1"/>
    <s v="http://www.interior.gov.kh/"/>
    <s v="Ministry of Interior"/>
    <n v="1"/>
    <n v="2"/>
    <n v="2008"/>
    <n v="5"/>
    <n v="600"/>
    <n v="0"/>
    <s v="http://www.moc.gov.kh/Company/Default.aspx?MenuID=18"/>
    <n v="2005"/>
    <n v="1"/>
    <n v="1"/>
    <s v="http://www.vdb-loi.com/analysis/value-added-tax-vat-in-cambodia/"/>
    <n v="1998"/>
    <n v="0"/>
    <s v="-"/>
    <n v="0"/>
    <s v="-"/>
    <n v="0"/>
    <n v="0"/>
    <n v="15577.898999999999"/>
    <n v="51.224783265060324"/>
    <n v="7598.1540000000005"/>
    <n v="7979.7449999999999"/>
    <n v="1771.5530000000001"/>
    <n v="48.991421650946933"/>
    <n v="903.64400000000001"/>
    <n v="867.90899999999999"/>
    <n v="1660.5419999999999"/>
    <n v="48.742458787552501"/>
    <n v="851.15300000000002"/>
    <n v="809.38900000000001"/>
    <n v="1490.876"/>
    <n v="49.603991210536627"/>
    <n v="751.34199999999998"/>
    <n v="739.53399999999999"/>
    <n v="10654.928"/>
    <n v="52.209766222728113"/>
    <n v="5092.0150000000003"/>
    <n v="5562.9130000000005"/>
    <n v="2015"/>
    <s v="http://esa.un.org/unpd/wpp/Download/Standard/Population/"/>
    <n v="62.1"/>
    <n v="62"/>
    <n v="62.1"/>
    <n v="74.400000000000006"/>
    <n v="59.9"/>
    <n v="2010"/>
    <s v="DHS"/>
    <n v="9675.4529999999995"/>
    <n v="62.110127944724766"/>
    <n v="4719.2231708372228"/>
    <n v="4956.2298291627767"/>
    <n v="2013"/>
    <s v="http://www.electionguide.org/countries/id/37/"/>
    <n v="15"/>
    <n v="18"/>
    <s v="KH2013"/>
    <n v="9675.4529999999995"/>
    <n v="9500.3009999999995"/>
    <n v="15205.539000000001"/>
    <n v="1"/>
    <n v="4"/>
    <s v="LH"/>
    <x v="0"/>
    <n v="2845.2810090000003"/>
    <n v="18.264857212131112"/>
    <n v="53.515364353146168"/>
    <n v="1325.1246491627776"/>
    <n v="1522.6624988372237"/>
    <n v="17.440086752160823"/>
    <n v="19.08159344486852"/>
    <n v="979.47500000000036"/>
    <n v="61.939627947341535"/>
    <n v="372.7918291627775"/>
    <n v="606.68317083722377"/>
    <n v="1194.387422"/>
    <n v="49.150033413530039"/>
    <n v="608.94810000000007"/>
    <n v="587.04181700000004"/>
    <n v="671.418587"/>
    <n v="48.991421650946933"/>
    <n v="343.38472000000002"/>
    <n v="328.93751099999997"/>
    <n v="38"/>
    <n v="37.899999999999991"/>
    <n v="15135.169"/>
    <n v="51.201892757193527"/>
    <n v="4704.538999999997"/>
    <n v="48.859367517199836"/>
    <n v="1713.221"/>
    <n v="48.733328980176474"/>
    <n v="71.903614642643817"/>
    <n v="7500"/>
    <n v="2930.6300000000024"/>
    <n v="51.201892757193527"/>
    <n v="1783.0202809999989"/>
    <n v="48.859367517199836"/>
    <n v="649.37793215138424"/>
    <n v="48.733328980176474"/>
    <n v="3084.6990000000001"/>
    <n v="20.381"/>
    <n v="57.373053254142462"/>
    <n v="12050.47"/>
    <n v="79.619"/>
    <n v="49.609284949051776"/>
    <n v="11.32064159882489"/>
    <n v="10.087454008155719"/>
    <n v="9.6753960937067109"/>
    <n v="31.083491700687301"/>
    <n v="63.564390988960902"/>
    <n v="5.3521173103518001"/>
    <n v="62.1"/>
    <n v="62.1"/>
    <n v="62"/>
    <n v="74.400000000000006"/>
    <n v="59.9"/>
    <n v="2010"/>
    <n v="18.600000000000001"/>
    <n v="2009"/>
    <n v="2660.7640380000003"/>
    <n v="30.1"/>
    <n v="2007"/>
    <n v="4305.8600830000005"/>
    <n v="20"/>
    <n v="2012"/>
    <n v="73.9000244140625"/>
    <s v="khm"/>
    <n v="1"/>
    <n v="1"/>
    <s v="Yes"/>
    <s v="Completed"/>
    <s v="Plan and Committee"/>
    <s v="-"/>
    <s v="Through UNESCAP in 2-14"/>
    <n v="0.62"/>
    <s v="-"/>
    <s v="-"/>
    <m/>
    <m/>
    <m/>
    <m/>
    <m/>
    <m/>
    <m/>
    <m/>
    <m/>
    <m/>
    <m/>
    <m/>
    <m/>
    <m/>
    <m/>
    <m/>
    <m/>
    <m/>
    <m/>
    <m/>
    <m/>
    <m/>
    <m/>
    <m/>
    <m/>
    <m/>
    <m/>
    <m/>
    <m/>
    <m/>
    <m/>
    <m/>
    <m/>
    <m/>
    <m/>
    <m/>
    <m/>
    <n v="1"/>
    <s v="civil"/>
    <s v="NF"/>
    <n v="6"/>
    <n v="5"/>
    <s v="PF"/>
    <n v="47"/>
    <n v="14"/>
    <n v="15"/>
    <n v="18"/>
    <s v="NF"/>
    <n v="66"/>
    <n v="23"/>
    <n v="24"/>
    <n v="19"/>
    <n v="2"/>
    <n v="-0.97991943359375"/>
    <n v="-0.15566757321357727"/>
    <n v="-0.92247426509857178"/>
    <n v="-0.351663738489151"/>
    <n v="-0.98978906869888306"/>
    <n v="-1.0130703449249268"/>
    <n v="139"/>
    <n v="0.29986000000000002"/>
    <n v="0.19606999999999999"/>
    <n v="0.17322000000000001"/>
    <n v="0.20745"/>
    <n v="0.51890000000000003"/>
    <n v="127"/>
    <n v="2.61"/>
    <n v="3.73"/>
    <n v="0.55000000000000004"/>
    <n v="4.49"/>
    <s v="-"/>
    <s v="-"/>
    <s v="-"/>
    <s v="-"/>
    <s v="-"/>
    <s v="-"/>
    <s v="-"/>
    <s v="-"/>
    <s v="-"/>
    <s v="-"/>
    <s v="-"/>
    <s v="-"/>
    <s v="-"/>
    <s v="-"/>
    <s v="-"/>
    <s v="-"/>
    <s v="-"/>
    <s v="-"/>
    <s v="-"/>
    <m/>
    <m/>
    <m/>
    <m/>
    <m/>
    <s v="IDA"/>
    <s v=""/>
    <n v="0"/>
    <n v="13"/>
    <n v="52"/>
    <s v="B"/>
    <m/>
    <n v="4"/>
    <n v="0"/>
    <n v="0"/>
  </r>
  <r>
    <n v="30"/>
    <m/>
    <s v="Cameroon"/>
    <x v="4"/>
    <x v="3"/>
    <s v="CMR"/>
    <s v="CM"/>
    <s v="http://www.cameroon-embassy.nl/?page_id=126"/>
    <s v="Local Councils, Hospitals, Embassies"/>
    <n v="6"/>
    <n v="1968"/>
    <n v="2"/>
    <s v="30 d"/>
    <s v="free"/>
    <s v="http://www.spm.gov.cm/administrations-publiques/administrations-publiques/article/delivrance-de-la-carte-nationale-didentite-le-chef-de-letat-prescrit-des-mesures-de-facilitation.html"/>
    <s v="Ministry of National Security and Defence"/>
    <n v="2"/>
    <n v="1964"/>
    <s v="ID Card"/>
    <x v="1"/>
    <n v="2"/>
    <n v="0"/>
    <s v="free"/>
    <n v="1"/>
    <n v="0"/>
    <m/>
    <n v="1"/>
    <m/>
    <m/>
    <s v="http://www.cameroon-info.net/stories/0,61787,@,cameroun-carte-nationale-d-identite-penurie-de-materiel-dans-les-commissariats.html"/>
    <n v="2013"/>
    <n v="2"/>
    <s v="4B"/>
    <s v="C, H, S"/>
    <n v="0"/>
    <n v="0"/>
    <n v="20000"/>
    <n v="2"/>
    <s v="https://www.thalesgroup.com/en/worldwide/security/id-management"/>
    <n v="4"/>
    <n v="0"/>
    <n v="0"/>
    <s v="http://www.diplocam.cm/"/>
    <s v="Ministry of Foreign Affairs"/>
    <n v="2"/>
    <n v="2"/>
    <n v="2013"/>
    <n v="5"/>
    <s v="-"/>
    <n v="0"/>
    <s v="http://www.cfce.cm/nos-prestations"/>
    <n v="2012"/>
    <n v="1"/>
    <n v="0"/>
    <s v="-"/>
    <s v="-"/>
    <n v="0"/>
    <s v="-"/>
    <n v="0"/>
    <s v="-"/>
    <n v="0"/>
    <n v="1"/>
    <n v="23344.179"/>
    <n v="49.999166815847332"/>
    <n v="11672.284"/>
    <n v="11671.895"/>
    <n v="3737.9250000000002"/>
    <n v="49.59259482199348"/>
    <n v="1884.191"/>
    <n v="1853.7339999999999"/>
    <n v="3294.047"/>
    <n v="49.685569149438365"/>
    <n v="1657.3810000000001"/>
    <n v="1636.6659999999999"/>
    <n v="2894.6"/>
    <n v="49.692980031783321"/>
    <n v="1456.1869999999999"/>
    <n v="1438.413"/>
    <n v="13417.607"/>
    <n v="50.2554740200693"/>
    <n v="6674.5249999999987"/>
    <n v="6743.0820000000003"/>
    <n v="2015"/>
    <s v="http://esa.un.org/unpd/wpp/Download/Standard/Population/"/>
    <n v="61.4"/>
    <n v="62.4"/>
    <n v="60.5"/>
    <n v="80.5"/>
    <n v="47.6"/>
    <n v="2011"/>
    <s v="DHS"/>
    <n v="5481.2259999999997"/>
    <n v="23.4800547065716"/>
    <n v="2740.6586687064041"/>
    <n v="2740.567331293596"/>
    <n v="2013"/>
    <s v="http://www.electionguide.org/countries/id/38/"/>
    <n v="0"/>
    <n v="21"/>
    <s v="CM2013"/>
    <n v="5481.2259999999997"/>
    <n v="11207.373"/>
    <n v="22534.531999999999"/>
    <n v="1"/>
    <n v="4"/>
    <s v="LH"/>
    <x v="0"/>
    <n v="11768.037792000001"/>
    <n v="50.411015919643191"/>
    <n v="50.555546377925879"/>
    <n v="5813.0237152935943"/>
    <n v="5949.3958037064049"/>
    <n v="49.801938637661614"/>
    <n v="50.97197844657105"/>
    <n v="7936.3810000000003"/>
    <n v="50.432491442968832"/>
    <n v="3933.8663312935946"/>
    <n v="4002.5146687064043"/>
    <n v="2388.8177420000002"/>
    <n v="50.847588061827111"/>
    <n v="1170.701568"/>
    <n v="1214.656205"/>
    <n v="1442.83905"/>
    <n v="50.748898846340481"/>
    <n v="708.45581600000003"/>
    <n v="732.22492999999997"/>
    <n v="37.6"/>
    <n v="39.5"/>
    <n v="22253.958999999999"/>
    <n v="50.010710453811832"/>
    <n v="9559.6689999999981"/>
    <n v="49.588714839394534"/>
    <n v="3629.8319999999999"/>
    <n v="49.588487463299515"/>
    <n v="43.176892917996987"/>
    <n v="5481"/>
    <n v="7213.2900000000009"/>
    <n v="50.010710453811832"/>
    <n v="3690.0322339999993"/>
    <n v="49.588714839394534"/>
    <n v="1400.1570999999997"/>
    <n v="49.588487463299515"/>
    <n v="11846.004999999999"/>
    <n v="53.231000000000002"/>
    <n v="42.724775145713686"/>
    <n v="10407.954"/>
    <n v="46.768999999999998"/>
    <n v="45.596829117423077"/>
    <n v="16.299796364323306"/>
    <n v="14.222417683073854"/>
    <n v="12.434946968312449"/>
    <n v="42.957161015709602"/>
    <n v="53.8129777267946"/>
    <n v="3.2298612574957999"/>
    <n v="61.4"/>
    <n v="60.5"/>
    <n v="62.4"/>
    <n v="80.5"/>
    <n v="47.6"/>
    <n v="2011"/>
    <n v="9.56"/>
    <n v="2007"/>
    <n v="1922.9147520000001"/>
    <n v="39.9"/>
    <n v="2007"/>
    <n v="7992.1144380000005"/>
    <n v="48"/>
    <n v="2000"/>
    <n v="71.290504455566406"/>
    <s v="fre"/>
    <n v="1"/>
    <n v="2"/>
    <s v="-"/>
    <s v="Underway"/>
    <s v="-"/>
    <s v="-"/>
    <s v="CR Minister"/>
    <n v="0.7"/>
    <s v="-"/>
    <s v="-"/>
    <m/>
    <m/>
    <m/>
    <m/>
    <m/>
    <m/>
    <m/>
    <m/>
    <m/>
    <m/>
    <m/>
    <m/>
    <m/>
    <m/>
    <m/>
    <m/>
    <m/>
    <m/>
    <m/>
    <m/>
    <m/>
    <m/>
    <m/>
    <m/>
    <m/>
    <m/>
    <m/>
    <m/>
    <m/>
    <m/>
    <m/>
    <m/>
    <m/>
    <m/>
    <m/>
    <m/>
    <m/>
    <n v="2"/>
    <s v="civil + common"/>
    <s v="NF"/>
    <n v="6"/>
    <n v="6"/>
    <s v="-"/>
    <s v="-"/>
    <s v="-"/>
    <s v="-"/>
    <s v="-"/>
    <s v="NF"/>
    <n v="66"/>
    <n v="22"/>
    <n v="23"/>
    <n v="21"/>
    <n v="-4"/>
    <n v="-1.04192054271698"/>
    <n v="-0.51781761646270752"/>
    <n v="-0.86477208137512207"/>
    <n v="-0.92971539497375488"/>
    <n v="-1.0458563566207886"/>
    <n v="-1.1921844482421875"/>
    <n v="144"/>
    <n v="0.27822999999999998"/>
    <n v="0.15686"/>
    <n v="0.19685"/>
    <n v="9.579E-2"/>
    <n v="0.54210000000000003"/>
    <n v="140"/>
    <n v="2.1"/>
    <n v="2.75"/>
    <n v="0.28000000000000003"/>
    <n v="4.45"/>
    <s v="-"/>
    <s v="-"/>
    <s v="-"/>
    <s v="-"/>
    <s v="-"/>
    <s v="-"/>
    <s v="-"/>
    <s v="-"/>
    <s v="-"/>
    <s v="-"/>
    <n v="1960"/>
    <s v="http://www.humanrightsinitiative.org/programs/ai/rti/international/laws_&amp;_papers.htm#12 "/>
    <s v="-"/>
    <s v="-"/>
    <s v="-"/>
    <s v="-"/>
    <s v="-"/>
    <s v="-"/>
    <s v="-"/>
    <m/>
    <m/>
    <m/>
    <m/>
    <m/>
    <s v="Blend"/>
    <s v="HIPC"/>
    <n v="0"/>
    <n v="15"/>
    <n v="60"/>
    <s v="B"/>
    <n v="1"/>
    <n v="4"/>
    <n v="0"/>
    <n v="0"/>
  </r>
  <r>
    <n v="31"/>
    <m/>
    <s v="Canada"/>
    <x v="3"/>
    <x v="2"/>
    <s v="CAN"/>
    <s v="CA"/>
    <s v="http://www.vs.gov.bc.ca/admin/offices.html"/>
    <s v="Provinces/Territories &gt; Vital Statistics or Service BC Offices"/>
    <n v="5"/>
    <n v="1864"/>
    <n v="1"/>
    <s v="0 - 19 y"/>
    <s v="C$ 60"/>
    <s v="-"/>
    <s v="-"/>
    <n v="0"/>
    <s v="-"/>
    <s v="-"/>
    <x v="2"/>
    <n v="0"/>
    <s v="-"/>
    <s v="-"/>
    <n v="0"/>
    <n v="0"/>
    <s v="http://en.wikipedia.org/wiki/Social_Insurance_Number"/>
    <n v="1"/>
    <n v="1"/>
    <m/>
    <s v="-"/>
    <s v="-"/>
    <n v="0"/>
    <n v="0"/>
    <s v="-"/>
    <s v="-"/>
    <s v="-"/>
    <s v="-"/>
    <n v="0"/>
    <s v="-"/>
    <s v="-"/>
    <n v="0"/>
    <n v="0"/>
    <s v="http://www.passport.gc.ca "/>
    <s v="Passport Canada"/>
    <n v="2"/>
    <n v="5"/>
    <n v="2009"/>
    <n v="5"/>
    <n v="50"/>
    <n v="0"/>
    <s v="http://corporationscanada.ic.gc.ca"/>
    <n v="1989"/>
    <n v="1"/>
    <n v="2"/>
    <s v="http://www.cra-arc.gc.ca/bn/"/>
    <n v="1997"/>
    <n v="2"/>
    <s v="C, F, P, R, O"/>
    <n v="1"/>
    <s v="http://www.novascotia.ca/sns/access/business.asp "/>
    <n v="3"/>
    <n v="1"/>
    <n v="35939.927000000003"/>
    <n v="50.399821346326043"/>
    <n v="17826.268"/>
    <n v="18113.659"/>
    <n v="1942.489"/>
    <n v="48.767637809017195"/>
    <n v="995.18299999999999"/>
    <n v="947.30600000000004"/>
    <n v="1947.3309999999999"/>
    <n v="48.814556949999769"/>
    <n v="996.75"/>
    <n v="950.58100000000002"/>
    <n v="1850.5260000000001"/>
    <n v="48.567434340290276"/>
    <n v="951.77300000000002"/>
    <n v="898.75300000000004"/>
    <n v="30199.581000000002"/>
    <n v="50.719309648700083"/>
    <n v="14882.562"/>
    <n v="15317.018999999998"/>
    <n v="2015"/>
    <s v="http://esa.un.org/unpd/wpp/Download/Standard/Population/"/>
    <n v="100"/>
    <n v="100"/>
    <n v="100"/>
    <s v="–"/>
    <s v="–"/>
    <n v="2012"/>
    <s v="UNSD "/>
    <n v="25638.379000000001"/>
    <n v="71.336758697367415"/>
    <n v="12716.681787906025"/>
    <n v="12921.697212093974"/>
    <n v="2015"/>
    <s v="http://www.electionguide.org/countries/id/39/"/>
    <s v="-"/>
    <n v="18"/>
    <s v="CA2015"/>
    <n v="25638.379000000001"/>
    <n v="28512.041000000001"/>
    <n v="35099.836000000003"/>
    <n v="1"/>
    <n v="4"/>
    <s v="CD"/>
    <x v="2"/>
    <n v="4561.2020000000011"/>
    <n v="12.691183262559216"/>
    <n v="52.515143769252582"/>
    <n v="2165.8802120939745"/>
    <n v="2395.3217879060248"/>
    <n v="12.149936330442101"/>
    <n v="13.223842780224718"/>
    <n v="4561.2020000000011"/>
    <n v="52.515143769252582"/>
    <n v="2165.8802120939745"/>
    <n v="2395.3217879060248"/>
    <n v="0"/>
    <n v="0"/>
    <n v="0"/>
    <n v="0"/>
    <n v="0"/>
    <n v="0"/>
    <n v="0"/>
    <n v="0"/>
    <n v="0"/>
    <n v="0"/>
    <n v="35158.303999999996"/>
    <n v="50.37454309513906"/>
    <n v="5781.001390270796"/>
    <n v="48.482181204809436"/>
    <n v="1991.394"/>
    <n v="48.689626509813991"/>
    <n v="99"/>
    <n v="29083.529583631913"/>
    <n v="293.77302609729225"/>
    <n v="50.37454309513906"/>
    <n v="0"/>
    <n v="48.482181204809436"/>
    <n v="0"/>
    <n v="48.689626509813991"/>
    <n v="28435.121999999999"/>
    <n v="80.877399999999994"/>
    <n v="49.083524241605154"/>
    <n v="6723.1819999999998"/>
    <n v="19.122600000000006"/>
    <n v="52.279084516825513"/>
    <n v="5.626012330572066"/>
    <n v="5.3786252226084201"/>
    <n v="5.4381379572650692"/>
    <n v="16.442776620484299"/>
    <n v="68.373669450462103"/>
    <n v="15.1835539290536"/>
    <n v="100"/>
    <n v="100"/>
    <n v="100"/>
    <n v="100"/>
    <n v="100"/>
    <n v="2012"/>
    <s v="-"/>
    <s v="-"/>
    <m/>
    <s v="-"/>
    <s v="-"/>
    <m/>
    <n v="9.4"/>
    <s v="-"/>
    <s v="-"/>
    <s v="eng"/>
    <n v="0"/>
    <s v="-"/>
    <s v="-"/>
    <s v="-"/>
    <s v="-"/>
    <s v="-"/>
    <s v="-"/>
    <s v="-"/>
    <s v="-"/>
    <s v="-"/>
    <m/>
    <m/>
    <m/>
    <m/>
    <m/>
    <m/>
    <m/>
    <m/>
    <m/>
    <m/>
    <m/>
    <m/>
    <m/>
    <m/>
    <m/>
    <m/>
    <m/>
    <m/>
    <m/>
    <m/>
    <m/>
    <m/>
    <m/>
    <n v="2"/>
    <m/>
    <m/>
    <m/>
    <m/>
    <m/>
    <m/>
    <m/>
    <m/>
    <m/>
    <m/>
    <m/>
    <m/>
    <m/>
    <n v="2"/>
    <s v="common"/>
    <s v="F"/>
    <n v="1"/>
    <n v="1"/>
    <s v="F"/>
    <n v="15"/>
    <n v="3"/>
    <n v="3"/>
    <n v="9"/>
    <s v="F"/>
    <n v="19"/>
    <n v="5"/>
    <n v="8"/>
    <n v="6"/>
    <n v="10"/>
    <n v="1.4583121538162231"/>
    <n v="1.0307513475418091"/>
    <n v="1.7713449001312256"/>
    <n v="1.7149943113327026"/>
    <n v="1.7398825883865356"/>
    <n v="1.874397873878479"/>
    <n v="11"/>
    <n v="0.84177000000000002"/>
    <n v="0.82352000000000003"/>
    <n v="0.91337999999999997"/>
    <n v="0.71675999999999995"/>
    <n v="0.8952"/>
    <n v="23"/>
    <n v="7.62"/>
    <n v="8.01"/>
    <n v="6.63"/>
    <n v="8.85"/>
    <s v="Personal Information Protection and Electronic Documents Act"/>
    <s v="http://laws-lois.justice.gc.ca/eng/acts/p-8.6/ "/>
    <n v="1983"/>
    <n v="2002"/>
    <s v="Both"/>
    <s v="Privacy Commissioner"/>
    <s v="https://www.priv.gc.ca "/>
    <s v="ICDPPC; APPA; GPEN; APEC CPEA; AFAPDP"/>
    <n v="57"/>
    <n v="79"/>
    <n v="1983"/>
    <s v="http://www.rti-rating.org/files/pdf/Canada.pdf"/>
    <n v="3"/>
    <n v="13"/>
    <n v="15"/>
    <n v="11"/>
    <n v="22"/>
    <n v="6"/>
    <n v="9"/>
    <s v="AME"/>
    <s v="OECD"/>
    <s v="APEC"/>
    <m/>
    <m/>
    <s v=".."/>
    <s v=""/>
    <n v="0"/>
    <n v="13"/>
    <n v="52"/>
    <s v="B"/>
    <m/>
    <n v="1"/>
    <n v="2"/>
    <n v="0"/>
  </r>
  <r>
    <n v="32"/>
    <m/>
    <s v="Cabo Verde"/>
    <x v="4"/>
    <x v="3"/>
    <s v="CPV"/>
    <s v="CV"/>
    <s v="https://portoncv.gov.cv/portal/page?_pageid=118,188596&amp;_dad=portal&amp;_schema=PORTAL&amp;p_dominio=45&amp;p_menu=61&amp;p_item=196&amp;p_ent_det=1397"/>
    <s v="Porton portal; House of Citizen, Natl Archives of Civil and Criminal Identification; Registration services"/>
    <n v="6"/>
    <n v="1967"/>
    <n v="2"/>
    <s v="30 d"/>
    <s v="free"/>
    <s v="http://www.mj.gov.cv/index.php/estrutura-mtie/2012-02-14-13-02-17"/>
    <s v="Directorate General of Registries and Notaries Identification. Mon of Justice"/>
    <n v="1"/>
    <n v="2013"/>
    <s v="National ID Card"/>
    <x v="1"/>
    <n v="2"/>
    <n v="0"/>
    <s v="550 ECV"/>
    <n v="0"/>
    <n v="0"/>
    <m/>
    <n v="1"/>
    <n v="1"/>
    <m/>
    <s v="-"/>
    <s v="-"/>
    <n v="0"/>
    <n v="1"/>
    <s v="-"/>
    <s v="-"/>
    <s v="-"/>
    <s v="-"/>
    <n v="0"/>
    <s v="-"/>
    <s v="-"/>
    <n v="0"/>
    <n v="0"/>
    <s v="http://def.policianacional.cv/"/>
    <s v="Directorate of Immigration and Borders"/>
    <n v="2"/>
    <n v="2"/>
    <n v="2014"/>
    <n v="5"/>
    <s v="-"/>
    <n v="0"/>
    <s v="http://www.mj.gov.cv/index.php/estrutura-mtie/2012-02-14-13-02-17 "/>
    <n v="2013"/>
    <n v="1"/>
    <n v="0"/>
    <s v="-"/>
    <s v="-"/>
    <n v="0"/>
    <s v="-"/>
    <n v="0"/>
    <s v="-"/>
    <n v="2"/>
    <n v="0"/>
    <n v="520.50199999999995"/>
    <n v="50.657826482895359"/>
    <n v="256.827"/>
    <n v="263.67500000000001"/>
    <n v="53.588999999999999"/>
    <n v="49.366474463042785"/>
    <n v="27.134"/>
    <n v="26.454999999999998"/>
    <n v="51.323"/>
    <n v="49.529450733589229"/>
    <n v="25.902999999999999"/>
    <n v="25.42"/>
    <n v="49.42"/>
    <n v="49.129906920275189"/>
    <n v="25.14"/>
    <n v="24.28"/>
    <n v="366.16999999999996"/>
    <n v="51.211186061119164"/>
    <n v="178.64999999999998"/>
    <n v="187.52"/>
    <n v="2015"/>
    <s v="http://esa.un.org/unpd/wpp/Download/Standard/Population/"/>
    <n v="91"/>
    <n v="91"/>
    <n v="91"/>
    <s v="–"/>
    <s v="–"/>
    <n v="2010"/>
    <s v="Censo"/>
    <n v="491.68299999999999"/>
    <n v="94.463229728223922"/>
    <n v="243.40100000000001"/>
    <n v="248.28200000000001"/>
    <n v="2011"/>
    <s v="http://www.ine.cvhttp://www.ine.cv/dadostats/dados.aspx?d=1"/>
    <n v="0"/>
    <n v="18"/>
    <s v="CV2011"/>
    <n v="298.56700000000001"/>
    <n v="263.33300000000003"/>
    <n v="516.1"/>
    <n v="20"/>
    <n v="5"/>
    <s v="CD"/>
    <x v="1"/>
    <n v="28.81899999999996"/>
    <n v="5.5367702717760858"/>
    <n v="53.412679135292763"/>
    <n v="13.425999999999986"/>
    <n v="15.393000000000001"/>
    <n v="5.2276435110015642"/>
    <n v="5.8378685882241399"/>
    <n v="14.929119999999967"/>
    <n v="57.19727619578395"/>
    <n v="6.390069999999989"/>
    <n v="8.5390500000000031"/>
    <n v="9.0668699999999962"/>
    <n v="49.333452448309075"/>
    <n v="4.5938699999999981"/>
    <n v="4.472999999999999"/>
    <n v="4.8230099999999982"/>
    <n v="49.366474463042785"/>
    <n v="2.4420599999999992"/>
    <n v="2.380949999999999"/>
    <n v="8.9999999999999964"/>
    <n v="8.9999999999999964"/>
    <n v="498.89699999999999"/>
    <n v="50.18490790684249"/>
    <n v="147.33599999999987"/>
    <n v="49.660639626432101"/>
    <n v="48.451999999999998"/>
    <n v="49.664273494717683"/>
    <n v="98.417108140558071"/>
    <n v="491"/>
    <n v="5.5648304499726322"/>
    <n v="50.18490790684249"/>
    <n v="13.260239999999984"/>
    <n v="49.660639626432101"/>
    <n v="4.3575388256312237"/>
    <n v="49.664273494717683"/>
    <n v="319.642"/>
    <n v="64.069800000000001"/>
    <n v="47.695859743087581"/>
    <n v="179.255"/>
    <n v="35.930199999999999"/>
    <n v="58.487629354829707"/>
    <n v="9.7048284641056508"/>
    <n v="9.5526924375859217"/>
    <n v="10.274827458791654"/>
    <n v="29.532348360483201"/>
    <n v="65.143907459856393"/>
    <n v="5.3237441796603298"/>
    <n v="91"/>
    <n v="91"/>
    <n v="91"/>
    <n v="91"/>
    <n v="91"/>
    <n v="2010"/>
    <n v="21"/>
    <n v="2002"/>
    <n v="105.12285"/>
    <n v="26.6"/>
    <n v="2007"/>
    <n v="133.15561"/>
    <n v="30"/>
    <n v="2000"/>
    <n v="85.327789306640597"/>
    <s v="por"/>
    <n v="0"/>
    <s v="-"/>
    <s v="-"/>
    <s v="-"/>
    <s v="-"/>
    <s v="-"/>
    <s v="-"/>
    <s v="-"/>
    <s v="-"/>
    <s v="-"/>
    <m/>
    <m/>
    <m/>
    <m/>
    <m/>
    <m/>
    <m/>
    <m/>
    <m/>
    <m/>
    <m/>
    <m/>
    <m/>
    <m/>
    <m/>
    <m/>
    <m/>
    <m/>
    <m/>
    <m/>
    <m/>
    <m/>
    <m/>
    <m/>
    <m/>
    <n v="1"/>
    <s v="Cadastro Eleitoral"/>
    <m/>
    <m/>
    <m/>
    <m/>
    <m/>
    <m/>
    <m/>
    <m/>
    <m/>
    <m/>
    <n v="1"/>
    <s v="civil"/>
    <s v="F"/>
    <n v="1"/>
    <n v="1"/>
    <s v="-"/>
    <s v="-"/>
    <s v="-"/>
    <s v="-"/>
    <s v="-"/>
    <s v="F"/>
    <n v="27"/>
    <n v="6"/>
    <n v="9"/>
    <n v="12"/>
    <n v="10"/>
    <n v="0.9018053412437439"/>
    <n v="0.80627542734146118"/>
    <n v="0.12438298761844635"/>
    <n v="-0.11925558745861053"/>
    <n v="0.48163485527038574"/>
    <n v="0.76906144618988037"/>
    <n v="127"/>
    <n v="0.35504999999999998"/>
    <n v="9.8030000000000006E-2"/>
    <n v="0.16535"/>
    <n v="0.29658000000000001"/>
    <n v="0.60319999999999996"/>
    <n v="93"/>
    <n v="4.3"/>
    <n v="4.55"/>
    <n v="2.9"/>
    <n v="6.62"/>
    <s v="Regime Jurídico Geral de Protecção de Dados Pessoais a Pessoas Singulares"/>
    <s v="http://www.afapdp.org/wp-content/uploads/2012/01/Cap-vert-Lei-n%C2%B0133-V-2001-do-22-janeiro-20011.pdf "/>
    <n v="2001"/>
    <n v="2001"/>
    <s v="Both"/>
    <s v="-"/>
    <s v="-"/>
    <s v="-"/>
    <s v="-"/>
    <s v="-"/>
    <s v="-"/>
    <s v="-"/>
    <s v="-"/>
    <s v="-"/>
    <s v="-"/>
    <s v="-"/>
    <s v="-"/>
    <s v="-"/>
    <s v="-"/>
    <m/>
    <m/>
    <m/>
    <m/>
    <m/>
    <s v="Blend"/>
    <s v=""/>
    <n v="1"/>
    <n v="11"/>
    <n v="44"/>
    <s v="C"/>
    <n v="1"/>
    <n v="3"/>
    <n v="0"/>
    <n v="0"/>
  </r>
  <r>
    <n v="33"/>
    <m/>
    <s v="Central African Republic"/>
    <x v="4"/>
    <x v="0"/>
    <s v="CAF"/>
    <s v="CF"/>
    <s v="http://www.primature-rca.org"/>
    <s v="Mobile Registration Offices"/>
    <n v="6"/>
    <n v="1961"/>
    <n v="2"/>
    <s v="-"/>
    <s v="500 FCFA ($1.5)"/>
    <s v="http://www.journal-des-elections.net/docs/code_electoral_definitif_2011.pdf"/>
    <s v="Ministry of Public Security, Immigration and Emigration"/>
    <n v="2"/>
    <n v="2009"/>
    <s v="National ID Card"/>
    <x v="1"/>
    <n v="2"/>
    <n v="0"/>
    <s v="free"/>
    <n v="0"/>
    <n v="0"/>
    <m/>
    <n v="1"/>
    <m/>
    <m/>
    <s v="-"/>
    <s v="-"/>
    <n v="0"/>
    <n v="1"/>
    <s v="-"/>
    <s v="-"/>
    <s v="-"/>
    <s v="-"/>
    <n v="0"/>
    <s v="-"/>
    <n v="3"/>
    <n v="0"/>
    <n v="0"/>
    <s v="http://centrafrique-presse.over-blog.com/article-centrafrique-les-passeports-biometriques-cemac-bientot-en-circulation-53594820.html"/>
    <s v="Ministry of Security, Immigration and Law and Order"/>
    <n v="1"/>
    <n v="2"/>
    <n v="2014"/>
    <n v="3"/>
    <s v="-"/>
    <n v="0"/>
    <s v="http://www.sozoala.com/palabre/reflexions/r20100318001.htm "/>
    <n v="2008"/>
    <n v="1"/>
    <n v="1"/>
    <s v="http://www.doingbusiness.org/data/exploreeconomies/central-african-republic/starting-a-business/ "/>
    <n v="2008"/>
    <n v="0"/>
    <s v="-"/>
    <n v="0"/>
    <s v="-"/>
    <n v="0"/>
    <n v="0"/>
    <n v="4900.2740000000003"/>
    <n v="50.708511401607339"/>
    <n v="2415.4180000000001"/>
    <n v="2484.8560000000002"/>
    <n v="708.09500000000003"/>
    <n v="49.950924664063436"/>
    <n v="354.39499999999998"/>
    <n v="353.7"/>
    <n v="620.82100000000003"/>
    <n v="50.289697030222882"/>
    <n v="308.61200000000002"/>
    <n v="312.209"/>
    <n v="584.76900000000001"/>
    <n v="50.385536853013754"/>
    <n v="290.13"/>
    <n v="294.63900000000001"/>
    <n v="2986.5889999999999"/>
    <n v="51.038425441197312"/>
    <n v="1462.2809999999999"/>
    <n v="1524.3080000000004"/>
    <n v="2015"/>
    <s v="http://esa.un.org/unpd/wpp/Download/Standard/Population/"/>
    <n v="61"/>
    <n v="60.6"/>
    <n v="61.5"/>
    <n v="78.400000000000006"/>
    <n v="51.6"/>
    <n v="2010"/>
    <s v="MICS"/>
    <n v="1825.7349999999999"/>
    <n v="37.257814563022393"/>
    <n v="899.93195936186419"/>
    <n v="925.80304063813571"/>
    <n v="2011"/>
    <s v="http://www.electionguide.org/countries/id/42/"/>
    <n v="0"/>
    <n v="18"/>
    <s v="CF2011"/>
    <n v="1825.7349999999999"/>
    <n v="2005.942"/>
    <n v="4950.027"/>
    <n v="1"/>
    <n v="4"/>
    <s v="LH"/>
    <x v="0"/>
    <n v="1907.1911500000001"/>
    <n v="38.920092019344224"/>
    <n v="50.77183476663388"/>
    <n v="937.88501863813576"/>
    <n v="968.31593936186471"/>
    <n v="38.82909784716913"/>
    <n v="38.968694337292163"/>
    <n v="1160.854"/>
    <n v="51.557298278841671"/>
    <n v="562.34904063813576"/>
    <n v="598.50495936186474"/>
    <n v="470.18010000000004"/>
    <n v="49.690848251552964"/>
    <n v="235.90434800000003"/>
    <n v="233.63648000000001"/>
    <n v="276.15705000000003"/>
    <n v="49.31052819401134"/>
    <n v="139.63163"/>
    <n v="136.17449999999999"/>
    <n v="39.4"/>
    <n v="38.5"/>
    <n v="4616.4170000000004"/>
    <n v="50.790450689354969"/>
    <n v="1838.5660000000021"/>
    <n v="50.131841881118213"/>
    <n v="673.79"/>
    <n v="49.972669367791603"/>
    <n v="65.698268193650449"/>
    <n v="1825"/>
    <n v="952.85099999999863"/>
    <n v="50.790450689354969"/>
    <n v="717.04074000000082"/>
    <n v="50.131841881118213"/>
    <n v="263.16999204521733"/>
    <n v="49.972669367791603"/>
    <n v="1828.277"/>
    <n v="39.6038"/>
    <n v="32.597303362674253"/>
    <n v="2788.14"/>
    <n v="60.3962"/>
    <n v="35.351775735795187"/>
    <n v="14.617285470484861"/>
    <n v="12.998909516096932"/>
    <n v="12.210493113734969"/>
    <n v="39.826688100316801"/>
    <n v="56.329031801070002"/>
    <n v="3.8442800986132699"/>
    <n v="61"/>
    <n v="61.5"/>
    <n v="60.6"/>
    <n v="78.400000000000006"/>
    <n v="51.6"/>
    <n v="2010"/>
    <n v="62.83"/>
    <n v="2008"/>
    <n v="2817.7336360000004"/>
    <n v="62"/>
    <n v="2008"/>
    <n v="2781.8389400000001"/>
    <s v="-"/>
    <s v="-"/>
    <n v="36.752609252929702"/>
    <s v="fre"/>
    <n v="1"/>
    <n v="3"/>
    <s v="-"/>
    <s v="-"/>
    <s v="-"/>
    <s v="-"/>
    <s v="CR Minister"/>
    <n v="0.49"/>
    <s v="-"/>
    <s v="-"/>
    <m/>
    <m/>
    <m/>
    <m/>
    <m/>
    <m/>
    <m/>
    <m/>
    <m/>
    <m/>
    <m/>
    <m/>
    <m/>
    <m/>
    <m/>
    <m/>
    <m/>
    <m/>
    <m/>
    <m/>
    <m/>
    <m/>
    <m/>
    <m/>
    <m/>
    <m/>
    <m/>
    <m/>
    <m/>
    <m/>
    <m/>
    <m/>
    <m/>
    <m/>
    <m/>
    <m/>
    <m/>
    <n v="1"/>
    <s v="civil"/>
    <s v="NF"/>
    <n v="7"/>
    <n v="7"/>
    <s v="-"/>
    <s v="-"/>
    <s v="-"/>
    <s v="-"/>
    <s v="-"/>
    <s v="NF"/>
    <n v="77"/>
    <n v="24"/>
    <n v="32"/>
    <n v="21"/>
    <n v="5"/>
    <n v="-1.5287349224090576"/>
    <n v="-2.1458115577697754"/>
    <n v="-1.7808928489685059"/>
    <n v="-1.1283259391784668"/>
    <n v="-1.8342373371124268"/>
    <n v="-1.0414586067199707"/>
    <n v="187"/>
    <n v="0.12573999999999999"/>
    <n v="3.9210000000000002E-2"/>
    <n v="3.9370000000000002E-2"/>
    <n v="2.7990000000000001E-2"/>
    <n v="0.30990000000000001"/>
    <n v="166"/>
    <n v="0.96"/>
    <n v="1.32"/>
    <n v="0.12"/>
    <n v="1.91"/>
    <s v="-"/>
    <s v="-"/>
    <s v="-"/>
    <s v="-"/>
    <s v="-"/>
    <s v="-"/>
    <s v="-"/>
    <s v="-"/>
    <s v="-"/>
    <s v="-"/>
    <s v="-"/>
    <s v="-"/>
    <s v="-"/>
    <s v="-"/>
    <s v="-"/>
    <s v="-"/>
    <s v="-"/>
    <s v="-"/>
    <s v="-"/>
    <m/>
    <m/>
    <m/>
    <n v="1"/>
    <m/>
    <s v="IDA"/>
    <s v="HIPC"/>
    <n v="0"/>
    <n v="9"/>
    <n v="36"/>
    <s v="C"/>
    <n v="1"/>
    <n v="4"/>
    <n v="0"/>
    <n v="0"/>
  </r>
  <r>
    <n v="34"/>
    <m/>
    <s v="Chad"/>
    <x v="4"/>
    <x v="0"/>
    <s v="TCD"/>
    <s v="TD"/>
    <s v="http://www.unicef.org/evaldatabase/index_68198.html"/>
    <s v="Min of Interior, DAPEC"/>
    <n v="2"/>
    <n v="1961"/>
    <n v="2"/>
    <s v="-"/>
    <s v="600-5000 FCFA"/>
    <s v="http://www.gouvernementdutchad.org/fr/"/>
    <s v="Ministry of Interior and Public Security"/>
    <n v="2"/>
    <n v="2014"/>
    <s v="National ID Card"/>
    <x v="1"/>
    <n v="2"/>
    <n v="16"/>
    <s v="free"/>
    <n v="0"/>
    <n v="0"/>
    <m/>
    <s v=" "/>
    <m/>
    <m/>
    <s v="https://www.youtube.com/watch?v=uCQS_J4lh0Q"/>
    <n v="2014"/>
    <n v="1"/>
    <s v="2B"/>
    <s v="C"/>
    <n v="0"/>
    <n v="0"/>
    <s v="-"/>
    <n v="8"/>
    <s v="http://www.semlex.com/en/references/references-clients.html"/>
    <s v="-"/>
    <n v="0"/>
    <n v="0"/>
    <s v="http://www.tchaddiplomatie.com/services/"/>
    <s v="Ministry of Foreign Affairs"/>
    <n v="1"/>
    <n v="3"/>
    <n v="2005"/>
    <n v="5"/>
    <s v="-"/>
    <n v="0"/>
    <s v="https://www.wbginvestmentclimate.org/publications/upload/Chad_A4-2.pdf "/>
    <n v="2004"/>
    <n v="1"/>
    <n v="0"/>
    <s v="-"/>
    <s v="-"/>
    <n v="0"/>
    <s v="-"/>
    <n v="0"/>
    <s v="-"/>
    <n v="0"/>
    <n v="0"/>
    <n v="14037.472"/>
    <n v="49.937061317023463"/>
    <n v="7027.5709999999999"/>
    <n v="7009.9009999999998"/>
    <n v="2632.3470000000002"/>
    <n v="49.531881625028916"/>
    <n v="1328.4960000000001"/>
    <n v="1303.8510000000001"/>
    <n v="2200.2809999999999"/>
    <n v="49.572259179622968"/>
    <n v="1109.5519999999999"/>
    <n v="1090.729"/>
    <n v="1866.1010000000001"/>
    <n v="49.589706023414593"/>
    <n v="940.70699999999999"/>
    <n v="925.39400000000001"/>
    <n v="7338.7430000000004"/>
    <n v="50.280095651257973"/>
    <n v="3648.8160000000003"/>
    <n v="3689.9269999999988"/>
    <n v="2015"/>
    <s v="http://esa.un.org/unpd/wpp/Download/Standard/Population/"/>
    <n v="15.7"/>
    <n v="16.100000000000001"/>
    <n v="15.2"/>
    <n v="42.2"/>
    <n v="8.6999999999999993"/>
    <n v="2010"/>
    <s v="MICS"/>
    <n v="4959.7479999999996"/>
    <n v="35.33220226547914"/>
    <n v="2482.9956000701545"/>
    <n v="2476.7523999298446"/>
    <n v="2011"/>
    <s v="http://www.electionguide.org/countries/id/43/"/>
    <n v="16"/>
    <n v="18"/>
    <s v="TD2011"/>
    <n v="4830.8850000000002"/>
    <n v="4774.7669999999998"/>
    <n v="10758.945"/>
    <n v="1"/>
    <n v="4"/>
    <s v="LH"/>
    <x v="0"/>
    <n v="8026.0235470000007"/>
    <n v="57.175704763649762"/>
    <n v="50.19313148633794"/>
    <n v="4000.595844929846"/>
    <n v="4028.512552070154"/>
    <n v="56.927149436552767"/>
    <n v="57.468893670112521"/>
    <n v="2378.9950000000008"/>
    <n v="50.995256403235558"/>
    <n v="1165.8203999298457"/>
    <n v="1213.1746000701542"/>
    <n v="3427.9600259999997"/>
    <n v="49.874336078386932"/>
    <n v="1720.167301"/>
    <n v="1709.6723039999999"/>
    <n v="2219.0685210000001"/>
    <n v="49.825665027312603"/>
    <n v="1114.608144"/>
    <n v="1105.6656480000001"/>
    <n v="83.899999999999991"/>
    <n v="84.800000000000011"/>
    <n v="12825.314"/>
    <n v="49.923081805248586"/>
    <n v="6208.0299999999961"/>
    <n v="49.493937366349137"/>
    <n v="2456.578"/>
    <n v="49.536815426506777"/>
    <n v="10"/>
    <n v="661.72840000000031"/>
    <n v="5955.5556000000042"/>
    <n v="49.923081805248586"/>
    <n v="5233.3692899999969"/>
    <n v="49.493937366349137"/>
    <n v="2067.6596550484664"/>
    <n v="49.536815426506777"/>
    <n v="2822.877"/>
    <n v="22.010200000000001"/>
    <n v="49.923081805248586"/>
    <n v="10002.437"/>
    <n v="77.989800000000002"/>
    <n v="49.923081805248586"/>
    <n v="19.12420861062704"/>
    <n v="15.865247728239257"/>
    <n v="13.415050560535931"/>
    <n v="48.4045068994022"/>
    <n v="49.182218852497499"/>
    <n v="2.4132742481002798"/>
    <n v="15.7"/>
    <n v="15.2"/>
    <n v="16.100000000000001"/>
    <n v="42.2"/>
    <n v="8.6999999999999993"/>
    <n v="2010"/>
    <n v="61.9"/>
    <n v="2003"/>
    <n v="7134.2820239999992"/>
    <n v="55"/>
    <n v="2003"/>
    <n v="6339.0227999999988"/>
    <n v="80"/>
    <n v="2001"/>
    <n v="37.267051696777301"/>
    <s v="fre"/>
    <n v="1"/>
    <n v="3"/>
    <s v="-"/>
    <s v="-"/>
    <s v="-"/>
    <s v="-"/>
    <s v="CR Minister"/>
    <n v="0.09"/>
    <s v="-"/>
    <n v="1"/>
    <s v="-"/>
    <s v="-"/>
    <s v="-"/>
    <s v="P133021 (A)"/>
    <s v="-"/>
    <s v="P133021 (A)"/>
    <m/>
    <m/>
    <m/>
    <m/>
    <m/>
    <m/>
    <m/>
    <m/>
    <m/>
    <m/>
    <m/>
    <m/>
    <m/>
    <m/>
    <m/>
    <m/>
    <m/>
    <m/>
    <m/>
    <m/>
    <m/>
    <m/>
    <m/>
    <m/>
    <m/>
    <n v="1"/>
    <s v="Pastoral Production System (population tracking)"/>
    <m/>
    <m/>
    <m/>
    <m/>
    <n v="1"/>
    <s v="civil"/>
    <s v="NF"/>
    <n v="7"/>
    <n v="6"/>
    <s v="-"/>
    <s v="-"/>
    <s v="-"/>
    <s v="-"/>
    <s v="-"/>
    <s v="NF"/>
    <n v="75"/>
    <n v="22"/>
    <n v="31"/>
    <n v="22"/>
    <n v="-2"/>
    <n v="-1.3838688135147095"/>
    <n v="-1.1007781028747559"/>
    <n v="-1.4959820508956909"/>
    <n v="-1.0154626369476318"/>
    <n v="-1.3724688291549683"/>
    <n v="-1.2849448919296265"/>
    <n v="189"/>
    <n v="0.10761"/>
    <n v="7.843E-2"/>
    <n v="4.7239999999999997E-2"/>
    <n v="4.1459999999999997E-2"/>
    <n v="0.2341"/>
    <n v="164"/>
    <n v="1.1100000000000001"/>
    <n v="1.65"/>
    <n v="0.08"/>
    <n v="2.08"/>
    <s v="-"/>
    <s v="-"/>
    <s v="-"/>
    <s v="-"/>
    <s v="-"/>
    <s v="-"/>
    <s v="-"/>
    <s v="-"/>
    <s v="-"/>
    <s v="-"/>
    <s v="-"/>
    <s v="-"/>
    <s v="-"/>
    <s v="-"/>
    <s v="-"/>
    <s v="-"/>
    <s v="-"/>
    <s v="-"/>
    <s v="-"/>
    <m/>
    <m/>
    <m/>
    <n v="1"/>
    <n v="21.7"/>
    <s v="IDA"/>
    <s v="HIPC"/>
    <n v="0"/>
    <n v="10"/>
    <n v="40"/>
    <s v="C"/>
    <n v="1"/>
    <n v="3"/>
    <n v="0"/>
    <n v="0"/>
  </r>
  <r>
    <n v="35"/>
    <m/>
    <s v="Chile"/>
    <x v="5"/>
    <x v="2"/>
    <s v="CHL"/>
    <s v="CL"/>
    <s v="http://www.registrocivil.cl"/>
    <s v="Servicio de Registro Civil e Identificación (SRCEI)"/>
    <n v="1"/>
    <n v="1885"/>
    <n v="2"/>
    <s v="60 d"/>
    <s v="free"/>
    <s v="http://www.registrocivil.cl"/>
    <s v="Civil Registry and Identification"/>
    <n v="1"/>
    <n v="2001"/>
    <s v="RUN (Rol Único de Identidad) / Cédula de Identidad"/>
    <x v="1"/>
    <n v="2"/>
    <n v="18"/>
    <s v="CH$ 2.78 ($4.75)"/>
    <n v="1"/>
    <n v="1"/>
    <m/>
    <n v="1"/>
    <n v="1"/>
    <m/>
    <s v="http://www.chileatiende.cl/"/>
    <n v="2012"/>
    <n v="3"/>
    <s v="4B"/>
    <s v="C, E, F, H, R, S, O"/>
    <n v="1"/>
    <n v="1"/>
    <s v="-"/>
    <n v="2"/>
    <s v="http://www.morpho.com/actualites-et-evenements/presse/morpho-chosen-to-supply-chile-s-new-id-documents"/>
    <s v="-"/>
    <n v="1"/>
    <n v="1"/>
    <s v="https://www.registrocivil.cl/"/>
    <s v="Registro Civil e Identificación"/>
    <n v="2"/>
    <n v="5"/>
    <n v="2013"/>
    <n v="5"/>
    <n v="480"/>
    <n v="1"/>
    <s v="https://www.tuempresaenundia.cl/ "/>
    <n v="2013"/>
    <n v="1"/>
    <n v="2"/>
    <s v="http://www.doingbusiness.org/data/exploreeconomies/chile/starting-a-business/ "/>
    <n v="2013"/>
    <n v="2"/>
    <s v="C, R"/>
    <n v="1"/>
    <s v="https://www.tuempresaenundia.cl/Default.aspx# "/>
    <n v="3"/>
    <n v="1"/>
    <n v="17948.141"/>
    <n v="50.663029669757996"/>
    <n v="8855.0689999999995"/>
    <n v="9093.0720000000001"/>
    <n v="1170.4110000000001"/>
    <n v="49.097368360345207"/>
    <n v="595.77"/>
    <n v="574.64099999999996"/>
    <n v="1199.567"/>
    <n v="49.152986035794591"/>
    <n v="609.94399999999996"/>
    <n v="589.62300000000005"/>
    <n v="1246.0219999999999"/>
    <n v="49.08565017311092"/>
    <n v="634.404"/>
    <n v="611.61800000000005"/>
    <n v="14332.141"/>
    <n v="51.054409805206355"/>
    <n v="7014.9509999999991"/>
    <n v="7317.1900000000005"/>
    <n v="2015"/>
    <s v="http://esa.un.org/unpd/wpp/Download/Standard/Population/"/>
    <n v="99.4"/>
    <n v="99.4"/>
    <n v="99.4"/>
    <s v="–"/>
    <s v="–"/>
    <n v="2011"/>
    <s v="Estadísticas vitales"/>
    <n v="13573.143"/>
    <n v="75.624227601064646"/>
    <n v="6696.5775347913195"/>
    <n v="6876.5654652086805"/>
    <n v="2013"/>
    <s v="http://www.electionguide.org/countries/id/44/"/>
    <n v="18"/>
    <n v="18"/>
    <s v="CL2013"/>
    <n v="13573.143"/>
    <n v="12456.705"/>
    <n v="17216.945"/>
    <n v="1"/>
    <n v="4"/>
    <s v="CD"/>
    <x v="1"/>
    <n v="780.69399999999928"/>
    <n v="4.3497206758070339"/>
    <n v="57.80495646070294"/>
    <n v="329.41417320867936"/>
    <n v="451.27982679131981"/>
    <n v="3.7200633129869383"/>
    <n v="4.9628973221736263"/>
    <n v="758.99799999999959"/>
    <n v="58.053451364999674"/>
    <n v="318.37346520867959"/>
    <n v="440.62453479132"/>
    <n v="14.673533999999741"/>
    <n v="49.118678567821497"/>
    <n v="7.4660879999998677"/>
    <n v="7.207445999999873"/>
    <n v="7.0224659999998771"/>
    <n v="49.0973683603452"/>
    <n v="3.5746199999999368"/>
    <n v="3.4478459999999389"/>
    <n v="0.59999999999998943"/>
    <n v="0.59999999999998943"/>
    <n v="17619.707999999999"/>
    <n v="50.54055946897644"/>
    <n v="3715.1"/>
    <n v="49.057887827321025"/>
    <n v="1223.51"/>
    <n v="49.057384928527817"/>
    <n v="97.615121548194679"/>
    <n v="13573"/>
    <n v="331.60799999999819"/>
    <n v="50.54055946897644"/>
    <n v="22.290599999999607"/>
    <n v="49.057887827321025"/>
    <n v="7.3281060493542913"/>
    <n v="49.057384928527817"/>
    <n v="15778.941999999999"/>
    <n v="89.552800000000005"/>
    <n v="49.88086653718608"/>
    <n v="1840.7660000000001"/>
    <n v="10.447199999999995"/>
    <n v="60.533006368001153"/>
    <n v="6.9317324000246581"/>
    <n v="6.9554955628868376"/>
    <n v="7.1976844544793028"/>
    <n v="21.0849124173908"/>
    <n v="68.943679429874805"/>
    <n v="9.9714081527344298"/>
    <n v="99.4"/>
    <n v="99.4"/>
    <n v="99.4"/>
    <n v="99.4"/>
    <n v="99.4"/>
    <n v="2011"/>
    <n v="1.35"/>
    <n v="2009"/>
    <n v="233"/>
    <n v="15.1"/>
    <n v="2009"/>
    <n v="2607.6982750000002"/>
    <n v="15.1"/>
    <n v="2009"/>
    <n v="98.553672790527301"/>
    <s v="spa"/>
    <n v="0"/>
    <s v="-"/>
    <s v="-"/>
    <s v="-"/>
    <s v="-"/>
    <s v="-"/>
    <s v="-"/>
    <s v="-"/>
    <s v="-"/>
    <n v="2"/>
    <s v="-"/>
    <s v="-"/>
    <s v="P006669 (C)"/>
    <s v="-"/>
    <s v="P069259 (C)"/>
    <s v="-"/>
    <n v="15116435"/>
    <n v="2002"/>
    <n v="86"/>
    <n v="14"/>
    <n v="18.8"/>
    <s v="4.6 %"/>
    <n v="95.7"/>
    <s v="esp"/>
    <s v="&lt; 1%"/>
    <s v="?"/>
    <n v="1"/>
    <s v="60 d"/>
    <s v="-"/>
    <s v="Cédula de Identidad"/>
    <s v="CH$ 2.78 ($4.75)"/>
    <s v="RUN (Rol Único de Identidad)"/>
    <s v="http://idbdocs.iadb.org/wsdocs/getdocument.aspx?docnum=1959542"/>
    <n v="1"/>
    <s v="National ID"/>
    <m/>
    <m/>
    <m/>
    <m/>
    <m/>
    <m/>
    <m/>
    <m/>
    <m/>
    <m/>
    <m/>
    <m/>
    <n v="1"/>
    <s v="civil"/>
    <s v="F"/>
    <n v="1"/>
    <n v="1"/>
    <s v="-"/>
    <s v="-"/>
    <s v="-"/>
    <s v="-"/>
    <s v="-"/>
    <s v="PF"/>
    <n v="31"/>
    <n v="8"/>
    <n v="14"/>
    <n v="9"/>
    <n v="10"/>
    <n v="1.0918170213699341"/>
    <n v="0.37345930933952332"/>
    <n v="1.245018482208252"/>
    <n v="1.4807983636856079"/>
    <n v="1.3384380340576172"/>
    <n v="1.5170445442199707"/>
    <n v="33"/>
    <n v="0.71216000000000002"/>
    <n v="0.94116999999999995"/>
    <n v="0.81889000000000001"/>
    <n v="0.49396000000000001"/>
    <n v="0.8236"/>
    <n v="56"/>
    <n v="5.92"/>
    <n v="6.35"/>
    <n v="4.08"/>
    <n v="8.7200000000000006"/>
    <s v="Privacy Law"/>
    <s v="http://www.leychile.cl/Navegar?idNorma=141599 "/>
    <n v="1999"/>
    <n v="1999"/>
    <s v="Both"/>
    <s v="consejo para la Transparencia"/>
    <s v="http://www.consejotransparencia.cl/consejo/site/edic/base/port/inicio.html "/>
    <s v="RedIPD"/>
    <n v="37"/>
    <n v="93"/>
    <n v="2008"/>
    <s v="http://www.rti-rating.org/files/pdf/Chile.pdf"/>
    <n v="5"/>
    <n v="16"/>
    <n v="21"/>
    <n v="14"/>
    <n v="23"/>
    <n v="4"/>
    <n v="10"/>
    <m/>
    <s v="OECD"/>
    <s v="APEC"/>
    <m/>
    <m/>
    <s v="IBRD"/>
    <s v=""/>
    <n v="0"/>
    <n v="24"/>
    <n v="96"/>
    <s v="A"/>
    <m/>
    <n v="4"/>
    <n v="0"/>
    <n v="0"/>
  </r>
  <r>
    <n v="36"/>
    <m/>
    <s v="China"/>
    <x v="6"/>
    <x v="1"/>
    <s v="CHN"/>
    <s v="CN"/>
    <s v="http://www.mps.gov.cn"/>
    <s v="Public Security Bureau"/>
    <n v="2"/>
    <n v="1949"/>
    <n v="2"/>
    <s v="30 d"/>
    <s v="free"/>
    <s v="http://www.mps.gov.cn"/>
    <s v="Public Security Bureau"/>
    <n v="6"/>
    <n v="1984"/>
    <s v="PRC (Resident Identity Card)"/>
    <x v="1"/>
    <n v="2"/>
    <n v="16"/>
    <s v="20 Yuan"/>
    <n v="1"/>
    <n v="1"/>
    <s v="http://en.wikipedia.org/wiki/Resident_Identity_Card"/>
    <n v="1"/>
    <n v="1"/>
    <m/>
    <s v="http://www.mps.gov.cn"/>
    <n v="2005"/>
    <n v="2"/>
    <s v="4B"/>
    <s v="C, E, H, S, T"/>
    <n v="0"/>
    <n v="0"/>
    <n v="1200000"/>
    <n v="9"/>
    <s v="http://www.identity-cards.net/record/china"/>
    <s v="-"/>
    <n v="1"/>
    <n v="1"/>
    <s v="http://www.mps.gov.cn/n16/n84147/"/>
    <s v="Bureau of Exit and Entry Administration of the Ministry of Public Security"/>
    <n v="2"/>
    <n v="2"/>
    <n v="2011"/>
    <n v="5"/>
    <s v="-"/>
    <n v="0"/>
    <s v="http://gsxt.saic.gov.cn/"/>
    <n v="2012"/>
    <n v="1"/>
    <n v="2"/>
    <s v="http://qyj.saic.gov.cn/index.html "/>
    <n v="1993"/>
    <n v="1"/>
    <s v="C"/>
    <n v="0"/>
    <s v="-"/>
    <n v="0"/>
    <n v="1"/>
    <n v="1376048.943"/>
    <n v="48.477332902540518"/>
    <n v="708977.11600000004"/>
    <n v="667071.82700000005"/>
    <n v="83185.944000000003"/>
    <n v="46.326939560846967"/>
    <n v="44648.442000000003"/>
    <n v="38537.502"/>
    <n v="78637.403999999995"/>
    <n v="46.143451022365902"/>
    <n v="42351.392"/>
    <n v="36286.012000000002"/>
    <n v="75291.907999999996"/>
    <n v="46.394542159829456"/>
    <n v="40360.572"/>
    <n v="34931.336000000003"/>
    <n v="1138933.6869999999"/>
    <n v="48.933224415198119"/>
    <n v="581616.71"/>
    <n v="557316.97700000007"/>
    <n v="2015"/>
    <s v="http://esa.un.org/unpd/wpp/Download/Standard/Population/"/>
    <n v="95"/>
    <n v="95"/>
    <n v="95"/>
    <s v="–"/>
    <s v="–"/>
    <n v="2013"/>
    <s v="http://www.unicef.cn/en/uploadfile/2014/1110/20141110052120900.pdf"/>
    <n v="1362288.943"/>
    <n v="99.000035567775598"/>
    <n v="701887.59700738953"/>
    <n v="660401.34599261044"/>
    <n v="2014"/>
    <s v="http://www.unicef.cn/en/uploadfile/2014/1110/20141110052120900.pdf"/>
    <n v="16"/>
    <n v="18"/>
    <s v="CN2014"/>
    <s v="-"/>
    <s v="-"/>
    <s v="-"/>
    <n v="2"/>
    <n v="6"/>
    <s v="CD"/>
    <x v="1"/>
    <n v="13760"/>
    <n v="0.999964432224414"/>
    <n v="48.477332902540752"/>
    <n v="7089.5189926105086"/>
    <n v="6670.4810073896078"/>
    <n v="0.99996443222442577"/>
    <n v="0.99996443222441878"/>
    <n v="1904.2371999999896"/>
    <n v="62.110881322432377"/>
    <n v="721.49869261050253"/>
    <n v="1182.7385073896028"/>
    <n v="7696.4656000000068"/>
    <n v="46.266267986697692"/>
    <n v="4135.598200000004"/>
    <n v="3560.8674000000033"/>
    <n v="4159.2972000000036"/>
    <n v="46.326939560846967"/>
    <n v="2232.422100000002"/>
    <n v="1926.8751000000018"/>
    <n v="5.0000000000000044"/>
    <n v="5.0000000000000044"/>
    <n v="1357380"/>
    <n v="48.172384962206607"/>
    <n v="244746.59142822537"/>
    <n v="46.123674386817612"/>
    <n v="90186.707999999999"/>
    <n v="46.136540934065714"/>
    <n v="87.594999999999999"/>
    <n v="974611.23423844588"/>
    <n v="138022.17433332864"/>
    <n v="48.172384962206607"/>
    <n v="30360.814666671355"/>
    <n v="46.123674386817612"/>
    <n v="10948.683985649277"/>
    <n v="46.136540934065714"/>
    <n v="720095.52"/>
    <n v="53.050400000000003"/>
    <n v="31.038420569537774"/>
    <n v="637284.48"/>
    <n v="46.949599999999997"/>
    <n v="61.254009512360952"/>
    <n v="6.5022506434122498"/>
    <n v="5.9106166953431334"/>
    <n v="5.6179413515155794"/>
    <n v="18.0308087218189"/>
    <n v="73.0936384471878"/>
    <n v="8.8755528309933496"/>
    <n v="87.594999999999999"/>
    <n v="87.594999999999999"/>
    <n v="87.594999999999999"/>
    <n v="87.594999999999999"/>
    <n v="87.594999999999999"/>
    <n v="2010"/>
    <n v="11.8"/>
    <n v="2009"/>
    <n v="158607.34000000003"/>
    <n v="2.5"/>
    <n v="2005"/>
    <n v="33603.25"/>
    <n v="6.1"/>
    <s v="-"/>
    <n v="95.124473571777301"/>
    <s v="chi"/>
    <n v="3"/>
    <n v="3"/>
    <s v="Yes"/>
    <s v="Planned in 1-3 provinces"/>
    <s v="-"/>
    <s v="-"/>
    <s v="Likely in 2-14 through UNESCAP process"/>
    <n v="0"/>
    <s v="-"/>
    <n v="1"/>
    <s v="-"/>
    <s v="-"/>
    <s v="P036041 (C)"/>
    <s v="-"/>
    <s v="-"/>
    <s v="-"/>
    <m/>
    <m/>
    <m/>
    <m/>
    <m/>
    <m/>
    <m/>
    <m/>
    <m/>
    <m/>
    <m/>
    <m/>
    <m/>
    <m/>
    <m/>
    <m/>
    <m/>
    <n v="1"/>
    <s v="Civil Registry + National ID"/>
    <m/>
    <m/>
    <m/>
    <m/>
    <m/>
    <m/>
    <m/>
    <m/>
    <m/>
    <m/>
    <m/>
    <m/>
    <n v="1"/>
    <s v="civil"/>
    <s v="NF"/>
    <n v="7"/>
    <n v="6"/>
    <s v="NF"/>
    <n v="87"/>
    <n v="19"/>
    <n v="29"/>
    <n v="39"/>
    <s v="NF"/>
    <n v="84"/>
    <n v="29"/>
    <n v="33"/>
    <n v="22"/>
    <n v="2"/>
    <n v="-1.5769116878509521"/>
    <n v="-0.54609090089797974"/>
    <n v="-2.9264414682984352E-2"/>
    <n v="-0.30694115161895752"/>
    <n v="-0.45593065023422241"/>
    <n v="-0.35417136549949646"/>
    <n v="70"/>
    <n v="0.54500999999999999"/>
    <n v="0.64705000000000001"/>
    <n v="0.60629"/>
    <n v="0.35539999999999999"/>
    <n v="0.6734"/>
    <n v="86"/>
    <n v="4.6399999999999997"/>
    <n v="5.0999999999999996"/>
    <n v="2.99"/>
    <n v="7.02"/>
    <s v="-"/>
    <s v="-"/>
    <s v="-"/>
    <s v="-"/>
    <s v="-"/>
    <s v="-"/>
    <s v="-"/>
    <s v="-"/>
    <n v="73"/>
    <n v="70"/>
    <n v="2007"/>
    <s v="http://www.rti-rating.org/files/pdf/China.pdf"/>
    <n v="1"/>
    <n v="11"/>
    <n v="16"/>
    <n v="15"/>
    <n v="13"/>
    <n v="1"/>
    <n v="13"/>
    <m/>
    <m/>
    <s v="APEC"/>
    <m/>
    <m/>
    <s v="IBRD"/>
    <s v=""/>
    <n v="0"/>
    <n v="18"/>
    <n v="72"/>
    <s v="B"/>
    <m/>
    <n v="3"/>
    <n v="1"/>
    <n v="0"/>
  </r>
  <r>
    <n v="37"/>
    <m/>
    <s v="Colombia"/>
    <x v="5"/>
    <x v="1"/>
    <s v="COL"/>
    <s v="CO"/>
    <s v="http://www.registraduria.gov.co"/>
    <s v="Registraduría Nacional del Estado Civil (RNEC)"/>
    <n v="4"/>
    <n v="1865"/>
    <n v="2"/>
    <s v="30 d"/>
    <s v="free"/>
    <s v="http://www.registraduria.gov.co/-El-parche-del-regi-.html"/>
    <s v="Registraduria Nacional del Estado Civil / Organizacion Electoral"/>
    <n v="4"/>
    <n v="1970"/>
    <s v="NUIP (Número Único de Identidad Personal) / Cédula de Identidad"/>
    <x v="1"/>
    <n v="2"/>
    <n v="14"/>
    <s v="free"/>
    <n v="1"/>
    <n v="1"/>
    <m/>
    <n v="1"/>
    <n v="1"/>
    <m/>
    <s v="http://www.registraduria.gov.co/-El-parche-del-regi-.html"/>
    <n v="2013"/>
    <n v="2"/>
    <s v="4B"/>
    <s v="C, E, H, R, S"/>
    <n v="0"/>
    <n v="0"/>
    <s v="-"/>
    <n v="2"/>
    <s v="http://www.morpho.com/IMG/pdf/Morpho_Civis.pdf"/>
    <s v="-"/>
    <n v="1"/>
    <n v="1"/>
    <s v="http://www.cancilleria.gov.co/"/>
    <s v="Ministry of Foreign Affairs"/>
    <n v="2"/>
    <n v="3"/>
    <n v="2014"/>
    <n v="10"/>
    <s v="-"/>
    <n v="0"/>
    <s v="http://www.confecamaras.org.co"/>
    <n v="2012"/>
    <n v="1"/>
    <n v="1"/>
    <s v="http://www.doingbusiness.org/data/exploreeconomies/colombia/starting-a-business"/>
    <n v="2000"/>
    <n v="0"/>
    <s v="-"/>
    <n v="0"/>
    <s v="-"/>
    <n v="3"/>
    <n v="1"/>
    <n v="48228.703999999998"/>
    <n v="50.768871997887409"/>
    <n v="23743.535"/>
    <n v="24485.169000000002"/>
    <n v="3738.2779999999998"/>
    <n v="48.938120706913715"/>
    <n v="1908.835"/>
    <n v="1829.443"/>
    <n v="3905.2930000000001"/>
    <n v="48.966543611452458"/>
    <n v="1993.0060000000001"/>
    <n v="1912.287"/>
    <n v="4069.625"/>
    <n v="48.962938845716742"/>
    <n v="2077.0169999999998"/>
    <n v="1992.6079999999999"/>
    <n v="36515.508000000002"/>
    <n v="51.350322169966802"/>
    <n v="17764.677"/>
    <n v="18750.831000000002"/>
    <n v="2015"/>
    <s v="http://esa.un.org/unpd/wpp/Download/Standard/Population/"/>
    <n v="96.5"/>
    <n v="96.5"/>
    <n v="96.5"/>
    <n v="97.2"/>
    <n v="94.6"/>
    <n v="2010"/>
    <s v="DHS"/>
    <n v="32795.962"/>
    <n v="68.000919120696253"/>
    <n v="15751.999"/>
    <n v="17043.963"/>
    <n v="2014"/>
    <s v="http://www.registraduria.gov.co/32-795-962-colombianos-estan.html"/>
    <n v="14"/>
    <n v="18"/>
    <s v="CO2014"/>
    <n v="32835.856"/>
    <n v="31189.402999999998"/>
    <n v="46245.296999999999"/>
    <n v="10"/>
    <n v="4"/>
    <s v="CD"/>
    <x v="1"/>
    <n v="4129.5078600000024"/>
    <n v="8.5623446568251182"/>
    <n v="46.193636013566071"/>
    <n v="2221.9380299999998"/>
    <n v="1907.5698300000026"/>
    <n v="9.3580759141383112"/>
    <n v="7.7907153918357785"/>
    <n v="3719.5460000000021"/>
    <n v="45.889148836981754"/>
    <n v="2012.6779999999999"/>
    <n v="1706.8680000000022"/>
    <n v="279.12213000000025"/>
    <n v="48.964704088493455"/>
    <n v="142.45080500000012"/>
    <n v="136.67132500000014"/>
    <n v="130.83973000000012"/>
    <n v="48.938120706913722"/>
    <n v="66.809225000000055"/>
    <n v="64.030505000000062"/>
    <n v="3.5000000000000031"/>
    <n v="3.5000000000000031"/>
    <n v="48321.404999999999"/>
    <n v="50.83206293360054"/>
    <n v="13379.215999999979"/>
    <n v="48.938962739940514"/>
    <n v="4501.7169999999996"/>
    <n v="48.926478171281872"/>
    <n v="93.2"/>
    <n v="32566.12014800002"/>
    <n v="2376.0688519999994"/>
    <n v="50.83206293360054"/>
    <n v="468.27255999999966"/>
    <n v="48.938962739940514"/>
    <n v="157.16053788249704"/>
    <n v="48.926478171281872"/>
    <n v="36646.18"/>
    <n v="75.838399999999993"/>
    <n v="51.308054482076983"/>
    <n v="11675.225"/>
    <n v="24.161600000000007"/>
    <n v="45.632311154603016"/>
    <n v="9.2925714439740617"/>
    <n v="9.2611381690843313"/>
    <n v="9.1342601386489495"/>
    <n v="27.6879697517073"/>
    <n v="66.148796790987305"/>
    <n v="6.16323345730531"/>
    <n v="96.5"/>
    <n v="96.5"/>
    <n v="96.5"/>
    <n v="97.2"/>
    <n v="94.6"/>
    <n v="2010"/>
    <n v="8.16"/>
    <n v="2010"/>
    <n v="3848.0242499999999"/>
    <n v="34.1"/>
    <n v="2011"/>
    <n v="16002.149625000002"/>
    <n v="32.700000000000003"/>
    <n v="2012"/>
    <n v="93.580535888671903"/>
    <s v="spa"/>
    <n v="3"/>
    <s v="-"/>
    <s v="-"/>
    <s v="-"/>
    <s v="-"/>
    <s v="-"/>
    <s v="-"/>
    <s v="-"/>
    <s v="-"/>
    <n v="3"/>
    <s v="-"/>
    <s v="-"/>
    <s v="P006889 (C); P040109 (C); P106628 (A)"/>
    <s v="-"/>
    <s v="-"/>
    <s v="-"/>
    <n v="41468384"/>
    <n v="2005"/>
    <n v="75"/>
    <n v="25"/>
    <n v="64"/>
    <s v="13.9 %"/>
    <n v="91.3"/>
    <s v="esp"/>
    <n v="10"/>
    <n v="10"/>
    <n v="2"/>
    <s v="1 m"/>
    <s v="-"/>
    <s v="Cédula de Identidad"/>
    <s v="free"/>
    <s v="NUIP (Número Único de Identidad Personal)"/>
    <s v="http://idbdocs.iadb.org/wsdocs/getdocument.aspx?docnum=1959542"/>
    <n v="1"/>
    <s v="National Registry of Civil Status, ID"/>
    <n v="1"/>
    <s v="Plena Identidad (voter authentication)"/>
    <m/>
    <m/>
    <m/>
    <m/>
    <m/>
    <m/>
    <m/>
    <m/>
    <m/>
    <m/>
    <n v="1"/>
    <s v="civil"/>
    <s v="PF"/>
    <n v="3"/>
    <n v="4"/>
    <s v="F"/>
    <n v="30"/>
    <n v="8"/>
    <n v="8"/>
    <n v="14"/>
    <s v="PF"/>
    <n v="54"/>
    <n v="11"/>
    <n v="27"/>
    <n v="16"/>
    <n v="9"/>
    <n v="-0.11632202565670013"/>
    <n v="-1.2685767412185669"/>
    <n v="4.2561005800962448E-2"/>
    <n v="0.38784414529800415"/>
    <n v="-0.4485432505607605"/>
    <n v="-0.43738386034965515"/>
    <n v="50"/>
    <n v="0.61729999999999996"/>
    <n v="0.88234999999999997"/>
    <n v="0.78739999999999999"/>
    <n v="0.32971"/>
    <n v="0.73480000000000001"/>
    <n v="77"/>
    <n v="4.95"/>
    <n v="5.44"/>
    <n v="3.07"/>
    <n v="7.71"/>
    <s v="Data Protection Law"/>
    <s v="http://wsp.presidencia.gov.co/Normativa/Leyes/Documents/LEY%201581%20DEL%2017%20DE%20OCTUBRE%20DE%202012.pdf "/>
    <n v="2008"/>
    <n v="2012"/>
    <s v="Both"/>
    <s v="Superintendence of Industry and Commerce"/>
    <s v="http://www.sic.gov.co"/>
    <s v="ICDPPC; RedIPD; APPA"/>
    <n v="25"/>
    <n v="102"/>
    <n v="1985"/>
    <s v="http://www.rti-rating.org/files/pdf/Colombia.pdf"/>
    <n v="6"/>
    <n v="29"/>
    <n v="16"/>
    <n v="23"/>
    <n v="15"/>
    <n v="4"/>
    <n v="9"/>
    <m/>
    <m/>
    <m/>
    <m/>
    <m/>
    <s v="IBRD"/>
    <s v=""/>
    <n v="0"/>
    <n v="19"/>
    <n v="76"/>
    <s v="A"/>
    <m/>
    <n v="3"/>
    <n v="0"/>
    <n v="0"/>
  </r>
  <r>
    <n v="38"/>
    <m/>
    <s v="Comoros"/>
    <x v="4"/>
    <x v="0"/>
    <s v="COM"/>
    <s v="KM"/>
    <s v="http://comoros.eregulations.org/show-step.asp?l=fr&amp;mid=3&amp;rid=4&amp;sno=29"/>
    <s v="Prefecture du Centre"/>
    <n v="6"/>
    <n v="2010"/>
    <n v="2"/>
    <s v="-"/>
    <s v="-"/>
    <s v="http://www.beit-salam.km/rubrique.php3?id_rubrique=5"/>
    <s v="Ministry of Interior"/>
    <n v="2"/>
    <n v="1979"/>
    <s v="National ID Card"/>
    <x v="1"/>
    <n v="2"/>
    <n v="15"/>
    <s v="free"/>
    <n v="0"/>
    <n v="0"/>
    <m/>
    <m/>
    <m/>
    <m/>
    <s v="http://www.jocomores.gouv.km/spip.php?article942"/>
    <n v="2010"/>
    <n v="1"/>
    <s v="2B"/>
    <s v="C"/>
    <n v="0"/>
    <n v="0"/>
    <s v="-"/>
    <n v="8"/>
    <s v="http://www.semlex.com/en/references/references-clients.html"/>
    <s v="-"/>
    <n v="0"/>
    <n v="0"/>
    <s v="http://www.beit-salam.km/"/>
    <s v="Ministry of Interior"/>
    <n v="2"/>
    <n v="2"/>
    <n v="2008"/>
    <n v="5"/>
    <s v="-"/>
    <n v="0"/>
    <s v="http://comoros.eregulations.org/show-step.asp?l=fr&amp;mid=37&amp;rid=37&amp;sno=185"/>
    <n v="1967"/>
    <n v="0"/>
    <n v="0"/>
    <s v="-"/>
    <s v="-"/>
    <n v="0"/>
    <s v="-"/>
    <n v="0"/>
    <s v="-"/>
    <n v="0"/>
    <n v="0"/>
    <n v="788.47400000000005"/>
    <n v="49.56079718544936"/>
    <n v="397.7"/>
    <n v="390.774"/>
    <n v="119.289"/>
    <n v="49.054816454157553"/>
    <n v="60.771999999999998"/>
    <n v="58.517000000000003"/>
    <n v="105.41200000000001"/>
    <n v="49.116798846431145"/>
    <n v="53.637"/>
    <n v="51.774999999999999"/>
    <n v="92.846999999999994"/>
    <n v="49.163677878660593"/>
    <n v="47.2"/>
    <n v="45.646999999999998"/>
    <n v="470.92600000000004"/>
    <n v="49.866645715038032"/>
    <n v="236.09100000000001"/>
    <n v="234.83500000000004"/>
    <n v="2015"/>
    <s v="http://esa.un.org/unpd/wpp/Download/Standard/Population/"/>
    <n v="87.3"/>
    <n v="87.4"/>
    <n v="87.2"/>
    <n v="89.5"/>
    <n v="86.5"/>
    <n v="2012"/>
    <s v="DHS"/>
    <n v="274.505"/>
    <n v="34.814718050309835"/>
    <n v="138.45813368608222"/>
    <n v="136.04686631391777"/>
    <n v="2015"/>
    <s v="http://www.electionguide.org/countries/id/49/"/>
    <n v="15"/>
    <n v="18"/>
    <s v="KM2015"/>
    <n v="274.505"/>
    <n v="396.38"/>
    <n v="766.86500000000001"/>
    <n v="1"/>
    <n v="4"/>
    <s v="CD"/>
    <x v="0"/>
    <n v="236.74959600000005"/>
    <n v="30.026303467203739"/>
    <n v="50.157773315094587"/>
    <n v="117.99560031391776"/>
    <n v="118.74832568608227"/>
    <n v="29.66949970176459"/>
    <n v="30.387980184475495"/>
    <n v="196.42100000000005"/>
    <n v="50.294079393793048"/>
    <n v="97.632866313917788"/>
    <n v="98.788133686082261"/>
    <n v="25.178893000000002"/>
    <n v="49.525672157231057"/>
    <n v="12.70546199999999"/>
    <n v="12.470016000000001"/>
    <n v="15.149703000000001"/>
    <n v="49.441074851434387"/>
    <n v="7.6572719999999928"/>
    <n v="7.4901760000000008"/>
    <n v="12.599999999999989"/>
    <n v="12.8"/>
    <n v="734.91700000000003"/>
    <n v="49.622746514232219"/>
    <n v="309.28100000000018"/>
    <n v="49.037606577837003"/>
    <n v="116.26"/>
    <n v="49.017178937951115"/>
    <n v="90.217932693663158"/>
    <n v="384"/>
    <n v="41.635999999999846"/>
    <n v="49.622746514232219"/>
    <n v="39.278687000000026"/>
    <n v="49.037606577837003"/>
    <n v="14.763368999999987"/>
    <n v="49.017178937951115"/>
    <n v="207.73"/>
    <n v="28.265799999999999"/>
    <n v="30.433254705627498"/>
    <n v="527.18700000000001"/>
    <n v="71.734200000000001"/>
    <n v="30.813734026066651"/>
    <n v="15.817704584327192"/>
    <n v="14.16241561972303"/>
    <n v="12.103679735262652"/>
    <n v="42.083799939312897"/>
    <n v="55.0668987110109"/>
    <n v="2.8493013496762201"/>
    <n v="87.3"/>
    <n v="87.2"/>
    <n v="87.4"/>
    <n v="89.5"/>
    <n v="86.5"/>
    <n v="2012"/>
    <n v="46.1"/>
    <n v="2004"/>
    <n v="347.56772299999994"/>
    <n v="44.8"/>
    <n v="2004"/>
    <n v="337.76646399999998"/>
    <n v="60"/>
    <n v="2002"/>
    <n v="75.939750671386705"/>
    <s v="fre"/>
    <n v="2"/>
    <n v="3"/>
    <s v="Yes"/>
    <s v="-"/>
    <s v="-"/>
    <s v="-"/>
    <s v="CR Minister"/>
    <n v="0.83"/>
    <s v="-"/>
    <s v="-"/>
    <m/>
    <m/>
    <m/>
    <m/>
    <m/>
    <m/>
    <m/>
    <m/>
    <m/>
    <m/>
    <m/>
    <m/>
    <m/>
    <m/>
    <m/>
    <m/>
    <m/>
    <m/>
    <m/>
    <m/>
    <m/>
    <m/>
    <m/>
    <m/>
    <m/>
    <n v="1"/>
    <s v="Voter Registration"/>
    <m/>
    <m/>
    <m/>
    <m/>
    <m/>
    <m/>
    <m/>
    <m/>
    <m/>
    <m/>
    <n v="3"/>
    <s v="civil + customary + religious"/>
    <s v="PF"/>
    <n v="3"/>
    <n v="4"/>
    <s v="-"/>
    <s v="-"/>
    <s v="-"/>
    <s v="-"/>
    <s v="-"/>
    <s v="PF"/>
    <n v="49"/>
    <n v="14"/>
    <n v="20"/>
    <n v="15"/>
    <n v="9"/>
    <n v="-0.51739376783370972"/>
    <n v="-0.2388356477022171"/>
    <n v="-1.435276985168457"/>
    <n v="-1.2609561681747437"/>
    <n v="-0.98600620031356812"/>
    <n v="-0.72770512104034424"/>
    <n v="177"/>
    <n v="0.18076999999999999"/>
    <n v="3.9210000000000002E-2"/>
    <n v="1.5740000000000001E-2"/>
    <n v="6.037E-2"/>
    <n v="0.4662"/>
    <s v="-"/>
    <s v="-"/>
    <s v="-"/>
    <s v="-"/>
    <s v="-"/>
    <s v="-"/>
    <s v="-"/>
    <s v="-"/>
    <s v="-"/>
    <s v="-"/>
    <s v="-"/>
    <s v="-"/>
    <s v="-"/>
    <s v="-"/>
    <s v="-"/>
    <s v="-"/>
    <s v="-"/>
    <s v="-"/>
    <s v="-"/>
    <s v="-"/>
    <s v="-"/>
    <s v="-"/>
    <s v="-"/>
    <s v="-"/>
    <m/>
    <m/>
    <m/>
    <n v="1"/>
    <m/>
    <s v="IDA"/>
    <s v="HIPC"/>
    <n v="0"/>
    <n v="10"/>
    <n v="40"/>
    <s v="C"/>
    <n v="1"/>
    <n v="4"/>
    <n v="0"/>
    <n v="0"/>
  </r>
  <r>
    <n v="39"/>
    <m/>
    <s v="Congo, Rep."/>
    <x v="4"/>
    <x v="3"/>
    <s v="COG"/>
    <s v="CG"/>
    <s v="http://www.refworld.org/pdfid/5`4322142.pdf"/>
    <s v="Civil Registry Offices"/>
    <n v="2"/>
    <n v="2002"/>
    <n v="2"/>
    <s v="30 d"/>
    <s v="free"/>
    <s v="http://www.presidence.cg/accueil/"/>
    <s v="Ministry of Interior"/>
    <n v="2"/>
    <n v="1961"/>
    <s v="National ID Card"/>
    <x v="1"/>
    <n v="2"/>
    <n v="16"/>
    <s v="free"/>
    <n v="0"/>
    <n v="0"/>
    <m/>
    <m/>
    <m/>
    <m/>
    <s v="http://www.presidence.cg/accueil/"/>
    <n v="2010"/>
    <n v="2"/>
    <s v="4B"/>
    <s v="C, H, S, V"/>
    <n v="0"/>
    <n v="0"/>
    <s v="-"/>
    <n v="9"/>
    <s v="http://www.cto.int/media/events/pst-ev/2013/e-Gove/Matthias%20K.%20Kohler.pdf"/>
    <s v="-"/>
    <n v="0"/>
    <n v="0"/>
    <s v="http://www.congo-site.com/"/>
    <s v="Directorate of Immigration and Emigration"/>
    <n v="2"/>
    <n v="2"/>
    <n v="2012"/>
    <n v="5"/>
    <s v="-"/>
    <n v="0"/>
    <s v="http://www.moea.gov.bt/departments/department.php?id=2"/>
    <n v="2000"/>
    <n v="0"/>
    <n v="0"/>
    <s v="-"/>
    <s v="-"/>
    <n v="0"/>
    <s v="-"/>
    <n v="0"/>
    <s v="-"/>
    <n v="0"/>
    <n v="0"/>
    <n v="4620.33"/>
    <n v="49.979330480723242"/>
    <n v="2311.12"/>
    <n v="2309.21"/>
    <n v="759.04200000000003"/>
    <n v="49.528221099754688"/>
    <n v="383.10199999999998"/>
    <n v="375.94"/>
    <n v="656.31500000000005"/>
    <n v="49.666242581687143"/>
    <n v="330.34800000000001"/>
    <n v="325.96699999999998"/>
    <n v="554.32299999999998"/>
    <n v="49.769719098792578"/>
    <n v="278.43799999999999"/>
    <n v="275.88499999999999"/>
    <n v="2650.65"/>
    <n v="50.229868145549197"/>
    <n v="1319.232"/>
    <n v="1331.4179999999999"/>
    <n v="2015"/>
    <s v="http://esa.un.org/unpd/wpp/Download/Standard/Population/"/>
    <n v="90.8"/>
    <n v="91"/>
    <n v="90.7"/>
    <n v="94.9"/>
    <n v="84.7"/>
    <s v="2011-2012"/>
    <s v="DHS"/>
    <n v="2078.8020000000001"/>
    <n v="44.992500535676029"/>
    <n v="1039.8306783801156"/>
    <n v="1038.9713216198843"/>
    <n v="2009"/>
    <s v="http://www.electionguide.org/countries/id/50/"/>
    <n v="16"/>
    <n v="18"/>
    <s v="CG2009"/>
    <n v="2078.8020000000001"/>
    <n v="1902.82"/>
    <n v="4012.8090000000002"/>
    <n v="1"/>
    <n v="4"/>
    <s v="CD"/>
    <x v="0"/>
    <n v="753.05856000000017"/>
    <n v="16.29880463083806"/>
    <n v="50.909896619476115"/>
    <n v="368.67124161988431"/>
    <n v="383.38133438011556"/>
    <n v="15.952059677553928"/>
    <n v="16.602272395326349"/>
    <n v="571.84799999999996"/>
    <n v="51.140631493004371"/>
    <n v="279.40132161988436"/>
    <n v="292.4466783801156"/>
    <n v="111.3786960000001"/>
    <n v="50.253987530972644"/>
    <n v="54.790739999999978"/>
    <n v="55.972235999999981"/>
    <n v="69.831864000000067"/>
    <n v="50.066571329099787"/>
    <n v="34.479179999999985"/>
    <n v="34.962419999999987"/>
    <n v="8.9999999999999964"/>
    <n v="9.2999999999999972"/>
    <n v="4447.6319999999996"/>
    <n v="50.011466776028236"/>
    <n v="1891.868999999999"/>
    <n v="49.554109874993316"/>
    <n v="738.44"/>
    <n v="49.572879837252401"/>
    <n v="81.306443516084997"/>
    <n v="2078"/>
    <n v="477.76300000000077"/>
    <n v="50.011466776028236"/>
    <n v="174.05194800000007"/>
    <n v="49.554109874993316"/>
    <n v="67.738526193360428"/>
    <n v="49.572879837252401"/>
    <n v="2868.82"/>
    <n v="64.502200000000002"/>
    <n v="40.192169602833225"/>
    <n v="1578.8119999999999"/>
    <n v="35.497799999999998"/>
    <n v="25.780016873446616"/>
    <n v="16.554614414787459"/>
    <n v="13.995228879962083"/>
    <n v="11.986701994968673"/>
    <n v="42.536545289718198"/>
    <n v="54.070548102900602"/>
    <n v="3.3929066073811902"/>
    <n v="90.8"/>
    <n v="90.7"/>
    <n v="91"/>
    <n v="94.9"/>
    <n v="84.7"/>
    <n v="2012"/>
    <n v="54.1"/>
    <n v="2005"/>
    <n v="2239.6036679999997"/>
    <n v="46.5"/>
    <n v="2011"/>
    <n v="1924.9828199999997"/>
    <n v="46.5"/>
    <n v="2011"/>
    <n v="79.311172485351605"/>
    <s v="fre"/>
    <n v="2"/>
    <n v="3"/>
    <s v="-"/>
    <s v="-"/>
    <s v="-"/>
    <s v="-"/>
    <s v="CR Minister"/>
    <n v="0.81"/>
    <s v="-"/>
    <s v="-"/>
    <m/>
    <m/>
    <m/>
    <m/>
    <m/>
    <m/>
    <m/>
    <m/>
    <m/>
    <m/>
    <m/>
    <m/>
    <m/>
    <m/>
    <m/>
    <m/>
    <m/>
    <m/>
    <m/>
    <m/>
    <m/>
    <m/>
    <m/>
    <m/>
    <m/>
    <m/>
    <m/>
    <m/>
    <m/>
    <m/>
    <m/>
    <m/>
    <m/>
    <m/>
    <m/>
    <m/>
    <m/>
    <n v="1"/>
    <s v="civil"/>
    <s v="NF"/>
    <n v="6"/>
    <n v="5"/>
    <s v="-"/>
    <s v="-"/>
    <s v="-"/>
    <s v="-"/>
    <s v="-"/>
    <s v="PF"/>
    <n v="57"/>
    <n v="16"/>
    <n v="24"/>
    <n v="17"/>
    <n v="5"/>
    <n v="-1.1248090267181396"/>
    <n v="-0.46612268686294556"/>
    <n v="-1.2225868701934814"/>
    <n v="-1.3572151660919189"/>
    <n v="-1.0923951864242554"/>
    <n v="-1.1871302127838135"/>
    <n v="160"/>
    <n v="0.25696000000000002"/>
    <n v="9.8030000000000006E-2"/>
    <n v="0.10236000000000001"/>
    <n v="0.14526"/>
    <n v="0.52329999999999999"/>
    <n v="137"/>
    <n v="2.2400000000000002"/>
    <n v="2.65"/>
    <n v="0.56999999999999995"/>
    <n v="4.7699999999999996"/>
    <s v="-"/>
    <s v="-"/>
    <s v="-"/>
    <s v="-"/>
    <s v="-"/>
    <s v="-"/>
    <s v="-"/>
    <s v="-"/>
    <s v="-"/>
    <s v="-"/>
    <s v="-"/>
    <s v="-"/>
    <s v="-"/>
    <s v="-"/>
    <s v="-"/>
    <s v="-"/>
    <s v="-"/>
    <s v="-"/>
    <s v="-"/>
    <m/>
    <m/>
    <m/>
    <s v="prev"/>
    <n v="60.2"/>
    <s v="Blend"/>
    <s v="HIPC"/>
    <n v="0"/>
    <n v="13"/>
    <n v="52"/>
    <s v="B"/>
    <n v="1"/>
    <n v="4"/>
    <n v="0"/>
    <n v="0"/>
  </r>
  <r>
    <n v="40"/>
    <m/>
    <s v="Congo, Dem. Rep."/>
    <x v="4"/>
    <x v="0"/>
    <s v="COD"/>
    <s v="CD"/>
    <s v="http://www.misdac-rdc.net"/>
    <s v="Ministère de l’Intérieur, Sécurité, Décentralisation et Affaires Coutumières "/>
    <n v="2"/>
    <n v="1908"/>
    <n v="2"/>
    <s v="30 d"/>
    <s v="free"/>
    <s v="http://www.presidentrdc.cd/spip.php?article630"/>
    <s v="ONIP / National Identification Population Office / Ministry of Interior"/>
    <n v="2"/>
    <n v="2011"/>
    <s v="National ID Card"/>
    <x v="1"/>
    <n v="2"/>
    <n v="15"/>
    <s v="free"/>
    <n v="0"/>
    <n v="0"/>
    <m/>
    <n v="1"/>
    <m/>
    <m/>
    <s v="http://www.presidentrdc.cd/spip.php?article630"/>
    <n v="2015"/>
    <n v="2"/>
    <s v="4B"/>
    <s v="C, S, V"/>
    <n v="0"/>
    <n v="0"/>
    <s v="-"/>
    <n v="10"/>
    <s v="http://www.lesoftonline.net/articles/lumanu-recherche-un-demi-milliard-de-dollars-pour-l%E2%80%99onip"/>
    <s v="-"/>
    <n v="0"/>
    <n v="0"/>
    <s v="http://www.minaffecirdc.cd"/>
    <s v="Ministry of Foreign Affairs and International Cooperation"/>
    <n v="2"/>
    <n v="3"/>
    <n v="2009"/>
    <n v="5"/>
    <n v="400"/>
    <n v="0"/>
    <s v="http://www.ohada-rdc.cd/rccm.html "/>
    <n v="1979"/>
    <n v="0"/>
    <n v="0"/>
    <s v="-"/>
    <s v="-"/>
    <n v="0"/>
    <s v="-"/>
    <n v="0"/>
    <s v="-"/>
    <n v="0"/>
    <n v="0"/>
    <n v="77266.813999999998"/>
    <n v="50.129773695599766"/>
    <n v="38533.135000000002"/>
    <n v="38733.678999999996"/>
    <n v="13875.564"/>
    <n v="49.51361256378479"/>
    <n v="7005.2709999999997"/>
    <n v="6870.2929999999997"/>
    <n v="11739.773999999999"/>
    <n v="49.610844297343377"/>
    <n v="5915.5730000000003"/>
    <n v="5824.201"/>
    <n v="9921.9380000000001"/>
    <n v="49.704835889923928"/>
    <n v="4990.2550000000001"/>
    <n v="4931.683"/>
    <n v="41729.538"/>
    <n v="50.581681493813804"/>
    <n v="20622.036"/>
    <n v="21107.501999999997"/>
    <n v="2015"/>
    <s v="http://esa.un.org/unpd/wpp/Download/Standard/Population/"/>
    <n v="27.8"/>
    <n v="27.5"/>
    <n v="28"/>
    <n v="23.9"/>
    <n v="29.2"/>
    <n v="2010"/>
    <s v="MICS"/>
    <n v="32024.639999999999"/>
    <n v="41.446823470681728"/>
    <n v="15970.760441169479"/>
    <n v="16053.87955883052"/>
    <n v="2011"/>
    <s v="http://www.electionguide.org/countries/id/51/"/>
    <n v="15"/>
    <n v="18"/>
    <s v="CD2011"/>
    <n v="32024.639999999999"/>
    <n v="34036.858999999997"/>
    <n v="71712.866999999998"/>
    <n v="1"/>
    <n v="4"/>
    <s v="CD"/>
    <x v="0"/>
    <n v="35362.811272000006"/>
    <n v="45.767140433666654"/>
    <n v="50.17833493124855"/>
    <n v="17636.822333830522"/>
    <n v="17744.469881169476"/>
    <n v="45.770535757940593"/>
    <n v="45.811475540883883"/>
    <n v="9704.898000000001"/>
    <n v="52.072906290921097"/>
    <n v="4651.2755588305208"/>
    <n v="5053.6224411694766"/>
    <n v="15639.756064000001"/>
    <n v="49.51635081972848"/>
    <n v="7906.7253000000001"/>
    <n v="7744.2364799999996"/>
    <n v="10018.157208000001"/>
    <n v="49.376455742278466"/>
    <n v="5078.8214749999997"/>
    <n v="4946.61096"/>
    <n v="72.5"/>
    <n v="72.000000000000014"/>
    <n v="67513.676999999996"/>
    <n v="50.325764363271162"/>
    <n v="30400.156999999977"/>
    <n v="49.754606350128803"/>
    <n v="11906.699000000001"/>
    <n v="49.811298563596999"/>
    <n v="47.43"/>
    <n v="17602.94253600001"/>
    <n v="19510.577464000013"/>
    <n v="50.325764363271162"/>
    <n v="21948.913353999982"/>
    <n v="49.754606350128803"/>
    <n v="8579.9167277849647"/>
    <n v="49.811298563596999"/>
    <n v="23888.364000000001"/>
    <n v="35.383000000000003"/>
    <n v="50.325764363271162"/>
    <n v="43625.313000000002"/>
    <n v="64.61699999999999"/>
    <n v="50.325764363271162"/>
    <n v="17.601679692571629"/>
    <n v="14.696832681447747"/>
    <n v="12.729633552620051"/>
    <n v="45.028145926639397"/>
    <n v="52.110647150798798"/>
    <n v="2.86120692256178"/>
    <n v="27.8"/>
    <n v="28"/>
    <n v="27.5"/>
    <n v="23.9"/>
    <n v="29.2"/>
    <n v="2010"/>
    <n v="87.72"/>
    <n v="2006"/>
    <n v="59423.395029000007"/>
    <n v="71.3"/>
    <n v="2005"/>
    <n v="48311.152400999999"/>
    <n v="71"/>
    <n v="2006"/>
    <n v="61.205543518066399"/>
    <s v="fre"/>
    <n v="1"/>
    <n v="3"/>
    <s v="Yes"/>
    <s v="-"/>
    <s v="-"/>
    <s v="-"/>
    <s v="CR Minister"/>
    <n v="0.28000000000000003"/>
    <s v="-"/>
    <n v="4"/>
    <s v="-"/>
    <s v="P147555 (P)"/>
    <s v="P122229 (A)"/>
    <s v="-"/>
    <s v="P104041 (A); P122229 (A)"/>
    <s v="P145965 (A); P147555 (P)"/>
    <m/>
    <m/>
    <m/>
    <m/>
    <m/>
    <m/>
    <m/>
    <m/>
    <m/>
    <m/>
    <m/>
    <m/>
    <m/>
    <m/>
    <m/>
    <m/>
    <m/>
    <m/>
    <m/>
    <n v="1"/>
    <s v="Voter ID"/>
    <n v="1"/>
    <s v="PNDDR (demobilization, payments)"/>
    <m/>
    <m/>
    <m/>
    <m/>
    <m/>
    <m/>
    <m/>
    <m/>
    <n v="1"/>
    <s v="civil"/>
    <s v="NF"/>
    <n v="6"/>
    <n v="6"/>
    <s v="-"/>
    <s v="-"/>
    <s v="-"/>
    <s v="-"/>
    <s v="-"/>
    <s v="NF"/>
    <n v="79"/>
    <n v="24"/>
    <n v="31"/>
    <n v="24"/>
    <n v="5"/>
    <n v="-1.4673969745635986"/>
    <n v="-2.2300465106964111"/>
    <n v="-1.5920511484146118"/>
    <n v="-1.2807377576828003"/>
    <n v="-1.549072265625"/>
    <n v="-1.2977684736251831"/>
    <n v="183"/>
    <n v="0.15514"/>
    <n v="1.9599999999999999E-2"/>
    <n v="4.7239999999999997E-2"/>
    <n v="3.3689999999999998E-2"/>
    <n v="0.38450000000000001"/>
    <n v="157"/>
    <n v="1.56"/>
    <n v="1.72"/>
    <n v="0.3"/>
    <n v="3.76"/>
    <s v="-"/>
    <s v="-"/>
    <s v="-"/>
    <s v="-"/>
    <s v="-"/>
    <s v="-"/>
    <s v="-"/>
    <s v="-"/>
    <s v="-"/>
    <s v="-"/>
    <s v="-"/>
    <s v="-"/>
    <s v="-"/>
    <s v="-"/>
    <s v="-"/>
    <s v="-"/>
    <s v="-"/>
    <s v="-"/>
    <s v="-"/>
    <m/>
    <m/>
    <m/>
    <n v="1"/>
    <n v="34.799999999999997"/>
    <s v="IDA"/>
    <s v="HIPC"/>
    <n v="0"/>
    <n v="13"/>
    <n v="52"/>
    <s v="B"/>
    <n v="1"/>
    <n v="3"/>
    <n v="0"/>
    <n v="0"/>
  </r>
  <r>
    <n v="41"/>
    <m/>
    <s v="Costa Rica"/>
    <x v="5"/>
    <x v="1"/>
    <s v="CRI"/>
    <s v="CR"/>
    <s v="http://www.tse.go.cr/devolucion_inscripciones.htm"/>
    <s v="Registro Civil"/>
    <n v="4"/>
    <n v="1888"/>
    <n v="2"/>
    <s v="30 d"/>
    <s v="free"/>
    <s v="http://www.tse.go.cr/servicios.htm"/>
    <s v="Registro Civil / Local registrar's office"/>
    <n v="6"/>
    <n v="1969"/>
    <s v="Código de Nacimiento / Cédula de Identidad"/>
    <x v="1"/>
    <n v="2"/>
    <n v="18"/>
    <s v="free"/>
    <n v="1"/>
    <n v="1"/>
    <s v="http://en.wikipedia.org/wiki/C%C3%A9dula_de_identidad"/>
    <n v="1"/>
    <n v="1"/>
    <m/>
    <s v="http://www.tse.go.cr/servicios.htm"/>
    <n v="2011"/>
    <n v="2"/>
    <s v="2B"/>
    <s v="C, T, V"/>
    <n v="0"/>
    <n v="0"/>
    <s v="-"/>
    <n v="7"/>
    <s v="http://www.slideshare.net/alkhouri/critical-insights-from-a-practitioner-mindset-volume-3"/>
    <n v="3"/>
    <n v="1"/>
    <n v="1"/>
    <s v="http://www.rree.go.cr/"/>
    <s v="Ministry of Foreign Service"/>
    <n v="1"/>
    <n v="3"/>
    <n v="2014"/>
    <n v="5"/>
    <s v="-"/>
    <n v="0"/>
    <s v="https://www.rnpdigital.com/personas_juridicas/index.htm "/>
    <n v="2012"/>
    <n v="1"/>
    <n v="2"/>
    <s v="http://www.costaricalaw.com/Corporate-Law/the-costa-rican-corporation-sa.html"/>
    <n v="2012"/>
    <n v="1"/>
    <s v="C"/>
    <n v="1"/>
    <s v="https://www.rnpdigital.com/shopping/login.jspx "/>
    <n v="3"/>
    <n v="0"/>
    <n v="4807.8500000000004"/>
    <n v="49.966305105192546"/>
    <n v="2405.5450000000001"/>
    <n v="2402.3049999999998"/>
    <n v="350.327"/>
    <n v="48.826382208622228"/>
    <n v="179.27500000000001"/>
    <n v="171.05199999999999"/>
    <n v="360.48700000000002"/>
    <n v="48.841428401024167"/>
    <n v="184.42"/>
    <n v="176.06700000000001"/>
    <n v="361.75299999999999"/>
    <n v="48.865386050703101"/>
    <n v="184.98099999999999"/>
    <n v="176.77199999999999"/>
    <n v="3735.2829999999999"/>
    <n v="50.288398496178196"/>
    <n v="1856.8689999999999"/>
    <n v="1878.4139999999998"/>
    <n v="2015"/>
    <s v="http://esa.un.org/unpd/wpp/Download/Standard/Population/"/>
    <n v="99.7"/>
    <n v="99.8"/>
    <n v="99.6"/>
    <n v="100"/>
    <n v="99.3"/>
    <n v="2011"/>
    <s v="MICS"/>
    <n v="3065.6669999999999"/>
    <n v="63.763782147945534"/>
    <n v="1533.8664732707966"/>
    <n v="1531.8005267292031"/>
    <n v="2014"/>
    <s v="http://www.electionguide.org/countries/id/53/"/>
    <n v="18"/>
    <n v="18"/>
    <s v="CR2014"/>
    <n v="3065.6669999999999"/>
    <n v="3257.6619999999998"/>
    <n v="4695.942"/>
    <n v="1"/>
    <n v="4"/>
    <s v="CD"/>
    <x v="1"/>
    <n v="672.83370100000002"/>
    <n v="13.994481961791653"/>
    <n v="51.826927924764689"/>
    <n v="324.09987872920328"/>
    <n v="348.70903727079673"/>
    <n v="13.473033293045994"/>
    <n v="14.515602193343341"/>
    <n v="669.61599999999999"/>
    <n v="51.763021384016618"/>
    <n v="323.00252672920328"/>
    <n v="346.6134732707967"/>
    <n v="2.166720000000002"/>
    <n v="65.137904297740363"/>
    <n v="0.73880200000000062"/>
    <n v="1.4113560000000014"/>
    <n v="1.0509810000000008"/>
    <n v="65.101842944829642"/>
    <n v="0.35855000000000031"/>
    <n v="0.68420800000000059"/>
    <n v="0.20000000000000018"/>
    <n v="0.40000000000000036"/>
    <n v="4872.1660000000002"/>
    <n v="49.222070840771849"/>
    <n v="1145.7299999999993"/>
    <n v="48.671368040858411"/>
    <n v="363.41800000000001"/>
    <n v="48.802967459146181"/>
    <n v="87.402547635327679"/>
    <n v="3257"/>
    <n v="469.43600000000083"/>
    <n v="49.222070840771849"/>
    <n v="3.4371900000000011"/>
    <n v="48.671368040858411"/>
    <n v="1.0956719924582055"/>
    <n v="48.802967459146181"/>
    <n v="3194.163"/>
    <n v="65.559399999999997"/>
    <n v="50.771047063033414"/>
    <n v="1678.0029999999999"/>
    <n v="34.440600000000003"/>
    <n v="55.529757694116157"/>
    <n v="7.4961320588433997"/>
    <n v="7.7160752898552047"/>
    <n v="8.3036170300274055"/>
    <n v="23.515824378725998"/>
    <n v="69.4606669805585"/>
    <n v="7.0235086407154403"/>
    <n v="99.7"/>
    <n v="99.6"/>
    <n v="99.8"/>
    <n v="100"/>
    <n v="99.3"/>
    <n v="2011"/>
    <n v="3.12"/>
    <n v="2009"/>
    <n v="146.52382499999999"/>
    <n v="24.8"/>
    <n v="2011"/>
    <n v="1172.1905999999999"/>
    <n v="24.8"/>
    <n v="2011"/>
    <n v="97.406585693359403"/>
    <s v="spa"/>
    <n v="0"/>
    <s v="-"/>
    <s v="-"/>
    <s v="-"/>
    <s v="-"/>
    <s v="-"/>
    <s v="-"/>
    <s v="-"/>
    <s v="-"/>
    <n v="1"/>
    <s v="-"/>
    <s v="P148435 (P)"/>
    <s v="-"/>
    <s v="-"/>
    <s v="-"/>
    <s v="P148435 (P)"/>
    <n v="3810179"/>
    <n v="2000"/>
    <n v="59"/>
    <n v="41"/>
    <n v="22"/>
    <s v="3.5 %"/>
    <n v="95"/>
    <s v="esp"/>
    <s v="?"/>
    <s v="?"/>
    <n v="2"/>
    <s v="1 m"/>
    <s v="-"/>
    <s v="Cédula de Identidad"/>
    <s v="free"/>
    <s v="Código de Nacimiento"/>
    <s v="http://www.tse.go.cr/rciv.html"/>
    <n v="1"/>
    <s v="Gobierno Digital (voter card, serves as National ID)"/>
    <n v="1"/>
    <s v="Gobierno Digital (voter card, serves as National ID)"/>
    <m/>
    <m/>
    <m/>
    <m/>
    <m/>
    <m/>
    <m/>
    <m/>
    <m/>
    <m/>
    <n v="1"/>
    <s v="civil"/>
    <s v="F"/>
    <n v="1"/>
    <n v="1"/>
    <s v="-"/>
    <s v="-"/>
    <s v="-"/>
    <s v="-"/>
    <s v="-"/>
    <s v="F"/>
    <n v="18"/>
    <n v="5"/>
    <n v="7"/>
    <n v="6"/>
    <n v="10"/>
    <n v="1.0496807098388672"/>
    <n v="0.666129469871521"/>
    <n v="0.47016170620918274"/>
    <n v="0.57642221450805664"/>
    <n v="0.49555924534797668"/>
    <n v="0.59387540817260742"/>
    <n v="54"/>
    <n v="0.60614000000000001"/>
    <n v="0.82352000000000003"/>
    <n v="0.61416999999999999"/>
    <n v="0.44607000000000002"/>
    <n v="0.75819999999999999"/>
    <n v="55"/>
    <n v="5.92"/>
    <n v="6.27"/>
    <n v="4.4800000000000004"/>
    <n v="8.1300000000000008"/>
    <s v="Protección de la Persona frente al tratamiento de sus datos personales"/>
    <s v="http://www.tse.go.cr/pdf/normativa/leydeprotecciondelapersona.pdf "/>
    <n v="2011"/>
    <n v="2011"/>
    <s v="Both"/>
    <s v="Agency for the Protection of Personal Data of Inhabitants"/>
    <s v="http://www.rnpdigital.com/personas_juridicas/personas_juridicas_trasladoTomos.htm"/>
    <s v="ICDPPC; RedIPD"/>
    <s v="-"/>
    <s v="-"/>
    <s v="-"/>
    <s v="-"/>
    <s v="-"/>
    <s v="-"/>
    <s v="-"/>
    <s v="-"/>
    <s v="-"/>
    <s v="-"/>
    <s v="-"/>
    <m/>
    <m/>
    <m/>
    <m/>
    <m/>
    <s v="IBRD"/>
    <s v=""/>
    <n v="0"/>
    <n v="18"/>
    <n v="72"/>
    <s v="B"/>
    <m/>
    <n v="4"/>
    <n v="0"/>
    <n v="0"/>
  </r>
  <r>
    <n v="42"/>
    <m/>
    <s v="Côte d'Ivoire"/>
    <x v="4"/>
    <x v="3"/>
    <s v="CIV"/>
    <s v="CI"/>
    <s v="http://www.oni.ci/"/>
    <s v="Municipality "/>
    <n v="5"/>
    <n v="1961"/>
    <n v="2"/>
    <s v="3 m"/>
    <s v="free"/>
    <s v="http://www.oni.ci/"/>
    <s v="National Identification Office"/>
    <n v="5"/>
    <n v="2001"/>
    <s v="Carte Nationale D'Identite"/>
    <x v="1"/>
    <n v="2"/>
    <n v="16"/>
    <s v="free"/>
    <n v="0"/>
    <n v="0"/>
    <m/>
    <n v="1"/>
    <n v="1"/>
    <m/>
    <s v="http://www.oni.ci/"/>
    <n v="2016"/>
    <n v="2"/>
    <s v="4B"/>
    <s v="C, H, S"/>
    <n v="0"/>
    <n v="0"/>
    <n v="11000"/>
    <n v="12"/>
    <s v="http://www.safran-group.com/videos/cat.php?cat=3&amp;sig=b77ec425d50s"/>
    <s v="-"/>
    <n v="0"/>
    <n v="0"/>
    <s v="http://www.diplomatie.gouv.ci/"/>
    <s v="Mnistry of Foreign Affairs"/>
    <n v="2"/>
    <n v="3"/>
    <n v="2008"/>
    <n v="5"/>
    <n v="600"/>
    <n v="0"/>
    <s v="http://www.cepici.gouv.ci/secteur_cle.php?id=1&amp;lang= "/>
    <n v="2012"/>
    <n v="1"/>
    <n v="0"/>
    <s v="-"/>
    <s v="-"/>
    <n v="0"/>
    <s v="-"/>
    <n v="0"/>
    <s v="-"/>
    <n v="2"/>
    <n v="1"/>
    <n v="22701.556"/>
    <n v="49.139371768173071"/>
    <n v="11546.154"/>
    <n v="11155.402"/>
    <n v="3667.067"/>
    <n v="49.681202988655514"/>
    <n v="1845.2239999999999"/>
    <n v="1821.8430000000001"/>
    <n v="3156.7159999999999"/>
    <n v="49.723225022460056"/>
    <n v="1587.095"/>
    <n v="1569.6210000000001"/>
    <n v="2818.5479999999998"/>
    <n v="49.627858031866062"/>
    <n v="1419.7629999999999"/>
    <n v="1398.7850000000001"/>
    <n v="13059.225000000002"/>
    <n v="48.740664166518286"/>
    <n v="6694.0720000000001"/>
    <n v="6365.1529999999993"/>
    <n v="2015"/>
    <s v="http://esa.un.org/unpd/wpp/Download/Standard/Population/"/>
    <n v="65"/>
    <n v="65.2"/>
    <n v="64.7"/>
    <n v="84.5"/>
    <n v="53.6"/>
    <s v="2011-2012"/>
    <s v="DHS"/>
    <n v="6301.1890000000003"/>
    <n v="27.75663923653515"/>
    <n v="3204.8243114747734"/>
    <n v="3096.3646885252274"/>
    <n v="2015"/>
    <s v="http://www.electionguide.org/countries/id/54/"/>
    <n v="16"/>
    <n v="18"/>
    <s v="CI2015"/>
    <n v="6301.1890000000003"/>
    <n v="12870.771000000001"/>
    <n v="23295.302"/>
    <n v="1"/>
    <n v="4"/>
    <s v="CD"/>
    <x v="0"/>
    <n v="10132.851850000001"/>
    <n v="44.635054310814645"/>
    <n v="48.947189615476042"/>
    <n v="5177.7722245252271"/>
    <n v="4959.7462084747722"/>
    <n v="44.84412926178905"/>
    <n v="44.460488366755158"/>
    <n v="6758.0360000000019"/>
    <n v="48.368909420943766"/>
    <n v="3489.2476885252267"/>
    <n v="3268.7883114747719"/>
    <n v="2091.3424"/>
    <n v="50.104053645161116"/>
    <n v="1046.3865839999999"/>
    <n v="1047.8473180000001"/>
    <n v="1283.47345"/>
    <n v="50.107041871415412"/>
    <n v="642.13795199999993"/>
    <n v="643.11057900000003"/>
    <n v="34.799999999999997"/>
    <n v="35.299999999999997"/>
    <n v="20316.085999999999"/>
    <n v="49.031393153189057"/>
    <n v="8397.2519999999913"/>
    <n v="49.681645852714688"/>
    <n v="3195.9969999999998"/>
    <n v="49.724642991269349"/>
    <n v="47.52142701207179"/>
    <n v="5664"/>
    <n v="6254.8340000000098"/>
    <n v="49.031393153189057"/>
    <n v="2939.0381999999968"/>
    <n v="49.681645852714688"/>
    <n v="1122.7960954853456"/>
    <n v="49.724642991269349"/>
    <n v="10711.737999999999"/>
    <n v="52.7254"/>
    <n v="27.483868630842167"/>
    <n v="9604.348"/>
    <n v="47.2746"/>
    <n v="36.57718358393511"/>
    <n v="15.790388189161265"/>
    <n v="13.323220174623218"/>
    <n v="12.219412179641058"/>
    <n v="41.333020543425498"/>
    <n v="55.495979885101903"/>
    <n v="3.17099957147258"/>
    <n v="65"/>
    <n v="64.7"/>
    <n v="65.2"/>
    <n v="84.5"/>
    <n v="53.6"/>
    <n v="2012"/>
    <n v="23.75"/>
    <n v="2008"/>
    <n v="4796.3887720000002"/>
    <n v="42.7"/>
    <n v="2008"/>
    <n v="8605.2857380000005"/>
    <n v="42"/>
    <n v="2006"/>
    <n v="40.981632232666001"/>
    <s v="fre"/>
    <n v="2"/>
    <n v="3"/>
    <s v="-"/>
    <s v="-"/>
    <s v="-"/>
    <s v="-"/>
    <s v="CR Minister"/>
    <n v="0.55000000000000004"/>
    <s v="-"/>
    <n v="2"/>
    <s v="P082817 (A); P108809 (C)"/>
    <s v="-"/>
    <s v="-"/>
    <s v="-"/>
    <s v="-"/>
    <s v="-"/>
    <m/>
    <m/>
    <m/>
    <m/>
    <m/>
    <m/>
    <m/>
    <m/>
    <m/>
    <m/>
    <m/>
    <m/>
    <m/>
    <m/>
    <m/>
    <m/>
    <m/>
    <m/>
    <m/>
    <n v="1"/>
    <s v="Voter Registration"/>
    <m/>
    <m/>
    <m/>
    <m/>
    <m/>
    <m/>
    <m/>
    <m/>
    <m/>
    <m/>
    <n v="1"/>
    <s v="civil"/>
    <s v="PF"/>
    <n v="5"/>
    <n v="4"/>
    <s v="-"/>
    <s v="-"/>
    <s v="-"/>
    <s v="-"/>
    <s v="-"/>
    <s v="PF"/>
    <n v="55"/>
    <n v="15"/>
    <n v="21"/>
    <n v="19"/>
    <n v="4"/>
    <n v="-0.76758170127868652"/>
    <n v="-1.0512809753417969"/>
    <n v="-1.0361135005950928"/>
    <n v="-0.73115050792694092"/>
    <n v="-0.93198961019515991"/>
    <n v="-0.78714555501937866"/>
    <n v="171"/>
    <n v="0.20385"/>
    <n v="0.17646999999999999"/>
    <n v="0.17322000000000001"/>
    <n v="0.13916999999999999"/>
    <n v="0.29920000000000002"/>
    <n v="151"/>
    <n v="1.8"/>
    <n v="3.19"/>
    <n v="0.16"/>
    <n v="2.3199999999999998"/>
    <s v="Protection of Personal Data  "/>
    <s v="http://www.artci.ci/images/stories/pdf/lois/loi_2013_450.pdf "/>
    <n v="2013"/>
    <n v="2013"/>
    <s v="Both"/>
    <s v="-"/>
    <s v="-"/>
    <s v="-"/>
    <n v="65"/>
    <n v="76"/>
    <n v="2013"/>
    <s v="http://www.rti-rating.org/files/pdf/Ivory%20Coast.pdf"/>
    <n v="2"/>
    <n v="15"/>
    <n v="20"/>
    <n v="17"/>
    <n v="13"/>
    <n v="4"/>
    <n v="5"/>
    <m/>
    <m/>
    <m/>
    <n v="1"/>
    <m/>
    <s v="IDA"/>
    <s v="HIPC"/>
    <n v="0"/>
    <n v="17"/>
    <n v="68"/>
    <s v="B"/>
    <n v="1"/>
    <n v="4"/>
    <n v="0"/>
    <n v="0"/>
  </r>
  <r>
    <n v="43"/>
    <m/>
    <s v="Croatia"/>
    <x v="1"/>
    <x v="2"/>
    <s v="HRV"/>
    <s v="HR"/>
    <s v="http://www.mup.hr"/>
    <s v="State Admin Offices"/>
    <n v="2"/>
    <n v="1946"/>
    <n v="2"/>
    <s v="-"/>
    <s v="free"/>
    <s v="http://www.mup.hr/42.aspx"/>
    <s v="Ministry of the Interior, Police Dept."/>
    <n v="2"/>
    <n v="2003"/>
    <s v="Osobna Iskaznica (Identity card)"/>
    <x v="1"/>
    <n v="2"/>
    <n v="16"/>
    <s v="HRK 48.50"/>
    <n v="1"/>
    <n v="1"/>
    <s v="http://en.wikipedia.org/wiki/Croatian_identity_card"/>
    <m/>
    <n v="1"/>
    <m/>
    <s v="http://mup.hr/42.aspx"/>
    <n v="2010"/>
    <n v="2"/>
    <n v="4"/>
    <s v="C, E, F, H, S, R"/>
    <n v="0"/>
    <n v="0"/>
    <s v="-"/>
    <n v="5"/>
    <s v="http://www.trueb.ee/services-and-products/documents/id-cards"/>
    <s v="-"/>
    <n v="0"/>
    <n v="0"/>
    <s v="http://www.mup.hr/"/>
    <s v="Ministry of Interior"/>
    <n v="2"/>
    <n v="2"/>
    <n v="2009"/>
    <n v="5"/>
    <n v="400"/>
    <n v="0"/>
    <s v="http://www1.biznet.hr/HgkWeb/do/language?lang=en_GB"/>
    <n v="2003"/>
    <n v="1"/>
    <n v="2"/>
    <s v="http://www.porezna-uprava.hr/HR_OIB/Stranice/sto_je_OIB.aspx"/>
    <n v="2009"/>
    <n v="1"/>
    <s v="C"/>
    <n v="0"/>
    <s v="-"/>
    <n v="3"/>
    <n v="1"/>
    <n v="4240.317"/>
    <n v="51.76657782896892"/>
    <n v="2045.25"/>
    <n v="2195.067"/>
    <n v="207.31299999999999"/>
    <n v="48.587884020780173"/>
    <n v="106.584"/>
    <n v="100.729"/>
    <n v="217.27600000000001"/>
    <n v="48.591653012757966"/>
    <n v="111.69799999999999"/>
    <n v="105.578"/>
    <n v="206.822"/>
    <n v="48.619585924127996"/>
    <n v="106.26600000000001"/>
    <n v="100.556"/>
    <n v="3608.9059999999999"/>
    <n v="52.320675573151533"/>
    <n v="1720.7019999999998"/>
    <n v="1888.2040000000002"/>
    <n v="2015"/>
    <s v="http://esa.un.org/unpd/wpp/Download/Standard/Population/"/>
    <n v="90"/>
    <n v="90"/>
    <n v="90"/>
    <s v="–"/>
    <s v="–"/>
    <n v="2011"/>
    <s v="http://www.dzs.hr/Eng/censuses/census2011/censuslogo.htm"/>
    <n v="3454"/>
    <n v="81.456174149244035"/>
    <n v="1665.9824017874137"/>
    <n v="1788.0175982125866"/>
    <n v="2015"/>
    <s v="http://www.electionguide.org/countries/id/55/"/>
    <n v="16"/>
    <n v="18"/>
    <s v="HR2015"/>
    <n v="3825.2420000000002"/>
    <n v="3602.7809999999999"/>
    <n v="4470.5339999999997"/>
    <n v="1"/>
    <n v="4"/>
    <s v="CD"/>
    <x v="1"/>
    <n v="218.04709999999994"/>
    <n v="5.1422358281232263"/>
    <n v="60.020381737438214"/>
    <n v="87.174398212586098"/>
    <n v="130.8727017874136"/>
    <n v="4.26228569674055"/>
    <n v="5.9621278889169949"/>
    <n v="154.90599999999995"/>
    <n v="64.675610878477045"/>
    <n v="54.719598212586106"/>
    <n v="100.18640178741362"/>
    <n v="42.40979999999999"/>
    <n v="48.605275195827389"/>
    <n v="21.796399999999995"/>
    <n v="20.613399999999999"/>
    <n v="20.731299999999994"/>
    <n v="48.587884020780173"/>
    <n v="10.658399999999999"/>
    <n v="10.072899999999997"/>
    <n v="9.9999999999999982"/>
    <n v="9.9999999999999982"/>
    <n v="4252.7"/>
    <n v="51.756437087027066"/>
    <n v="632.83800136792547"/>
    <n v="48.497056214753748"/>
    <n v="215.08199999999999"/>
    <n v="48.613052619231148"/>
    <n v="99"/>
    <n v="3583.6633786457533"/>
    <n v="36.198619986320779"/>
    <n v="51.756437087027066"/>
    <n v="63.283800136792536"/>
    <n v="48.497056214753748"/>
    <n v="20.682491990793444"/>
    <n v="48.613052619231148"/>
    <n v="2483.5169999999998"/>
    <n v="58.398600000000002"/>
    <n v="54.475528051549475"/>
    <n v="1769.183"/>
    <n v="41.601399999999998"/>
    <n v="62.912711686693804"/>
    <n v="4.8633790276279658"/>
    <n v="4.8957588152629992"/>
    <n v="5.121714321616289"/>
    <n v="14.880852196673301"/>
    <n v="66.833593102010994"/>
    <n v="18.2855547013158"/>
    <n v="90"/>
    <n v="90"/>
    <n v="90"/>
    <n v="90"/>
    <n v="90"/>
    <n v="2011"/>
    <n v="0.06"/>
    <n v="2008"/>
    <n v="3"/>
    <n v="11.1"/>
    <n v="2004"/>
    <n v="489.17699999999996"/>
    <n v="21.1"/>
    <n v="2011"/>
    <n v="99.125358581542997"/>
    <s v="hrv"/>
    <n v="0"/>
    <s v="-"/>
    <s v="-"/>
    <s v="-"/>
    <s v="-"/>
    <s v="-"/>
    <s v="-"/>
    <s v="-"/>
    <s v="-"/>
    <n v="1"/>
    <s v="-"/>
    <s v="-"/>
    <s v="P102778 (A)"/>
    <s v="-"/>
    <s v="-"/>
    <s v="-"/>
    <m/>
    <m/>
    <m/>
    <m/>
    <m/>
    <m/>
    <m/>
    <m/>
    <m/>
    <m/>
    <m/>
    <m/>
    <m/>
    <m/>
    <m/>
    <m/>
    <m/>
    <m/>
    <m/>
    <m/>
    <m/>
    <m/>
    <m/>
    <m/>
    <m/>
    <m/>
    <m/>
    <m/>
    <m/>
    <m/>
    <m/>
    <n v="1"/>
    <s v="civil"/>
    <s v="F"/>
    <n v="1"/>
    <n v="2"/>
    <s v="-"/>
    <s v="-"/>
    <s v="-"/>
    <s v="-"/>
    <s v="-"/>
    <s v="PF"/>
    <n v="40"/>
    <n v="9"/>
    <n v="16"/>
    <n v="15"/>
    <n v="9"/>
    <n v="0.4747498631477356"/>
    <n v="0.61406373977661133"/>
    <n v="0.68913173675537109"/>
    <n v="0.4402124285697937"/>
    <n v="0.26469108462333679"/>
    <n v="0.10712494701147079"/>
    <n v="47"/>
    <n v="0.62817000000000001"/>
    <n v="0.33333000000000002"/>
    <n v="0.46455999999999997"/>
    <n v="0.62710999999999995"/>
    <n v="0.79279999999999995"/>
    <n v="37"/>
    <n v="6.9"/>
    <n v="7.31"/>
    <n v="5.62"/>
    <n v="8.6300000000000008"/>
    <s v="Act on Personal Data Protection"/>
    <s v="http://www.right2info.org/resources/publications/laws-1/croatia-personal-data-protection-act/at_download/file "/>
    <n v="2003"/>
    <n v="2003"/>
    <s v="Both"/>
    <s v="Data Protection Agency"/>
    <s v="http://www.azop.hr"/>
    <s v="ICDPPC; EDPA; A29WP; CEEDPA"/>
    <n v="13"/>
    <n v="112"/>
    <n v="2003"/>
    <s v="http://www.rti-rating.org/files/pdf/Croatia.pdf"/>
    <n v="5"/>
    <n v="27"/>
    <n v="20"/>
    <n v="24"/>
    <n v="19"/>
    <n v="3"/>
    <n v="14"/>
    <m/>
    <m/>
    <m/>
    <m/>
    <m/>
    <s v="IBRD"/>
    <s v=""/>
    <n v="0"/>
    <n v="21"/>
    <n v="84"/>
    <s v="A"/>
    <m/>
    <n v="3"/>
    <n v="0"/>
    <n v="0"/>
  </r>
  <r>
    <n v="44"/>
    <m/>
    <s v="Cuba"/>
    <x v="3"/>
    <x v="1"/>
    <s v="CUB"/>
    <s v="CU"/>
    <s v="http://www.ciudadano.co.cu"/>
    <s v="Civil Registry Offices"/>
    <n v="6"/>
    <n v="1885"/>
    <n v="2"/>
    <s v="-"/>
    <s v="free"/>
    <s v="http://www.cubagob.cu"/>
    <s v="DIIE / Department of Identification, Immigration and Nationality"/>
    <n v="6"/>
    <n v="1944"/>
    <s v="National ID Card"/>
    <x v="1"/>
    <n v="2"/>
    <n v="16"/>
    <s v="free"/>
    <n v="1"/>
    <n v="1"/>
    <m/>
    <n v="1"/>
    <m/>
    <m/>
    <s v="http://www.cubagob.cu"/>
    <n v="2014"/>
    <n v="2"/>
    <n v="4"/>
    <s v="C, E, F, H, S, R"/>
    <n v="0"/>
    <n v="0"/>
    <n v="40"/>
    <n v="9"/>
    <s v="http://www.datys.cu"/>
    <s v="-"/>
    <n v="1"/>
    <n v="1"/>
    <s v="http://www.cubaminrex.cu/es/portada"/>
    <s v="Ministry of Foreign Affairs"/>
    <n v="1"/>
    <n v="3"/>
    <n v="2013"/>
    <n v="5"/>
    <s v="-"/>
    <n v="0"/>
    <s v="http://www.one.cu/nomencladores.htm "/>
    <n v="2006"/>
    <n v="0"/>
    <n v="0"/>
    <s v="-"/>
    <s v="-"/>
    <n v="0"/>
    <s v="-"/>
    <n v="0"/>
    <s v="-"/>
    <n v="0"/>
    <n v="0"/>
    <n v="11389.562"/>
    <n v="49.761527265051988"/>
    <n v="5721.942"/>
    <n v="5667.62"/>
    <n v="587.755"/>
    <n v="48.626893858835743"/>
    <n v="301.94799999999998"/>
    <n v="285.80700000000002"/>
    <n v="613.84500000000003"/>
    <n v="48.544665184207737"/>
    <n v="315.85599999999999"/>
    <n v="297.98899999999998"/>
    <n v="655.50599999999997"/>
    <n v="48.302685253834447"/>
    <n v="338.87900000000002"/>
    <n v="316.62700000000001"/>
    <n v="9532.4560000000019"/>
    <n v="50.010165271153618"/>
    <n v="4765.259"/>
    <n v="4767.1970000000001"/>
    <n v="2015"/>
    <s v="http://esa.un.org/unpd/wpp/Download/Standard/Population/"/>
    <n v="100"/>
    <n v="100"/>
    <n v="100"/>
    <n v="100"/>
    <n v="100"/>
    <n v="2011"/>
    <s v="National Health Statistics"/>
    <n v="8668.4570000000003"/>
    <n v="76.108782760917421"/>
    <n v="4354.9004064856927"/>
    <n v="4313.5565935143077"/>
    <n v="2013"/>
    <s v="http://www.electionguide.org/countries/id/56/"/>
    <n v="16"/>
    <n v="16"/>
    <s v="CU2013"/>
    <n v="8668.4570000000003"/>
    <n v="8876.8080000000009"/>
    <n v="11075.244000000001"/>
    <n v="1"/>
    <n v="4"/>
    <s v="CD"/>
    <x v="2"/>
    <n v="863.99900000000162"/>
    <n v="7.5858843386602715"/>
    <n v="52.504737445956721"/>
    <n v="410.35859351430736"/>
    <n v="453.64040648569244"/>
    <n v="7.1716664292351684"/>
    <n v="8.0040723705134162"/>
    <n v="863.99900000000162"/>
    <n v="52.504737445956721"/>
    <n v="410.35859351430736"/>
    <n v="453.64040648569244"/>
    <n v="0"/>
    <n v="0"/>
    <n v="0"/>
    <n v="0"/>
    <n v="0"/>
    <n v="0"/>
    <n v="0"/>
    <n v="0"/>
    <n v="0"/>
    <n v="0"/>
    <n v="11265.629000000001"/>
    <n v="49.738208137335256"/>
    <n v="1826.9189999999953"/>
    <n v="48.560499945536606"/>
    <n v="529.48199999999997"/>
    <n v="48.54032944712818"/>
    <n v="91.834583327594515"/>
    <n v="8668"/>
    <n v="770.71000000000458"/>
    <n v="49.738208137335256"/>
    <n v="0"/>
    <n v="48.560499945536606"/>
    <n v="0"/>
    <n v="48.54032944712818"/>
    <n v="8466.0079999999998"/>
    <n v="75.149000000000001"/>
    <n v="52.097222209097836"/>
    <n v="2799.6210000000001"/>
    <n v="24.850999999999999"/>
    <n v="56.479859238089723"/>
    <n v="4.7679991737050615"/>
    <n v="5.3666520535161908"/>
    <n v="6.0820997415883902"/>
    <n v="16.216750968809599"/>
    <n v="70.481151119036497"/>
    <n v="13.302097912153901"/>
    <n v="100"/>
    <n v="100"/>
    <n v="100"/>
    <n v="100"/>
    <n v="100"/>
    <n v="2011"/>
    <s v="-"/>
    <s v="-"/>
    <m/>
    <s v="-"/>
    <s v="-"/>
    <m/>
    <s v="-"/>
    <s v="-"/>
    <n v="99.837409973144503"/>
    <s v="spa"/>
    <n v="0"/>
    <s v="-"/>
    <s v="-"/>
    <s v="-"/>
    <s v="-"/>
    <s v="-"/>
    <s v="-"/>
    <s v="-"/>
    <s v="-"/>
    <s v="-"/>
    <m/>
    <m/>
    <m/>
    <m/>
    <m/>
    <m/>
    <m/>
    <m/>
    <m/>
    <m/>
    <m/>
    <m/>
    <m/>
    <m/>
    <m/>
    <m/>
    <m/>
    <m/>
    <m/>
    <m/>
    <m/>
    <m/>
    <m/>
    <m/>
    <m/>
    <m/>
    <m/>
    <m/>
    <m/>
    <m/>
    <m/>
    <m/>
    <m/>
    <m/>
    <m/>
    <m/>
    <m/>
    <n v="1"/>
    <s v="civil"/>
    <s v="NF"/>
    <n v="7"/>
    <n v="6"/>
    <s v="NF"/>
    <n v="84"/>
    <n v="23"/>
    <n v="28"/>
    <n v="33"/>
    <s v="NF"/>
    <n v="90"/>
    <n v="28"/>
    <n v="34"/>
    <n v="28"/>
    <n v="3"/>
    <n v="-1.3954648971557617"/>
    <n v="0.3694552481174469"/>
    <n v="-0.44012627005577087"/>
    <n v="-1.6193597316741943"/>
    <n v="-0.62753498554229736"/>
    <n v="0.1231253519654274"/>
    <n v="116"/>
    <n v="0.39165"/>
    <n v="0.35293999999999998"/>
    <n v="0.22833999999999999"/>
    <n v="9.6869999999999998E-2"/>
    <n v="0.84970000000000001"/>
    <n v="125"/>
    <n v="2.77"/>
    <n v="1.87"/>
    <n v="0.86"/>
    <n v="8.41"/>
    <s v="-"/>
    <s v="-"/>
    <s v="-"/>
    <s v="-"/>
    <s v="-"/>
    <s v="-"/>
    <s v="-"/>
    <s v="-"/>
    <s v="-"/>
    <s v="-"/>
    <s v="-"/>
    <s v="-"/>
    <s v="-"/>
    <s v="-"/>
    <s v="-"/>
    <s v="-"/>
    <s v="-"/>
    <s v="-"/>
    <s v="-"/>
    <s v="OTH"/>
    <m/>
    <m/>
    <m/>
    <m/>
    <s v=".."/>
    <s v=""/>
    <n v="0"/>
    <n v="12"/>
    <n v="48"/>
    <s v="C"/>
    <m/>
    <n v="4"/>
    <n v="0"/>
    <n v="0"/>
  </r>
  <r>
    <n v="45"/>
    <m/>
    <s v="Cyprus"/>
    <x v="3"/>
    <x v="2"/>
    <s v="CYP"/>
    <s v="CY"/>
    <s v="http://www.moi.gov.cy"/>
    <s v="Civil Registry and Migration Department"/>
    <n v="2"/>
    <n v="1959"/>
    <n v="2"/>
    <s v="15 d"/>
    <n v="5"/>
    <s v="http://www.moi.gov.cy/moi/crmd/crmd.nsf/index_gr/index_gr?OpenDocument"/>
    <s v="Civil Registry and Migration Department"/>
    <n v="2"/>
    <n v="1960"/>
    <s v="ID Card"/>
    <x v="1"/>
    <n v="2"/>
    <n v="12"/>
    <s v="20 Euro"/>
    <n v="1"/>
    <n v="0"/>
    <s v="http://en.wikipedia.org/wiki/Cypriot_identity_card"/>
    <n v="1"/>
    <n v="1"/>
    <m/>
    <s v="-"/>
    <s v="-"/>
    <n v="0"/>
    <n v="1"/>
    <s v="-"/>
    <s v="-"/>
    <s v="-"/>
    <s v="-"/>
    <n v="0"/>
    <s v="-"/>
    <s v="-"/>
    <n v="0"/>
    <n v="0"/>
    <s v="http://www.moi.gov.cy/"/>
    <s v="Civil Registry and Migration Department"/>
    <n v="2"/>
    <n v="2"/>
    <n v="2010"/>
    <n v="5"/>
    <n v="16"/>
    <n v="0"/>
    <s v="http://www.mcit.gov.cy/mcit/drcor/drcor.nsf/index_en/index_en?opendocument"/>
    <n v="2005"/>
    <n v="1"/>
    <n v="1"/>
    <s v="http://www.businessincyprus.gov.cy/mcit/psc/psc.nsf/0/749FC411823BDD31C225785600375018?OpenDocument"/>
    <n v="2011"/>
    <n v="0"/>
    <s v="-"/>
    <n v="0"/>
    <s v="-"/>
    <n v="3"/>
    <n v="1"/>
    <n v="1165.3"/>
    <n v="48.983781000600708"/>
    <n v="594.49199999999996"/>
    <n v="570.80799999999999"/>
    <n v="65.671999999999997"/>
    <n v="48.407235960531125"/>
    <n v="33.881999999999998"/>
    <n v="31.79"/>
    <n v="63.942999999999998"/>
    <n v="48.202305178049201"/>
    <n v="33.121000000000002"/>
    <n v="30.821999999999999"/>
    <n v="63.253999999999998"/>
    <n v="48.313150156511838"/>
    <n v="32.694000000000003"/>
    <n v="30.56"/>
    <n v="972.43099999999993"/>
    <n v="49.117726604766823"/>
    <n v="494.79500000000002"/>
    <n v="477.63600000000002"/>
    <n v="2015"/>
    <s v="http://esa.un.org/unpd/wpp/Download/Standard/Population/"/>
    <n v="100"/>
    <n v="100"/>
    <n v="100"/>
    <s v="–"/>
    <s v="–"/>
    <n v="2010"/>
    <s v="UNSD"/>
    <n v="606.91600000000005"/>
    <n v="52.082382219171031"/>
    <n v="309.62559570239426"/>
    <n v="297.29040429760585"/>
    <n v="2014"/>
    <s v="http://www.ekloges.gov.cy/"/>
    <n v="12"/>
    <n v="18"/>
    <s v="CY2013"/>
    <n v="545.49300000000005"/>
    <n v="897.82399999999996"/>
    <n v="1138.0709999999999"/>
    <n v="1"/>
    <n v="5"/>
    <s v="CD"/>
    <x v="2"/>
    <n v="365.51499999999987"/>
    <n v="31.366600875311068"/>
    <n v="49.340135343937796"/>
    <n v="185.16940429760575"/>
    <n v="180.34559570239418"/>
    <n v="31.147501446210509"/>
    <n v="31.59479119115257"/>
    <n v="365.51499999999987"/>
    <n v="49.340135343937796"/>
    <n v="185.16940429760575"/>
    <n v="180.34559570239418"/>
    <n v="0"/>
    <n v="0"/>
    <n v="0"/>
    <n v="0"/>
    <n v="0"/>
    <n v="0"/>
    <n v="0"/>
    <n v="0"/>
    <n v="0"/>
    <n v="0"/>
    <n v="1141.1659999999999"/>
    <n v="48.928639654528787"/>
    <n v="193.64899999999957"/>
    <n v="48.162396914004113"/>
    <n v="65.363"/>
    <n v="48.291700838869609"/>
    <n v="88.652762958342663"/>
    <n v="840"/>
    <n v="107.51700000000035"/>
    <n v="48.928639654528787"/>
    <n v="0"/>
    <n v="48.162396914004113"/>
    <n v="0"/>
    <n v="48.291700838869609"/>
    <n v="809.13"/>
    <n v="70.903800000000004"/>
    <n v="36.227305871738778"/>
    <n v="332.036"/>
    <n v="29.096199999999996"/>
    <n v="55.536146682889807"/>
    <n v="5.6889232240295371"/>
    <n v="5.5013955724953494"/>
    <n v="5.7790791701162521"/>
    <n v="16.9693979666411"/>
    <n v="70.763149270132502"/>
    <n v="12.2674527632264"/>
    <n v="100"/>
    <n v="100"/>
    <n v="100"/>
    <n v="100"/>
    <n v="100"/>
    <n v="2010"/>
    <s v="-"/>
    <s v="-"/>
    <m/>
    <s v="-"/>
    <s v="-"/>
    <m/>
    <s v="-"/>
    <s v="-"/>
    <n v="98.678428649902301"/>
    <s v="gre"/>
    <n v="0"/>
    <s v="-"/>
    <s v="-"/>
    <s v="-"/>
    <s v="-"/>
    <s v="-"/>
    <s v="-"/>
    <s v="-"/>
    <s v="-"/>
    <s v="-"/>
    <m/>
    <m/>
    <m/>
    <m/>
    <m/>
    <m/>
    <m/>
    <m/>
    <m/>
    <m/>
    <m/>
    <m/>
    <m/>
    <m/>
    <m/>
    <m/>
    <m/>
    <m/>
    <m/>
    <m/>
    <m/>
    <m/>
    <m/>
    <m/>
    <m/>
    <m/>
    <m/>
    <m/>
    <m/>
    <m/>
    <m/>
    <m/>
    <m/>
    <m/>
    <m/>
    <m/>
    <m/>
    <n v="2"/>
    <s v="common"/>
    <s v="F"/>
    <n v="1"/>
    <n v="1"/>
    <s v="-"/>
    <s v="-"/>
    <s v="-"/>
    <s v="-"/>
    <s v="-"/>
    <s v="F"/>
    <n v="25"/>
    <n v="5"/>
    <n v="11"/>
    <n v="9"/>
    <n v="10"/>
    <n v="0.96630054712295532"/>
    <n v="0.51833212375640869"/>
    <n v="1.3510664701461792"/>
    <n v="0.91109567880630493"/>
    <n v="0.99828946590423584"/>
    <n v="1.2355309724807739"/>
    <n v="58"/>
    <n v="0.59575999999999996"/>
    <n v="0.31372"/>
    <n v="0.47244000000000003"/>
    <n v="0.53203"/>
    <n v="0.78280000000000005"/>
    <n v="51"/>
    <n v="6.11"/>
    <n v="6.93"/>
    <n v="4.34"/>
    <n v="7.99"/>
    <s v="The Processing of Personal Data (Protection of the Individual) Law"/>
    <s v="http://www.dataprotection.gov.cy/dataprotection/dataprotection.nsf/697e70c0046f7759c2256e8c004a0a49/f8e24ef90a27f34fc2256eb4002854e7/$FILE/138%28I%29-2001_en.pdf "/>
    <n v="2001"/>
    <n v="2003"/>
    <s v="Both"/>
    <s v="Personal Data Protection Commissioner"/>
    <s v="www.dataprotection.gov.cy"/>
    <s v="ICDPPC; EDPA; A29WP; BIIDPA"/>
    <s v="-"/>
    <s v="-"/>
    <n v="1960"/>
    <s v="http://www.humanrightsinitiative.org/programs/ai/rti/international/laws_&amp;_papers.htm#12 "/>
    <s v="-"/>
    <s v="-"/>
    <s v="-"/>
    <s v="-"/>
    <s v="-"/>
    <s v="-"/>
    <s v="-"/>
    <s v="EU"/>
    <m/>
    <m/>
    <m/>
    <m/>
    <s v=".."/>
    <s v="EMU"/>
    <n v="0"/>
    <n v="14"/>
    <n v="56.000000000000007"/>
    <s v="B"/>
    <m/>
    <n v="5"/>
    <n v="0"/>
    <n v="0"/>
  </r>
  <r>
    <n v="46"/>
    <m/>
    <s v="Czech Republic"/>
    <x v="1"/>
    <x v="2"/>
    <s v="CZE"/>
    <s v="CZ"/>
    <s v="http://www.mvcr.cz/mvcren/article/issuing-documents-from-the-register-of-vital-records-certificates-of-birth-marriage-and-or-death.aspx"/>
    <s v="Register of Vital Records, Min of Interior"/>
    <n v="2"/>
    <n v="1946"/>
    <n v="2"/>
    <s v="-"/>
    <s v="CZK 1000"/>
    <s v="http://www.mvcr.cz/clanek/osobni-doklady.aspx"/>
    <s v="Ministry of Interior"/>
    <n v="2"/>
    <n v="1939"/>
    <s v="Občanský Průkaz (Civil Card)"/>
    <x v="1"/>
    <n v="2"/>
    <n v="15"/>
    <s v="free"/>
    <n v="1"/>
    <n v="1"/>
    <s v="http://en.wikipedia.org/wiki/Czech_national_identity_card"/>
    <s v=" "/>
    <m/>
    <m/>
    <s v="http://www.mvcr.cz/clanek/informace-k-pouzivani-elektronickeho-podpisu.aspx"/>
    <n v="2012"/>
    <n v="2"/>
    <n v="4"/>
    <s v="C, H, R, T, O"/>
    <n v="1"/>
    <n v="1"/>
    <s v="-"/>
    <s v="1, 5"/>
    <s v="http://www.gemalto.com/govt/customer-cases/czech-id"/>
    <s v="-"/>
    <n v="0"/>
    <n v="0"/>
    <s v="http://www.mvcr.cz/"/>
    <s v="Ministerstvo vnitra"/>
    <n v="2"/>
    <n v="2"/>
    <n v="2006"/>
    <n v="10"/>
    <n v="2700"/>
    <n v="1"/>
    <s v="http://wwwinfo.mfcr.cz"/>
    <n v="2013"/>
    <n v="1"/>
    <n v="2"/>
    <s v="http://www.lexology.com/library/detail.aspx?g=7e5977f3-409e-48b1-ba89-543f54468493"/>
    <n v="1991"/>
    <n v="1"/>
    <s v="C"/>
    <n v="0"/>
    <s v="-"/>
    <n v="3"/>
    <n v="1"/>
    <n v="10543.186"/>
    <n v="50.868105713016917"/>
    <n v="5180.067"/>
    <n v="5363.1189999999997"/>
    <n v="537.90599999999995"/>
    <n v="48.620019111145815"/>
    <n v="276.37599999999998"/>
    <n v="261.52999999999997"/>
    <n v="568.73599999999999"/>
    <n v="48.677417993585777"/>
    <n v="291.89"/>
    <n v="276.846"/>
    <n v="479.25299999999999"/>
    <n v="48.681594064095584"/>
    <n v="245.94499999999999"/>
    <n v="233.30799999999999"/>
    <n v="8957.2909999999974"/>
    <n v="51.259192092787899"/>
    <n v="4365.8559999999998"/>
    <n v="4591.4350000000004"/>
    <n v="2015"/>
    <s v="http://esa.un.org/unpd/wpp/Download/Standard/Population/"/>
    <n v="100"/>
    <n v="100"/>
    <n v="100"/>
    <s v="–"/>
    <s v="–"/>
    <n v="2012"/>
    <s v="UNSD "/>
    <n v="10240.704"/>
    <n v="97.131019029731618"/>
    <n v="5002.335"/>
    <n v="5238.3689999999997"/>
    <n v="2013"/>
    <s v="http://www.mvcr.cz/clanek/statistiky-pocty-obyvatel-v-obcich.aspx?q=Y2hudW09Mg%3d%3d"/>
    <n v="15"/>
    <n v="18"/>
    <s v="CZ2013"/>
    <n v="8424.2270000000008"/>
    <n v="8347.6039999999994"/>
    <n v="10162.921"/>
    <n v="20"/>
    <n v="5"/>
    <s v="CD"/>
    <x v="1"/>
    <n v="302.48199999999997"/>
    <n v="2.8689809702683795"/>
    <n v="41.242123498257747"/>
    <n v="177.73199999999997"/>
    <n v="124.75"/>
    <n v="3.4310753123463456"/>
    <n v="2.3260718249958656"/>
    <n v="302.48199999999997"/>
    <n v="41.242123498257747"/>
    <n v="177.73199999999997"/>
    <n v="124.75"/>
    <n v="0"/>
    <n v="0"/>
    <n v="0"/>
    <n v="0"/>
    <n v="0"/>
    <n v="0"/>
    <n v="0"/>
    <n v="0"/>
    <n v="0"/>
    <n v="0"/>
    <n v="10521.468000000001"/>
    <n v="50.777448546153451"/>
    <n v="1563.8475317058726"/>
    <n v="48.580687262694262"/>
    <n v="601.18600000000004"/>
    <n v="48.716788392466007"/>
    <n v="97.324821973511675"/>
    <n v="10240"/>
    <n v="239.63229446402491"/>
    <n v="50.777448546153451"/>
    <n v="0"/>
    <n v="48.580687262694262"/>
    <n v="0"/>
    <n v="48.716788392466007"/>
    <n v="7722.6729999999998"/>
    <n v="73.399199999999993"/>
    <n v="51.835834561427106"/>
    <n v="2798.7950000000001"/>
    <n v="26.600800000000007"/>
    <n v="50.19499463161825"/>
    <n v="5.5948616338258121"/>
    <n v="5.0799672575197103"/>
    <n v="4.1885722994388814"/>
    <n v="14.8633967399404"/>
    <n v="68.430781081678802"/>
    <n v="16.705822178380799"/>
    <n v="100"/>
    <n v="100"/>
    <n v="100"/>
    <n v="100"/>
    <n v="100"/>
    <n v="2012"/>
    <n v="0.13"/>
    <n v="1996"/>
    <n v="13.677908400000002"/>
    <s v="-"/>
    <s v="-"/>
    <m/>
    <n v="9.8000000000000007"/>
    <n v="2011"/>
    <s v="-"/>
    <s v="cze"/>
    <n v="0"/>
    <s v="-"/>
    <s v="-"/>
    <s v="-"/>
    <s v="-"/>
    <s v="-"/>
    <s v="-"/>
    <s v="-"/>
    <s v="-"/>
    <s v="-"/>
    <m/>
    <m/>
    <m/>
    <m/>
    <m/>
    <m/>
    <m/>
    <m/>
    <m/>
    <m/>
    <m/>
    <m/>
    <m/>
    <m/>
    <m/>
    <m/>
    <m/>
    <m/>
    <m/>
    <m/>
    <m/>
    <m/>
    <m/>
    <m/>
    <m/>
    <m/>
    <m/>
    <m/>
    <m/>
    <m/>
    <m/>
    <m/>
    <m/>
    <m/>
    <m/>
    <m/>
    <m/>
    <n v="1"/>
    <s v="civil"/>
    <s v="F"/>
    <n v="1"/>
    <n v="1"/>
    <s v="-"/>
    <s v="-"/>
    <s v="-"/>
    <s v="-"/>
    <s v="-"/>
    <s v="F"/>
    <n v="20"/>
    <n v="4"/>
    <n v="8"/>
    <n v="8"/>
    <n v="10"/>
    <n v="0.9577755331993103"/>
    <n v="1.0525963306427002"/>
    <n v="0.87627589702606201"/>
    <n v="1.0873984098434448"/>
    <n v="1.0022605657577515"/>
    <n v="0.1902933269739151"/>
    <n v="53"/>
    <n v="0.60694999999999999"/>
    <n v="0.25490000000000002"/>
    <n v="0.37007000000000001"/>
    <n v="0.57532000000000005"/>
    <n v="0.87549999999999994"/>
    <n v="41"/>
    <n v="6.72"/>
    <n v="7.26"/>
    <n v="5.22"/>
    <n v="8.65"/>
    <s v="Personal Data Protection Act"/>
    <s v="http://ec.europa.eu/justice/policies/privacy/docs/implementation/czech_republic_act _101_en.pdf"/>
    <n v="1992"/>
    <n v="2000"/>
    <s v="Both"/>
    <s v="Office for Personal Data"/>
    <s v="www.uoou.cz"/>
    <s v="ICDPPC; EDPA; A29WP; CEEDPA; AFAPDP"/>
    <n v="69"/>
    <n v="72"/>
    <n v="1999"/>
    <s v="http://www.rti-rating.org/files/pdf/Czech%20Republic.pdf"/>
    <n v="2"/>
    <n v="28"/>
    <n v="14"/>
    <n v="14"/>
    <n v="10"/>
    <n v="0"/>
    <n v="4"/>
    <s v="EU"/>
    <s v="OECD"/>
    <m/>
    <m/>
    <m/>
    <s v=".."/>
    <s v=""/>
    <n v="0"/>
    <n v="21"/>
    <n v="84"/>
    <s v="A"/>
    <m/>
    <n v="3"/>
    <n v="0"/>
    <n v="0"/>
  </r>
  <r>
    <n v="47"/>
    <m/>
    <s v="Denmark"/>
    <x v="3"/>
    <x v="2"/>
    <s v="DNK"/>
    <s v="DK"/>
    <s v="http://www.personregistrering.dk"/>
    <s v="Min of Economic Affairs and the Interior"/>
    <n v="2"/>
    <n v="1874"/>
    <n v="2"/>
    <s v="14 d"/>
    <s v="free"/>
    <s v="https://cpr.dk/cpr/site.aspx?p=34"/>
    <s v="Det Centrale Personregister"/>
    <n v="0"/>
    <n v="1968"/>
    <s v="National Health Insurance Card &gt; Civil Registration System (Det Centrale Personregister) "/>
    <x v="2"/>
    <n v="0"/>
    <n v="12"/>
    <s v="free"/>
    <n v="1"/>
    <n v="0"/>
    <s v="http://en.wikipedia.org/wiki/Personal_identification_number_(Denmark)"/>
    <n v="1"/>
    <n v="1"/>
    <m/>
    <s v="-"/>
    <s v="-"/>
    <n v="0"/>
    <n v="0"/>
    <s v="-"/>
    <s v="-"/>
    <s v="-"/>
    <s v="-"/>
    <n v="0"/>
    <s v="-"/>
    <s v="-"/>
    <n v="0"/>
    <n v="0"/>
    <s v="https://www.nyidanmark.dk/en-us/authorities/the_danish_immigration_service/"/>
    <s v="The Danish Immigration Service"/>
    <n v="2"/>
    <n v="2"/>
    <n v="2006"/>
    <n v="10"/>
    <n v="3750"/>
    <n v="1"/>
    <s v="http://www.cvr.dk"/>
    <n v="2000"/>
    <n v="1"/>
    <n v="2"/>
    <s v="http://www.dst.dk/pukora/epub/upload/2285/5_2_en.pdf"/>
    <n v="2000"/>
    <n v="1"/>
    <s v="C"/>
    <n v="0"/>
    <s v="-"/>
    <n v="3"/>
    <n v="1"/>
    <n v="5669.0810000000001"/>
    <n v="50.363577447561603"/>
    <n v="2813.9290000000001"/>
    <n v="2855.152"/>
    <n v="294.67500000000001"/>
    <n v="48.727581233562397"/>
    <n v="151.08699999999999"/>
    <n v="143.58799999999999"/>
    <n v="332.39499999999998"/>
    <n v="48.662284330390051"/>
    <n v="170.64400000000001"/>
    <n v="161.751"/>
    <n v="329.928"/>
    <n v="48.941284158968017"/>
    <n v="168.45699999999999"/>
    <n v="161.471"/>
    <n v="4712.0830000000005"/>
    <n v="50.685482407674044"/>
    <n v="2323.7410000000004"/>
    <n v="2388.3419999999996"/>
    <n v="2015"/>
    <s v="http://esa.un.org/unpd/wpp/Download/Standard/Population/"/>
    <n v="100"/>
    <n v="100"/>
    <n v="100"/>
    <s v="–"/>
    <s v="–"/>
    <n v="2011"/>
    <s v="UNSD "/>
    <n v="5660"/>
    <n v="99.839815306925402"/>
    <n v="2809.4215164680131"/>
    <n v="2850.5784835319869"/>
    <n v="2015"/>
    <s v="http://www.dst.dk/en/Statistik/Publikationer/VisPub?cid=20195"/>
    <n v="12"/>
    <n v="18"/>
    <s v="DK2015"/>
    <n v="4145.1049999999996"/>
    <n v="4431.2910000000002"/>
    <n v="5581.5029999999997"/>
    <n v="20"/>
    <n v="5"/>
    <s v="CD"/>
    <x v="2"/>
    <n v="9.081000000000131"/>
    <n v="0.16018469307459413"/>
    <n v="50.363577447561958"/>
    <n v="4.5074835319869635"/>
    <n v="4.5735164680131675"/>
    <n v="0.16018469307459299"/>
    <n v="0.16018469307459524"/>
    <n v="9.081000000000131"/>
    <n v="50.363577447561958"/>
    <n v="4.5074835319869635"/>
    <n v="4.5735164680131675"/>
    <n v="0"/>
    <n v="0"/>
    <n v="0"/>
    <n v="0"/>
    <n v="0"/>
    <n v="0"/>
    <n v="0"/>
    <n v="0"/>
    <n v="0"/>
    <n v="0"/>
    <n v="5613.7060000000001"/>
    <n v="50.376507070373833"/>
    <n v="986.06922560070143"/>
    <n v="48.682645396761046"/>
    <n v="323.09899999999999"/>
    <n v="48.671198120343142"/>
    <n v="99"/>
    <n v="4581.3604066553062"/>
    <n v="46.276367743993028"/>
    <n v="50.376507070373833"/>
    <n v="0"/>
    <n v="48.682645396761046"/>
    <n v="0"/>
    <n v="48.671198120343142"/>
    <n v="4895.2860000000001"/>
    <n v="87.202399999999997"/>
    <n v="50.376507070373833"/>
    <n v="718.42"/>
    <n v="12.797600000000003"/>
    <n v="50.376507070373833"/>
    <n v="5.7200334101418591"/>
    <n v="5.8400527827958379"/>
    <n v="6.0052975303994351"/>
    <n v="17.5653877420852"/>
    <n v="64.535754505707004"/>
    <n v="17.8988577522078"/>
    <n v="100"/>
    <n v="100"/>
    <n v="100"/>
    <n v="100"/>
    <n v="100"/>
    <n v="2011"/>
    <s v="-"/>
    <s v="-"/>
    <m/>
    <s v="-"/>
    <s v="-"/>
    <m/>
    <n v="13.4"/>
    <n v="2011"/>
    <s v="-"/>
    <s v="dan"/>
    <n v="0"/>
    <s v="-"/>
    <s v="-"/>
    <s v="-"/>
    <s v="-"/>
    <s v="-"/>
    <s v="-"/>
    <s v="-"/>
    <s v="-"/>
    <s v="-"/>
    <m/>
    <m/>
    <m/>
    <m/>
    <m/>
    <m/>
    <m/>
    <m/>
    <m/>
    <m/>
    <m/>
    <m/>
    <m/>
    <m/>
    <m/>
    <m/>
    <m/>
    <m/>
    <m/>
    <m/>
    <m/>
    <m/>
    <m/>
    <m/>
    <m/>
    <m/>
    <m/>
    <m/>
    <m/>
    <m/>
    <m/>
    <m/>
    <m/>
    <m/>
    <m/>
    <m/>
    <m/>
    <n v="1"/>
    <s v="civil"/>
    <s v="F"/>
    <n v="1"/>
    <n v="1"/>
    <s v="-"/>
    <s v="-"/>
    <s v="-"/>
    <s v="-"/>
    <s v="-"/>
    <s v="F"/>
    <n v="12"/>
    <n v="2"/>
    <n v="5"/>
    <n v="5"/>
    <n v="10"/>
    <n v="1.682456374168396"/>
    <n v="0.94661509990692139"/>
    <n v="1.9710785150527954"/>
    <n v="1.8021895885467529"/>
    <n v="1.8732744455337524"/>
    <n v="2.4107282161712646"/>
    <n v="16"/>
    <n v="0.81620000000000004"/>
    <n v="0.54901"/>
    <n v="0.66141000000000005"/>
    <n v="0.87402999999999997"/>
    <n v="0.91320000000000001"/>
    <n v="1"/>
    <n v="8.86"/>
    <n v="8.8000000000000007"/>
    <n v="8.7100000000000009"/>
    <n v="9.2799999999999994"/>
    <s v="Act on Processing of Personal Data"/>
    <s v="http://www.datatilsynet.dk/english/the-act-on-processing-of-personal-data/read-the-act-on-processing-of-personal-data/compiled-version-of-the-act-on-processing-of-personal-data/"/>
    <n v="1978"/>
    <n v="2000"/>
    <s v="Both"/>
    <s v="Data Protection Agency"/>
    <s v="http://www.datatilsynet.dk"/>
    <s v="ICDPPC; EDPA; A29WP, NDPA"/>
    <n v="84"/>
    <n v="64"/>
    <n v="1970"/>
    <s v="http://www.rti-rating.org/files/pdf/Denmark.pdf"/>
    <n v="1"/>
    <n v="17"/>
    <n v="13"/>
    <n v="10"/>
    <n v="23"/>
    <n v="0"/>
    <n v="0"/>
    <s v="EU"/>
    <s v="OECD"/>
    <m/>
    <m/>
    <m/>
    <s v=".."/>
    <s v=""/>
    <n v="0"/>
    <n v="12"/>
    <n v="48"/>
    <s v="C"/>
    <m/>
    <n v="1"/>
    <n v="0"/>
    <n v="0"/>
  </r>
  <r>
    <n v="48"/>
    <m/>
    <s v="Djibouti"/>
    <x v="2"/>
    <x v="3"/>
    <s v="DJI"/>
    <s v="DJ"/>
    <s v="http://www.unicef.org/about/annualreport/files/Djibouti_COAR_2013.prf"/>
    <s v="Office of Population, Min of Interior"/>
    <n v="2"/>
    <n v="1977"/>
    <n v="2"/>
    <s v="-"/>
    <s v="free"/>
    <s v="http://www.presidence.dj/"/>
    <s v="Directorate of Population, Ministry of Interior"/>
    <n v="2"/>
    <n v="2004"/>
    <s v="National ID Card"/>
    <x v="1"/>
    <n v="2"/>
    <n v="18"/>
    <s v="free"/>
    <n v="0"/>
    <n v="0"/>
    <m/>
    <m/>
    <n v="1"/>
    <m/>
    <s v="http://www.presidence.dj/"/>
    <n v="2014"/>
    <n v="1"/>
    <s v="4B"/>
    <s v="C"/>
    <n v="0"/>
    <n v="0"/>
    <m/>
    <n v="4"/>
    <s v="https://www.gi-de.com/en/products_and_solutions/products/national_id_cards/National-ID-cards-for-secure-identification-6530.jsp"/>
    <s v="-"/>
    <n v="0"/>
    <n v="0"/>
    <s v="http://www.djibdiplomatie.dj/"/>
    <s v="Ministry of Foreign Affairs"/>
    <n v="1"/>
    <n v="3"/>
    <s v="-"/>
    <n v="5"/>
    <s v="-"/>
    <n v="0"/>
    <s v="http://www.odpic.info/registre-du-commerce/"/>
    <n v="2009"/>
    <n v="1"/>
    <n v="0"/>
    <s v="-"/>
    <s v="-"/>
    <n v="0"/>
    <s v="-"/>
    <n v="0"/>
    <s v="-"/>
    <n v="0"/>
    <n v="0"/>
    <n v="887.86099999999999"/>
    <n v="49.784707290893508"/>
    <n v="445.84199999999998"/>
    <n v="442.01900000000001"/>
    <n v="102.054"/>
    <n v="49.298410645344617"/>
    <n v="51.743000000000002"/>
    <n v="50.311"/>
    <n v="96.033000000000001"/>
    <n v="49.372611498130851"/>
    <n v="48.619"/>
    <n v="47.414000000000001"/>
    <n v="92.558000000000007"/>
    <n v="49.380928714967915"/>
    <n v="46.851999999999997"/>
    <n v="45.706000000000003"/>
    <n v="597.21600000000001"/>
    <n v="49.99665112790013"/>
    <n v="298.62800000000004"/>
    <n v="298.58800000000002"/>
    <n v="2015"/>
    <s v="http://esa.un.org/unpd/wpp/Download/Standard/Population/"/>
    <n v="91.7"/>
    <n v="92.7"/>
    <n v="90.5"/>
    <n v="92"/>
    <n v="84.3"/>
    <n v="2006"/>
    <s v="MICS"/>
    <n v="176.87799999999999"/>
    <n v="19.921812085450309"/>
    <n v="88.819805438013375"/>
    <n v="88.058194561986625"/>
    <n v="2013"/>
    <s v="http://www.electionguide.org/countries/id/60/"/>
    <n v="18"/>
    <n v="18"/>
    <s v="DJ2013"/>
    <n v="176.87799999999999"/>
    <n v="456.16199999999998"/>
    <n v="792.19799999999998"/>
    <n v="1"/>
    <n v="4"/>
    <s v="CD"/>
    <x v="0"/>
    <n v="444.46153500000003"/>
    <n v="50.05981060098371"/>
    <n v="50.433104506560589"/>
    <n v="220.55481656198668"/>
    <n v="224.1557504380134"/>
    <n v="49.469277583086992"/>
    <n v="50.711790768725642"/>
    <n v="420.33800000000002"/>
    <n v="50.085836978339671"/>
    <n v="209.80819456198668"/>
    <n v="210.5298054380134"/>
    <n v="15.653052999999993"/>
    <n v="56.515492536823345"/>
    <n v="6.9693829999999952"/>
    <n v="8.8463999999999974"/>
    <n v="8.470481999999997"/>
    <n v="56.425891702502881"/>
    <n v="3.7772389999999976"/>
    <n v="4.7795449999999988"/>
    <n v="7.2999999999999954"/>
    <n v="9.4999999999999964"/>
    <n v="872.93200000000002"/>
    <n v="49.769283288961795"/>
    <n v="294.1509999999999"/>
    <n v="49.278658360115024"/>
    <n v="108.9"/>
    <n v="49.297269428416541"/>
    <n v="30.408738365633969"/>
    <n v="176"/>
    <n v="402.78100000000018"/>
    <n v="49.769283288961795"/>
    <n v="24.414532999999981"/>
    <n v="49.278658360115024"/>
    <n v="9.0074091948244241"/>
    <n v="49.297269428416541"/>
    <n v="674.27"/>
    <n v="77.242000000000004"/>
    <n v="37.838996247793908"/>
    <n v="198.66200000000001"/>
    <n v="22.757999999999996"/>
    <n v="61.891554499602343"/>
    <n v="12.432011009710063"/>
    <n v="11.09387693421718"/>
    <n v="10.171009408902073"/>
    <n v="33.696897352829303"/>
    <n v="62.3213492001668"/>
    <n v="3.9817534470038902"/>
    <n v="91.7"/>
    <n v="90.5"/>
    <n v="92.7"/>
    <n v="92"/>
    <n v="84.3"/>
    <n v="2006"/>
    <n v="18.8"/>
    <n v="2002"/>
    <n v="170.24603200000001"/>
    <s v="-"/>
    <s v="-"/>
    <m/>
    <n v="18.8"/>
    <s v="-"/>
    <s v="-"/>
    <s v="fre"/>
    <n v="3"/>
    <n v="1"/>
    <s v="Yes"/>
    <s v="Completed"/>
    <s v="Plan"/>
    <s v="-"/>
    <s v="Health Minister"/>
    <n v="0.89"/>
    <s v="-"/>
    <n v="1"/>
    <s v="P130328 (A)"/>
    <s v="P130328 (A)"/>
    <s v="-"/>
    <s v="-"/>
    <s v="-"/>
    <s v="-"/>
    <m/>
    <m/>
    <m/>
    <m/>
    <m/>
    <m/>
    <m/>
    <m/>
    <m/>
    <m/>
    <m/>
    <m/>
    <m/>
    <m/>
    <m/>
    <m/>
    <m/>
    <m/>
    <m/>
    <m/>
    <m/>
    <m/>
    <m/>
    <m/>
    <m/>
    <m/>
    <m/>
    <m/>
    <m/>
    <m/>
    <m/>
    <n v="3"/>
    <s v="civil + customary + religious"/>
    <s v="NF"/>
    <n v="6"/>
    <n v="5"/>
    <s v="-"/>
    <s v="-"/>
    <s v="-"/>
    <s v="-"/>
    <s v="-"/>
    <s v="NF"/>
    <n v="75"/>
    <n v="24"/>
    <n v="28"/>
    <n v="23"/>
    <n v="4"/>
    <n v="-1.444769024848938"/>
    <n v="-0.11876150965690613"/>
    <n v="-1.1845608949661255"/>
    <n v="-0.54540067911148071"/>
    <n v="-0.75569522380828857"/>
    <n v="-0.44067952036857605"/>
    <n v="184"/>
    <n v="0.14560000000000001"/>
    <n v="7.843E-2"/>
    <n v="6.2990000000000004E-2"/>
    <n v="5.5570000000000001E-2"/>
    <n v="0.31819999999999998"/>
    <n v="141"/>
    <n v="2.08"/>
    <n v="2.36"/>
    <n v="0.43"/>
    <n v="4.84"/>
    <s v="-"/>
    <s v="-"/>
    <s v="-"/>
    <s v="-"/>
    <s v="-"/>
    <s v="-"/>
    <s v="-"/>
    <s v="-"/>
    <s v="-"/>
    <s v="-"/>
    <s v="-"/>
    <s v="-"/>
    <s v="-"/>
    <s v="-"/>
    <s v="-"/>
    <s v="-"/>
    <s v="-"/>
    <s v="-"/>
    <s v="-"/>
    <m/>
    <m/>
    <m/>
    <m/>
    <m/>
    <s v="IDA"/>
    <s v=""/>
    <n v="0"/>
    <n v="12"/>
    <n v="48"/>
    <s v="C"/>
    <n v="1"/>
    <n v="4"/>
    <n v="0"/>
    <n v="0"/>
  </r>
  <r>
    <n v="49"/>
    <m/>
    <s v="Dominica"/>
    <x v="5"/>
    <x v="1"/>
    <s v="DMA"/>
    <s v="DM"/>
    <s v="http://dominica.gov.dm/services/how-do-i-obtain-a-birth-death-or-marriage-certificate"/>
    <s v="Registry Department"/>
    <n v="1"/>
    <n v="1916"/>
    <n v="2"/>
    <s v="-"/>
    <s v="EC$ 5"/>
    <s v="http://electoraloffice.gov.dm"/>
    <s v="Electoral Office"/>
    <n v="4"/>
    <n v="1974"/>
    <s v="National ID / Voter Registration Card"/>
    <x v="1"/>
    <n v="2"/>
    <n v="18"/>
    <s v="free"/>
    <n v="0"/>
    <n v="0"/>
    <m/>
    <n v="1"/>
    <n v="1"/>
    <m/>
    <s v="http://electoraloffice.gov.dm"/>
    <n v="2015"/>
    <n v="2"/>
    <s v="2B"/>
    <s v="C, F, V"/>
    <n v="0"/>
    <n v="0"/>
    <n v="100"/>
    <n v="10"/>
    <s v="http://dominicanewsonline.com/news/homepage/news/politics/roller-coaster-ride-national-id-cards/"/>
    <n v="3"/>
    <n v="0"/>
    <n v="0"/>
    <s v="http://pasaportes.gov.do/"/>
    <s v="The Directorate General of Passports"/>
    <n v="2"/>
    <n v="2"/>
    <n v="2014"/>
    <n v="5"/>
    <s v="-"/>
    <n v="0"/>
    <s v="http://www.cipo.gov.dm/dominica/default.aspx "/>
    <n v="1999"/>
    <n v="1"/>
    <n v="0"/>
    <s v="-"/>
    <s v="-"/>
    <n v="0"/>
    <s v="-"/>
    <n v="0"/>
    <s v="-"/>
    <n v="1"/>
    <n v="1"/>
    <n v="73.448999999999998"/>
    <n v="49.528244087734343"/>
    <n v="37.070999999999998"/>
    <n v="36.378"/>
    <n v="5.57"/>
    <n v="48.8689407540395"/>
    <n v="2.8479999999999999"/>
    <n v="2.722"/>
    <n v="5.3630000000000004"/>
    <n v="48.83460749580459"/>
    <n v="2.7440000000000002"/>
    <n v="2.6190000000000002"/>
    <n v="5.306"/>
    <n v="48.963437617791179"/>
    <n v="2.7080000000000002"/>
    <n v="2.5979999999999999"/>
    <n v="57.209999999999994"/>
    <n v="49.709840936899148"/>
    <n v="28.771000000000001"/>
    <n v="28.439"/>
    <n v="2015"/>
    <s v="http://www.livepopulation.com/country/dominica.html"/>
    <n v="90"/>
    <n v="90"/>
    <n v="90"/>
    <s v="–"/>
    <s v="–"/>
    <n v="2011"/>
    <s v="http://www.dominica.gov.dm/images/documents/2011_census_report.pdf"/>
    <n v="40.811999999999998"/>
    <n v="55.565085978025564"/>
    <n v="20.598533022913859"/>
    <n v="20.213466977086139"/>
    <n v="2014"/>
    <s v="http://www.electionguide.org/countries/id/61/"/>
    <n v="18"/>
    <n v="18"/>
    <s v="DM2014"/>
    <n v="70.540999999999997"/>
    <n v="40.811999999999998"/>
    <n v="73.448999999999998"/>
    <n v="1"/>
    <n v="4"/>
    <s v="CD"/>
    <x v="1"/>
    <n v="18.021899999999995"/>
    <n v="24.536617244618707"/>
    <n v="50.047070635803458"/>
    <n v="9.0024669770861419"/>
    <n v="9.0194330229138604"/>
    <n v="24.284392050622163"/>
    <n v="24.793647322320801"/>
    <n v="16.397999999999996"/>
    <n v="50.16180645757936"/>
    <n v="8.1724669770861418"/>
    <n v="8.2255330229138615"/>
    <n v="1.0668999999999997"/>
    <n v="48.898678414096914"/>
    <n v="0.54519999999999991"/>
    <n v="0.52169999999999983"/>
    <n v="0.55699999999999994"/>
    <n v="48.868940754039492"/>
    <n v="0.28479999999999994"/>
    <n v="0.27219999999999994"/>
    <n v="9.9999999999999982"/>
    <n v="9.9999999999999982"/>
    <n v="72.003"/>
    <n v="48.927664707615051"/>
    <n v="21.240884999999999"/>
    <n v="45.000000000000007"/>
    <n v="6.0956785362899799"/>
    <n v="48.78024924931286"/>
    <n v="97.218171465077845"/>
    <n v="70"/>
    <n v="1.412115000000002"/>
    <n v="48.927664707615051"/>
    <n v="2.1240884999999996"/>
    <n v="45.000000000000007"/>
    <n v="0.61026403067902879"/>
    <n v="48.78024924931286"/>
    <n v="48.542000000000002"/>
    <n v="67.416399999999996"/>
    <n v="48.927664707615051"/>
    <n v="23.460999999999999"/>
    <n v="32.583600000000004"/>
    <n v="48.927664707615051"/>
    <n v="8.4755361676461938"/>
    <n v="10.138466452786689"/>
    <n v="10.885997379567117"/>
    <n v="29.5"/>
    <n v="60"/>
    <n v="10.5"/>
    <n v="90"/>
    <n v="90"/>
    <n v="90"/>
    <n v="90"/>
    <n v="90"/>
    <n v="2000"/>
    <n v="33"/>
    <n v="2009"/>
    <n v="23.760990000000003"/>
    <s v="-"/>
    <s v="-"/>
    <m/>
    <n v="29"/>
    <n v="2009"/>
    <s v="-"/>
    <s v="eng"/>
    <n v="0"/>
    <s v="-"/>
    <s v="-"/>
    <s v="-"/>
    <s v="-"/>
    <s v="-"/>
    <s v="-"/>
    <s v="-"/>
    <s v="-"/>
    <n v="1"/>
    <s v="-"/>
    <s v="P094869 (C)"/>
    <s v="-"/>
    <s v="-"/>
    <s v="-"/>
    <s v="-"/>
    <m/>
    <m/>
    <m/>
    <m/>
    <m/>
    <m/>
    <m/>
    <m/>
    <m/>
    <m/>
    <m/>
    <m/>
    <m/>
    <m/>
    <m/>
    <m/>
    <m/>
    <m/>
    <m/>
    <m/>
    <m/>
    <m/>
    <m/>
    <m/>
    <m/>
    <m/>
    <m/>
    <m/>
    <m/>
    <m/>
    <m/>
    <n v="2"/>
    <s v="common"/>
    <s v="F"/>
    <n v="1"/>
    <n v="1"/>
    <s v="-"/>
    <s v="-"/>
    <s v="-"/>
    <s v="-"/>
    <s v="-"/>
    <s v="F"/>
    <n v="25"/>
    <n v="6"/>
    <n v="11"/>
    <n v="8"/>
    <m/>
    <n v="0.9924970269203186"/>
    <n v="1.200676441192627"/>
    <n v="0.71161550283432007"/>
    <n v="0.26890251040458679"/>
    <n v="0.63390141725540161"/>
    <n v="0.69384735822677612"/>
    <n v="110"/>
    <n v="0.43380000000000002"/>
    <n v="0.11763999999999999"/>
    <n v="0.18897"/>
    <n v="0.44236999999999999"/>
    <n v="0.67010000000000003"/>
    <n v="83"/>
    <n v="4.72"/>
    <n v="5.86"/>
    <n v="2.79"/>
    <n v="6.31"/>
    <s v="Privacy and Data Protection Bill"/>
    <s v="https://www.google.com/url?sa=t&amp;rct=j&amp;q=&amp;esrc=s&amp;source=web&amp;cd=3&amp;ved=0CCkQFjAC&amp;url=http%3A%2F%2Fwww.canto.org%2F27agm%2Findex.php%3Foption%3Dcom_docman%26task%3Ddoc_download%26gid%3D27%26Itemid%3D29&amp;ei=srbHVK6zCOPesATazIKACg&amp;usg=AFQjCNF8I9oYn98-9ZLcR8AZrm5MTEND_w&amp;sig2=aZ0fH3mCaxBwku_LPKRcKA&amp;bvm=bv.84349003,d.cWc&amp;cad=rja"/>
    <n v="2007"/>
    <s v="-"/>
    <s v="Both"/>
    <s v="-"/>
    <s v="-"/>
    <s v="-"/>
    <s v="-"/>
    <s v="-"/>
    <n v="1978"/>
    <s v="http://www.humanrightsinitiative.org/programs/ai/rti/international/laws_&amp;_papers.htm#12 "/>
    <s v="-"/>
    <s v="-"/>
    <s v="-"/>
    <s v="-"/>
    <s v="-"/>
    <s v="-"/>
    <s v="-"/>
    <m/>
    <m/>
    <m/>
    <m/>
    <m/>
    <s v="Blend"/>
    <s v=""/>
    <n v="1"/>
    <n v="14"/>
    <n v="56.000000000000007"/>
    <s v="B"/>
    <m/>
    <n v="4"/>
    <n v="0"/>
    <n v="1"/>
  </r>
  <r>
    <n v="50"/>
    <m/>
    <s v="Dominican Republic"/>
    <x v="5"/>
    <x v="1"/>
    <s v="DOM"/>
    <s v="DO"/>
    <s v="http://www.jce.do/web"/>
    <s v="Junta Central Electoral de República Dominicana"/>
    <n v="4"/>
    <n v="1828"/>
    <n v="2"/>
    <s v="30/60 d"/>
    <s v="$1 - $5"/>
    <s v="http://www.jce.gob.do/Dependencias/Cedulaci%C3%B3n/ServiciosyRequisitos.aspx#LiveTooltip[InscripcionesMayores]"/>
    <s v="Junta Central Electoral de República Dominicana"/>
    <n v="4"/>
    <n v="1997"/>
    <s v="Identity and Voting Document / Cédula de Identidad y Electoral"/>
    <x v="1"/>
    <n v="2"/>
    <n v="16"/>
    <s v="free"/>
    <n v="1"/>
    <n v="1"/>
    <m/>
    <n v="1"/>
    <m/>
    <m/>
    <s v="http://www.jce.gob.do/Dependencias/Cedulaci%C3%B3n/ServiciosyRequisitos.aspx#LiveTooltip[InscripcionesMayores]"/>
    <n v="2013"/>
    <n v="2"/>
    <s v="4B"/>
    <s v="C, S, R, V"/>
    <n v="0"/>
    <n v="0"/>
    <n v="3000"/>
    <n v="9"/>
    <s v="http://www.biometria.gov.ar/noticias/2011/10/10/datos-biometricos-en-republica-dominicana.aspx"/>
    <s v="-"/>
    <n v="1"/>
    <n v="1"/>
    <s v="http://www.pasaportes.gob.do/"/>
    <s v="The Directorate General of Passports"/>
    <n v="2"/>
    <n v="3"/>
    <n v="2004"/>
    <n v="5"/>
    <n v="3360"/>
    <n v="0"/>
    <s v="http://www.onapi.gov.do/"/>
    <n v="2007"/>
    <n v="1"/>
    <n v="1"/>
    <s v="http://www.uhy.com/wp-content/uploads/Doing-Business-in-Dominican-Republic.pdf"/>
    <n v="2007"/>
    <n v="0"/>
    <s v="-"/>
    <n v="0"/>
    <s v="-"/>
    <n v="1"/>
    <n v="1"/>
    <n v="10528.391"/>
    <n v="50.171873366025252"/>
    <n v="5246.1"/>
    <n v="5282.2910000000002"/>
    <n v="1062.223"/>
    <n v="48.969754938463964"/>
    <n v="542.05499999999995"/>
    <n v="520.16800000000001"/>
    <n v="1059.3"/>
    <n v="49.051165864249988"/>
    <n v="539.70100000000002"/>
    <n v="519.59900000000005"/>
    <n v="1032.6610000000001"/>
    <n v="49.223026724162139"/>
    <n v="524.35400000000004"/>
    <n v="508.30700000000002"/>
    <n v="7374.2070000000003"/>
    <n v="50.638895816187421"/>
    <n v="3639.99"/>
    <n v="3734.2170000000006"/>
    <n v="2015"/>
    <s v="http://esa.un.org/unpd/wpp/Download/Standard/Population/"/>
    <n v="81.099999999999994"/>
    <n v="81.099999999999994"/>
    <n v="81.099999999999994"/>
    <s v="–"/>
    <s v="–"/>
    <n v="2012"/>
    <s v="ENHOGAR"/>
    <n v="6502.9679999999998"/>
    <n v="61.766019138157013"/>
    <n v="3240.3071300068545"/>
    <n v="3262.6608699931448"/>
    <n v="2014"/>
    <s v="http://transparencia.jce.gob.do/DesktopModules/Bring2mind/DMX/Download.aspx?EntryId=1849&amp;Command=Core_Download&amp;language=es-ES&amp;PortalId=1&amp;TabId=190"/>
    <n v="16"/>
    <n v="18"/>
    <s v="DO2012"/>
    <n v="6502.9679999999998"/>
    <n v="6504.3239999999996"/>
    <n v="10088.598"/>
    <n v="1"/>
    <n v="5"/>
    <s v="CD"/>
    <x v="1"/>
    <n v="1467.3797760000007"/>
    <n v="13.937360191125128"/>
    <n v="52.075279249784032"/>
    <n v="703.23765999314526"/>
    <n v="764.14211600685587"/>
    <n v="13.404961018530818"/>
    <n v="14.466111692953982"/>
    <n v="871.23900000000049"/>
    <n v="54.124772881707017"/>
    <n v="399.68286999314523"/>
    <n v="471.55613000685571"/>
    <n v="395.38062900000011"/>
    <n v="49.136002057399743"/>
    <n v="201.10639500000008"/>
    <n v="194.27423400000009"/>
    <n v="200.76014700000005"/>
    <n v="48.969754938463964"/>
    <n v="102.44839500000002"/>
    <n v="98.311752000000027"/>
    <n v="18.900000000000006"/>
    <n v="18.900000000000006"/>
    <n v="10403.761"/>
    <n v="49.979416097697751"/>
    <n v="3141.9839999999972"/>
    <n v="49.125119870599157"/>
    <n v="1061.29"/>
    <n v="48.986777844398155"/>
    <n v="70.782095051972078"/>
    <n v="7364"/>
    <n v="2121.739101397754"/>
    <n v="49.979416097697751"/>
    <n v="593.83497599999964"/>
    <n v="49.125119870599157"/>
    <n v="200.90790714490439"/>
    <n v="48.986777844398155"/>
    <n v="7363.0330000000004"/>
    <n v="70.772800000000004"/>
    <n v="48.410118493289382"/>
    <n v="3040.7280000000001"/>
    <n v="29.227199999999996"/>
    <n v="56.289086034660116"/>
    <n v="10.217504993708413"/>
    <n v="10.190053386078747"/>
    <n v="9.7929047027461671"/>
    <n v="30.2004630825333"/>
    <n v="63.493576986245699"/>
    <n v="6.3059599312210297"/>
    <n v="81.099999999999994"/>
    <n v="81.099999999999994"/>
    <n v="81.099999999999994"/>
    <n v="81.099999999999994"/>
    <n v="81.099999999999994"/>
    <n v="2012"/>
    <n v="2.2400000000000002"/>
    <n v="2010"/>
    <n v="221.23598200000004"/>
    <n v="40.4"/>
    <n v="2011"/>
    <n v="4062.6971240000003"/>
    <n v="34.4"/>
    <n v="2010"/>
    <n v="90.858146667480497"/>
    <s v="spa"/>
    <n v="3"/>
    <s v="-"/>
    <s v="-"/>
    <s v="-"/>
    <s v="-"/>
    <s v="-"/>
    <s v="-"/>
    <s v="-"/>
    <s v="-"/>
    <n v="2"/>
    <s v="P076802 (C); P090010 (A)"/>
    <s v="P076802 (C); P090010 (A)"/>
    <s v="-"/>
    <s v="-"/>
    <s v="-"/>
    <s v="-"/>
    <n v="9884371"/>
    <n v="2010"/>
    <n v="66.5"/>
    <n v="33.5"/>
    <n v="41"/>
    <s v="?"/>
    <n v="88"/>
    <s v="esp"/>
    <n v="22"/>
    <n v="11.9"/>
    <n v="2"/>
    <s v="30/60 d"/>
    <s v="$1 - $5"/>
    <s v="Cédula de Identidad"/>
    <s v="free"/>
    <s v="-"/>
    <s v="http://idbdocs.iadb.org/wsdocs/getdocument.aspx?docnum=1959558"/>
    <n v="1"/>
    <s v="Cedula de Identidad y Electoral (ID)"/>
    <n v="1"/>
    <s v="Cedula de Identidad y Electoral (ID)"/>
    <m/>
    <m/>
    <m/>
    <m/>
    <m/>
    <m/>
    <m/>
    <m/>
    <m/>
    <m/>
    <n v="1"/>
    <s v="civil"/>
    <s v="F"/>
    <n v="2"/>
    <n v="3"/>
    <s v="-"/>
    <s v="-"/>
    <s v="-"/>
    <s v="-"/>
    <s v="-"/>
    <s v="PF"/>
    <n v="41"/>
    <n v="8"/>
    <n v="20"/>
    <n v="13"/>
    <n v="8"/>
    <n v="8.4205761551856995E-2"/>
    <n v="0.1865784227848053"/>
    <n v="-0.49194324016571045"/>
    <n v="-0.10697241872549057"/>
    <n v="-0.53252327442169189"/>
    <n v="-0.84626591205596924"/>
    <n v="107"/>
    <n v="0.44807999999999998"/>
    <n v="0.33333000000000002"/>
    <n v="0.38582"/>
    <n v="0.29449999999999998"/>
    <n v="0.66390000000000005"/>
    <n v="102"/>
    <n v="4.0599999999999996"/>
    <n v="4.1500000000000004"/>
    <n v="2.65"/>
    <n v="6.69"/>
    <s v="Law on Protection of Personal Data"/>
    <s v="http://www.datacredito1.com/s_ley_buro.asp "/>
    <n v="2013"/>
    <s v="-"/>
    <s v="Both"/>
    <s v="-"/>
    <s v="-"/>
    <s v="RedIPD"/>
    <n v="91"/>
    <n v="59"/>
    <n v="2004"/>
    <s v="http://www.rti-rating.org/files/pdf/Dominican%20Republic.pdf"/>
    <n v="5"/>
    <n v="21"/>
    <n v="14"/>
    <n v="11"/>
    <n v="3"/>
    <n v="2"/>
    <n v="3"/>
    <m/>
    <m/>
    <m/>
    <m/>
    <m/>
    <s v="IBRD"/>
    <s v=""/>
    <n v="0"/>
    <n v="17"/>
    <n v="68"/>
    <s v="B"/>
    <m/>
    <n v="5"/>
    <n v="0"/>
    <n v="1"/>
  </r>
  <r>
    <n v="51"/>
    <m/>
    <s v="Ecuador"/>
    <x v="5"/>
    <x v="1"/>
    <s v="ECU"/>
    <s v="EC"/>
    <s v="http://www.registrocivil.gob.ec/?p=1674"/>
    <s v="Registro Civil de Ecuador"/>
    <n v="1"/>
    <n v="1900"/>
    <n v="2"/>
    <s v="30 d"/>
    <n v="0.5"/>
    <s v="http://www.registrocivil.gob.ec/?p=1654"/>
    <s v="Registro Civil / Local registrar's office"/>
    <n v="1"/>
    <n v="2007"/>
    <s v="Cédula de Identidad"/>
    <x v="1"/>
    <n v="2"/>
    <n v="0"/>
    <n v="2"/>
    <n v="1"/>
    <n v="1"/>
    <m/>
    <m/>
    <m/>
    <m/>
    <s v="https://verificatusdatos.registrocivil.gob.ec/identidad/(S(vfb0qcg0zl0t3jl4py10qzwt))/default.aspx"/>
    <n v="2011"/>
    <n v="2"/>
    <s v="2B"/>
    <s v="C, E, H, R, S, V"/>
    <n v="0"/>
    <n v="0"/>
    <s v="-"/>
    <n v="1"/>
    <s v="http://www.gemalto.com/brochures-site/download-site/Documents/gov-ID-programs.pdf"/>
    <s v="-"/>
    <n v="1"/>
    <n v="1"/>
    <s v="http://cancilleria.gob.ec/"/>
    <s v="Ministry of Foreign Affairs"/>
    <n v="1"/>
    <n v="3"/>
    <n v="2005"/>
    <n v="5"/>
    <s v="-"/>
    <n v="0"/>
    <s v="http://www.supercias.gob.ec/portal/ "/>
    <n v="2012"/>
    <n v="1"/>
    <n v="2"/>
    <s v="http://www.doingbusiness.org/data/exploreeconomies/ecuador/starting-a-business/ "/>
    <n v="2006"/>
    <n v="1"/>
    <s v="C"/>
    <n v="0"/>
    <s v="-"/>
    <n v="0"/>
    <n v="1"/>
    <n v="16144.362999999999"/>
    <n v="50.006921920672873"/>
    <n v="8071.0640000000003"/>
    <n v="8073.299"/>
    <n v="1610.3330000000001"/>
    <n v="48.840767716987727"/>
    <n v="823.83399999999995"/>
    <n v="786.49900000000002"/>
    <n v="1567.9860000000001"/>
    <n v="48.899607522005937"/>
    <n v="801.24699999999996"/>
    <n v="766.73900000000003"/>
    <n v="1506.6579999999999"/>
    <n v="49.008268631633726"/>
    <n v="768.27099999999996"/>
    <n v="738.38699999999994"/>
    <n v="11459.385999999999"/>
    <n v="50.453610690834573"/>
    <n v="5677.7120000000004"/>
    <n v="5781.674"/>
    <n v="2015"/>
    <s v="http://esa.un.org/unpd/wpp/Download/Standard/Population/"/>
    <n v="90"/>
    <n v="92"/>
    <n v="88"/>
    <n v="89"/>
    <n v="92"/>
    <n v="2010"/>
    <s v="ENNA"/>
    <n v="10010.924999999999"/>
    <n v="62.008795268044949"/>
    <n v="5004.7695517128786"/>
    <n v="5006.1554482871206"/>
    <n v="2013"/>
    <s v="http://www.electionguide.org/countries/id/64/"/>
    <n v="0"/>
    <n v="16"/>
    <s v="EC2013"/>
    <n v="11675.441000000001"/>
    <n v="10010.924999999999"/>
    <n v="15439.429"/>
    <n v="1"/>
    <n v="4"/>
    <s v="LH"/>
    <x v="1"/>
    <n v="1916.9586999999992"/>
    <n v="11.873857766949364"/>
    <n v="54.801052923721294"/>
    <n v="864.4106082871217"/>
    <n v="1050.5135517128792"/>
    <n v="10.709995711682147"/>
    <n v="13.012196770030185"/>
    <n v="1448.4609999999993"/>
    <n v="53.540865215762089"/>
    <n v="672.94244828712181"/>
    <n v="775.51855171287934"/>
    <n v="307.46439999999996"/>
    <n v="58.743425255086443"/>
    <n v="125.56143999999992"/>
    <n v="180.61511999999999"/>
    <n v="161.03329999999997"/>
    <n v="58.60892126038528"/>
    <n v="65.906719999999964"/>
    <n v="94.37988"/>
    <n v="7.9999999999999964"/>
    <n v="12"/>
    <n v="15737.878000000001"/>
    <n v="50.003628189264148"/>
    <n v="4714.5399999999963"/>
    <n v="48.991142295961069"/>
    <n v="1599.421"/>
    <n v="48.926663059021273"/>
    <n v="96.722063679803668"/>
    <n v="10662"/>
    <n v="361.33800000000372"/>
    <n v="50.003628189264148"/>
    <n v="471.45399999999955"/>
    <n v="48.991142295961069"/>
    <n v="160.21529999999973"/>
    <n v="48.926663059021273"/>
    <n v="10787.308000000001"/>
    <n v="68.543599999999998"/>
    <n v="47.988599194534906"/>
    <n v="4950.57"/>
    <n v="31.456400000000002"/>
    <n v="58.806076875996091"/>
    <n v="10.180235226121322"/>
    <n v="10.031415925323616"/>
    <n v="9.7449923045533886"/>
    <n v="29.9566434559983"/>
    <n v="63.530661503412297"/>
    <n v="6.5126950405893398"/>
    <n v="90"/>
    <n v="88"/>
    <n v="92"/>
    <n v="89"/>
    <n v="92"/>
    <n v="2010"/>
    <n v="4.6100000000000003"/>
    <n v="2010"/>
    <n v="674.63853000000006"/>
    <n v="28.6"/>
    <n v="2011"/>
    <n v="4194.4917299999997"/>
    <n v="25.6"/>
    <n v="2013"/>
    <n v="93.294624328613295"/>
    <s v="spa"/>
    <n v="0"/>
    <s v="-"/>
    <s v="-"/>
    <s v="-"/>
    <s v="-"/>
    <s v="-"/>
    <s v="-"/>
    <s v="-"/>
    <s v="-"/>
    <n v="1"/>
    <s v="-"/>
    <s v="-"/>
    <s v="-"/>
    <s v="-"/>
    <s v="P007136 (C)"/>
    <s v="-"/>
    <n v="14247545"/>
    <n v="2010"/>
    <n v="67"/>
    <n v="33"/>
    <n v="45.74"/>
    <s v="11.79 %"/>
    <n v="84"/>
    <s v="esp"/>
    <n v="15"/>
    <s v="?"/>
    <n v="1"/>
    <s v="30 d"/>
    <s v="$2 after 18. $0.5 if regitered in 30 d."/>
    <s v="Cédula de Identidad"/>
    <n v="2"/>
    <s v="-"/>
    <s v="http://idbdocs.iadb.org/wsdocs/getdocument.aspx?docnum=1959542"/>
    <n v="1"/>
    <s v="DGRCIC “cédula de identidad” (civil registry, ID)"/>
    <m/>
    <m/>
    <m/>
    <m/>
    <m/>
    <m/>
    <m/>
    <m/>
    <m/>
    <m/>
    <m/>
    <m/>
    <n v="1"/>
    <s v="civil"/>
    <s v="PF"/>
    <n v="3"/>
    <n v="3"/>
    <s v="PF"/>
    <n v="37"/>
    <n v="9"/>
    <n v="11"/>
    <n v="17"/>
    <s v="NF"/>
    <n v="62"/>
    <n v="22"/>
    <n v="25"/>
    <n v="15"/>
    <n v="9"/>
    <n v="-0.28639298677444458"/>
    <n v="-0.19542352855205536"/>
    <n v="-0.48626500368118286"/>
    <n v="-0.94281107187271118"/>
    <n v="-0.95037126541137695"/>
    <n v="-0.60957825183868408"/>
    <n v="83"/>
    <n v="0.50529000000000002"/>
    <n v="0.49019000000000001"/>
    <n v="0.48031000000000001"/>
    <n v="0.33184000000000002"/>
    <n v="0.70369999999999999"/>
    <n v="88"/>
    <n v="4.5599999999999996"/>
    <n v="5.16"/>
    <n v="2.58"/>
    <n v="7.29"/>
    <s v="-"/>
    <s v="-"/>
    <s v="-"/>
    <s v="-"/>
    <s v="-"/>
    <s v="-"/>
    <s v="-"/>
    <s v="-"/>
    <n v="67"/>
    <n v="73"/>
    <n v="2004"/>
    <s v="http://www.rti-rating.org/files/pdf/Ecuador.pdf"/>
    <n v="4"/>
    <n v="27"/>
    <n v="8"/>
    <n v="14"/>
    <n v="8"/>
    <n v="3"/>
    <n v="9"/>
    <m/>
    <m/>
    <m/>
    <m/>
    <m/>
    <s v="IBRD"/>
    <s v=""/>
    <n v="0"/>
    <n v="15"/>
    <n v="60"/>
    <s v="B"/>
    <m/>
    <n v="5"/>
    <n v="0"/>
    <n v="0"/>
  </r>
  <r>
    <n v="52"/>
    <m/>
    <s v="Egypt"/>
    <x v="2"/>
    <x v="3"/>
    <s v="EGY"/>
    <s v="EG"/>
    <s v="http://www.cso.gov.eg"/>
    <s v="Civil Status Dept."/>
    <n v="2"/>
    <n v="1962"/>
    <n v="2"/>
    <s v="-"/>
    <s v="7 Pounds"/>
    <s v="http://www.cso.gov.eg/index.aspx?lid=9"/>
    <s v="Ministry of Interior"/>
    <n v="2"/>
    <n v="2009"/>
    <s v="Personal Verification Card"/>
    <x v="1"/>
    <n v="2"/>
    <n v="16"/>
    <s v="15 Pounds"/>
    <n v="1"/>
    <n v="1"/>
    <m/>
    <n v="1"/>
    <n v="1"/>
    <m/>
    <s v="http://www.cso.gov.eg"/>
    <n v="2016"/>
    <n v="2"/>
    <s v="4B"/>
    <s v="C, H, S, V"/>
    <n v="1"/>
    <n v="0"/>
    <s v="-"/>
    <n v="2"/>
    <s v="http://www.securitydocumentworld.com/article-details/i/11860/"/>
    <s v="-"/>
    <n v="1"/>
    <n v="1"/>
    <s v="http://www.mfa.gov.eg/"/>
    <s v="Ministry of Foreign Affairs"/>
    <n v="2"/>
    <n v="3"/>
    <n v="2007"/>
    <n v="5"/>
    <s v="-"/>
    <n v="1"/>
    <s v="http://www.tpegypt.gov.eg/Eng/EgyDirectory.aspx "/>
    <n v="2004"/>
    <n v="1"/>
    <n v="0"/>
    <s v="-"/>
    <s v="-"/>
    <n v="0"/>
    <s v="-"/>
    <n v="0"/>
    <s v="-"/>
    <n v="0"/>
    <n v="0"/>
    <n v="91508.084000000003"/>
    <n v="49.468486303352165"/>
    <n v="46240.42"/>
    <n v="45267.663999999997"/>
    <n v="12116.075000000001"/>
    <n v="48.449287413621981"/>
    <n v="6245.9229999999998"/>
    <n v="5870.152"/>
    <n v="9579.2870000000003"/>
    <n v="48.492502625717336"/>
    <n v="4934.0510000000004"/>
    <n v="4645.2359999999999"/>
    <n v="8648.9750000000004"/>
    <n v="48.531912741105153"/>
    <n v="4451.4620000000004"/>
    <n v="4197.5129999999999"/>
    <n v="61163.74700000001"/>
    <n v="49.955675540937662"/>
    <n v="30608.983999999997"/>
    <n v="30554.762999999999"/>
    <n v="2015"/>
    <s v="http://esa.un.org/unpd/wpp/Download/Standard/Population/"/>
    <n v="99"/>
    <n v="99.1"/>
    <n v="98.9"/>
    <n v="99.2"/>
    <n v="98.8"/>
    <n v="2005"/>
    <s v="DHS"/>
    <n v="53786"/>
    <n v="58.777320700977633"/>
    <n v="27178.879956879005"/>
    <n v="26607.120043120995"/>
    <n v="2015"/>
    <s v="http://www.idea.int/vt/countryview.cfm?id=69"/>
    <n v="16"/>
    <n v="18"/>
    <s v="EG2015"/>
    <n v="53786"/>
    <n v="55382.461000000003"/>
    <n v="88487.395999999993"/>
    <n v="1"/>
    <n v="4"/>
    <s v="CD"/>
    <x v="1"/>
    <n v="7681.1903700000103"/>
    <n v="8.3940019659902507"/>
    <n v="53.500625162594396"/>
    <n v="3570.7869671209914"/>
    <n v="4109.4848678790031"/>
    <n v="7.7222200125366331"/>
    <n v="9.0781907099933488"/>
    <n v="7377.7470000000103"/>
    <n v="53.507431969122813"/>
    <n v="3430.1040431209913"/>
    <n v="3947.6429568790045"/>
    <n v="182.28262000000018"/>
    <n v="53.362322200547155"/>
    <n v="84.469617000000085"/>
    <n v="97.270238999999094"/>
    <n v="121.16075000000012"/>
    <n v="53.294216154983644"/>
    <n v="56.21330700000005"/>
    <n v="64.57167199999941"/>
    <n v="0.9000000000000008"/>
    <n v="1.0999999999999899"/>
    <n v="82056.377999999997"/>
    <n v="49.78335870491383"/>
    <n v="25555.143000000029"/>
    <n v="48.825734629789672"/>
    <n v="9267.9689999999991"/>
    <n v="48.837161663252552"/>
    <n v="95.304111494200143"/>
    <n v="53848"/>
    <n v="2653.2349999999665"/>
    <n v="49.78335870491383"/>
    <n v="255.55143000000052"/>
    <n v="48.825734629789672"/>
    <n v="92.057891100563097"/>
    <n v="48.837161663252552"/>
    <n v="35994.686999999998"/>
    <n v="43.8658"/>
    <n v="49.943898664822392"/>
    <n v="46061.690999999999"/>
    <n v="56.1342"/>
    <n v="52.125337734561242"/>
    <n v="11.218858709625595"/>
    <n v="10.391487304033483"/>
    <n v="9.5330502985690853"/>
    <n v="31.143396312228202"/>
    <n v="63.087000988515499"/>
    <n v="5.7696026992563603"/>
    <n v="99"/>
    <n v="98.9"/>
    <n v="99.1"/>
    <n v="99.2"/>
    <n v="98.8"/>
    <n v="2005"/>
    <n v="1.69"/>
    <n v="2008"/>
    <n v="1395"/>
    <n v="22"/>
    <n v="2008"/>
    <n v="18158.089400000001"/>
    <n v="22"/>
    <n v="2008"/>
    <n v="73.865585327148395"/>
    <s v="ara"/>
    <n v="3"/>
    <n v="1"/>
    <s v="Yes"/>
    <s v="Completed"/>
    <s v="Plan"/>
    <s v="-"/>
    <s v="Health Minister"/>
    <n v="0.99"/>
    <s v="1--"/>
    <s v="-"/>
    <m/>
    <m/>
    <m/>
    <m/>
    <m/>
    <m/>
    <m/>
    <m/>
    <m/>
    <m/>
    <m/>
    <m/>
    <m/>
    <m/>
    <m/>
    <m/>
    <m/>
    <m/>
    <m/>
    <m/>
    <m/>
    <m/>
    <m/>
    <m/>
    <m/>
    <m/>
    <m/>
    <m/>
    <m/>
    <m/>
    <m/>
    <m/>
    <m/>
    <m/>
    <m/>
    <m/>
    <m/>
    <n v="1"/>
    <s v="civil"/>
    <s v="NF"/>
    <n v="6"/>
    <n v="5"/>
    <s v="PF"/>
    <n v="60"/>
    <n v="15"/>
    <n v="12"/>
    <n v="33"/>
    <s v="NF"/>
    <n v="68"/>
    <n v="22"/>
    <n v="30"/>
    <n v="16"/>
    <n v="4"/>
    <n v="-1.0403258800506592"/>
    <n v="-1.6198796033859253"/>
    <n v="-0.89306080341339111"/>
    <n v="-0.69587165117263794"/>
    <n v="-0.60204219818115234"/>
    <n v="-0.59902602434158325"/>
    <n v="80"/>
    <n v="0.51293"/>
    <n v="0.54901"/>
    <n v="0.59055000000000002"/>
    <n v="0.35704999999999998"/>
    <n v="0.59119999999999995"/>
    <n v="89"/>
    <n v="4.45"/>
    <n v="5.09"/>
    <n v="2.87"/>
    <n v="6.33"/>
    <s v="-"/>
    <s v="-"/>
    <s v="-"/>
    <s v="-"/>
    <s v="-"/>
    <s v="-"/>
    <s v="-"/>
    <s v="-"/>
    <s v="-"/>
    <s v="-"/>
    <s v="-"/>
    <s v="-"/>
    <s v="-"/>
    <s v="-"/>
    <s v="-"/>
    <s v="-"/>
    <s v="-"/>
    <s v="-"/>
    <s v="-"/>
    <m/>
    <m/>
    <m/>
    <s v="prev"/>
    <m/>
    <s v="IBRD"/>
    <s v=""/>
    <n v="0"/>
    <n v="14"/>
    <n v="56.000000000000007"/>
    <s v="B"/>
    <n v="1"/>
    <n v="4"/>
    <n v="0"/>
    <n v="0"/>
  </r>
  <r>
    <n v="53"/>
    <m/>
    <s v="El Salvador"/>
    <x v="5"/>
    <x v="3"/>
    <s v="SLV"/>
    <s v="SV"/>
    <s v="http://www.rnpn.gob.sv"/>
    <s v="Registro Nacional de las Personas Naturales (RNPN)"/>
    <n v="4"/>
    <n v="1859"/>
    <n v="2"/>
    <s v="15 d"/>
    <n v="2.86"/>
    <s v="http://www.rnpn.gob.sv/rnpn/"/>
    <s v="RNPN / Registro Nacional de las Personas Naturales, Tribunal Supremo Electoral"/>
    <n v="4"/>
    <n v="1994"/>
    <s v="NUI (Número Único de Identidad) / DUI (Documento Único de Identidad)"/>
    <x v="1"/>
    <n v="2"/>
    <n v="18"/>
    <n v="10.31"/>
    <n v="1"/>
    <n v="1"/>
    <s v="http://es.wikipedia.org/wiki/Documento_%C3%9Anico_de_Identidad"/>
    <s v=" "/>
    <m/>
    <m/>
    <s v="http://www.dui-sv.com/"/>
    <n v="2003"/>
    <n v="2"/>
    <n v="3"/>
    <s v="C, H, R, S"/>
    <n v="0"/>
    <n v="0"/>
    <s v="-"/>
    <n v="5"/>
    <s v="http://www.trueb.ee/services-and-products/documents/id-cards"/>
    <s v="-"/>
    <n v="0"/>
    <n v="0"/>
    <s v="http://www.rree.gob.sv/"/>
    <s v="Ministry of Foreign Affairs"/>
    <n v="2"/>
    <n v="3"/>
    <n v="2014"/>
    <n v="5"/>
    <s v="-"/>
    <n v="0"/>
    <s v="http://www.cnr.gob.sv/index.php?option=com_content&amp;view=article&amp;id=88:matriculas&amp;catid=78:tema-1&amp;Itemid=140 "/>
    <n v="2013"/>
    <n v="1"/>
    <n v="0"/>
    <s v="-"/>
    <s v="-"/>
    <n v="0"/>
    <s v="-"/>
    <n v="0"/>
    <s v="-"/>
    <n v="0"/>
    <n v="1"/>
    <n v="6126.5829999999996"/>
    <n v="53.069418956700666"/>
    <n v="2875.241"/>
    <n v="3251.3420000000001"/>
    <n v="519.88400000000001"/>
    <n v="48.847050495879849"/>
    <n v="265.93599999999998"/>
    <n v="253.94800000000001"/>
    <n v="545.43200000000002"/>
    <n v="48.871170008360352"/>
    <n v="278.87299999999999"/>
    <n v="266.55900000000003"/>
    <n v="590.61400000000003"/>
    <n v="49.040151435624615"/>
    <n v="300.976"/>
    <n v="289.63799999999998"/>
    <n v="4470.6530000000002"/>
    <n v="54.604931315402915"/>
    <n v="2029.4559999999997"/>
    <n v="2441.1970000000001"/>
    <n v="2015"/>
    <s v="http://esa.un.org/unpd/wpp/Download/Standard/Population/"/>
    <n v="98.6"/>
    <n v="98.8"/>
    <n v="98.5"/>
    <n v="98.6"/>
    <n v="98.7"/>
    <n v="2008"/>
    <s v="FESAL"/>
    <n v="5258.9380000000001"/>
    <n v="85.838027494281889"/>
    <n v="2500.2840000000001"/>
    <n v="2758.654"/>
    <n v="2015"/>
    <s v="http://publica.gobiernoabierto.gob.sv/institutions/registro-nacional-de-las-personas-naturales/information_standards/estadisticas?page=1"/>
    <n v="18"/>
    <n v="18"/>
    <s v="SV2015"/>
    <n v="4911.6719999999996"/>
    <n v="3682.915"/>
    <n v="6125.5119999999997"/>
    <n v="20"/>
    <n v="5"/>
    <s v="CD"/>
    <x v="1"/>
    <n v="867.64499999999953"/>
    <n v="14.161972505718106"/>
    <n v="56.784514403932526"/>
    <n v="374.95699999999988"/>
    <n v="492.6880000000001"/>
    <n v="13.040889441963296"/>
    <n v="15.15337359158157"/>
    <n v="844.46197999999958"/>
    <n v="56.904376559380488"/>
    <n v="364.80757999999986"/>
    <n v="480.5358250000001"/>
    <n v="15.904644000000015"/>
    <n v="52.456093955953989"/>
    <n v="6.958188000000006"/>
    <n v="8.342955000000007"/>
    <n v="7.2783760000000068"/>
    <n v="52.336125531299835"/>
    <n v="3.1912320000000025"/>
    <n v="3.8092200000000034"/>
    <n v="1.2000000000000011"/>
    <n v="1.5000000000000013"/>
    <n v="6340.4539999999997"/>
    <n v="52.608866809853048"/>
    <n v="1899.9709999999986"/>
    <n v="48.869257564572763"/>
    <n v="634.51499999999999"/>
    <n v="48.891984676116188"/>
    <n v="85.167402838976514"/>
    <n v="5400"/>
    <n v="658.63895539373073"/>
    <n v="52.608866809853048"/>
    <n v="26.599594000000003"/>
    <n v="48.869257564572763"/>
    <n v="8.7353392338530398"/>
    <n v="48.891984676116188"/>
    <n v="4167.5929999999998"/>
    <n v="65.730199999999996"/>
    <n v="53.569530421996582"/>
    <n v="2172.8609999999999"/>
    <n v="34.269800000000004"/>
    <n v="79.880903564470998"/>
    <n v="9.840822162231186"/>
    <n v="9.6081259652754358"/>
    <n v="10.516902898303204"/>
    <n v="29.965851025809801"/>
    <n v="62.901773279957602"/>
    <n v="7.1323756942326204"/>
    <n v="98.6"/>
    <n v="98.5"/>
    <n v="98.8"/>
    <n v="98.6"/>
    <n v="98.7"/>
    <n v="2008"/>
    <n v="8.9700000000000006"/>
    <n v="2009"/>
    <n v="560.47419000000002"/>
    <n v="42.5"/>
    <n v="2010"/>
    <n v="2646.6836749999998"/>
    <n v="36.5"/>
    <n v="2010"/>
    <n v="85.493988037109403"/>
    <s v="spa"/>
    <n v="3"/>
    <s v="-"/>
    <s v="-"/>
    <s v="-"/>
    <s v="-"/>
    <s v="-"/>
    <s v="-"/>
    <s v="-"/>
    <s v="-"/>
    <n v="2"/>
    <s v="-"/>
    <s v="-"/>
    <s v="P095314 (A)"/>
    <s v="-"/>
    <s v="P007164 (C); P095314 (A)"/>
    <s v="-"/>
    <n v="5744113"/>
    <n v="2007"/>
    <n v="64"/>
    <n v="36"/>
    <n v="34.6"/>
    <s v="0.36 %"/>
    <n v="81"/>
    <s v="esp"/>
    <n v="9.8000000000000007"/>
    <n v="4.5999999999999996"/>
    <n v="3"/>
    <s v="15 d"/>
    <n v="2.86"/>
    <s v="DUI (Documento Único de Identidad)"/>
    <n v="10.31"/>
    <s v="NUI (Número Único de Identidad)"/>
    <s v="-"/>
    <n v="1"/>
    <s v="RNPN “Documento Único de Identidad” (civil registry, ID)"/>
    <m/>
    <m/>
    <m/>
    <m/>
    <m/>
    <m/>
    <m/>
    <m/>
    <m/>
    <m/>
    <n v="1"/>
    <s v="drivers’ license/vehicle registration"/>
    <n v="1"/>
    <s v="civil"/>
    <s v="F"/>
    <n v="2"/>
    <n v="3"/>
    <s v="-"/>
    <s v="-"/>
    <s v="-"/>
    <s v="-"/>
    <s v="-"/>
    <s v="PF"/>
    <n v="39"/>
    <n v="9"/>
    <n v="16"/>
    <n v="14"/>
    <n v="8"/>
    <n v="-4.608357697725296E-2"/>
    <n v="-4.3523196130990982E-2"/>
    <n v="-0.13082781434059143"/>
    <n v="0.30621066689491272"/>
    <n v="-0.67533719539642334"/>
    <n v="-0.34808540344238281"/>
    <n v="88"/>
    <n v="0.49885000000000002"/>
    <n v="0.60784000000000005"/>
    <n v="0.53542999999999996"/>
    <n v="0.31974999999999998"/>
    <n v="0.64139999999999997"/>
    <n v="110"/>
    <n v="3.61"/>
    <n v="4.76"/>
    <n v="1.27"/>
    <n v="6"/>
    <s v="-"/>
    <s v="-"/>
    <s v="-"/>
    <s v="-"/>
    <s v="-"/>
    <s v="-"/>
    <s v="-"/>
    <s v="-"/>
    <n v="5"/>
    <n v="122"/>
    <n v="2011"/>
    <s v="http://www.rti-rating.org/files/pdf/El%20Salvador.pdf"/>
    <n v="6"/>
    <n v="30"/>
    <n v="24"/>
    <n v="22"/>
    <n v="23"/>
    <n v="1"/>
    <n v="16"/>
    <m/>
    <m/>
    <m/>
    <m/>
    <m/>
    <s v="IBRD"/>
    <s v=""/>
    <n v="0"/>
    <n v="14"/>
    <n v="56.000000000000007"/>
    <s v="B"/>
    <m/>
    <n v="5"/>
    <n v="0"/>
    <n v="1"/>
  </r>
  <r>
    <n v="54"/>
    <m/>
    <s v="Equatorial Guinea"/>
    <x v="4"/>
    <x v="2"/>
    <s v="GNQ"/>
    <s v="GQ"/>
    <s v="http://www.egjustice.org"/>
    <s v="Central Civil Registry, Min of Justice"/>
    <n v="1"/>
    <n v="1982"/>
    <n v="2"/>
    <s v="3 d"/>
    <s v="free"/>
    <s v="http://www.guineaecuatorialpress.com/noticia.php?id=126&amp;lang=fr"/>
    <s v="Ministry of Justice"/>
    <n v="1"/>
    <n v="1982"/>
    <s v="National ID Card"/>
    <x v="1"/>
    <n v="2"/>
    <n v="18"/>
    <s v="free"/>
    <n v="0"/>
    <n v="0"/>
    <m/>
    <n v="1"/>
    <m/>
    <m/>
    <s v="-"/>
    <s v="-"/>
    <n v="0"/>
    <n v="1"/>
    <s v="-"/>
    <s v="-"/>
    <s v="-"/>
    <s v="-"/>
    <n v="0"/>
    <s v="-"/>
    <s v="-"/>
    <n v="0"/>
    <n v="0"/>
    <s v="http://www.mae-ge.org/index.php/en"/>
    <s v="Ministry of Foreign Service"/>
    <n v="0"/>
    <n v="3"/>
    <s v="-"/>
    <n v="5"/>
    <s v="-"/>
    <n v="0"/>
    <s v="http://www.gq.undp.org/content/dam/equatorial_guinea/Reduccion%20de%20la%20Pobreza/Investment%20Climate%20Report%20EG%20English.%20Version%20Final..pdf"/>
    <n v="1995"/>
    <n v="0"/>
    <n v="0"/>
    <s v="-"/>
    <s v="-"/>
    <n v="0"/>
    <s v="-"/>
    <n v="0"/>
    <s v="-"/>
    <n v="0"/>
    <n v="0"/>
    <n v="845.06"/>
    <n v="48.74849123139186"/>
    <n v="433.10599999999999"/>
    <n v="411.95400000000001"/>
    <n v="128.21799999999999"/>
    <n v="49.541406042833302"/>
    <n v="64.697000000000003"/>
    <n v="63.521000000000001"/>
    <n v="109.83499999999999"/>
    <n v="49.630809851140349"/>
    <n v="55.323"/>
    <n v="54.512"/>
    <n v="93.724999999999994"/>
    <n v="49.676180314750603"/>
    <n v="47.165999999999997"/>
    <n v="46.558999999999997"/>
    <n v="513.28199999999993"/>
    <n v="48.19222181958456"/>
    <n v="265.92"/>
    <n v="247.36199999999999"/>
    <n v="2015"/>
    <s v="http://esa.un.org/unpd/wpp/Download/Standard/Population/"/>
    <n v="53.5"/>
    <n v="53.3"/>
    <n v="53.6"/>
    <n v="60.2"/>
    <n v="47.4"/>
    <n v="2011"/>
    <s v="DHS"/>
    <n v="292.58499999999998"/>
    <n v="34.622985350152653"/>
    <n v="149.9542269306321"/>
    <n v="142.63077306936785"/>
    <n v="2013"/>
    <s v="http://www.electionguide.org/countries/id/67/"/>
    <n v="18"/>
    <n v="18"/>
    <s v="GQ2009"/>
    <n v="292.58499999999998"/>
    <n v="328.96800000000002"/>
    <n v="633.44100000000003"/>
    <n v="1"/>
    <n v="4"/>
    <s v="CD"/>
    <x v="0"/>
    <n v="374.97376999999994"/>
    <n v="44.372443376801648"/>
    <n v="48.297222211204847"/>
    <n v="194.04163506936794"/>
    <n v="181.10191493063215"/>
    <n v="44.802342860493262"/>
    <n v="43.961683811938265"/>
    <n v="220.69699999999995"/>
    <n v="47.454757849283027"/>
    <n v="115.96577306936791"/>
    <n v="104.73122693063215"/>
    <n v="94.655399999999986"/>
    <n v="49.544921895634054"/>
    <n v="47.862363000000009"/>
    <n v="46.896943999999991"/>
    <n v="59.621369999999992"/>
    <n v="49.434865384676677"/>
    <n v="30.213499000000006"/>
    <n v="29.473744"/>
    <n v="46.70000000000001"/>
    <n v="46.4"/>
    <n v="757.01400000000001"/>
    <n v="48.788661768474562"/>
    <n v="294.31799999999964"/>
    <n v="49.637806726058223"/>
    <n v="114.843"/>
    <n v="49.681509533243968"/>
    <n v="63.108390822483827"/>
    <n v="292"/>
    <n v="170.69600000000037"/>
    <n v="48.788661768474562"/>
    <n v="136.85786999999982"/>
    <n v="49.637806726058223"/>
    <n v="53.133621035279106"/>
    <n v="49.681509533243968"/>
    <n v="301.76499999999999"/>
    <n v="39.8626"/>
    <n v="21.665865822742862"/>
    <n v="455.24900000000002"/>
    <n v="60.1374"/>
    <n v="25.889128806433405"/>
    <n v="15.094285137232902"/>
    <n v="12.744794005946636"/>
    <n v="11.039726268609416"/>
    <n v="38.878805411788903"/>
    <n v="58.341985749272801"/>
    <n v="2.7792088389382501"/>
    <n v="53.5"/>
    <n v="53.6"/>
    <n v="53.3"/>
    <n v="60.2"/>
    <n v="47.4"/>
    <n v="2011"/>
    <n v="60"/>
    <n v="2013"/>
    <n v="454.20840000000004"/>
    <n v="76.8"/>
    <n v="2006"/>
    <n v="553.12358399999994"/>
    <s v="-"/>
    <s v="-"/>
    <n v="94.513809204101605"/>
    <s v="spa"/>
    <n v="1"/>
    <n v="3"/>
    <s v="-"/>
    <s v="-"/>
    <s v="-"/>
    <s v="-"/>
    <s v="CR Minister"/>
    <n v="0.32"/>
    <s v="-"/>
    <s v="-"/>
    <m/>
    <m/>
    <m/>
    <m/>
    <m/>
    <m/>
    <m/>
    <m/>
    <m/>
    <m/>
    <m/>
    <m/>
    <m/>
    <m/>
    <m/>
    <m/>
    <m/>
    <m/>
    <m/>
    <m/>
    <m/>
    <m/>
    <m/>
    <m/>
    <m/>
    <m/>
    <m/>
    <m/>
    <m/>
    <m/>
    <m/>
    <m/>
    <m/>
    <m/>
    <m/>
    <m/>
    <m/>
    <n v="1"/>
    <s v="civil"/>
    <s v="NF"/>
    <n v="7"/>
    <n v="7"/>
    <s v="-"/>
    <s v="-"/>
    <s v="-"/>
    <s v="-"/>
    <s v="-"/>
    <s v="NF"/>
    <n v="90"/>
    <n v="27"/>
    <n v="36"/>
    <n v="27"/>
    <n v="2"/>
    <n v="-1.962244987487793"/>
    <n v="8.090607076883316E-2"/>
    <n v="-1.5913176536560059"/>
    <n v="-1.4368792772293091"/>
    <n v="-1.3177694082260132"/>
    <n v="-1.6088148355484009"/>
    <n v="168"/>
    <n v="0.22675000000000001"/>
    <n v="1.9599999999999999E-2"/>
    <n v="3.1489999999999997E-2"/>
    <n v="0.11996"/>
    <n v="0.52880000000000005"/>
    <s v="-"/>
    <s v="-"/>
    <s v="-"/>
    <s v="-"/>
    <s v="-"/>
    <s v="-"/>
    <s v="-"/>
    <s v="-"/>
    <s v="-"/>
    <s v="-"/>
    <s v="-"/>
    <s v="-"/>
    <s v="-"/>
    <s v="-"/>
    <s v="-"/>
    <s v="-"/>
    <s v="-"/>
    <s v="-"/>
    <s v="-"/>
    <s v="-"/>
    <s v="-"/>
    <s v="-"/>
    <s v="-"/>
    <s v="-"/>
    <m/>
    <m/>
    <m/>
    <m/>
    <n v="55.5"/>
    <s v="IBRD"/>
    <s v=""/>
    <n v="0"/>
    <n v="6"/>
    <n v="24"/>
    <s v="D"/>
    <n v="1"/>
    <n v="4"/>
    <n v="0"/>
    <n v="0"/>
  </r>
  <r>
    <n v="55"/>
    <m/>
    <s v="Eritrea"/>
    <x v="4"/>
    <x v="0"/>
    <s v="ERI"/>
    <s v="ER"/>
    <s v="http://www.refworld.org/docid/524970044.html"/>
    <s v="Public Registration Office, Min of Information + Min of Health"/>
    <n v="3"/>
    <n v="1939"/>
    <n v="2"/>
    <s v="3 m"/>
    <n v="45"/>
    <s v="http://www.shabait.com/articles/q-a-a/3558-public-registration-office-and-the-public-mutual-cooperation-for-efficient-services-"/>
    <s v="Public Registration Office"/>
    <n v="6"/>
    <n v="2012"/>
    <s v="National ID Card"/>
    <x v="1"/>
    <n v="2"/>
    <n v="18"/>
    <s v="free"/>
    <n v="0"/>
    <n v="0"/>
    <m/>
    <n v="1"/>
    <m/>
    <m/>
    <s v="http://www.shabait.com/news/local-news/6991-immigration-and-nationality-branch-in-northern-red-sea-region-strives-to-render-efficient-service"/>
    <n v="2010"/>
    <n v="1"/>
    <s v="2B"/>
    <s v="C"/>
    <n v="0"/>
    <n v="0"/>
    <s v="-"/>
    <n v="14"/>
    <s v="https://www.gi-de.com/en/products_and_solutions/products/national_id_cards/National-ID-cards-for-secure-identification-6530.jsp"/>
    <n v="3"/>
    <n v="0"/>
    <n v="0"/>
    <s v="http://www.ericon.org.au/"/>
    <s v="Ministry of Foreign Affairs"/>
    <n v="1"/>
    <n v="3"/>
    <n v="2010"/>
    <n v="5"/>
    <s v="-"/>
    <n v="0"/>
    <s v="http://www.shabait.com/haddas-ertra "/>
    <n v="1993"/>
    <n v="0"/>
    <n v="0"/>
    <s v="-"/>
    <s v="-"/>
    <n v="0"/>
    <s v="-"/>
    <n v="0"/>
    <s v="-"/>
    <n v="0"/>
    <n v="0"/>
    <n v="5227.7910000000002"/>
    <n v="49.905361557108918"/>
    <n v="2618.8429999999998"/>
    <n v="2608.9479999999999"/>
    <n v="814.75599999999997"/>
    <n v="48.892674616695061"/>
    <n v="416.4"/>
    <n v="398.35599999999999"/>
    <n v="767.86199999999997"/>
    <n v="48.917513824098606"/>
    <n v="392.24299999999999"/>
    <n v="375.61900000000003"/>
    <n v="654.10299999999995"/>
    <n v="48.993812901026303"/>
    <n v="333.63299999999998"/>
    <n v="320.47000000000003"/>
    <n v="2991.0699999999997"/>
    <n v="50.634154332730418"/>
    <n v="1476.5669999999998"/>
    <n v="1514.5029999999995"/>
    <n v="2015"/>
    <s v="http://esa.un.org/unpd/wpp/Download/Standard/Population/"/>
    <n v="15"/>
    <n v="15"/>
    <n v="15"/>
    <s v="–"/>
    <s v="–"/>
    <n v="2010"/>
    <s v="https://www.ecoi.net/file_upload/1788_1322492169_eritrea-statistical-factsheet.pdf"/>
    <n v="1173.7059999999999"/>
    <n v="22.451280091342593"/>
    <n v="587.96377708251919"/>
    <n v="585.74222291748072"/>
    <n v="1993"/>
    <s v="http://africanelections.tripod.com/er.html"/>
    <n v="18"/>
    <n v="18"/>
    <s v="ER1993"/>
    <n v="1173.7059999999999"/>
    <s v="-"/>
    <s v="-"/>
    <n v="1"/>
    <n v="3"/>
    <s v="CD"/>
    <x v="0"/>
    <n v="3718.5768499999995"/>
    <n v="71.130939435030953"/>
    <n v="49.993293189100527"/>
    <n v="1859.5378229174808"/>
    <n v="1859.0390270825187"/>
    <n v="71.006082568427388"/>
    <n v="71.256269848326554"/>
    <n v="1817.3639999999998"/>
    <n v="51.104829691933972"/>
    <n v="888.60322291748059"/>
    <n v="928.76077708251876"/>
    <n v="1208.6702499999999"/>
    <n v="48.952611351193596"/>
    <n v="616.99459999999999"/>
    <n v="591.67565000000002"/>
    <n v="692.54259999999999"/>
    <n v="48.892674616695061"/>
    <n v="353.94"/>
    <n v="338.6026"/>
    <n v="85.000000000000014"/>
    <n v="85"/>
    <n v="6333.1350000000002"/>
    <n v="50.100937371459786"/>
    <n v="2733.0489999999977"/>
    <n v="48.90942601891112"/>
    <n v="1060.259"/>
    <n v="48.85611614206092"/>
    <n v="33.610308198193025"/>
    <n v="1210"/>
    <n v="2390.0860000000025"/>
    <n v="50.100937371459786"/>
    <n v="2323.091649999998"/>
    <n v="48.90942601891112"/>
    <n v="903.35222231277749"/>
    <n v="48.85611614206092"/>
    <n v="1411.5920000000001"/>
    <n v="22.289000000000001"/>
    <n v="22.492334895635565"/>
    <n v="4921.5429999999997"/>
    <n v="77.710999999999999"/>
    <n v="25.786628299295565"/>
    <n v="16.781062149598476"/>
    <n v="14.488786576078342"/>
    <n v="11.884907962756323"/>
    <n v="43.154756688433103"/>
    <n v="54.581861905675503"/>
    <n v="2.2633814058913999"/>
    <n v="15"/>
    <n v="15"/>
    <n v="15"/>
    <n v="15"/>
    <n v="15"/>
    <n v="2014"/>
    <n v="50"/>
    <n v="2004"/>
    <n v="3166.5675000000001"/>
    <s v="-"/>
    <s v="-"/>
    <m/>
    <n v="50"/>
    <n v="2004"/>
    <n v="70.491760253906307"/>
    <s v="ara"/>
    <n v="1"/>
    <n v="3"/>
    <s v="-"/>
    <s v="-"/>
    <s v="-"/>
    <s v="-"/>
    <s v="CR Minister"/>
    <n v="0"/>
    <s v="-"/>
    <s v="-"/>
    <m/>
    <m/>
    <m/>
    <m/>
    <m/>
    <m/>
    <m/>
    <m/>
    <m/>
    <m/>
    <m/>
    <m/>
    <m/>
    <m/>
    <m/>
    <m/>
    <m/>
    <m/>
    <m/>
    <m/>
    <m/>
    <m/>
    <m/>
    <m/>
    <m/>
    <m/>
    <m/>
    <m/>
    <m/>
    <m/>
    <m/>
    <m/>
    <m/>
    <m/>
    <m/>
    <m/>
    <m/>
    <n v="3"/>
    <s v="civil + customary + religious"/>
    <s v="NF"/>
    <n v="7"/>
    <n v="7"/>
    <s v="-"/>
    <s v="-"/>
    <s v="-"/>
    <s v="-"/>
    <s v="-"/>
    <s v="NF"/>
    <n v="94"/>
    <n v="30"/>
    <n v="40"/>
    <n v="24"/>
    <n v="-6"/>
    <n v="-2.1491765975952148"/>
    <n v="-0.775779128074646"/>
    <n v="-1.5433948040008545"/>
    <n v="-2.2307236194610596"/>
    <n v="-1.3893728256225586"/>
    <n v="-0.79470270872116089"/>
    <n v="192"/>
    <n v="9.0749999999999997E-2"/>
    <n v="0"/>
    <n v="0"/>
    <n v="0"/>
    <n v="0.27229999999999999"/>
    <n v="163"/>
    <n v="1.2"/>
    <n v="1.27"/>
    <n v="0.03"/>
    <n v="3.41"/>
    <s v="-"/>
    <s v="-"/>
    <s v="-"/>
    <s v="-"/>
    <s v="-"/>
    <s v="-"/>
    <s v="-"/>
    <s v="-"/>
    <s v="-"/>
    <s v="-"/>
    <s v="-"/>
    <s v="-"/>
    <s v="-"/>
    <s v="-"/>
    <s v="-"/>
    <s v="-"/>
    <s v="-"/>
    <s v="-"/>
    <s v="-"/>
    <m/>
    <m/>
    <m/>
    <n v="1"/>
    <m/>
    <s v="IDA"/>
    <s v="HIPC"/>
    <n v="0"/>
    <n v="9"/>
    <n v="36"/>
    <s v="C"/>
    <n v="1"/>
    <n v="3"/>
    <n v="0"/>
    <n v="0"/>
  </r>
  <r>
    <n v="56"/>
    <m/>
    <s v="Estonia"/>
    <x v="1"/>
    <x v="2"/>
    <s v="EST"/>
    <s v="EE"/>
    <s v="http://www.politsei.ee"/>
    <s v="Migration and Citizenship Bureau"/>
    <n v="2"/>
    <n v="1918"/>
    <n v="1"/>
    <s v="0 - 15 y"/>
    <s v="various"/>
    <s v="http://www.politsei.ee/et/teenused/isikut-toendavad-dokumendid/id-kaart/"/>
    <s v="Police and Border Guard Board"/>
    <n v="2"/>
    <n v="1993"/>
    <s v="Isikutunnistus (Identity Card)"/>
    <x v="1"/>
    <n v="2"/>
    <n v="15"/>
    <s v="various"/>
    <n v="1"/>
    <n v="1"/>
    <s v="http://en.wikipedia.org/wiki/Estonian_ID_card"/>
    <m/>
    <n v="1"/>
    <n v="1"/>
    <s v="http://www.id.ee"/>
    <n v="2002"/>
    <n v="3"/>
    <n v="4"/>
    <s v="C, E, F, H, R, S, T, V"/>
    <n v="1"/>
    <n v="1"/>
    <s v="-"/>
    <n v="5"/>
    <s v="http://www.id.ee/index.php?id=30651"/>
    <n v="4"/>
    <n v="0"/>
    <n v="0"/>
    <s v="http://vm.ee/en"/>
    <s v="Ministry of Foreign Affairs"/>
    <n v="2"/>
    <n v="3"/>
    <n v="2007"/>
    <n v="5"/>
    <n v="200"/>
    <n v="1"/>
    <s v="http://www.rik.ee/en"/>
    <n v="1999"/>
    <n v="1"/>
    <n v="1"/>
    <s v="https://e-estonia.com/component/e-business-register/"/>
    <n v="2007"/>
    <n v="0"/>
    <s v="-"/>
    <n v="1"/>
    <s v="https://ettevotjaportaal.rik.ee/ "/>
    <n v="3"/>
    <n v="1"/>
    <n v="1312.558"/>
    <n v="53.196887299456485"/>
    <n v="614.31799999999998"/>
    <n v="698.24"/>
    <n v="71.963999999999999"/>
    <n v="48.834139291868155"/>
    <n v="36.820999999999998"/>
    <n v="35.143000000000001"/>
    <n v="76.92"/>
    <n v="48.330733229329176"/>
    <n v="39.744"/>
    <n v="37.176000000000002"/>
    <n v="62.277999999999999"/>
    <n v="48.699380198464951"/>
    <n v="31.949000000000002"/>
    <n v="30.329000000000001"/>
    <n v="1101.396"/>
    <n v="54.07609978608965"/>
    <n v="505.80399999999992"/>
    <n v="595.59199999999998"/>
    <n v="2015"/>
    <s v="http://esa.un.org/unpd/wpp/Download/Standard/Population/"/>
    <n v="100"/>
    <n v="100"/>
    <n v="100"/>
    <s v="–"/>
    <s v="–"/>
    <n v="2011"/>
    <s v="UNSD"/>
    <n v="899.79300000000001"/>
    <n v="68.552627769591908"/>
    <n v="421.13113186160149"/>
    <n v="478.66186813839852"/>
    <n v="2015"/>
    <s v="http://rk2015.vvk.ee/detailed.html"/>
    <n v="15"/>
    <n v="18"/>
    <s v="EE2015"/>
    <n v="899.79300000000001"/>
    <n v="1017.053"/>
    <n v="1249.3119999999999"/>
    <n v="1"/>
    <n v="2"/>
    <s v="CD"/>
    <x v="1"/>
    <n v="201.60299999999995"/>
    <n v="15.359549825607703"/>
    <n v="58.000194372901937"/>
    <n v="84.672868138398428"/>
    <n v="116.93013186160147"/>
    <n v="13.783230857373288"/>
    <n v="16.746409810609741"/>
    <n v="201.60299999999995"/>
    <n v="58.000194372901937"/>
    <n v="84.672868138398428"/>
    <n v="116.93013186160147"/>
    <n v="0"/>
    <n v="0"/>
    <n v="0"/>
    <n v="0"/>
    <n v="0"/>
    <n v="0"/>
    <n v="0"/>
    <n v="0"/>
    <n v="0"/>
    <n v="0"/>
    <n v="1324.6120000000001"/>
    <n v="53.616455233683524"/>
    <n v="209.61730653928345"/>
    <n v="48.606730003330362"/>
    <n v="71.475999999999999"/>
    <n v="48.605972680628383"/>
    <n v="90.592565974036162"/>
    <n v="1200"/>
    <n v="104.89239018031462"/>
    <n v="53.616455233683524"/>
    <n v="0"/>
    <n v="48.606730003330362"/>
    <n v="0"/>
    <n v="48.605972680628383"/>
    <n v="922.346"/>
    <n v="69.631399999999999"/>
    <n v="65.354975247900455"/>
    <n v="402.26600000000002"/>
    <n v="30.368600000000001"/>
    <n v="72.612152158024784"/>
    <n v="5.5167209855100676"/>
    <n v="5.4757810092131178"/>
    <n v="4.8322829234264324"/>
    <n v="15.8248080599665"/>
    <n v="66.139781596596194"/>
    <n v="18.035410343437299"/>
    <n v="100"/>
    <n v="100"/>
    <n v="100"/>
    <n v="100"/>
    <n v="100"/>
    <n v="2011"/>
    <n v="0.46"/>
    <n v="2004"/>
    <n v="6.0932152000000004"/>
    <s v="-"/>
    <s v="-"/>
    <m/>
    <n v="17.5"/>
    <n v="2010"/>
    <n v="99.862777709960895"/>
    <s v="est"/>
    <n v="0"/>
    <s v="-"/>
    <s v="-"/>
    <s v="-"/>
    <s v="-"/>
    <s v="-"/>
    <s v="-"/>
    <s v="-"/>
    <s v="-"/>
    <s v="-"/>
    <m/>
    <m/>
    <m/>
    <m/>
    <m/>
    <m/>
    <m/>
    <m/>
    <m/>
    <m/>
    <m/>
    <m/>
    <m/>
    <m/>
    <m/>
    <m/>
    <m/>
    <m/>
    <m/>
    <m/>
    <m/>
    <m/>
    <m/>
    <n v="2"/>
    <m/>
    <m/>
    <m/>
    <m/>
    <m/>
    <m/>
    <m/>
    <m/>
    <m/>
    <m/>
    <m/>
    <m/>
    <m/>
    <n v="1"/>
    <s v="civil"/>
    <s v="F"/>
    <n v="1"/>
    <n v="1"/>
    <s v="F"/>
    <n v="8"/>
    <n v="1"/>
    <n v="3"/>
    <n v="4"/>
    <s v="F"/>
    <n v="16"/>
    <n v="5"/>
    <n v="4"/>
    <n v="7"/>
    <n v="10"/>
    <n v="1.0942745208740234"/>
    <n v="0.72538304328918457"/>
    <n v="0.9840056300163269"/>
    <n v="1.4291390180587769"/>
    <n v="1.1649566888809204"/>
    <n v="1.1091399192810059"/>
    <n v="15"/>
    <n v="0.81796000000000002"/>
    <n v="0.76470000000000005"/>
    <n v="0.77164999999999995"/>
    <n v="0.79337000000000002"/>
    <n v="0.88890000000000002"/>
    <n v="21"/>
    <n v="7.68"/>
    <n v="7.82"/>
    <n v="6.77"/>
    <n v="9.2100000000000009"/>
    <s v="Data Protection Act"/>
    <s v="http://www.dataprotection.eu/pmwiki/pmwiki.php?n=Main.EE"/>
    <n v="2003"/>
    <n v="2003"/>
    <s v="Both"/>
    <s v="Data Protection Inspectorate"/>
    <s v="http://www.aki.ee"/>
    <s v="ICDPPC; EDPA; A29WP; GPEN"/>
    <n v="36"/>
    <n v="94"/>
    <n v="2000"/>
    <s v="http://www.rti-rating.org/files/pdf/Estonia.pdf"/>
    <n v="5"/>
    <n v="20"/>
    <n v="24"/>
    <n v="22"/>
    <n v="16"/>
    <n v="1"/>
    <n v="6"/>
    <s v="EU"/>
    <s v="OECD"/>
    <m/>
    <m/>
    <m/>
    <s v=".."/>
    <s v="EMU"/>
    <n v="0"/>
    <n v="20"/>
    <n v="80"/>
    <s v="A"/>
    <m/>
    <n v="2"/>
    <n v="0"/>
    <n v="0"/>
  </r>
  <r>
    <n v="57"/>
    <m/>
    <s v="Ethiopia"/>
    <x v="4"/>
    <x v="0"/>
    <s v="ETH"/>
    <s v="ET"/>
    <s v="http://www.africanchildforum.org/site/index.php/resource-center/perception-and-practice-a-review-of-birth-registration.html#.VB91HdogGSM"/>
    <s v="City Hall, Municipality"/>
    <n v="5"/>
    <n v="2012"/>
    <n v="2"/>
    <s v="30 d"/>
    <s v="free"/>
    <s v="http://www.moj.gov.et/Default.aspx"/>
    <s v="Civil Registrar, Ministry of Justice"/>
    <n v="1"/>
    <n v="2012"/>
    <s v="National ID Card"/>
    <x v="1"/>
    <n v="2"/>
    <n v="16"/>
    <s v="1 Brr"/>
    <n v="1"/>
    <n v="0"/>
    <m/>
    <n v="1"/>
    <n v="1"/>
    <m/>
    <s v="-"/>
    <s v="-"/>
    <n v="0"/>
    <n v="1"/>
    <s v="-"/>
    <s v="-"/>
    <s v="-"/>
    <s v="-"/>
    <n v="0"/>
    <s v="-"/>
    <s v="-"/>
    <n v="0"/>
    <n v="0"/>
    <s v="http://www.mfa.gov.et/"/>
    <s v="Ministry of Foreign Affairs"/>
    <n v="2"/>
    <n v="3"/>
    <n v="2010"/>
    <n v="5"/>
    <s v="-"/>
    <n v="0"/>
    <s v="http://www.ethiopia.gov.et/"/>
    <n v="2010"/>
    <n v="0"/>
    <n v="1"/>
    <s v="http://www.doingbusiness.org/data/exploreeconomies/ethiopia/starting-a-business "/>
    <n v="1997"/>
    <n v="0"/>
    <s v="-"/>
    <n v="0"/>
    <s v="-"/>
    <n v="0"/>
    <n v="1"/>
    <n v="99390.75"/>
    <n v="50.088301979812009"/>
    <n v="49607.610999999997"/>
    <n v="49783.139000000003"/>
    <n v="14601.687"/>
    <n v="49.316493361349274"/>
    <n v="7400.6469999999999"/>
    <n v="7201.04"/>
    <n v="13612.096"/>
    <n v="49.437485601041899"/>
    <n v="6882.6180000000004"/>
    <n v="6729.4780000000001"/>
    <n v="12973.97"/>
    <n v="49.51973066069985"/>
    <n v="6549.2950000000001"/>
    <n v="6424.6750000000002"/>
    <n v="58202.996999999988"/>
    <n v="50.560877475089484"/>
    <n v="28775.050999999999"/>
    <n v="29427.946"/>
    <n v="2015"/>
    <s v="http://esa.un.org/unpd/wpp/Download/Standard/Population/"/>
    <n v="6.6"/>
    <n v="6.4"/>
    <n v="6.9"/>
    <n v="28.9"/>
    <n v="4.9000000000000004"/>
    <n v="2005"/>
    <s v="DHS"/>
    <n v="36851.461000000003"/>
    <n v="37.077354784021651"/>
    <n v="18393.189930347351"/>
    <n v="18458.271069652652"/>
    <n v="2015"/>
    <s v="http://www.electionguide.org/countries/id/70/"/>
    <n v="16"/>
    <n v="17"/>
    <s v="ET2015"/>
    <n v="36851.461000000003"/>
    <n v="49011.364000000001"/>
    <n v="99465.819000000003"/>
    <n v="1"/>
    <n v="5"/>
    <s v="LH"/>
    <x v="0"/>
    <n v="59820.897301999983"/>
    <n v="60.187590195264626"/>
    <n v="50.016567725985993"/>
    <n v="29881.137229652646"/>
    <n v="29920.359613347347"/>
    <n v="60.234985372814364"/>
    <n v="60.101392186915625"/>
    <n v="21351.535999999986"/>
    <n v="51.376514225240541"/>
    <n v="10381.861069652648"/>
    <n v="10969.674930347348"/>
    <n v="24831.385643999998"/>
    <n v="49.318699401533891"/>
    <n v="12572.270568"/>
    <n v="12246.516443"/>
    <n v="13637.975657999999"/>
    <n v="49.158089207083698"/>
    <n v="6927.0055919999995"/>
    <n v="6704.16824"/>
    <n v="93.6"/>
    <n v="93.100000000000009"/>
    <n v="94100.755999999994"/>
    <n v="49.975517731228429"/>
    <n v="40163.147999999972"/>
    <n v="49.401531364483738"/>
    <n v="14248.931"/>
    <n v="49.319619158670541"/>
    <n v="38"/>
    <n v="20496.291040000004"/>
    <n v="33441.316960000011"/>
    <n v="49.975517731228429"/>
    <n v="37512.380231999974"/>
    <n v="49.401531364483738"/>
    <n v="13313.749564084876"/>
    <n v="49.319619158670541"/>
    <n v="16506.401999999998"/>
    <n v="17.5412"/>
    <n v="40.287398792298895"/>
    <n v="77594.354000000007"/>
    <n v="82.458799999999997"/>
    <n v="42.37421707254628"/>
    <n v="15.14817782598962"/>
    <n v="14.168742557982208"/>
    <n v="13.364084219221795"/>
    <n v="42.6810046031936"/>
    <n v="53.897173791037297"/>
    <n v="3.4218216057690301"/>
    <n v="6.6"/>
    <n v="6.9"/>
    <n v="6.4"/>
    <n v="28.9"/>
    <n v="4.9000000000000004"/>
    <n v="2005"/>
    <n v="30.65"/>
    <n v="2011"/>
    <n v="26013.418434000003"/>
    <n v="29.6"/>
    <n v="2011"/>
    <n v="25081.341552000005"/>
    <n v="39"/>
    <n v="2012"/>
    <n v="38.995983123779297"/>
    <s v="eng"/>
    <n v="1"/>
    <n v="1"/>
    <s v="Yes"/>
    <s v="Completed"/>
    <s v="Plan and Committee"/>
    <s v="Yes"/>
    <s v="CR Minister"/>
    <n v="7.0000000000000007E-2"/>
    <s v="-"/>
    <n v="4"/>
    <s v="-"/>
    <s v="P148447 (P); P151432 (P)"/>
    <s v="P074020 (C)"/>
    <s v="-"/>
    <s v="P150922 (P)"/>
    <s v="P007136 (C); P007164 (C); P095314 (A)"/>
    <m/>
    <m/>
    <m/>
    <m/>
    <m/>
    <m/>
    <m/>
    <m/>
    <m/>
    <m/>
    <m/>
    <m/>
    <m/>
    <m/>
    <m/>
    <m/>
    <m/>
    <m/>
    <m/>
    <m/>
    <m/>
    <m/>
    <m/>
    <m/>
    <m/>
    <m/>
    <m/>
    <m/>
    <m/>
    <n v="1"/>
    <s v="UNHCR ProGres (refugee tracking) + NIN (taxes) "/>
    <n v="1"/>
    <s v="civil"/>
    <s v="NF"/>
    <n v="6"/>
    <n v="6"/>
    <s v="NF"/>
    <n v="80"/>
    <n v="23"/>
    <n v="28"/>
    <n v="29"/>
    <s v="NF"/>
    <n v="81"/>
    <n v="27"/>
    <n v="35"/>
    <n v="19"/>
    <n v="4"/>
    <n v="-1.2928982973098755"/>
    <n v="-1.394188404083252"/>
    <n v="-0.51946473121643066"/>
    <n v="-1.1341695785522461"/>
    <n v="-0.62172514200210571"/>
    <n v="-0.50280857086181641"/>
    <n v="157"/>
    <n v="0.25888"/>
    <n v="0.25490000000000002"/>
    <n v="0.45668999999999998"/>
    <n v="2.6589999999999999E-2"/>
    <n v="0.29339999999999999"/>
    <n v="162"/>
    <n v="1.31"/>
    <n v="1.87"/>
    <n v="0.24"/>
    <n v="2.35"/>
    <s v="-"/>
    <s v="-"/>
    <s v="-"/>
    <s v="-"/>
    <s v="-"/>
    <s v="-"/>
    <s v="-"/>
    <s v="-"/>
    <n v="14"/>
    <n v="112"/>
    <n v="2008"/>
    <s v="http://www.rti-rating.org/files/pdf/Ethiopia.pdf"/>
    <n v="5"/>
    <n v="25"/>
    <n v="19"/>
    <n v="18"/>
    <n v="25"/>
    <n v="6"/>
    <n v="14"/>
    <m/>
    <m/>
    <m/>
    <m/>
    <m/>
    <s v="IDA"/>
    <s v="HIPC"/>
    <n v="0"/>
    <n v="10"/>
    <n v="40"/>
    <s v="C"/>
    <n v="1"/>
    <n v="5"/>
    <n v="0"/>
    <n v="0"/>
  </r>
  <r>
    <n v="58"/>
    <m/>
    <s v="Fiji"/>
    <x v="6"/>
    <x v="1"/>
    <s v="FJI"/>
    <s v="FJ"/>
    <s v="http://www.bdm.gov.fj/births.htm"/>
    <s v="Registrar of Births, Deaths and Marriages, Min of Justice, Attorneyt Gen"/>
    <n v="1"/>
    <n v="1874"/>
    <n v="2"/>
    <s v="2 m"/>
    <s v="free"/>
    <s v="http://www.frca.org.fj/quick-links/frca-fnpf-joint-card/"/>
    <s v="Fiji Islands Revenue and Customs Authority"/>
    <n v="6"/>
    <n v="2013"/>
    <s v="Joint ID Card"/>
    <x v="1"/>
    <n v="2"/>
    <n v="18"/>
    <s v="free"/>
    <n v="0"/>
    <n v="0"/>
    <m/>
    <n v="1"/>
    <n v="1"/>
    <m/>
    <s v="http://www.fiji.gov.fj/Media-Center/Press-Releases/PM-RECEIVES-HIS-JOINT-ID-CARD.aspx"/>
    <n v="2013"/>
    <n v="2"/>
    <n v="4"/>
    <s v="C, F, H, R, S"/>
    <n v="0"/>
    <n v="0"/>
    <n v="700"/>
    <n v="9"/>
    <s v="http://www.frca.org.fj/quick-links/frca-fnpf-joint-card/"/>
    <s v="-"/>
    <n v="0"/>
    <n v="0"/>
    <s v="http://www.immigration.gov.fj/"/>
    <s v="Department of Immigration"/>
    <n v="1"/>
    <n v="2"/>
    <n v="2012"/>
    <n v="5"/>
    <s v="-"/>
    <n v="0"/>
    <s v="https://www.egov.gov.fj/g2b/Commerce/default.aspx "/>
    <n v="2008"/>
    <n v="1"/>
    <n v="1"/>
    <s v="http://www.frca.org.fj/tax-identification-number-tin-system-2/"/>
    <n v="2010"/>
    <n v="0"/>
    <s v="-"/>
    <n v="1"/>
    <s v="https://www.egov.gov.fj/pages/Authentication/FIJIlogin.aspx?ReturnUrl=%2fg2b%2fJustice%2frcbs%2fdefault.aspx "/>
    <n v="0"/>
    <n v="1"/>
    <n v="892.14499999999998"/>
    <n v="49.153220608757543"/>
    <n v="453.62700000000001"/>
    <n v="438.51799999999997"/>
    <n v="88.08"/>
    <n v="48.616030881017259"/>
    <n v="45.259"/>
    <n v="42.820999999999998"/>
    <n v="88.025000000000006"/>
    <n v="48.428287418347054"/>
    <n v="45.396000000000001"/>
    <n v="42.628999999999998"/>
    <n v="80.338999999999999"/>
    <n v="48.209462403067008"/>
    <n v="41.607999999999997"/>
    <n v="38.731000000000002"/>
    <n v="635.70100000000002"/>
    <n v="49.44730305599645"/>
    <n v="321.36399999999998"/>
    <n v="314.33699999999999"/>
    <n v="2015"/>
    <s v="http://esa.un.org/unpd/wpp/Download/Standard/Population/"/>
    <n v="90"/>
    <n v="90"/>
    <n v="90"/>
    <s v="–"/>
    <s v="–"/>
    <n v="2013"/>
    <s v="http://www.unicef.org/infobycountry/fiji_statistics.html#121"/>
    <n v="591.101"/>
    <n v="66.256157911550247"/>
    <n v="300.55582144942809"/>
    <n v="290.5451785505719"/>
    <n v="2014"/>
    <s v="http://www.electionguide.org/countries/id/73/"/>
    <n v="18"/>
    <n v="18"/>
    <s v="FJ2014"/>
    <n v="591.101"/>
    <n v="602.40499999999997"/>
    <n v="903.20699999999999"/>
    <n v="1"/>
    <n v="4"/>
    <s v="CD"/>
    <x v="1"/>
    <n v="70.244400000000013"/>
    <n v="7.8736528254936156"/>
    <n v="51.548481372789965"/>
    <n v="34.034478550571876"/>
    <n v="36.20992144942808"/>
    <n v="7.5027453283362497"/>
    <n v="8.2573398240045055"/>
    <n v="44.600000000000023"/>
    <n v="53.34489114221541"/>
    <n v="20.808178550571881"/>
    <n v="23.791821449428085"/>
    <n v="16.836399999999998"/>
    <n v="48.323869710864557"/>
    <n v="8.7003999999999984"/>
    <n v="8.1359999999999992"/>
    <n v="8.8079999999999981"/>
    <n v="48.616030881017259"/>
    <n v="4.5258999999999991"/>
    <n v="4.2820999999999989"/>
    <n v="9.9999999999999982"/>
    <n v="9.9999999999999982"/>
    <n v="881.06500000000005"/>
    <n v="49.063916964128637"/>
    <n v="254.26599999999974"/>
    <n v="48.355547173899495"/>
    <n v="89.897000000000006"/>
    <n v="48.549041851020633"/>
    <n v="94.288599694638904"/>
    <n v="591"/>
    <n v="35.799000000000291"/>
    <n v="49.063916964128637"/>
    <n v="25.426599999999969"/>
    <n v="48.355547173899495"/>
    <n v="8.9185899837144884"/>
    <n v="48.549041851020633"/>
    <n v="467.16399999999999"/>
    <n v="53.022599999999997"/>
    <n v="45.464119666755145"/>
    <n v="413.90100000000001"/>
    <n v="46.977400000000003"/>
    <n v="51.717439677604062"/>
    <n v="10.122510806483618"/>
    <n v="9.7235623040158128"/>
    <n v="9.0128646523217011"/>
    <n v="28.8589377628211"/>
    <n v="65.7030979553154"/>
    <n v="5.4379642818634304"/>
    <n v="90"/>
    <n v="90"/>
    <n v="90"/>
    <n v="90"/>
    <n v="90"/>
    <n v="2001"/>
    <n v="5.88"/>
    <n v="2009"/>
    <n v="51.235954"/>
    <n v="31"/>
    <n v="2009"/>
    <n v="269.20585999999997"/>
    <n v="31"/>
    <n v="2009"/>
    <s v="-"/>
    <s v="eng"/>
    <n v="3"/>
    <s v="-"/>
    <s v="-"/>
    <s v="-"/>
    <s v="-"/>
    <s v="-"/>
    <s v="-"/>
    <s v="-"/>
    <s v="-"/>
    <s v="-"/>
    <m/>
    <m/>
    <m/>
    <m/>
    <m/>
    <m/>
    <m/>
    <m/>
    <m/>
    <m/>
    <m/>
    <m/>
    <m/>
    <m/>
    <m/>
    <m/>
    <m/>
    <m/>
    <m/>
    <m/>
    <m/>
    <m/>
    <m/>
    <m/>
    <m/>
    <n v="1"/>
    <s v="Electronic Voter Register (voter ID)"/>
    <m/>
    <m/>
    <m/>
    <m/>
    <m/>
    <m/>
    <m/>
    <m/>
    <m/>
    <m/>
    <n v="2"/>
    <s v="common"/>
    <s v="PF"/>
    <n v="6"/>
    <n v="4"/>
    <s v="-"/>
    <s v="-"/>
    <s v="-"/>
    <s v="-"/>
    <s v="-"/>
    <s v="PF"/>
    <n v="54"/>
    <n v="18"/>
    <n v="24"/>
    <n v="12"/>
    <n v="9"/>
    <n v="-0.81189316511154175"/>
    <n v="-2.6633691042661667E-2"/>
    <n v="-0.95745861530303955"/>
    <n v="-0.57245975732803345"/>
    <n v="-0.84139895439147949"/>
    <n v="-0.40324515104293823"/>
    <n v="85"/>
    <n v="0.50436999999999999"/>
    <n v="0.39215"/>
    <n v="0.39369999999999999"/>
    <n v="0.28719"/>
    <n v="0.83220000000000005"/>
    <n v="91"/>
    <n v="4.4000000000000004"/>
    <n v="4.5999999999999996"/>
    <n v="3.08"/>
    <n v="6.64"/>
    <s v="-"/>
    <s v="-"/>
    <s v="-"/>
    <s v="-"/>
    <s v="-"/>
    <s v="-"/>
    <s v="-"/>
    <s v="-"/>
    <s v="-"/>
    <s v="-"/>
    <n v="1970"/>
    <s v="http://www.humanrightsinitiative.org/programs/ai/rti/international/laws_papers/fiji/foi_draft_bill_2004.pdf "/>
    <s v="-"/>
    <s v="-"/>
    <s v="-"/>
    <s v="-"/>
    <s v="-"/>
    <s v="-"/>
    <s v="-"/>
    <m/>
    <m/>
    <m/>
    <m/>
    <m/>
    <s v="IBRD"/>
    <s v=""/>
    <n v="0"/>
    <n v="16"/>
    <n v="64"/>
    <s v="B"/>
    <m/>
    <n v="4"/>
    <n v="0"/>
    <n v="0"/>
  </r>
  <r>
    <n v="59"/>
    <m/>
    <s v="Finland"/>
    <x v="3"/>
    <x v="2"/>
    <s v="FIN"/>
    <s v="FI"/>
    <s v="http://www.maistraatti.fi"/>
    <s v="Local Register Offices"/>
    <n v="5"/>
    <n v="1923"/>
    <n v="1"/>
    <s v="-"/>
    <s v="free"/>
    <s v="http://www.poliisi.fi/poliisi/home.nsf/pages/F082D8AB29097DB5C2256C29002BA66C?opendocument"/>
    <s v="Police"/>
    <n v="2"/>
    <n v="2003"/>
    <s v="FINEID / Identification Card (Henkilökortti / Identitetskort)"/>
    <x v="1"/>
    <n v="1"/>
    <s v="-"/>
    <s v="various"/>
    <n v="1"/>
    <n v="0"/>
    <s v="http://en.wikipedia.org/wiki/Finnish_identity_card"/>
    <m/>
    <n v="1"/>
    <m/>
    <s v="http://vrk.fi/default.aspx?id=21"/>
    <n v="2003"/>
    <n v="1"/>
    <n v="4"/>
    <s v="C"/>
    <n v="0"/>
    <n v="0"/>
    <s v="-"/>
    <n v="1"/>
    <s v="http://www.gemalto.com/govt/customer-cases/finland"/>
    <n v="3"/>
    <n v="0"/>
    <n v="0"/>
    <s v="https://www.poliisi.fi/poliisi/home.nsf/pages/6B2C6A31B6EBCF53C225780D003F7427?opendocument"/>
    <s v="Police of Finland"/>
    <n v="2"/>
    <n v="2"/>
    <n v="2006"/>
    <n v="10"/>
    <n v="2000"/>
    <n v="1"/>
    <s v="http://www.prh.fi/en/index.html"/>
    <n v="1971"/>
    <n v="1"/>
    <n v="2"/>
    <s v="http://www.prh.fi/en/kaupparekisteri/rekisterointipalvelut/rekisterin_tietosisalto.html"/>
    <n v="1971"/>
    <n v="2"/>
    <s v="C, F, P, R, S, O"/>
    <n v="1"/>
    <s v="https://www.ytj.fi/english/ "/>
    <n v="3"/>
    <n v="1"/>
    <n v="5503.4570000000003"/>
    <n v="50.775685173882522"/>
    <n v="2709.0390000000002"/>
    <n v="2794.4180000000001"/>
    <n v="304.447"/>
    <n v="48.770065068796868"/>
    <n v="155.96799999999999"/>
    <n v="148.47900000000001"/>
    <n v="307.09399999999999"/>
    <n v="48.920525962734537"/>
    <n v="156.86199999999999"/>
    <n v="150.232"/>
    <n v="287.63200000000001"/>
    <n v="48.820715358513652"/>
    <n v="147.208"/>
    <n v="140.42400000000001"/>
    <n v="4604.2840000000006"/>
    <n v="51.154164252248556"/>
    <n v="2249.0010000000002"/>
    <n v="2355.2830000000004"/>
    <n v="2015"/>
    <s v="http://esa.un.org/unpd/wpp/Download/Standard/Population/"/>
    <n v="100"/>
    <n v="100"/>
    <n v="100"/>
    <s v="–"/>
    <s v="–"/>
    <n v="2011"/>
    <s v="UNSD"/>
    <n v="4463.3330000000005"/>
    <n v="81.100533719078754"/>
    <n v="2145.58"/>
    <n v="2317.7530000000002"/>
    <n v="2015"/>
    <s v="http://pxnet2.stat.fi/PXWeb/pxweb/en/StatFin/StatFin__vaa__evaa__evaa_2015/120_evaa_tau_102.px/table/tableViewLayout1/?rxid=8da6b9e4-327f-4bb5-a0bd-5fe25a63180f"/>
    <s v="-"/>
    <n v="18"/>
    <s v="FI2015"/>
    <n v="4463.3329999999996"/>
    <n v="4079.9279999999999"/>
    <n v="5475.45"/>
    <n v="10"/>
    <n v="4"/>
    <s v="CD"/>
    <x v="2"/>
    <n v="140.95100000000002"/>
    <n v="2.5611356643651439"/>
    <n v="26.626274379039661"/>
    <n v="103.42100000000028"/>
    <n v="37.5300000000002"/>
    <n v="3.8176268411049179"/>
    <n v="1.3430345782198725"/>
    <n v="140.95100000000002"/>
    <n v="26.626274379039661"/>
    <n v="103.42100000000028"/>
    <n v="37.5300000000002"/>
    <n v="0"/>
    <n v="0"/>
    <n v="0"/>
    <n v="0"/>
    <n v="0"/>
    <n v="0"/>
    <n v="0"/>
    <n v="0"/>
    <n v="0"/>
    <n v="0"/>
    <n v="5439.4070000000002"/>
    <n v="50.867714072508278"/>
    <n v="894.58283784747266"/>
    <n v="48.830742005575779"/>
    <n v="306.32"/>
    <n v="48.999603771670692"/>
    <n v="92.808871135781501"/>
    <n v="4218"/>
    <n v="326.82416215252698"/>
    <n v="50.867714072508278"/>
    <n v="0"/>
    <n v="48.830742005575779"/>
    <n v="0"/>
    <n v="48.999603771670692"/>
    <n v="4566.241"/>
    <n v="83.947400000000002"/>
    <n v="50.867714072508278"/>
    <n v="873.16600000000005"/>
    <n v="16.052599999999998"/>
    <n v="50.867714072508278"/>
    <n v="5.6158645207025497"/>
    <n v="5.4546319834956156"/>
    <n v="5.3758367082273821"/>
    <n v="16.446330231355599"/>
    <n v="64.514276057654499"/>
    <n v="19.039393710989899"/>
    <n v="100"/>
    <n v="100"/>
    <n v="100"/>
    <n v="100"/>
    <n v="100"/>
    <n v="2011"/>
    <s v="-"/>
    <s v="-"/>
    <m/>
    <s v="-"/>
    <s v="-"/>
    <m/>
    <s v="-"/>
    <s v="-"/>
    <s v="-"/>
    <s v="fin"/>
    <n v="0"/>
    <s v="-"/>
    <s v="-"/>
    <s v="-"/>
    <s v="-"/>
    <s v="-"/>
    <s v="-"/>
    <s v="-"/>
    <s v="-"/>
    <s v="-"/>
    <m/>
    <m/>
    <m/>
    <m/>
    <m/>
    <m/>
    <m/>
    <m/>
    <m/>
    <m/>
    <m/>
    <m/>
    <m/>
    <m/>
    <m/>
    <m/>
    <m/>
    <m/>
    <m/>
    <m/>
    <m/>
    <m/>
    <m/>
    <n v="2"/>
    <m/>
    <m/>
    <m/>
    <m/>
    <m/>
    <m/>
    <m/>
    <m/>
    <m/>
    <m/>
    <m/>
    <m/>
    <m/>
    <n v="1"/>
    <s v="civil"/>
    <s v="F"/>
    <n v="1"/>
    <n v="1"/>
    <s v="-"/>
    <s v="-"/>
    <s v="-"/>
    <s v="-"/>
    <s v="-"/>
    <s v="F"/>
    <n v="11"/>
    <n v="4"/>
    <n v="3"/>
    <n v="4"/>
    <n v="10"/>
    <n v="1.5846525430679321"/>
    <n v="1.3591697216033936"/>
    <n v="2.1680662631988525"/>
    <n v="1.8487647771835327"/>
    <n v="1.9256919622421265"/>
    <n v="2.1921367645263672"/>
    <n v="10"/>
    <n v="0.84491000000000005"/>
    <n v="0.70587999999999995"/>
    <n v="0.77164999999999995"/>
    <n v="0.85940000000000005"/>
    <n v="0.90369999999999995"/>
    <n v="8"/>
    <n v="8.31"/>
    <n v="7.8"/>
    <n v="8.09"/>
    <n v="9.75"/>
    <s v="Personal Data Act"/>
    <s v="http://www.tietosuoja.fi/fi/index/lait/Henkilotietolaki.html "/>
    <n v="1987"/>
    <n v="2000"/>
    <s v="Both"/>
    <s v="Data Protection Ombudsman"/>
    <s v="http://www.tietosuoja.fi"/>
    <s v="ICDPPC; EDPA; A29WP, NDPA"/>
    <n v="21"/>
    <n v="105"/>
    <n v="1951"/>
    <s v="http://www.rti-rating.org/files/pdf/Finland.pdf"/>
    <n v="6"/>
    <n v="28"/>
    <n v="22"/>
    <n v="16"/>
    <n v="20"/>
    <n v="3"/>
    <n v="10"/>
    <s v="EU"/>
    <s v="OECD"/>
    <m/>
    <m/>
    <m/>
    <s v=".."/>
    <s v="EMU"/>
    <n v="0"/>
    <n v="20"/>
    <n v="80"/>
    <s v="A"/>
    <m/>
    <n v="4"/>
    <n v="0"/>
    <n v="0"/>
  </r>
  <r>
    <n v="60"/>
    <m/>
    <s v="France"/>
    <x v="3"/>
    <x v="2"/>
    <s v="FRA"/>
    <s v="FR"/>
    <s v="https://mdel.mon.service-public.fr/acte-etat-civil.html"/>
    <s v="Municipalities, Bureau de l'Etat-Civil"/>
    <n v="5"/>
    <n v="1792"/>
    <n v="2"/>
    <s v="30 d"/>
    <s v="free"/>
    <s v="http://www.interieur.gouv.fr/A-votre-service/Mes-demarches/Papiers-Citoyennete/Etat-civil-Identite-Authentification"/>
    <s v="Police (Paris) / Mayor's office in the town of residence (France, except Paris) / French consulate (overseas)"/>
    <n v="2"/>
    <n v="1980"/>
    <s v="French National ID Card"/>
    <x v="1"/>
    <n v="1"/>
    <n v="16"/>
    <s v="0 / €25"/>
    <n v="1"/>
    <n v="0"/>
    <s v="http://en.wikipedia.org/wiki/French_national_identity_card"/>
    <n v="1"/>
    <n v="1"/>
    <m/>
    <s v="http://www.sesam-vitale.fr"/>
    <n v="1998"/>
    <n v="1"/>
    <s v="4B"/>
    <s v="C"/>
    <n v="0"/>
    <n v="0"/>
    <s v="-"/>
    <n v="1"/>
    <s v="http://www.gemalto.com/govt/customer-cases/france-bio-eresidence-card"/>
    <s v="-"/>
    <n v="0"/>
    <n v="0"/>
    <s v="http://www.interieur.gouv.fr/"/>
    <s v="Ministry of Interior"/>
    <n v="2"/>
    <n v="2"/>
    <n v="2006"/>
    <n v="10"/>
    <n v="18000"/>
    <n v="1"/>
    <s v="https://www.infogreffe.fr/societes/"/>
    <n v="2002"/>
    <n v="1"/>
    <n v="2"/>
    <s v="http://www.french-property.com/guides/france/working-in-france/starting-a-business/registration/"/>
    <n v="2002"/>
    <n v="1"/>
    <s v="C"/>
    <n v="1"/>
    <s v="https://www.infogreffe.fr/societes/services-infogreffe.html "/>
    <n v="3"/>
    <n v="1"/>
    <n v="64395.345000000001"/>
    <n v="51.329318912725761"/>
    <n v="31341.652999999998"/>
    <n v="33053.692000000003"/>
    <n v="3926.92"/>
    <n v="48.751617043382595"/>
    <n v="2012.4829999999999"/>
    <n v="1914.4369999999999"/>
    <n v="3986.5439999999999"/>
    <n v="48.94229186985018"/>
    <n v="2035.4380000000001"/>
    <n v="1951.106"/>
    <n v="3989.0709999999999"/>
    <n v="48.911388140246189"/>
    <n v="2037.961"/>
    <n v="1951.11"/>
    <n v="52492.81"/>
    <n v="51.887180358605313"/>
    <n v="25255.770999999997"/>
    <n v="27237.039000000004"/>
    <n v="2015"/>
    <s v="http://esa.un.org/unpd/wpp/Download/Standard/Population/"/>
    <n v="100"/>
    <n v="100"/>
    <n v="100"/>
    <s v="–"/>
    <s v="–"/>
    <n v="2011"/>
    <s v="UNSD "/>
    <n v="44587"/>
    <n v="69.239476859701583"/>
    <n v="21700.796576382963"/>
    <n v="22886.203423617037"/>
    <n v="2015"/>
    <s v="http://www.insee.fr/fr/themes/document.asp?ref_id=if23"/>
    <n v="16"/>
    <n v="18"/>
    <s v="FR2012"/>
    <n v="43233.648000000001"/>
    <n v="51979.508000000002"/>
    <n v="65630.691999999995"/>
    <n v="1"/>
    <n v="5"/>
    <s v="CD"/>
    <x v="2"/>
    <n v="7905.8099999999977"/>
    <n v="12.276989897328756"/>
    <n v="55.033394128912391"/>
    <n v="3554.9744236170336"/>
    <n v="4350.8355763829677"/>
    <n v="11.342651338833448"/>
    <n v="13.162933739392765"/>
    <n v="7905.8099999999977"/>
    <n v="55.033394128912391"/>
    <n v="3554.9744236170336"/>
    <n v="4350.8355763829677"/>
    <n v="0"/>
    <n v="0"/>
    <n v="0"/>
    <n v="0"/>
    <n v="0"/>
    <n v="0"/>
    <n v="0"/>
    <n v="0"/>
    <n v="0"/>
    <n v="0"/>
    <n v="66028.467000000004"/>
    <n v="51.584799023124376"/>
    <n v="12032.268994267473"/>
    <n v="48.806855755291785"/>
    <n v="3943.1619999999998"/>
    <n v="48.868981514267176"/>
    <n v="89.597718511320267"/>
    <n v="59160"/>
    <n v="5616.8365097411697"/>
    <n v="51.584799023124376"/>
    <n v="0"/>
    <n v="48.806855755291785"/>
    <n v="0"/>
    <n v="48.868981514267176"/>
    <n v="57294.353000000003"/>
    <n v="86.772199999999998"/>
    <n v="43.945800382805615"/>
    <n v="8734.1139999999996"/>
    <n v="13.227800000000002"/>
    <n v="84.172349937268962"/>
    <n v="6.1355039275799692"/>
    <n v="6.0529935149443901"/>
    <n v="6.0343533166792431"/>
    <n v="18.222850750521701"/>
    <n v="63.916094064389398"/>
    <n v="17.861055185088901"/>
    <n v="100"/>
    <n v="100"/>
    <n v="100"/>
    <n v="100"/>
    <n v="100"/>
    <n v="2011"/>
    <s v="-"/>
    <s v="-"/>
    <m/>
    <s v="-"/>
    <s v="-"/>
    <m/>
    <n v="7.9"/>
    <n v="2011"/>
    <s v="-"/>
    <s v="fre"/>
    <n v="0"/>
    <s v="-"/>
    <s v="-"/>
    <s v="-"/>
    <s v="-"/>
    <s v="-"/>
    <s v="-"/>
    <s v="-"/>
    <s v="-"/>
    <s v="-"/>
    <m/>
    <m/>
    <m/>
    <m/>
    <m/>
    <m/>
    <m/>
    <m/>
    <m/>
    <m/>
    <m/>
    <m/>
    <m/>
    <m/>
    <m/>
    <m/>
    <m/>
    <m/>
    <m/>
    <m/>
    <m/>
    <m/>
    <m/>
    <m/>
    <m/>
    <m/>
    <m/>
    <m/>
    <m/>
    <m/>
    <m/>
    <m/>
    <m/>
    <m/>
    <m/>
    <m/>
    <m/>
    <n v="1"/>
    <s v="civil"/>
    <s v="F"/>
    <n v="1"/>
    <n v="1"/>
    <s v="F"/>
    <n v="20"/>
    <n v="3"/>
    <n v="4"/>
    <n v="13"/>
    <s v="F"/>
    <n v="22"/>
    <n v="5"/>
    <n v="10"/>
    <n v="7"/>
    <n v="10"/>
    <n v="1.2008407115936279"/>
    <n v="0.42368781566619873"/>
    <n v="1.4695528745651245"/>
    <n v="1.1482467651367187"/>
    <n v="1.3982659578323364"/>
    <n v="1.3030450344085693"/>
    <n v="4"/>
    <n v="0.89383999999999997"/>
    <n v="0.96077999999999997"/>
    <n v="1"/>
    <n v="0.80028999999999995"/>
    <n v="0.88119999999999998"/>
    <n v="18"/>
    <n v="7.87"/>
    <n v="8.65"/>
    <n v="6.74"/>
    <n v="8.57"/>
    <s v="Law relating to the protection of individuals against the processing of personal data"/>
    <s v="http://www.cnil.fr/fileadmin/documents/en/Act78-17VA.pdf "/>
    <n v="1978"/>
    <n v="2004"/>
    <s v="Both"/>
    <s v="National Commission for Informatics and Liberties"/>
    <s v="http://www.cnil.fr"/>
    <s v="ICDPPC; EDPA; A29WP; GPEN; AFAPDP"/>
    <n v="86"/>
    <n v="64"/>
    <n v="1978"/>
    <s v="http://www.rti-rating.org/files/pdf/France.pdf"/>
    <n v="1"/>
    <n v="17"/>
    <n v="14"/>
    <n v="14"/>
    <n v="16"/>
    <n v="0"/>
    <n v="2"/>
    <s v="EU"/>
    <s v="OECD"/>
    <m/>
    <m/>
    <m/>
    <s v=".."/>
    <s v="EMU"/>
    <n v="0"/>
    <n v="20"/>
    <n v="80"/>
    <s v="A"/>
    <m/>
    <n v="5"/>
    <n v="2"/>
    <n v="0"/>
  </r>
  <r>
    <n v="61"/>
    <m/>
    <s v="Gabon"/>
    <x v="4"/>
    <x v="1"/>
    <s v="GAB"/>
    <s v="GA"/>
    <s v="http://www.sante.gouv.ga"/>
    <s v="Min of Health, Public Hygiene &amp; Promotion of the Family"/>
    <n v="3"/>
    <n v="1957"/>
    <n v="2"/>
    <s v="6 m"/>
    <s v="1000 CAF"/>
    <s v="http://www.interieur.gouv.ga/4-services-aux-usagers/216-la-carte-nationale-d-identite/"/>
    <s v="Ministry of Interior"/>
    <n v="2"/>
    <n v="1961"/>
    <s v="National ID Card"/>
    <x v="1"/>
    <n v="2"/>
    <n v="16"/>
    <s v="free"/>
    <n v="1"/>
    <n v="1"/>
    <m/>
    <n v="1"/>
    <n v="1"/>
    <m/>
    <s v="http://www.interieur.gouv.ga/4-services-aux-usagers/216-la-carte-nationale-d-identite/"/>
    <n v="2014"/>
    <n v="1"/>
    <s v="4B"/>
    <s v="C"/>
    <n v="0"/>
    <n v="0"/>
    <s v="-"/>
    <n v="1"/>
    <s v="http://www.gemalto.com/govt/customer-cases/gabon-dig-civil-reg"/>
    <s v="-"/>
    <n v="1"/>
    <n v="1"/>
    <s v="http://www.interieur.gouv.ga/"/>
    <s v="Ministry of Interior, Public Security, Immigration and Decentralization"/>
    <n v="2"/>
    <n v="2"/>
    <n v="2013"/>
    <n v="5"/>
    <s v="-"/>
    <n v="0"/>
    <s v="http://www.worldbank.org/en/news/press-release/2014/03/11/world-bank-helps-gabon-diversify-economy-create-new-jobs-women-youth"/>
    <n v="2016"/>
    <n v="0"/>
    <n v="0"/>
    <s v="-"/>
    <s v="-"/>
    <n v="0"/>
    <s v="-"/>
    <n v="0"/>
    <s v="-"/>
    <n v="3"/>
    <n v="0"/>
    <n v="1725.2919999999999"/>
    <n v="49.432791666570068"/>
    <n v="872.43200000000002"/>
    <n v="852.86"/>
    <n v="239.08"/>
    <n v="49.458758574535715"/>
    <n v="120.834"/>
    <n v="118.246"/>
    <n v="212.09200000000001"/>
    <n v="49.528977990683281"/>
    <n v="107.045"/>
    <n v="105.047"/>
    <n v="189.376"/>
    <n v="49.571223386279151"/>
    <n v="95.5"/>
    <n v="93.876000000000005"/>
    <n v="1084.7439999999999"/>
    <n v="49.384094311653264"/>
    <n v="549.053"/>
    <n v="535.69100000000003"/>
    <n v="2015"/>
    <s v="http://esa.un.org/unpd/wpp/Download/Standard/Population/"/>
    <n v="89.6"/>
    <n v="91"/>
    <n v="88"/>
    <n v="89.3"/>
    <n v="91"/>
    <n v="2012"/>
    <s v="DHS"/>
    <n v="745.64499999999998"/>
    <n v="43.218481277372177"/>
    <n v="377.05186057780361"/>
    <n v="368.59313942219637"/>
    <n v="2011"/>
    <s v="http://www.electionguide.org/countries/id/79/"/>
    <n v="16"/>
    <n v="18"/>
    <s v="GA2011"/>
    <n v="745.64499999999998"/>
    <n v="905.06"/>
    <n v="1534"/>
    <n v="1"/>
    <n v="4"/>
    <s v="CD"/>
    <x v="0"/>
    <n v="405.71599199999997"/>
    <n v="23.515787008807784"/>
    <n v="50.566934659505279"/>
    <n v="201.10524942219638"/>
    <n v="205.15814057780364"/>
    <n v="23.051108788099974"/>
    <n v="24.055312780269169"/>
    <n v="339.09899999999993"/>
    <n v="49.277013667926973"/>
    <n v="172.00113942219639"/>
    <n v="167.09786057780366"/>
    <n v="41.75267200000004"/>
    <n v="57.17181405779246"/>
    <n v="18.229049999999994"/>
    <n v="23.870759999999997"/>
    <n v="24.864320000000024"/>
    <n v="57.067798355233457"/>
    <n v="10.875059999999996"/>
    <n v="14.189519999999998"/>
    <n v="8.9999999999999964"/>
    <n v="12"/>
    <n v="1671.711"/>
    <n v="49.741731674912707"/>
    <n v="643.25799999999992"/>
    <n v="49.467590711812406"/>
    <n v="243.22300000000001"/>
    <n v="49.453868392958206"/>
    <n v="72.438896089563627"/>
    <n v="745"/>
    <n v="283.4530000000002"/>
    <n v="49.741731674912707"/>
    <n v="66.898832000000056"/>
    <n v="49.467590711812406"/>
    <n v="25.270067536639957"/>
    <n v="49.453868392958206"/>
    <n v="1450.5"/>
    <n v="86.767399999999995"/>
    <n v="31.914512237159599"/>
    <n v="221.21100000000001"/>
    <n v="13.232600000000005"/>
    <n v="80.463448924330166"/>
    <n v="14.534893807693901"/>
    <n v="12.693551233932348"/>
    <n v="11.25057435825806"/>
    <n v="38.479019399884301"/>
    <n v="56.362672734701199"/>
    <n v="5.1583078654145398"/>
    <n v="89.6"/>
    <n v="88"/>
    <n v="91"/>
    <n v="89.3"/>
    <n v="91"/>
    <n v="2012"/>
    <n v="4.84"/>
    <n v="2005"/>
    <n v="73.644576000000001"/>
    <n v="32.700000000000003"/>
    <n v="2005"/>
    <n v="501.70367400000003"/>
    <s v="-"/>
    <s v="-"/>
    <n v="82.283798217773395"/>
    <s v="fre"/>
    <n v="3"/>
    <n v="3"/>
    <s v="-"/>
    <s v="-"/>
    <s v="-"/>
    <s v="-"/>
    <s v="CR Minister"/>
    <n v="0.89"/>
    <s v="-"/>
    <s v="-"/>
    <m/>
    <m/>
    <m/>
    <m/>
    <m/>
    <m/>
    <m/>
    <m/>
    <m/>
    <m/>
    <m/>
    <m/>
    <m/>
    <m/>
    <m/>
    <m/>
    <m/>
    <m/>
    <m/>
    <m/>
    <m/>
    <m/>
    <m/>
    <n v="1"/>
    <s v="National ID"/>
    <m/>
    <m/>
    <m/>
    <m/>
    <m/>
    <m/>
    <n v="1"/>
    <s v="CNAMGS - Carte d'Assurance Maladie (insurance)"/>
    <m/>
    <m/>
    <m/>
    <m/>
    <n v="1"/>
    <s v="civil"/>
    <s v="NF"/>
    <n v="6"/>
    <n v="5"/>
    <s v="-"/>
    <s v="-"/>
    <s v="-"/>
    <s v="-"/>
    <s v="-"/>
    <s v="NF"/>
    <n v="70"/>
    <n v="24"/>
    <n v="24"/>
    <n v="22"/>
    <n v="3"/>
    <n v="-0.85770004987716675"/>
    <n v="0.33723980188369751"/>
    <n v="-0.76872265338897705"/>
    <n v="-0.5647236704826355"/>
    <n v="-0.51648277044296265"/>
    <n v="-0.55725061893463135"/>
    <n v="131"/>
    <n v="0.32940000000000003"/>
    <n v="0.21568000000000001"/>
    <n v="9.4479999999999995E-2"/>
    <n v="0.22600999999999999"/>
    <n v="0.66769999999999996"/>
    <n v="126"/>
    <n v="2.66"/>
    <n v="3.88"/>
    <n v="0.35"/>
    <n v="4.82"/>
    <s v="Law related to personal data"/>
    <s v="http://www.afapdp.org/wp-content/uploads/2012/01/Gabon-Loi-relative-%C3%A0-la-protection-des-donn%C3%A9es-personnelles-du-4-mai-20112.pdf"/>
    <n v="2011"/>
    <n v="2011"/>
    <s v="Both"/>
    <s v="Commissariat à la protection des données personnelles"/>
    <s v="http://www.afapdp.org/archives/1319 "/>
    <s v="AFAPDP"/>
    <s v="-"/>
    <s v="-"/>
    <s v="-"/>
    <s v="-"/>
    <s v="-"/>
    <s v="-"/>
    <s v="-"/>
    <s v="-"/>
    <s v="-"/>
    <s v="-"/>
    <s v="-"/>
    <m/>
    <m/>
    <m/>
    <m/>
    <n v="43.7"/>
    <s v="IBRD"/>
    <s v=""/>
    <n v="0"/>
    <n v="15"/>
    <n v="60"/>
    <s v="B"/>
    <n v="1"/>
    <n v="4"/>
    <n v="0"/>
    <n v="0"/>
  </r>
  <r>
    <n v="62"/>
    <m/>
    <s v="Gambia"/>
    <x v="4"/>
    <x v="0"/>
    <s v="GMB"/>
    <s v="GM"/>
    <s v="http://www.moh.gov.gm"/>
    <s v="Registrar of Births and Deaths, Min of Health"/>
    <n v="3"/>
    <n v="1965"/>
    <n v="1"/>
    <s v="0 - 5 y"/>
    <s v="free"/>
    <s v="www.gambis.gm"/>
    <s v="National Identity Card"/>
    <n v="2"/>
    <n v="2009"/>
    <s v="GAMBIS"/>
    <x v="1"/>
    <n v="2"/>
    <n v="18"/>
    <s v="D 200 ($4.5)"/>
    <n v="1"/>
    <n v="1"/>
    <m/>
    <m/>
    <n v="1"/>
    <m/>
    <s v="http://www.gambis.gm"/>
    <n v="2009"/>
    <n v="1"/>
    <s v="4B"/>
    <s v="C"/>
    <n v="0"/>
    <n v="0"/>
    <s v="-"/>
    <n v="9"/>
    <s v="http://www.innovatrics.com/references/civil-identification"/>
    <n v="3"/>
    <n v="1"/>
    <n v="1"/>
    <s v="http://www.moi.gov.gm/"/>
    <s v="Ministry of Interior"/>
    <n v="2"/>
    <n v="2"/>
    <n v="2014"/>
    <n v="5"/>
    <s v="-"/>
    <n v="0"/>
    <s v="http://www.icommerceregistry.com/ "/>
    <n v="2013"/>
    <n v="1"/>
    <n v="2"/>
    <s v="http://www.icommerceregistry.com/index.htm#tabs1-2"/>
    <n v="2013"/>
    <n v="1"/>
    <s v="C"/>
    <n v="0"/>
    <s v="-"/>
    <n v="0"/>
    <n v="0"/>
    <n v="1990.924"/>
    <n v="50.498813616190276"/>
    <n v="985.53099999999995"/>
    <n v="1005.393"/>
    <n v="366.22500000000002"/>
    <n v="49.464400300361802"/>
    <n v="185.07400000000001"/>
    <n v="181.15100000000001"/>
    <n v="301.178"/>
    <n v="49.510256393229255"/>
    <n v="152.06399999999999"/>
    <n v="149.114"/>
    <n v="252.09100000000001"/>
    <n v="49.701099999603315"/>
    <n v="126.79900000000001"/>
    <n v="125.292"/>
    <n v="1071.4300000000003"/>
    <n v="51.31795824272232"/>
    <n v="521.59399999999994"/>
    <n v="549.8359999999999"/>
    <n v="2015"/>
    <s v="http://esa.un.org/unpd/wpp/Download/Standard/Population/"/>
    <n v="52.5"/>
    <n v="52.5"/>
    <n v="52.4"/>
    <n v="53.7"/>
    <n v="51.6"/>
    <n v="2010"/>
    <s v="MICS"/>
    <n v="796.92899999999997"/>
    <n v="40.028097506484428"/>
    <n v="394.48930963663099"/>
    <n v="402.43969036336898"/>
    <n v="2011"/>
    <s v="http://www.electionguide.org/countries/id/80/"/>
    <n v="18"/>
    <n v="18"/>
    <s v="GM2011"/>
    <n v="796.92899999999997"/>
    <n v="894.774"/>
    <n v="1797.86"/>
    <n v="1"/>
    <n v="4"/>
    <s v="CD"/>
    <x v="0"/>
    <n v="711.26065000000028"/>
    <n v="35.725153245427762"/>
    <n v="51.210683683489414"/>
    <n v="347.47476536336893"/>
    <n v="364.2414416366309"/>
    <n v="35.257619026024443"/>
    <n v="36.228762447782195"/>
    <n v="274.50100000000032"/>
    <n v="53.696092049439073"/>
    <n v="127.10469036336895"/>
    <n v="147.39630963663092"/>
    <n v="262.802775"/>
    <n v="49.701627389589014"/>
    <n v="132.459925"/>
    <n v="130.617256"/>
    <n v="173.956875"/>
    <n v="49.568535879941507"/>
    <n v="87.910150000000002"/>
    <n v="86.227875999999995"/>
    <n v="47.5"/>
    <n v="47.599999999999994"/>
    <n v="1849.2850000000001"/>
    <n v="50.533314226849832"/>
    <n v="849.26999999999975"/>
    <n v="49.483844914440702"/>
    <n v="338.87700000000001"/>
    <n v="49.469179570261232"/>
    <n v="79.598806017909709"/>
    <n v="796"/>
    <n v="204.0150000000003"/>
    <n v="50.533314226849832"/>
    <n v="403.40324999999984"/>
    <n v="49.483844914440702"/>
    <n v="161.01027129357081"/>
    <n v="49.469179570261232"/>
    <n v="1078.377"/>
    <n v="58.313200000000002"/>
    <n v="50.533314226849832"/>
    <n v="770.90800000000002"/>
    <n v="41.686799999999998"/>
    <n v="50.533314226849832"/>
    <n v="18.329732420745923"/>
    <n v="14.916900006937627"/>
    <n v="12.677603155257962"/>
    <n v="45.924235582941499"/>
    <n v="51.6820825346012"/>
    <n v="2.3936818824572699"/>
    <n v="52.5"/>
    <n v="52.4"/>
    <n v="52.5"/>
    <n v="53.7"/>
    <n v="51.6"/>
    <n v="2010"/>
    <n v="33.6"/>
    <n v="2003"/>
    <n v="529.27869400000009"/>
    <n v="48.4"/>
    <n v="2010"/>
    <n v="859.63385200000005"/>
    <n v="48.4"/>
    <n v="2010"/>
    <n v="52.004360198974602"/>
    <s v="eng"/>
    <n v="1"/>
    <n v="3"/>
    <s v="-"/>
    <s v="-"/>
    <s v="-"/>
    <s v="-"/>
    <s v="CR Minister"/>
    <n v="0.55000000000000004"/>
    <s v="-"/>
    <n v="2"/>
    <s v="-"/>
    <s v="-"/>
    <s v="P057995 (C)"/>
    <s v="P057995 (C)"/>
    <s v="P132881 (A)"/>
    <s v="-"/>
    <m/>
    <m/>
    <m/>
    <m/>
    <m/>
    <m/>
    <m/>
    <m/>
    <m/>
    <m/>
    <m/>
    <m/>
    <m/>
    <m/>
    <m/>
    <m/>
    <m/>
    <n v="1"/>
    <s v="GAMBIS (ID)"/>
    <n v="1"/>
    <s v="Biometric Voter Registration System"/>
    <m/>
    <m/>
    <m/>
    <m/>
    <m/>
    <m/>
    <m/>
    <m/>
    <m/>
    <m/>
    <n v="3"/>
    <s v="common + customary + religious"/>
    <s v="NF"/>
    <n v="6"/>
    <n v="6"/>
    <s v="NF"/>
    <n v="65"/>
    <n v="19"/>
    <n v="21"/>
    <n v="25"/>
    <s v="NF"/>
    <n v="83"/>
    <n v="28"/>
    <n v="35"/>
    <n v="20"/>
    <n v="8"/>
    <n v="-1.2526001930236816"/>
    <n v="-4.6368207782506943E-2"/>
    <n v="-0.71818774938583374"/>
    <n v="-0.36699727177619934"/>
    <n v="-0.58685719966888428"/>
    <n v="-0.70093679428100586"/>
    <n v="167"/>
    <n v="0.22850999999999999"/>
    <n v="0.21568000000000001"/>
    <n v="0.20472000000000001"/>
    <n v="0.14815999999999999"/>
    <n v="0.33260000000000001"/>
    <n v="135"/>
    <n v="2.31"/>
    <n v="3.39"/>
    <n v="0.51"/>
    <n v="3.76"/>
    <s v="-"/>
    <s v="-"/>
    <s v="-"/>
    <s v="-"/>
    <s v="-"/>
    <s v="-"/>
    <s v="-"/>
    <s v="-"/>
    <s v="-"/>
    <s v="-"/>
    <s v="-"/>
    <s v="-"/>
    <s v="-"/>
    <s v="-"/>
    <s v="-"/>
    <s v="-"/>
    <s v="-"/>
    <s v="-"/>
    <s v="-"/>
    <m/>
    <m/>
    <m/>
    <m/>
    <m/>
    <s v="IDA"/>
    <s v="HIPC"/>
    <n v="0"/>
    <n v="15"/>
    <n v="60"/>
    <s v="B"/>
    <n v="1"/>
    <n v="4"/>
    <n v="0"/>
    <n v="0"/>
  </r>
  <r>
    <n v="63"/>
    <m/>
    <s v="Georgia"/>
    <x v="1"/>
    <x v="3"/>
    <s v="GEO"/>
    <s v="GE"/>
    <s v="http://psh.gov.ge/index.php?lang_id=ENG&amp;sec_id=286"/>
    <s v="Public Service Bureau"/>
    <n v="3"/>
    <n v="1919"/>
    <n v="2"/>
    <s v="1 y"/>
    <s v="free"/>
    <s v="http://psh.gov.ge/index.php?lang_id=ENG&amp;sec_id=282"/>
    <s v="Public Service Bureau"/>
    <n v="6"/>
    <n v="2011"/>
    <s v="National ID Card"/>
    <x v="1"/>
    <n v="2"/>
    <n v="14"/>
    <s v="free"/>
    <n v="0"/>
    <n v="0"/>
    <m/>
    <m/>
    <m/>
    <m/>
    <s v="http://psh.gov.ge/index.php?lang_id=GEO&amp;sec_id=305"/>
    <n v="2011"/>
    <n v="2"/>
    <s v="4B"/>
    <s v="C, E, F, H, R, S"/>
    <n v="0"/>
    <n v="0"/>
    <s v="-"/>
    <n v="5"/>
    <s v="http://www.trueb.ee/services-and-products/documents/id-cards"/>
    <s v="-"/>
    <n v="0"/>
    <n v="0"/>
    <s v="http://psh.gov.ge/index.php?lang_id=ENG&amp;sec_id=299"/>
    <s v="Public Service Hall"/>
    <n v="2"/>
    <n v="2"/>
    <n v="2010"/>
    <n v="5"/>
    <n v="35"/>
    <n v="0"/>
    <s v="http://psh.gov.ge/index.php?lang_id=ENG&amp;sec_id=20"/>
    <n v="2007"/>
    <n v="1"/>
    <n v="2"/>
    <s v="http://www.worldbank.org/en/news/press-release/2011/10/20/georgia-number-one-worldwide-in-registering-property-according-to-doing-business-2012"/>
    <n v="2005"/>
    <n v="1"/>
    <s v="C"/>
    <n v="0"/>
    <s v="-"/>
    <n v="3"/>
    <n v="1"/>
    <n v="4490.7"/>
    <n v="52.317010711025013"/>
    <n v="2141.3000000000002"/>
    <n v="2349.4"/>
    <n v="274.76799999999997"/>
    <n v="48.300020380830375"/>
    <n v="142.05500000000001"/>
    <n v="132.71299999999999"/>
    <n v="228.517"/>
    <n v="46.905919472074295"/>
    <n v="121.32899999999999"/>
    <n v="107.188"/>
    <n v="189.78100000000001"/>
    <n v="46.678013078232276"/>
    <n v="101.19499999999999"/>
    <n v="88.585999999999999"/>
    <n v="3797.634"/>
    <n v="53.215054425992605"/>
    <n v="1776.7210000000002"/>
    <n v="2020.9129999999998"/>
    <n v="2015"/>
    <s v="http://esa.un.org/unpd/wpp/Download/Standard/Population/"/>
    <n v="99.6"/>
    <n v="99.4"/>
    <n v="99.9"/>
    <n v="99.6"/>
    <n v="99.7"/>
    <n v="2013"/>
    <s v="WMS (prelim)"/>
    <n v="3509.6010000000001"/>
    <n v="78.15264880753557"/>
    <n v="1673.4826689157589"/>
    <n v="1836.1183310842409"/>
    <n v="2013"/>
    <s v="http://www.electionguide.org/countries/id/81/"/>
    <n v="14"/>
    <n v="18"/>
    <s v="GE2013"/>
    <n v="3537.7190000000001"/>
    <n v="3509.6010000000001"/>
    <n v="4555.9110000000001"/>
    <n v="1"/>
    <n v="4"/>
    <s v="CD"/>
    <x v="1"/>
    <n v="290.80526399999991"/>
    <n v="6.4757223595430542"/>
    <n v="63.658804991837727"/>
    <n v="105.42580508424123"/>
    <n v="185.12315591575882"/>
    <n v="4.9234486099211336"/>
    <n v="7.8795929137549496"/>
    <n v="288.0329999999999"/>
    <n v="64.157464219641128"/>
    <n v="103.23833108424128"/>
    <n v="184.79466891575885"/>
    <n v="1.6731920000000016"/>
    <n v="11.700629694618325"/>
    <n v="1.3351439999999763"/>
    <n v="0.19577399999997844"/>
    <n v="1.0990720000000009"/>
    <n v="12.075005095206253"/>
    <n v="0.85232999999998504"/>
    <n v="0.13271299999998537"/>
    <n v="0.59999999999998943"/>
    <n v="9.9999999999988987E-2"/>
    <n v="4476.8999999999996"/>
    <n v="52.86405771851058"/>
    <n v="800.98432740253043"/>
    <n v="47.000908779182886"/>
    <n v="298.262"/>
    <n v="47.563358311721316"/>
    <n v="96.220923302647236"/>
    <n v="3537"/>
    <n v="138.91567259746921"/>
    <n v="52.86405771851058"/>
    <n v="3.2039373096101245"/>
    <n v="47.000908779182886"/>
    <n v="1.2090783737038331"/>
    <n v="47.563358311721316"/>
    <n v="2377.1619999999998"/>
    <n v="53.098399999999998"/>
    <n v="66.937676102848684"/>
    <n v="2099.7379999999998"/>
    <n v="46.901600000000002"/>
    <n v="61.481146695444856"/>
    <n v="6.7517611165305915"/>
    <n v="6.1480149321962143"/>
    <n v="4.9917113644385536"/>
    <n v="17.891494726318001"/>
    <n v="67.6901422402523"/>
    <n v="14.418363033429699"/>
    <n v="99.6"/>
    <n v="99.9"/>
    <n v="99.4"/>
    <n v="99.6"/>
    <n v="99.7"/>
    <n v="2013"/>
    <n v="17.989999999999998"/>
    <n v="2010"/>
    <n v="807.48"/>
    <n v="24.7"/>
    <n v="2009"/>
    <n v="1108.0419999999999"/>
    <n v="9.1999999999999993"/>
    <n v="2010"/>
    <n v="99.739158630371094"/>
    <s v="geo"/>
    <n v="0"/>
    <s v="-"/>
    <s v="-"/>
    <s v="-"/>
    <s v="-"/>
    <s v="-"/>
    <s v="-"/>
    <s v="-"/>
    <s v="-"/>
    <n v="1"/>
    <s v="-"/>
    <s v="-"/>
    <s v="-"/>
    <s v="-"/>
    <s v="P063081 (C)"/>
    <s v="-"/>
    <m/>
    <m/>
    <m/>
    <m/>
    <m/>
    <m/>
    <m/>
    <m/>
    <m/>
    <m/>
    <m/>
    <m/>
    <m/>
    <m/>
    <m/>
    <m/>
    <m/>
    <m/>
    <m/>
    <m/>
    <m/>
    <m/>
    <m/>
    <m/>
    <m/>
    <m/>
    <m/>
    <m/>
    <m/>
    <m/>
    <m/>
    <n v="1"/>
    <s v="civil"/>
    <s v="PF"/>
    <n v="3"/>
    <n v="3"/>
    <s v="F"/>
    <n v="26"/>
    <n v="8"/>
    <n v="7"/>
    <n v="11"/>
    <s v="PF"/>
    <n v="47"/>
    <n v="12"/>
    <n v="19"/>
    <n v="16"/>
    <n v="7"/>
    <n v="9.9354945123195648E-2"/>
    <n v="-0.46391326189041138"/>
    <n v="0.53251934051513672"/>
    <n v="0.7352873682975769"/>
    <n v="-2.4865627288818359E-2"/>
    <n v="0.35516422986984253"/>
    <n v="56"/>
    <n v="0.60468"/>
    <n v="0.58823000000000003"/>
    <n v="0.59841999999999995"/>
    <n v="0.42613000000000001"/>
    <n v="0.78949999999999998"/>
    <n v="78"/>
    <n v="4.8600000000000003"/>
    <n v="5.99"/>
    <n v="2.58"/>
    <n v="7.14"/>
    <s v="Law on Personal Data Protection"/>
    <s v="http://www.coe.int/t/dghl/standardsetting/dataprotection/National%20laws/Georgia%20(Law%20of...)%20on%20Personal%20Data%20Protection%20as%20amended%2014%2005%202013.pdf "/>
    <n v="2012"/>
    <s v="-"/>
    <s v="Both"/>
    <s v="Data Protection Commissioner"/>
    <s v="http://personaldata.ge/en/home "/>
    <s v="CEEDPA"/>
    <n v="31"/>
    <n v="97"/>
    <n v="1999"/>
    <s v="http://www.rti-rating.org/files/pdf/Georgia.pdf"/>
    <n v="4"/>
    <n v="30"/>
    <n v="15"/>
    <n v="18"/>
    <n v="20"/>
    <n v="1"/>
    <n v="9"/>
    <m/>
    <m/>
    <m/>
    <s v="prev"/>
    <m/>
    <s v="IBRD"/>
    <s v=""/>
    <n v="0"/>
    <n v="21"/>
    <n v="84"/>
    <s v="A"/>
    <m/>
    <n v="4"/>
    <n v="0"/>
    <n v="0"/>
  </r>
  <r>
    <n v="64"/>
    <m/>
    <s v="Germany"/>
    <x v="3"/>
    <x v="2"/>
    <s v="DEU"/>
    <s v="DE"/>
    <s v="https://standesamtauskunft.de/default.aspx"/>
    <s v="Standesamt / Civil Reg Office, Municipality"/>
    <n v="5"/>
    <n v="1876"/>
    <n v="2"/>
    <s v="7 d"/>
    <n v="10"/>
    <s v="http://www.bmi.bund.de/EN/Topics/Administrative-Reform/Passports-Identity-Cards/national-identity-card/national-identity-card_node.html;jsessionid=365DC13AF36A7B693DE614DFD5CE0E62.2_cid364"/>
    <s v="City or town of residence"/>
    <n v="5"/>
    <n v="2010"/>
    <s v="Personalausweis (Identity Card)"/>
    <x v="1"/>
    <n v="2"/>
    <n v="16"/>
    <s v="various"/>
    <n v="1"/>
    <n v="1"/>
    <s v="http://en.wikipedia.org/wiki/German_identity_card"/>
    <n v="1"/>
    <n v="1"/>
    <m/>
    <s v="http://www.personalausweisportal.de/"/>
    <n v="2010"/>
    <n v="2"/>
    <s v="4B"/>
    <s v="C, H, R, S"/>
    <n v="1"/>
    <n v="1"/>
    <s v="-"/>
    <s v="4, 5"/>
    <s v="https://www.gi-de.com/en/products_and_solutions/products/national_id_cards/National-ID-cards-for-secure-identification-6530.jsp"/>
    <s v="-"/>
    <n v="1"/>
    <n v="1"/>
    <s v="http://www.bmi.bund.de/"/>
    <s v="Ministry of Interior"/>
    <n v="2"/>
    <n v="2"/>
    <n v="2005"/>
    <n v="10"/>
    <n v="15500"/>
    <n v="1"/>
    <s v="https://www.unternehmensregister.de/ureg/"/>
    <n v="2007"/>
    <n v="1"/>
    <n v="2"/>
    <s v="http://www.learn4good.com/settingup-business/germany-registering-a-company.htm"/>
    <n v="2007"/>
    <n v="2"/>
    <s v="C, S"/>
    <n v="0"/>
    <s v="-"/>
    <n v="3"/>
    <n v="1"/>
    <n v="80688.544999999998"/>
    <n v="50.857059078212409"/>
    <n v="39652.724000000002"/>
    <n v="41035.821000000004"/>
    <n v="3384.4549999999999"/>
    <n v="48.620028926370715"/>
    <n v="1738.932"/>
    <n v="1645.5229999999999"/>
    <n v="3392.547"/>
    <n v="48.674609371660878"/>
    <n v="1741.2380000000001"/>
    <n v="1651.309"/>
    <n v="3620.3820000000001"/>
    <n v="48.70295455009996"/>
    <n v="1857.1489999999999"/>
    <n v="1763.2329999999999"/>
    <n v="70291.160999999993"/>
    <n v="51.18105247969941"/>
    <n v="34315.405000000006"/>
    <n v="35975.756000000001"/>
    <n v="2015"/>
    <s v="http://esa.un.org/unpd/wpp/Download/Standard/Population/"/>
    <n v="100"/>
    <n v="100"/>
    <n v="100"/>
    <s v="–"/>
    <s v="–"/>
    <n v="2011"/>
    <s v="UNSD "/>
    <n v="73570.200000000012"/>
    <n v="91.177998066516153"/>
    <n v="35919.4"/>
    <n v="37650.800000000003"/>
    <n v="2015"/>
    <s v="https://www.destatis.de/EN/FactsFigures/SocietyState/Population/CurrentPopulation/Tables/Census_SexAndCitizenship.html"/>
    <n v="16"/>
    <n v="18"/>
    <s v="DE2013"/>
    <n v="61946.9"/>
    <n v="67068.214000000007"/>
    <n v="81147.264999999999"/>
    <n v="20"/>
    <n v="5"/>
    <s v="CD"/>
    <x v="2"/>
    <n v="7118.3449999999866"/>
    <n v="8.8220019334838504"/>
    <n v="47.553483288601598"/>
    <n v="3733.3240000000005"/>
    <n v="3385.0210000000006"/>
    <n v="9.4150505271718554"/>
    <n v="8.2489418208545171"/>
    <n v="7118.3449999999866"/>
    <n v="47.553483288601598"/>
    <n v="3733.3240000000005"/>
    <n v="3385.0210000000006"/>
    <n v="0"/>
    <n v="0"/>
    <n v="0"/>
    <n v="0"/>
    <n v="0"/>
    <n v="0"/>
    <n v="0"/>
    <n v="0"/>
    <n v="0"/>
    <n v="0"/>
    <n v="80621.788"/>
    <n v="50.920336820116177"/>
    <n v="10554.352627447741"/>
    <n v="48.624495865704013"/>
    <n v="3475.4380000000001"/>
    <n v="48.636330146073895"/>
    <n v="24.975939117725048"/>
    <n v="17500"/>
    <n v="52567.435372552274"/>
    <n v="50.920336820116177"/>
    <n v="0"/>
    <n v="48.624495865704013"/>
    <n v="0"/>
    <n v="48.636330146073895"/>
    <n v="59823.947"/>
    <n v="74.203199999999995"/>
    <n v="55.523584894858246"/>
    <n v="20797.841"/>
    <n v="25.796800000000005"/>
    <n v="37.779661840861273"/>
    <n v="4.20692129468482"/>
    <n v="4.2608120461971621"/>
    <n v="4.6234585835640507"/>
    <n v="13.0911914623473"/>
    <n v="65.772526489838995"/>
    <n v="21.136282047813701"/>
    <n v="100"/>
    <n v="100"/>
    <n v="100"/>
    <n v="100"/>
    <n v="100"/>
    <n v="2011"/>
    <s v="-"/>
    <s v="-"/>
    <m/>
    <s v="-"/>
    <s v="-"/>
    <m/>
    <n v="15.5"/>
    <n v="2010"/>
    <s v="-"/>
    <s v="ger"/>
    <n v="0"/>
    <s v="-"/>
    <s v="-"/>
    <s v="-"/>
    <s v="-"/>
    <s v="-"/>
    <s v="-"/>
    <s v="-"/>
    <s v="-"/>
    <s v="-"/>
    <m/>
    <m/>
    <m/>
    <m/>
    <m/>
    <m/>
    <m/>
    <m/>
    <m/>
    <m/>
    <m/>
    <m/>
    <m/>
    <m/>
    <m/>
    <m/>
    <m/>
    <m/>
    <m/>
    <m/>
    <m/>
    <m/>
    <m/>
    <n v="2"/>
    <m/>
    <m/>
    <m/>
    <m/>
    <m/>
    <m/>
    <m/>
    <m/>
    <m/>
    <m/>
    <m/>
    <m/>
    <m/>
    <n v="1"/>
    <s v="civil"/>
    <s v="F"/>
    <n v="1"/>
    <n v="1"/>
    <s v="F"/>
    <n v="17"/>
    <n v="4"/>
    <n v="4"/>
    <n v="9"/>
    <s v="F"/>
    <n v="17"/>
    <n v="6"/>
    <n v="7"/>
    <n v="4"/>
    <n v="10"/>
    <n v="1.4077863693237305"/>
    <n v="0.92707729339599609"/>
    <n v="1.5184236764907837"/>
    <n v="1.5509365797042847"/>
    <n v="1.6154125928878784"/>
    <n v="1.777997612953186"/>
    <n v="21"/>
    <n v="0.78639999999999999"/>
    <n v="0.70587999999999995"/>
    <n v="0.66929000000000005"/>
    <n v="0.80376999999999998"/>
    <n v="0.88619999999999999"/>
    <n v="17"/>
    <n v="7.9"/>
    <n v="9.19"/>
    <n v="6.21"/>
    <n v="8.68"/>
    <s v="Federal Data Protection Act"/>
    <s v="http://www.iuscomp.org/gla/statutes/BDSG.htm "/>
    <n v="1977"/>
    <n v="2009"/>
    <s v="Both"/>
    <s v="Federal Data Protection Commission"/>
    <s v="www.datenschutz.bremen.de"/>
    <s v="ICDPPC; EDPA; A29WP; GPEN"/>
    <n v="97"/>
    <n v="52"/>
    <n v="2005"/>
    <s v="http://www.rti-rating.org/files/pdf/Germany.pdf"/>
    <n v="0"/>
    <n v="19"/>
    <n v="7"/>
    <n v="11"/>
    <n v="15"/>
    <n v="0"/>
    <n v="0"/>
    <s v="EU"/>
    <s v="OECD"/>
    <m/>
    <m/>
    <m/>
    <s v=".."/>
    <s v="EMU"/>
    <n v="0"/>
    <n v="22"/>
    <n v="88"/>
    <s v="A"/>
    <m/>
    <n v="5"/>
    <n v="2"/>
    <n v="0"/>
  </r>
  <r>
    <n v="65"/>
    <m/>
    <s v="Ghana"/>
    <x v="4"/>
    <x v="3"/>
    <s v="GHA"/>
    <s v="GH"/>
    <s v="http://www.eservices.gov.gh/BDR/SitePages/bdr-home.aspx"/>
    <s v="Registrar General’s Department, Min of Local Gov &amp; Rural Dev &gt; MGV-Net based on OpenMRS"/>
    <n v="6"/>
    <n v="1912"/>
    <n v="2"/>
    <s v="1 y"/>
    <s v="free"/>
    <s v="http://nia.gov.gh"/>
    <s v="NIA (National Identification Authority)"/>
    <n v="6"/>
    <n v="2003"/>
    <s v="Ghanacard"/>
    <x v="1"/>
    <n v="2"/>
    <n v="15"/>
    <s v="free"/>
    <n v="1"/>
    <n v="1"/>
    <s v="http://en.wikipedia.org/wiki/Ghana_Card"/>
    <n v="1"/>
    <n v="1"/>
    <m/>
    <s v="http://nia.gov.gh"/>
    <n v="2010"/>
    <n v="2"/>
    <s v="4B"/>
    <s v="C, E, H, F, R, T"/>
    <n v="0"/>
    <n v="0"/>
    <s v="-"/>
    <n v="9"/>
    <s v="http://www.spyghana.com/world-bank-provides-us29-15m-build-robust-national-identification-system/"/>
    <n v="6"/>
    <n v="1"/>
    <n v="1"/>
    <s v="http://www.ghanaimmigration.org/"/>
    <s v="Ghana Immigration Service"/>
    <n v="2"/>
    <n v="2"/>
    <n v="2010"/>
    <n v="5"/>
    <n v="240"/>
    <n v="0"/>
    <s v="http://www.rgd.gov.gh"/>
    <n v="2004"/>
    <n v="1"/>
    <n v="1"/>
    <s v="http://www.gra.gov.gh/docs/info/tin_act.pdf"/>
    <n v="2002"/>
    <n v="0"/>
    <s v="-"/>
    <n v="0"/>
    <s v="-"/>
    <n v="3"/>
    <n v="1"/>
    <n v="27409.893"/>
    <n v="50.253705842631348"/>
    <n v="13635.406000000001"/>
    <n v="13774.486999999999"/>
    <n v="4055.9850000000001"/>
    <n v="48.923997499990755"/>
    <n v="2071.6350000000002"/>
    <n v="1984.35"/>
    <n v="3494.337"/>
    <n v="48.969575630513027"/>
    <n v="1783.175"/>
    <n v="1711.162"/>
    <n v="3089.4140000000002"/>
    <n v="48.912253262269154"/>
    <n v="1578.3119999999999"/>
    <n v="1511.1020000000001"/>
    <n v="16770.156999999999"/>
    <n v="51.089998740023709"/>
    <n v="8202.2840000000015"/>
    <n v="8567.8729999999978"/>
    <n v="2015"/>
    <s v="http://esa.un.org/unpd/wpp/Download/Standard/Population/"/>
    <n v="62.5"/>
    <n v="62.8"/>
    <n v="62.2"/>
    <n v="72"/>
    <n v="55.2"/>
    <n v="2011"/>
    <s v="MICS"/>
    <n v="14031.793"/>
    <n v="51.192439897521666"/>
    <n v="6980.2970213330636"/>
    <n v="7051.495978666936"/>
    <n v="2012"/>
    <s v="http://www.electionguide.org/countries/id/83/"/>
    <n v="15"/>
    <n v="18"/>
    <s v="GH2012"/>
    <n v="14031.793"/>
    <n v="13682.083000000001"/>
    <n v="24652.401999999998"/>
    <n v="1"/>
    <n v="4"/>
    <s v="CD"/>
    <x v="0"/>
    <n v="6728.2649999999994"/>
    <n v="24.546848833010763"/>
    <n v="51.788642589628409"/>
    <n v="3243.1083626669379"/>
    <n v="3484.4771133330619"/>
    <n v="23.784464963250361"/>
    <n v="25.296601705261779"/>
    <n v="2738.3639999999996"/>
    <n v="55.375290550601086"/>
    <n v="1221.9869786669378"/>
    <n v="1516.3770213330617"/>
    <n v="2468.9066250000001"/>
    <n v="49.334218624003249"/>
    <n v="1250.473164"/>
    <n v="1218.0157920000001"/>
    <n v="1520.994375"/>
    <n v="49.315389479990678"/>
    <n v="770.64822000000004"/>
    <n v="750.08429999999998"/>
    <n v="37.200000000000003"/>
    <n v="37.799999999999997"/>
    <n v="25904.598000000002"/>
    <n v="50.420616448091572"/>
    <n v="9961.7839999999906"/>
    <n v="48.895250631359318"/>
    <n v="3676.893"/>
    <n v="48.922715590659706"/>
    <n v="56"/>
    <n v="8927.9758400000064"/>
    <n v="7014.8381600000039"/>
    <n v="50.420616448091572"/>
    <n v="3735.6689999999962"/>
    <n v="48.895250631359318"/>
    <n v="1375.8775219292768"/>
    <n v="48.922715590659706"/>
    <n v="13774.822"/>
    <n v="53.175199999999997"/>
    <n v="47.399305776873199"/>
    <n v="12129.776"/>
    <n v="46.824800000000003"/>
    <n v="54.356329416140902"/>
    <n v="14.163534694283761"/>
    <n v="12.830196209931627"/>
    <n v="11.461928589130158"/>
    <n v="38.4556594933455"/>
    <n v="58.0620166350391"/>
    <n v="3.4823238716153799"/>
    <n v="62.5"/>
    <n v="62.2"/>
    <n v="62.8"/>
    <n v="72"/>
    <n v="55.2"/>
    <n v="2011"/>
    <n v="28.59"/>
    <n v="2006"/>
    <n v="7140.2233759999999"/>
    <n v="28.5"/>
    <n v="2006"/>
    <n v="7115.2575599999991"/>
    <n v="28.5"/>
    <n v="2007"/>
    <n v="71.497077941894503"/>
    <s v="eng"/>
    <n v="2"/>
    <n v="2"/>
    <s v="-"/>
    <s v="Underway"/>
    <s v="-"/>
    <s v="-"/>
    <s v="CR Minister"/>
    <n v="0.71"/>
    <s v="-"/>
    <n v="3"/>
    <s v="P144140 (A)"/>
    <s v="P115247 (A)"/>
    <s v="P045588 (C)"/>
    <s v="-"/>
    <s v="P045588 (C)"/>
    <s v="-"/>
    <m/>
    <m/>
    <m/>
    <m/>
    <m/>
    <m/>
    <m/>
    <m/>
    <m/>
    <m/>
    <m/>
    <m/>
    <m/>
    <m/>
    <m/>
    <m/>
    <m/>
    <n v="1"/>
    <s v="NIS (National Identification System) + GhanaCard (ID)"/>
    <n v="1"/>
    <s v="Voter Registration"/>
    <m/>
    <m/>
    <m/>
    <m/>
    <m/>
    <m/>
    <n v="1"/>
    <s v="E-Zwich Banking + Opportunity International Banking)"/>
    <m/>
    <m/>
    <n v="2"/>
    <s v="common"/>
    <s v="F"/>
    <n v="1"/>
    <n v="2"/>
    <s v="-"/>
    <s v="-"/>
    <s v="-"/>
    <s v="-"/>
    <s v="-"/>
    <s v="F"/>
    <n v="28"/>
    <n v="8"/>
    <n v="10"/>
    <n v="10"/>
    <n v="8"/>
    <n v="0.4106585681438446"/>
    <n v="2.0406404510140419E-2"/>
    <n v="-8.6076162755489349E-2"/>
    <n v="7.7964797616004944E-2"/>
    <n v="0.10850994288921356"/>
    <n v="-7.4241228401660919E-2"/>
    <n v="123"/>
    <n v="0.37353999999999998"/>
    <n v="0.39215"/>
    <n v="0.31496000000000002"/>
    <n v="0.24437999999999999"/>
    <n v="0.56130000000000002"/>
    <n v="113"/>
    <n v="3.46"/>
    <n v="4.47"/>
    <n v="1.76"/>
    <n v="4.82"/>
    <s v="Data Protection Act"/>
    <s v="http://media.mofo.com/files/PrivacyLibrary/3981/GHANAbill.pdf "/>
    <n v="2012"/>
    <s v="-"/>
    <s v="Both"/>
    <s v="Commission on Human Rights and Administrative Justice"/>
    <s v="http://www.moc.gov.gh/e-ghana-project/116-about-us/259-dpc.html "/>
    <s v="-"/>
    <s v="-"/>
    <s v="-"/>
    <n v="1960"/>
    <s v="http://www.humanrightsinitiative.org/programs/ai/rti/international/laws_papers/ghana/ghana_rti_bill_2009.pdf "/>
    <s v="-"/>
    <s v="-"/>
    <s v="-"/>
    <s v="-"/>
    <s v="-"/>
    <s v="-"/>
    <s v="-"/>
    <m/>
    <m/>
    <m/>
    <m/>
    <m/>
    <s v="IDA"/>
    <s v="HIPC"/>
    <n v="0"/>
    <n v="19"/>
    <n v="76"/>
    <s v="A"/>
    <n v="1"/>
    <n v="5"/>
    <n v="0"/>
    <n v="0"/>
  </r>
  <r>
    <n v="66"/>
    <m/>
    <s v="Greece"/>
    <x v="3"/>
    <x v="2"/>
    <s v="GRC"/>
    <s v="GR"/>
    <s v="http://www.e-gif.gov.gr/portal/page/portal/ermis/KepIndex"/>
    <s v="Municipalities"/>
    <n v="5"/>
    <n v="1856"/>
    <n v="2"/>
    <s v="10 d"/>
    <s v="free"/>
    <s v="http://www.astynomia.gr/index.php?option=ozo_content&amp;perform=view&amp;id=139&amp;Itemid=132&amp;lang"/>
    <s v="Ministry of Interior, Police Dept."/>
    <n v="2"/>
    <n v="2005"/>
    <s v="National Identity Card . Αστυνομική Ταυτότητα "/>
    <x v="1"/>
    <n v="2"/>
    <n v="12"/>
    <s v="0 / €9"/>
    <n v="1"/>
    <n v="1"/>
    <s v="http://en.wikipedia.org/wiki/Greek_identity_card"/>
    <m/>
    <n v="1"/>
    <m/>
    <s v="-"/>
    <s v="-"/>
    <n v="0"/>
    <n v="1"/>
    <s v="-"/>
    <s v="-"/>
    <s v="-"/>
    <s v="-"/>
    <n v="0"/>
    <s v="-"/>
    <s v="-"/>
    <n v="0"/>
    <n v="0"/>
    <s v="http://www.passport.gov.gr/en/"/>
    <s v="National Passport Center"/>
    <n v="2"/>
    <n v="2"/>
    <n v="2006"/>
    <n v="5"/>
    <n v="4000"/>
    <n v="1"/>
    <s v="http://www.acci.gr/acci/Home/tabid/28/language/el-GR/Default.aspx"/>
    <n v="1992"/>
    <n v="1"/>
    <n v="0"/>
    <s v="-"/>
    <s v="-"/>
    <n v="0"/>
    <s v="-"/>
    <n v="0"/>
    <s v="-"/>
    <n v="3"/>
    <n v="1"/>
    <n v="10954.617"/>
    <n v="51.206244818965374"/>
    <n v="5345.1689999999999"/>
    <n v="5609.4480000000003"/>
    <n v="533.09699999999998"/>
    <n v="48.625859834139007"/>
    <n v="273.87400000000002"/>
    <n v="259.22300000000001"/>
    <n v="537.298"/>
    <n v="48.713190817758488"/>
    <n v="275.56299999999999"/>
    <n v="261.73500000000001"/>
    <n v="529.23400000000004"/>
    <n v="48.702842221021328"/>
    <n v="271.48200000000003"/>
    <n v="257.75200000000001"/>
    <n v="9354.9879999999994"/>
    <n v="51.638099375434798"/>
    <n v="4524.25"/>
    <n v="4830.7380000000003"/>
    <n v="2015"/>
    <s v="http://esa.un.org/unpd/wpp/Download/Standard/Population/"/>
    <n v="100"/>
    <n v="100"/>
    <n v="100"/>
    <s v="–"/>
    <s v="–"/>
    <n v="2010"/>
    <s v="UNSD"/>
    <n v="8960.6110000000008"/>
    <n v="81.79757448389114"/>
    <n v="4372.2185940648587"/>
    <n v="4588.3924059351421"/>
    <n v="2015"/>
    <s v="http://www.idea.int/vt/countryview.cfm?id=89"/>
    <n v="12"/>
    <n v="18"/>
    <s v="GR2015"/>
    <n v="9949.6839999999993"/>
    <n v="8960.6110000000008"/>
    <n v="10775.557000000001"/>
    <n v="1"/>
    <n v="4"/>
    <s v="CD"/>
    <x v="2"/>
    <n v="394.37699999999859"/>
    <n v="3.600098479024858"/>
    <n v="61.45023519750368"/>
    <n v="152.03140593514127"/>
    <n v="242.34559406485823"/>
    <n v="2.8442768775906107"/>
    <n v="4.3203109123189698"/>
    <n v="394.37699999999859"/>
    <n v="61.45023519750368"/>
    <n v="152.03140593514127"/>
    <n v="242.34559406485823"/>
    <n v="0"/>
    <n v="0"/>
    <n v="0"/>
    <n v="0"/>
    <n v="0"/>
    <n v="0"/>
    <n v="0"/>
    <n v="0"/>
    <n v="0"/>
    <n v="0"/>
    <n v="11032.328"/>
    <n v="50.654404038748666"/>
    <n v="1616.260306686112"/>
    <n v="48.390986301906381"/>
    <n v="566.30200000000002"/>
    <n v="48.449768417595322"/>
    <n v="89.799723140936351"/>
    <n v="9907"/>
    <n v="960.46497395486494"/>
    <n v="50.654404038748666"/>
    <n v="0"/>
    <n v="48.390986301906381"/>
    <n v="0"/>
    <n v="48.449768417595322"/>
    <n v="6834.5709999999999"/>
    <n v="61.950400000000002"/>
    <n v="62.36485069801747"/>
    <n v="4197.7569999999996"/>
    <n v="38.049599999999998"/>
    <n v="49.548246837537285"/>
    <n v="5.0278352148868226"/>
    <n v="4.9517747583373062"/>
    <n v="4.6706070979144378"/>
    <n v="14.6502198510243"/>
    <n v="65.681331489334596"/>
    <n v="19.668448659641101"/>
    <n v="100"/>
    <n v="100"/>
    <n v="100"/>
    <n v="100"/>
    <n v="100"/>
    <n v="2010"/>
    <s v="-"/>
    <s v="-"/>
    <m/>
    <s v="-"/>
    <s v="-"/>
    <m/>
    <n v="20"/>
    <n v="2009"/>
    <n v="97.36376953125"/>
    <s v="gre"/>
    <n v="0"/>
    <s v="-"/>
    <s v="-"/>
    <s v="-"/>
    <s v="-"/>
    <s v="-"/>
    <s v="-"/>
    <s v="-"/>
    <s v="-"/>
    <s v="-"/>
    <m/>
    <m/>
    <m/>
    <m/>
    <m/>
    <m/>
    <m/>
    <m/>
    <m/>
    <m/>
    <m/>
    <m/>
    <m/>
    <m/>
    <m/>
    <m/>
    <m/>
    <m/>
    <m/>
    <m/>
    <m/>
    <m/>
    <m/>
    <m/>
    <m/>
    <m/>
    <m/>
    <m/>
    <m/>
    <m/>
    <m/>
    <m/>
    <m/>
    <m/>
    <m/>
    <m/>
    <m/>
    <n v="1"/>
    <s v="civil"/>
    <s v="F"/>
    <n v="2"/>
    <n v="2"/>
    <s v="-"/>
    <s v="-"/>
    <s v="-"/>
    <s v="-"/>
    <s v="-"/>
    <s v="PF"/>
    <n v="46"/>
    <n v="14"/>
    <n v="20"/>
    <n v="12"/>
    <n v="10"/>
    <n v="0.65381836891174316"/>
    <n v="-0.19750493764877319"/>
    <n v="0.44898754358291626"/>
    <n v="0.61688339710235596"/>
    <n v="0.43818497657775879"/>
    <n v="-0.10656367987394333"/>
    <n v="34"/>
    <n v="0.71175999999999995"/>
    <n v="0.80391999999999997"/>
    <n v="0.60629"/>
    <n v="0.65486999999999995"/>
    <n v="0.87409999999999999"/>
    <n v="39"/>
    <n v="6.85"/>
    <n v="7.53"/>
    <n v="4.6500000000000004"/>
    <n v="9.9"/>
    <s v="Law on the Protection of individuals with regard to the processing of personal data"/>
    <s v="http://www.dpa.gr/pls/portal/docs/PAGE/APDPX/ENGLISH_INDEX/LEGAL%20FRAMEWORK/LAW%202472-97-APRIL010-EN%20_2_.PDF "/>
    <n v="1997"/>
    <n v="1997"/>
    <s v="Both"/>
    <s v="Data Protection Authority"/>
    <s v="http://www.dpa.gr"/>
    <s v="ICDPPC; EDPA; A29WP; AFAPDP"/>
    <n v="83"/>
    <n v="65"/>
    <n v="1986"/>
    <s v="http://www.rti-rating.org/files/pdf/Greece.pdf"/>
    <n v="4"/>
    <n v="12"/>
    <n v="16"/>
    <n v="13"/>
    <n v="17"/>
    <n v="0"/>
    <n v="3"/>
    <s v="EU"/>
    <s v="OECD"/>
    <m/>
    <m/>
    <m/>
    <s v=".."/>
    <s v="EMU"/>
    <n v="0"/>
    <n v="13"/>
    <n v="52"/>
    <s v="B"/>
    <m/>
    <n v="4"/>
    <n v="0"/>
    <n v="0"/>
  </r>
  <r>
    <n v="67"/>
    <m/>
    <s v="Grenada"/>
    <x v="5"/>
    <x v="1"/>
    <s v="GRD"/>
    <s v="GD"/>
    <s v="http://health.gov.gd"/>
    <s v="Min of Heallth, Births, Death and Marriage"/>
    <n v="3"/>
    <n v="1974"/>
    <n v="2"/>
    <s v="2 d"/>
    <s v="free"/>
    <s v="http://www.gov.gd/ministries/works.html"/>
    <s v="Ministry of Communications, Works, Physical Development, Public Utilities &amp; ICT"/>
    <n v="6"/>
    <n v="2013"/>
    <s v="Multi-Purpose Identification Card (MPID)"/>
    <x v="1"/>
    <n v="2"/>
    <n v="18"/>
    <s v="free"/>
    <n v="1"/>
    <n v="1"/>
    <m/>
    <n v="1"/>
    <m/>
    <m/>
    <s v="http://www.gov.gd/egov/news/2014/feb14/26_02_14/item_7/government_lauches_mpid.html"/>
    <n v="2015"/>
    <n v="2"/>
    <s v="4B"/>
    <s v="C, H, R, S, V"/>
    <n v="0"/>
    <n v="0"/>
    <s v="-"/>
    <n v="10"/>
    <s v="http://thenewtoday.gd/local-news/2014/11/27/mpid-to-serve-as-national-id/"/>
    <n v="3"/>
    <n v="0"/>
    <n v="0"/>
    <s v="http://www.gov.gd/ministries/foreign_affairs.html"/>
    <s v="Ministry of Foreign Affairs &amp; International Business"/>
    <n v="1"/>
    <n v="3"/>
    <n v="2007"/>
    <n v="5"/>
    <s v="-"/>
    <n v="0"/>
    <s v="http://www.gov.gd/departments/supreme_court_registry.html"/>
    <n v="1994"/>
    <n v="0"/>
    <n v="0"/>
    <s v="-"/>
    <s v="-"/>
    <n v="0"/>
    <s v="-"/>
    <n v="0"/>
    <s v="-"/>
    <n v="1"/>
    <n v="1"/>
    <n v="106.825"/>
    <n v="49.839457055932598"/>
    <n v="53.584000000000003"/>
    <n v="53.241"/>
    <n v="9.9350000000000005"/>
    <n v="48.777050830397584"/>
    <n v="5.0890000000000004"/>
    <n v="4.8460000000000001"/>
    <n v="9.4589999999999996"/>
    <n v="48.747224865207741"/>
    <n v="4.8479999999999999"/>
    <n v="4.6109999999999998"/>
    <n v="8.8970000000000002"/>
    <n v="48.73552882994268"/>
    <n v="4.5609999999999999"/>
    <n v="4.3360000000000003"/>
    <n v="78.533999999999992"/>
    <n v="50.230473425522717"/>
    <n v="39.086000000000006"/>
    <n v="39.448"/>
    <n v="2015"/>
    <s v="http://esa.un.org/unpd/wpp/Download/Standard/Population/"/>
    <n v="95"/>
    <n v="95"/>
    <n v="95"/>
    <s v="–"/>
    <s v="–"/>
    <n v="2013"/>
    <s v="http://www.unicef.org/infobycountry/grenada_statistics.html#121"/>
    <n v="62.146999999999998"/>
    <n v="58.176456821904985"/>
    <n v="31.173272623449567"/>
    <n v="30.973727376550432"/>
    <n v="2013"/>
    <s v="http://www.electionguide.org/countries/id/87/"/>
    <n v="18"/>
    <n v="18"/>
    <s v="GD2013"/>
    <n v="62.146999999999998"/>
    <n v="64.128"/>
    <n v="109.59"/>
    <n v="1"/>
    <n v="4"/>
    <s v="CD"/>
    <x v="1"/>
    <n v="17.801549999999992"/>
    <n v="16.664217177626952"/>
    <n v="51.478228712946752"/>
    <n v="8.637627376550439"/>
    <n v="9.1639226234495688"/>
    <n v="16.119788325900341"/>
    <n v="17.212153459644952"/>
    <n v="16.386999999999993"/>
    <n v="51.713386363883394"/>
    <n v="7.9127273765504391"/>
    <n v="8.4742726234495684"/>
    <n v="0.91780000000000084"/>
    <n v="48.7415558945304"/>
    <n v="0.47045000000000037"/>
    <n v="0.44735000000000041"/>
    <n v="0.49675000000000047"/>
    <n v="48.777050830397577"/>
    <n v="0.25445000000000023"/>
    <n v="0.24230000000000021"/>
    <n v="5.0000000000000044"/>
    <n v="5.0000000000000044"/>
    <n v="105.89700000000001"/>
    <n v="49.917372541242905"/>
    <n v="28.376999999999995"/>
    <n v="48.722557000387731"/>
    <n v="10.048"/>
    <n v="48.780713028554651"/>
    <n v="79.979360165118678"/>
    <n v="62"/>
    <n v="15.520000000000007"/>
    <n v="49.917372541242905"/>
    <n v="1.7026200000000011"/>
    <n v="48.722557000387731"/>
    <n v="0.59519425193732756"/>
    <n v="48.780713028554651"/>
    <n v="42.182000000000002"/>
    <n v="39.832999999999998"/>
    <n v="16.993030202456026"/>
    <n v="63.715000000000003"/>
    <n v="60.167000000000002"/>
    <n v="64.112061523973949"/>
    <n v="9.3675025722687604"/>
    <n v="8.6866588108666836"/>
    <n v="8.7426317271509699"/>
    <n v="26.796793110286401"/>
    <n v="66.085913670831104"/>
    <n v="7.1172932188824998"/>
    <n v="94"/>
    <n v="94"/>
    <n v="94"/>
    <n v="94"/>
    <n v="94"/>
    <n v="2001"/>
    <n v="32"/>
    <n v="2012"/>
    <n v="33.887039999999999"/>
    <s v="-"/>
    <s v="-"/>
    <m/>
    <n v="38"/>
    <n v="2008"/>
    <s v="-"/>
    <s v="eng"/>
    <n v="3"/>
    <s v="-"/>
    <s v="-"/>
    <s v="-"/>
    <s v="-"/>
    <s v="-"/>
    <s v="-"/>
    <s v="-"/>
    <s v="-"/>
    <s v="-"/>
    <m/>
    <m/>
    <m/>
    <m/>
    <m/>
    <m/>
    <m/>
    <m/>
    <m/>
    <m/>
    <m/>
    <m/>
    <m/>
    <m/>
    <m/>
    <m/>
    <m/>
    <m/>
    <m/>
    <m/>
    <m/>
    <m/>
    <m/>
    <m/>
    <m/>
    <m/>
    <m/>
    <m/>
    <m/>
    <m/>
    <m/>
    <m/>
    <m/>
    <m/>
    <m/>
    <m/>
    <m/>
    <n v="2"/>
    <s v="common"/>
    <s v="F"/>
    <n v="1"/>
    <n v="2"/>
    <s v="-"/>
    <s v="-"/>
    <s v="-"/>
    <s v="-"/>
    <s v="-"/>
    <s v="F"/>
    <n v="24"/>
    <n v="8"/>
    <n v="11"/>
    <n v="5"/>
    <m/>
    <n v="0.81935238838195801"/>
    <n v="0.41846951842308044"/>
    <n v="0.26945886015892029"/>
    <n v="0.35477730631828308"/>
    <n v="0.15664847195148468"/>
    <n v="0.41117992997169495"/>
    <n v="78"/>
    <n v="0.52197000000000005"/>
    <n v="0.39215"/>
    <n v="0.34644999999999998"/>
    <n v="0.40289000000000003"/>
    <n v="0.81659999999999999"/>
    <n v="76"/>
    <n v="4.96"/>
    <n v="6.07"/>
    <n v="2.14"/>
    <n v="8.3800000000000008"/>
    <s v="Privacy and Data Protection Bill"/>
    <s v="http://www.itu.int/ITU-D/projects/ITU_EC_ACP/hipcar/in-country_assistance/Grenada/HIPCAR-Grenada_Cybercrime_Report_Final_Draft_April2012.pdf "/>
    <n v="2012"/>
    <s v="-"/>
    <s v="Both"/>
    <s v="-"/>
    <s v="-"/>
    <s v="-"/>
    <s v="-"/>
    <s v="-"/>
    <n v="1984"/>
    <s v="http://www.humanrightsinitiative.org/programs/ai/rti/international/laws_&amp;_papers.htm#12 "/>
    <s v="-"/>
    <s v="-"/>
    <s v="-"/>
    <s v="-"/>
    <s v="-"/>
    <s v="-"/>
    <s v="-"/>
    <m/>
    <m/>
    <m/>
    <m/>
    <m/>
    <s v="Blend"/>
    <s v=""/>
    <n v="1"/>
    <n v="14"/>
    <n v="56.000000000000007"/>
    <s v="B"/>
    <m/>
    <n v="4"/>
    <n v="0"/>
    <n v="0"/>
  </r>
  <r>
    <n v="68"/>
    <m/>
    <s v="Guatemala"/>
    <x v="5"/>
    <x v="3"/>
    <s v="GTM"/>
    <s v="GT"/>
    <s v="http://www.renap.gob.gt"/>
    <s v="Registro Nacional de Personas (RENAP), Min of Interior"/>
    <n v="2"/>
    <n v="1877"/>
    <n v="2"/>
    <s v="60 d"/>
    <s v="GTQ 10"/>
    <s v="http://www.renap.gob.gt"/>
    <s v="RENAP - Registron Nacional de las Personas / National Population Registry"/>
    <n v="2"/>
    <n v="2009"/>
    <s v="CUI (Código Único de Identificación) / DPI (Documento Personal de Identidad)"/>
    <x v="1"/>
    <n v="2"/>
    <n v="18"/>
    <s v="Q 85"/>
    <n v="1"/>
    <n v="1"/>
    <s v="http://en.wikipedia.org/wiki/C%C3%A9dula_de_identidad"/>
    <n v="1"/>
    <n v="1"/>
    <m/>
    <s v="http://www.renap.gob.gt"/>
    <n v="2009"/>
    <n v="2"/>
    <s v="4B"/>
    <s v="C, F, R, S"/>
    <n v="0"/>
    <n v="0"/>
    <s v="-"/>
    <n v="2"/>
    <s v="https://www.datacard.com/knowledge-center/case-studies"/>
    <s v="-"/>
    <n v="1"/>
    <n v="1"/>
    <s v="http://www.migracion.gob.gt/index.php/root1/tramites/documentos-internacionales/pasaportes-ordinarios.html"/>
    <s v="Ministry of Interior"/>
    <n v="1"/>
    <n v="3"/>
    <n v="2005"/>
    <n v="5"/>
    <s v="-"/>
    <n v="0"/>
    <s v="https://minegocio.gt/"/>
    <n v="2013"/>
    <n v="1"/>
    <n v="1"/>
    <s v="http://www.doingbusiness.org/data/exploreeconomies/guatemala/starting-a-business/ "/>
    <n v="1992"/>
    <n v="0"/>
    <s v="-"/>
    <n v="0"/>
    <s v="-"/>
    <n v="0"/>
    <n v="1"/>
    <n v="16342.897000000001"/>
    <n v="51.090262638258075"/>
    <n v="7993.268"/>
    <n v="8349.6290000000008"/>
    <n v="2089.433"/>
    <n v="49.028899227685216"/>
    <n v="1065.0070000000001"/>
    <n v="1024.4259999999999"/>
    <n v="1972.2619999999999"/>
    <n v="49.083387501254904"/>
    <n v="1004.2089999999999"/>
    <n v="968.053"/>
    <n v="1923.5350000000001"/>
    <n v="49.199312723709212"/>
    <n v="977.16899999999998"/>
    <n v="946.36599999999999"/>
    <n v="10357.666999999999"/>
    <n v="52.239408739439121"/>
    <n v="4946.8830000000007"/>
    <n v="5410.7840000000015"/>
    <n v="2015"/>
    <s v="http://esa.un.org/unpd/wpp/Download/Standard/Population/"/>
    <n v="96.7"/>
    <n v="96.7"/>
    <n v="96.7"/>
    <n v="96.2"/>
    <n v="96.9"/>
    <s v="2008-2009"/>
    <s v="ENSMI"/>
    <n v="11453.173000000001"/>
    <n v="70.08043310803464"/>
    <n v="5470.1031428949191"/>
    <n v="5983.0698571050816"/>
    <n v="2015"/>
    <s v="https://www.renap.gob.gt/sites/default/files/ESTADISTICAS%20PROCESO%20DPI%20AL%202015-12-31.pdf"/>
    <n v="18"/>
    <n v="18"/>
    <s v="GT2015"/>
    <n v="7556.8729999999996"/>
    <n v="8586.2379999999994"/>
    <n v="14918.999"/>
    <n v="2"/>
    <n v="5"/>
    <s v="CD"/>
    <x v="1"/>
    <n v="4889.7240000000002"/>
    <n v="29.91956689196536"/>
    <n v="48.398624194226898"/>
    <n v="2523.164857105081"/>
    <n v="2366.5591428949192"/>
    <n v="31.566123606828654"/>
    <n v="28.343284987811064"/>
    <n v="4692.2114100000008"/>
    <n v="48.369032415249144"/>
    <n v="2422.6341521050813"/>
    <n v="2269.5772578949191"/>
    <n v="128.56130099999967"/>
    <n v="49.14062514037564"/>
    <n v="65.385473999999832"/>
    <n v="63.175826999999842"/>
    <n v="68.951288999999832"/>
    <n v="49.028899227685208"/>
    <n v="35.145230999999917"/>
    <n v="33.806057999999915"/>
    <n v="3.2999999999999918"/>
    <n v="3.2999999999999918"/>
    <n v="15468.203"/>
    <n v="51.228536372324577"/>
    <n v="6253.5900000000047"/>
    <n v="49.203868871849444"/>
    <n v="2250.4299999999998"/>
    <n v="49.009515339841542"/>
    <n v="99.580959070120514"/>
    <n v="9176"/>
    <n v="38.612999999996205"/>
    <n v="51.228536372324577"/>
    <n v="206.36846999999963"/>
    <n v="49.203868871849444"/>
    <n v="74.417366794806767"/>
    <n v="49.009515339841542"/>
    <n v="7841.018"/>
    <n v="50.691200000000002"/>
    <n v="13.146979129495687"/>
    <n v="7627.1850000000004"/>
    <n v="49.308799999999998"/>
    <n v="26.320903452584403"/>
    <n v="14.578756957448489"/>
    <n v="13.483128848705356"/>
    <n v="12.366792302091827"/>
    <n v="40.428678108245698"/>
    <n v="55.016545878018299"/>
    <n v="4.55477601373605"/>
    <n v="96.7"/>
    <n v="96.7"/>
    <n v="96.7"/>
    <n v="96.2"/>
    <n v="96.9"/>
    <n v="2009"/>
    <n v="13.53"/>
    <n v="2006"/>
    <n v="1992.23766"/>
    <n v="53.7"/>
    <n v="2011"/>
    <n v="7924.6786920000004"/>
    <n v="54"/>
    <n v="2011"/>
    <n v="78.264854431152301"/>
    <s v="spa"/>
    <n v="3"/>
    <n v="3"/>
    <s v="-"/>
    <s v="-"/>
    <s v="-"/>
    <s v="-"/>
    <s v="PAHO RC commitment "/>
    <n v="0.97"/>
    <n v="0.88"/>
    <n v="1"/>
    <s v="-"/>
    <s v="-"/>
    <s v="-"/>
    <s v="-"/>
    <s v="P066175 (C)"/>
    <s v="-"/>
    <n v="11237196"/>
    <n v="2002"/>
    <n v="49"/>
    <n v="51"/>
    <n v="56"/>
    <s v="41 %"/>
    <n v="56"/>
    <s v="esp"/>
    <s v="&lt; 10 %"/>
    <s v="?"/>
    <n v="3"/>
    <s v="60 d"/>
    <s v="GTQ 10"/>
    <s v="DPI (Documento Personal de Identidad)"/>
    <s v="-"/>
    <s v="CUI (Código Único de Identificación)"/>
    <s v="http://idbdocs.iadb.org/wsdocs/getdocument.aspx?docnum=1963765"/>
    <n v="1"/>
    <s v="Civil Registry, National ID"/>
    <m/>
    <m/>
    <m/>
    <m/>
    <m/>
    <m/>
    <m/>
    <m/>
    <m/>
    <m/>
    <m/>
    <m/>
    <n v="1"/>
    <s v="civil"/>
    <s v="PF"/>
    <n v="3"/>
    <n v="4"/>
    <s v="-"/>
    <s v="-"/>
    <s v="-"/>
    <s v="-"/>
    <s v="-"/>
    <s v="PF"/>
    <n v="60"/>
    <n v="17"/>
    <n v="25"/>
    <n v="18"/>
    <n v="8"/>
    <n v="-0.40357473492622375"/>
    <n v="-0.69491678476333618"/>
    <n v="-0.71231389045715332"/>
    <n v="-0.2120913565158844"/>
    <n v="-1.1117172241210937"/>
    <n v="-0.5769960880279541"/>
    <n v="133"/>
    <n v="0.31602999999999998"/>
    <n v="0.19606999999999999"/>
    <n v="0.14960000000000001"/>
    <n v="0.27124999999999999"/>
    <n v="0.5272"/>
    <n v="118"/>
    <n v="3.2"/>
    <n v="4.3499999999999996"/>
    <n v="0.96"/>
    <n v="5.37"/>
    <s v="-"/>
    <s v="-"/>
    <s v="-"/>
    <s v="-"/>
    <s v="-"/>
    <s v="-"/>
    <s v="-"/>
    <s v="-"/>
    <n v="35"/>
    <n v="94"/>
    <n v="2008"/>
    <s v="http://www.rti-rating.org/files/pdf/Guatemala.pdf"/>
    <n v="6"/>
    <n v="29"/>
    <n v="16"/>
    <n v="21"/>
    <n v="5"/>
    <n v="3"/>
    <n v="14"/>
    <m/>
    <m/>
    <m/>
    <m/>
    <m/>
    <s v="IBRD"/>
    <s v=""/>
    <n v="0"/>
    <n v="15"/>
    <n v="60"/>
    <s v="B"/>
    <m/>
    <n v="5"/>
    <n v="0"/>
    <n v="0"/>
  </r>
  <r>
    <n v="69"/>
    <m/>
    <s v="Guinea"/>
    <x v="4"/>
    <x v="0"/>
    <s v="GIN"/>
    <s v="GN"/>
    <s v="http://www.refworld.org/docid/45f14739b.html"/>
    <s v="Municipality (périmètre communal) "/>
    <n v="5"/>
    <n v="1983"/>
    <n v="2"/>
    <s v="15 / 30 d"/>
    <s v="free"/>
    <s v="http://www.presidence.gov.gn/"/>
    <s v="Police, Ministry of Interior"/>
    <n v="2"/>
    <n v="2014"/>
    <s v="Carte Nationale D'identite"/>
    <x v="1"/>
    <n v="2"/>
    <n v="16"/>
    <s v="various"/>
    <n v="0"/>
    <n v="0"/>
    <m/>
    <m/>
    <m/>
    <m/>
    <s v="http://www.lexpressguinee.com/fichiers/blog16-999.php?pseudo=rub2&amp;code=calb4317&amp;langue=fr"/>
    <n v="2014"/>
    <n v="1"/>
    <s v="4B"/>
    <s v="C"/>
    <n v="0"/>
    <n v="0"/>
    <s v="-"/>
    <n v="15"/>
    <s v="http://www.trueb.ch/fr/communiques-aux-medias/la-guinee-introduit-nouvelle-carte-didentite-en-polycarbonate"/>
    <s v="-"/>
    <n v="0"/>
    <n v="0"/>
    <s v="http://www.presidence.gov.gn/"/>
    <s v="Ministry of Security"/>
    <n v="2"/>
    <n v="2"/>
    <n v="2014"/>
    <n v="5"/>
    <s v="-"/>
    <n v="0"/>
    <s v="http://apiguinee.gov.gn/ "/>
    <n v="2012"/>
    <n v="1"/>
    <n v="1"/>
    <s v="http://www.doingbusiness.org/data/exploreeconomies/guinea/starting-a-business/ "/>
    <n v="2010"/>
    <n v="0"/>
    <s v="-"/>
    <n v="0"/>
    <s v="-"/>
    <n v="0"/>
    <n v="1"/>
    <n v="12608.59"/>
    <n v="49.85770018693605"/>
    <n v="6322.2370000000001"/>
    <n v="6286.3530000000001"/>
    <n v="2045.6420000000001"/>
    <n v="49.560773585994028"/>
    <n v="1031.806"/>
    <n v="1013.836"/>
    <n v="1767.7149999999999"/>
    <n v="49.72967927522253"/>
    <n v="888.63599999999997"/>
    <n v="879.07899999999995"/>
    <n v="1549.328"/>
    <n v="49.481000795183469"/>
    <n v="782.70500000000004"/>
    <n v="766.62300000000005"/>
    <n v="7245.9050000000007"/>
    <n v="50.053305970751751"/>
    <n v="3619.09"/>
    <n v="3626.8150000000001"/>
    <n v="2015"/>
    <s v="http://esa.un.org/unpd/wpp/Download/Standard/Population/"/>
    <n v="57.9"/>
    <n v="58.4"/>
    <n v="57.4"/>
    <n v="82.6"/>
    <n v="48.8"/>
    <n v="2012"/>
    <s v="DHS"/>
    <n v="6042.634"/>
    <n v="47.924740196960954"/>
    <n v="3029.9156568861385"/>
    <n v="3012.718343113861"/>
    <n v="2015"/>
    <s v="http://www.electionguide.org/countries/id/91/"/>
    <n v="16"/>
    <n v="18"/>
    <s v="GN2015"/>
    <n v="6042.634"/>
    <n v="6072.5709999999999"/>
    <n v="11780.162"/>
    <n v="1"/>
    <n v="5"/>
    <s v="LH"/>
    <x v="0"/>
    <n v="3460.961385000001"/>
    <n v="27.449234093582241"/>
    <n v="50.479033151250796"/>
    <n v="1713.6834951138617"/>
    <n v="1747.0598448861392"/>
    <n v="27.105650976289908"/>
    <n v="27.791309919855582"/>
    <n v="1203.2710000000006"/>
    <n v="51.035606848842754"/>
    <n v="589.1743431138616"/>
    <n v="614.09665688613904"/>
    <n v="1396.4751030000002"/>
    <n v="50.202760542878075"/>
    <n v="695.27785600000004"/>
    <n v="701.06905200000006"/>
    <n v="861.21528200000012"/>
    <n v="50.149381348297993"/>
    <n v="429.23129600000004"/>
    <n v="431.89413600000006"/>
    <n v="41.6"/>
    <n v="42.6"/>
    <n v="11745.189"/>
    <n v="49.915322775989388"/>
    <n v="4969.7820000000038"/>
    <n v="49.511993897744773"/>
    <n v="1886.2090000000001"/>
    <n v="49.655429952375428"/>
    <n v="45.4"/>
    <n v="3076.0347779999988"/>
    <n v="3699.3722219999977"/>
    <n v="49.915322775989388"/>
    <n v="2092.2782220000017"/>
    <n v="49.511993897744773"/>
    <n v="792.68020456322517"/>
    <n v="49.655429952375428"/>
    <n v="4279.0069999999996"/>
    <n v="36.432000000000002"/>
    <n v="49.915322775989388"/>
    <n v="7466.1819999999998"/>
    <n v="63.567999999999998"/>
    <n v="49.915322775989388"/>
    <n v="16.030826257397251"/>
    <n v="13.948697322123069"/>
    <n v="12.333818504630049"/>
    <n v="42.313342084150399"/>
    <n v="54.5759714892625"/>
    <n v="3.1106864265870899"/>
    <n v="57.9"/>
    <n v="57.4"/>
    <n v="58.4"/>
    <n v="82.6"/>
    <n v="48.8"/>
    <n v="2012"/>
    <n v="43.34"/>
    <n v="2007"/>
    <n v="4426.042864"/>
    <n v="55.2"/>
    <n v="2012"/>
    <n v="5642.438016000001"/>
    <n v="47"/>
    <n v="2006"/>
    <n v="25.307744979858398"/>
    <s v="fre"/>
    <n v="1"/>
    <n v="3"/>
    <s v="-"/>
    <s v="-"/>
    <s v="-"/>
    <s v="-"/>
    <s v="CR Minister"/>
    <n v="0.43"/>
    <s v="-"/>
    <n v="2"/>
    <s v="-"/>
    <s v="P123900 (A)"/>
    <s v="-"/>
    <s v="-"/>
    <s v="P125890 (A)"/>
    <s v="-"/>
    <m/>
    <m/>
    <m/>
    <m/>
    <m/>
    <m/>
    <m/>
    <m/>
    <m/>
    <m/>
    <m/>
    <m/>
    <m/>
    <m/>
    <m/>
    <m/>
    <m/>
    <m/>
    <m/>
    <n v="1"/>
    <s v="Voter Registration"/>
    <m/>
    <m/>
    <m/>
    <m/>
    <m/>
    <m/>
    <m/>
    <m/>
    <m/>
    <m/>
    <n v="1"/>
    <s v="civil"/>
    <s v="PF"/>
    <n v="5"/>
    <n v="5"/>
    <s v="-"/>
    <s v="-"/>
    <s v="-"/>
    <s v="-"/>
    <s v="-"/>
    <s v="NF"/>
    <n v="64"/>
    <n v="19"/>
    <n v="28"/>
    <n v="17"/>
    <n v="4"/>
    <n v="-1.0647956132888794"/>
    <n v="-1.2257566452026367"/>
    <n v="-1.3200429677963257"/>
    <n v="-1.0078763961791992"/>
    <n v="-1.4214503765106201"/>
    <n v="-1.0600458383560181"/>
    <n v="190"/>
    <n v="9.5430000000000001E-2"/>
    <n v="1.9599999999999999E-2"/>
    <n v="0"/>
    <n v="5.0439999999999999E-2"/>
    <n v="0.2359"/>
    <n v="161"/>
    <n v="1.42"/>
    <n v="2.2799999999999998"/>
    <n v="0.05"/>
    <n v="2.44"/>
    <s v="-"/>
    <s v="-"/>
    <s v="-"/>
    <s v="-"/>
    <s v="-"/>
    <s v="-"/>
    <s v="-"/>
    <s v="-"/>
    <n v="85"/>
    <n v="64"/>
    <n v="2010"/>
    <s v="http://www.rti-rating.org/files/pdf/Guinea.pdf"/>
    <n v="2"/>
    <n v="27"/>
    <n v="14"/>
    <n v="9"/>
    <n v="4"/>
    <n v="2"/>
    <n v="6"/>
    <m/>
    <m/>
    <m/>
    <s v="prev"/>
    <m/>
    <s v="IDA"/>
    <s v="HIPC"/>
    <n v="0"/>
    <n v="15"/>
    <n v="60"/>
    <s v="B"/>
    <n v="1"/>
    <n v="5"/>
    <n v="0"/>
    <n v="0"/>
  </r>
  <r>
    <n v="70"/>
    <m/>
    <s v="Guinea-Bissau"/>
    <x v="4"/>
    <x v="0"/>
    <s v="GNB"/>
    <s v="GW"/>
    <s v="http://novasdaguinebissau.blogspot.com/2013/08/registo-civil-gratis-faz-disparar.html"/>
    <s v="Min of Justice"/>
    <n v="1"/>
    <n v="1976"/>
    <n v="1"/>
    <s v="8 y"/>
    <s v="free"/>
    <s v="http://www.governo.bissau.net/"/>
    <s v="Min of Justice, National ID Services"/>
    <n v="1"/>
    <n v="2013"/>
    <s v="National ID Card"/>
    <x v="1"/>
    <n v="2"/>
    <n v="18"/>
    <s v="free"/>
    <n v="0"/>
    <n v="0"/>
    <m/>
    <m/>
    <m/>
    <m/>
    <s v="http://www.gbissau.com/?p=5574"/>
    <n v="2015"/>
    <n v="2"/>
    <s v="3B"/>
    <s v="C, F, H, S"/>
    <n v="0"/>
    <n v="0"/>
    <s v="-"/>
    <n v="18"/>
    <s v="https://www.datacard.com/case-study/guinea-bissau"/>
    <s v="-"/>
    <n v="0"/>
    <n v="0"/>
    <s v="http://www.guinebissaurepublic.com/"/>
    <s v="Ministry of Foreign Affairs"/>
    <n v="1"/>
    <n v="3"/>
    <n v="2009"/>
    <n v="5"/>
    <s v="-"/>
    <n v="0"/>
    <s v="https://www.wbginvestmentclimate.org/publications/upload/Guinea-Bissau.pdf "/>
    <n v="2011"/>
    <n v="1"/>
    <n v="1"/>
    <s v="http://www.doingbusiness.org/data/exploreeconomies/guinea-bissau/starting-a-business "/>
    <n v="1974"/>
    <n v="0"/>
    <s v="-"/>
    <n v="0"/>
    <s v="-"/>
    <n v="0"/>
    <n v="0"/>
    <n v="1844.325"/>
    <n v="50.361243273284259"/>
    <n v="915.5"/>
    <n v="928.82500000000005"/>
    <n v="288.79500000000002"/>
    <n v="49.882096296681027"/>
    <n v="144.738"/>
    <n v="144.05699999999999"/>
    <n v="246.715"/>
    <n v="50.098291550979866"/>
    <n v="123.11499999999999"/>
    <n v="123.6"/>
    <n v="216.84399999999999"/>
    <n v="50.060412093486562"/>
    <n v="108.291"/>
    <n v="108.553"/>
    <n v="1091.971"/>
    <n v="50.607113192566466"/>
    <n v="539.35599999999999"/>
    <n v="552.61500000000001"/>
    <n v="2015"/>
    <s v="http://esa.un.org/unpd/wpp/Download/Standard/Population/"/>
    <n v="24.1"/>
    <n v="24.6"/>
    <n v="23.7"/>
    <n v="29.9"/>
    <n v="21.1"/>
    <n v="2010"/>
    <s v="MICS/RHS"/>
    <n v="775.50800000000004"/>
    <n v="42.048337467637218"/>
    <n v="384.9525295162187"/>
    <n v="390.55547048378133"/>
    <n v="2014"/>
    <s v="http://www.electionguide.org/countries/id/92/"/>
    <n v="18"/>
    <n v="18"/>
    <s v="GW2014"/>
    <n v="775.50800000000004"/>
    <n v="868.71299999999997"/>
    <n v="1693.3979999999999"/>
    <n v="1"/>
    <n v="4"/>
    <s v="LH"/>
    <x v="0"/>
    <n v="887.499686"/>
    <n v="48.120569097095142"/>
    <n v="50.60370911682989"/>
    <n v="438.01604648378128"/>
    <n v="449.10775951621866"/>
    <n v="47.84446165852335"/>
    <n v="48.352247141950166"/>
    <n v="316.46299999999997"/>
    <n v="51.209629408878357"/>
    <n v="154.40347048378129"/>
    <n v="162.05952951621867"/>
    <n v="351.84128099999998"/>
    <n v="50.344501502653415"/>
    <n v="174.48012399999999"/>
    <n v="177.13273900000002"/>
    <n v="219.19540500000002"/>
    <n v="50.144979544621371"/>
    <n v="109.132452"/>
    <n v="109.91549099999999"/>
    <n v="75.400000000000006"/>
    <n v="76.3"/>
    <n v="1704.2550000000001"/>
    <n v="50.289305297622711"/>
    <n v="706.5400000000003"/>
    <n v="49.89223380123714"/>
    <n v="269.738"/>
    <n v="49.849808417732618"/>
    <n v="77.677493071668778"/>
    <n v="775"/>
    <n v="222.7149999999998"/>
    <n v="50.289305297622711"/>
    <n v="430.98940000000016"/>
    <n v="49.89223380123714"/>
    <n v="164.31865442591456"/>
    <n v="49.849808417732618"/>
    <n v="771.21299999999997"/>
    <n v="45.252200000000002"/>
    <n v="50.289305297622711"/>
    <n v="933.04200000000003"/>
    <n v="54.747799999999998"/>
    <n v="50.289305297622711"/>
    <n v="15.806017486888486"/>
    <n v="13.610161887446884"/>
    <n v="12.041231635167318"/>
    <n v="41.4574110095027"/>
    <n v="55.662855617263801"/>
    <n v="2.8797333732334698"/>
    <n v="39"/>
    <n v="23.7"/>
    <n v="24.6"/>
    <n v="29.9"/>
    <n v="21.1"/>
    <n v="2012"/>
    <n v="48.9"/>
    <n v="2002"/>
    <n v="756.5128289999999"/>
    <n v="69.3"/>
    <n v="2010"/>
    <n v="1072.1132729999999"/>
    <s v="-"/>
    <s v="-"/>
    <n v="56.735130310058601"/>
    <s v="por"/>
    <n v="1"/>
    <n v="3"/>
    <s v="Yes"/>
    <s v="-"/>
    <s v="-"/>
    <s v="-"/>
    <s v="CR Minister"/>
    <n v="0.24"/>
    <s v="-"/>
    <s v="-"/>
    <m/>
    <m/>
    <m/>
    <m/>
    <m/>
    <m/>
    <m/>
    <m/>
    <m/>
    <m/>
    <m/>
    <m/>
    <m/>
    <m/>
    <m/>
    <m/>
    <m/>
    <m/>
    <m/>
    <m/>
    <m/>
    <m/>
    <m/>
    <m/>
    <m/>
    <m/>
    <m/>
    <m/>
    <m/>
    <n v="1"/>
    <s v="Biometric census of civil  servants"/>
    <m/>
    <m/>
    <m/>
    <m/>
    <m/>
    <m/>
    <n v="1"/>
    <s v="civil"/>
    <s v="NF"/>
    <n v="6"/>
    <n v="5"/>
    <s v="-"/>
    <s v="-"/>
    <s v="-"/>
    <s v="-"/>
    <s v="-"/>
    <s v="NF"/>
    <n v="67"/>
    <n v="19"/>
    <n v="29"/>
    <n v="19"/>
    <n v="6"/>
    <n v="-1.4141944646835327"/>
    <n v="-0.93212801218032837"/>
    <n v="-1.4385969638824463"/>
    <n v="-1.3012367486953735"/>
    <n v="-1.6227242946624756"/>
    <n v="-1.3298572301864624"/>
    <n v="182"/>
    <n v="0.16084999999999999"/>
    <n v="1.9599999999999999E-2"/>
    <n v="7.8700000000000003E-3"/>
    <n v="8.7760000000000005E-2"/>
    <n v="0.38690000000000002"/>
    <n v="154"/>
    <n v="1.67"/>
    <n v="2.5"/>
    <n v="0.1"/>
    <n v="3.12"/>
    <s v="-"/>
    <s v="-"/>
    <s v="-"/>
    <s v="-"/>
    <s v="-"/>
    <s v="-"/>
    <s v="-"/>
    <s v="-"/>
    <s v="-"/>
    <s v="-"/>
    <s v="-"/>
    <s v="-"/>
    <s v="-"/>
    <s v="-"/>
    <s v="-"/>
    <s v="-"/>
    <s v="-"/>
    <s v="-"/>
    <s v="-"/>
    <m/>
    <m/>
    <m/>
    <n v="1"/>
    <m/>
    <s v="IDA"/>
    <s v="HIPC"/>
    <n v="0"/>
    <n v="12"/>
    <n v="48"/>
    <s v="C"/>
    <n v="1"/>
    <n v="4"/>
    <n v="0"/>
    <n v="0"/>
  </r>
  <r>
    <n v="71"/>
    <m/>
    <s v="Guyana"/>
    <x v="5"/>
    <x v="3"/>
    <s v="GUY"/>
    <s v="GY"/>
    <s v="http://opnew.op.gov.gy"/>
    <s v="Oficina de Registro General, Ministerio del Interior"/>
    <n v="2"/>
    <n v="1801"/>
    <n v="2"/>
    <s v="14 d"/>
    <s v="free"/>
    <s v="http://www.gecom.org.gy/nat_registration.html"/>
    <s v="GECOM / Guyana Elections Commission"/>
    <n v="4"/>
    <n v="2009"/>
    <s v="National ID Card"/>
    <x v="1"/>
    <n v="2"/>
    <n v="14"/>
    <s v="free"/>
    <n v="1"/>
    <n v="1"/>
    <m/>
    <n v="1"/>
    <m/>
    <m/>
    <s v="-"/>
    <s v="-"/>
    <n v="0"/>
    <n v="1"/>
    <s v="-"/>
    <s v="-"/>
    <s v="-"/>
    <s v="-"/>
    <n v="0"/>
    <s v="-"/>
    <s v="-"/>
    <n v="0"/>
    <n v="0"/>
    <s v="http://www.moha.gov.gy/"/>
    <s v="Ministry of Home Affairs"/>
    <n v="1"/>
    <n v="2"/>
    <n v="2009"/>
    <n v="5"/>
    <s v="-"/>
    <n v="0"/>
    <s v="http://legalaffairs.gov.gy/deeds-registry/registry-overview "/>
    <n v="1989"/>
    <n v="0"/>
    <n v="1"/>
    <s v="http://www.doingbusiness.org/data/exploreeconomies/guyana/starting-a-business "/>
    <n v="2008"/>
    <n v="0"/>
    <s v="-"/>
    <n v="0"/>
    <s v="-"/>
    <n v="0"/>
    <n v="1"/>
    <n v="767.08500000000004"/>
    <n v="49.744943519948897"/>
    <n v="385.49900000000002"/>
    <n v="381.58600000000001"/>
    <n v="67.137"/>
    <n v="48.742124312971981"/>
    <n v="34.412999999999997"/>
    <n v="32.723999999999997"/>
    <n v="64.159000000000006"/>
    <n v="49.208996399569813"/>
    <n v="32.587000000000003"/>
    <n v="31.571999999999999"/>
    <n v="89.677999999999997"/>
    <n v="50.07694194785789"/>
    <n v="44.77"/>
    <n v="44.908000000000001"/>
    <n v="546.1110000000001"/>
    <n v="49.876673423534768"/>
    <n v="273.72900000000004"/>
    <n v="272.38200000000001"/>
    <n v="2015"/>
    <s v="http://esa.un.org/unpd/wpp/Download/Standard/Population/"/>
    <n v="87.9"/>
    <n v="88.2"/>
    <n v="87.6"/>
    <n v="91.1"/>
    <n v="87"/>
    <n v="2009"/>
    <s v="DHS"/>
    <n v="477.59399999999999"/>
    <n v="62.260896771544218"/>
    <n v="240.01513444533529"/>
    <n v="237.57886555466473"/>
    <n v="2015"/>
    <s v="http://www.electionguide.org/countries/id/93/"/>
    <n v="14"/>
    <n v="18"/>
    <s v="GY2015"/>
    <n v="570.70799999999997"/>
    <n v="477.59399999999999"/>
    <n v="735.22199999999998"/>
    <n v="1"/>
    <n v="4"/>
    <s v="CD"/>
    <x v="1"/>
    <n v="95.254854000000108"/>
    <n v="12.417770390504325"/>
    <n v="50.752721163517023"/>
    <n v="46.902725554664748"/>
    <n v="48.344430445335291"/>
    <n v="12.166756737284597"/>
    <n v="12.669340710963004"/>
    <n v="68.51700000000011"/>
    <n v="50.794889509662156"/>
    <n v="33.71386555466475"/>
    <n v="34.803134445335274"/>
    <n v="18.614277000000001"/>
    <n v="50.947560305458047"/>
    <n v="9.128126"/>
    <n v="9.4835200000000093"/>
    <n v="8.1235769999999992"/>
    <n v="49.950606733954807"/>
    <n v="4.0607339999999992"/>
    <n v="4.0577760000000032"/>
    <n v="11.799999999999999"/>
    <n v="12.400000000000011"/>
    <n v="799.61300000000006"/>
    <n v="49.189920624101909"/>
    <n v="288.51299999999969"/>
    <n v="47.078282094816132"/>
    <n v="84.102000000000004"/>
    <n v="48.417654989320617"/>
    <n v="92.936802973977635"/>
    <n v="475"/>
    <n v="36.100000000000314"/>
    <n v="49.189920624101909"/>
    <n v="34.910072999999961"/>
    <n v="47.078282094816132"/>
    <n v="10.324904979661179"/>
    <n v="48.417654989320617"/>
    <n v="228.51300000000001"/>
    <n v="28.577999999999999"/>
    <n v="50.515287970487456"/>
    <n v="571.1"/>
    <n v="71.421999999999997"/>
    <n v="48.071441078620211"/>
    <n v="10.671386435730824"/>
    <n v="12.873573297345473"/>
    <n v="12.536619730989448"/>
    <n v="36.081579464065697"/>
    <n v="60.491137587808097"/>
    <n v="3.4272829481261602"/>
    <n v="87.9"/>
    <n v="87.6"/>
    <n v="88.2"/>
    <n v="91.1"/>
    <n v="87"/>
    <n v="2009"/>
    <n v="8.6999999999999993"/>
    <n v="1998"/>
    <n v="65.775479999999988"/>
    <s v="-"/>
    <s v="-"/>
    <m/>
    <n v="35"/>
    <n v="2006"/>
    <n v="84.994010925292997"/>
    <s v="eng"/>
    <n v="3"/>
    <s v="-"/>
    <s v="-"/>
    <s v="-"/>
    <s v="-"/>
    <s v="-"/>
    <s v="-"/>
    <s v="-"/>
    <s v="-"/>
    <s v="-"/>
    <m/>
    <m/>
    <m/>
    <m/>
    <m/>
    <m/>
    <n v="761400"/>
    <n v="2010"/>
    <n v="29"/>
    <n v="71"/>
    <s v="?"/>
    <s v="?"/>
    <s v="?"/>
    <s v="eng"/>
    <n v="7"/>
    <s v="?"/>
    <n v="4"/>
    <s v="14 d"/>
    <s v="-"/>
    <s v="-"/>
    <s v="-"/>
    <s v="-"/>
    <s v="-"/>
    <m/>
    <m/>
    <n v="1"/>
    <s v="Voter Registration"/>
    <m/>
    <m/>
    <m/>
    <m/>
    <m/>
    <m/>
    <m/>
    <m/>
    <m/>
    <m/>
    <n v="2"/>
    <s v="civil + common"/>
    <s v="F"/>
    <n v="2"/>
    <n v="3"/>
    <s v="-"/>
    <s v="-"/>
    <s v="-"/>
    <s v="-"/>
    <s v="-"/>
    <s v="PF"/>
    <n v="34"/>
    <n v="10"/>
    <n v="13"/>
    <n v="11"/>
    <n v="6"/>
    <n v="-8.7470840662717819E-3"/>
    <n v="-0.44166657328605652"/>
    <n v="-0.16344861686229706"/>
    <n v="-0.61500352621078491"/>
    <n v="-0.52498370409011841"/>
    <n v="-0.64495724439620972"/>
    <n v="124"/>
    <n v="0.36952000000000002"/>
    <n v="0.33333000000000002"/>
    <n v="0.24409"/>
    <n v="0.23436999999999999"/>
    <n v="0.63009999999999999"/>
    <n v="111"/>
    <n v="3.48"/>
    <n v="4.04"/>
    <n v="1.36"/>
    <n v="6.59"/>
    <s v="-"/>
    <s v="-"/>
    <s v="-"/>
    <s v="-"/>
    <s v="-"/>
    <s v="-"/>
    <s v="-"/>
    <s v="-"/>
    <n v="77"/>
    <n v="69"/>
    <n v="2013"/>
    <s v="http://www.rti-rating.org/files/pdf/Guyana.pdf"/>
    <n v="4"/>
    <n v="15"/>
    <n v="16"/>
    <n v="10"/>
    <n v="9"/>
    <n v="4"/>
    <n v="11"/>
    <m/>
    <m/>
    <m/>
    <m/>
    <m/>
    <s v="IDA"/>
    <s v="HIPC"/>
    <n v="0"/>
    <n v="9"/>
    <n v="36"/>
    <s v="C"/>
    <m/>
    <n v="4"/>
    <n v="0"/>
    <n v="1"/>
  </r>
  <r>
    <n v="72"/>
    <m/>
    <s v="Haiti"/>
    <x v="5"/>
    <x v="0"/>
    <s v="HTI"/>
    <s v="HT"/>
    <s v="http://www.refworld.org/docid/485ba863c.html"/>
    <s v="Oficina de Estado Civil (OEC), Min of Justice"/>
    <n v="1"/>
    <n v="1988"/>
    <n v="2"/>
    <s v="2 y"/>
    <s v="free"/>
    <s v="http://www.oni.gouv.ht"/>
    <s v="ONI / National Identification Office, Minister of Justice and Public Security"/>
    <n v="1"/>
    <n v="2005"/>
    <s v="CIN / National Identification Card"/>
    <x v="1"/>
    <n v="2"/>
    <n v="18"/>
    <s v="free"/>
    <n v="1"/>
    <n v="1"/>
    <m/>
    <m/>
    <m/>
    <m/>
    <s v="http://www.oni.gouv.ht/index.php?option=com_content&amp;view=article&amp;id=52&amp;Itemid=55"/>
    <n v="2010"/>
    <n v="2"/>
    <n v="2"/>
    <s v="C, F, H, R, S, V"/>
    <n v="0"/>
    <n v="0"/>
    <s v="-"/>
    <n v="9"/>
    <s v="http://www.haitilibre.com/en/news-1152-haiti-elections-the-national-identification-office-deploys-its-mobile-units.html"/>
    <s v="-"/>
    <n v="0"/>
    <n v="0"/>
    <s v="http://www.mict.gouv.ht/"/>
    <s v="Directorate of Immigration and Emigration "/>
    <n v="2"/>
    <n v="2"/>
    <n v="2015"/>
    <n v="5"/>
    <s v="-"/>
    <n v="0"/>
    <s v="http://registre.mci.gouv.ht/index.php "/>
    <n v="2014"/>
    <n v="1"/>
    <n v="1"/>
    <s v="http://www.refworld.org/docid/4804c0dd23.html "/>
    <n v="1987"/>
    <n v="0"/>
    <s v="-"/>
    <n v="0"/>
    <s v="-"/>
    <n v="0"/>
    <n v="0"/>
    <n v="10711.066999999999"/>
    <n v="50.542536985344235"/>
    <n v="5297.4219999999996"/>
    <n v="5413.6450000000004"/>
    <n v="1237.5429999999999"/>
    <n v="49.025043978269849"/>
    <n v="630.83699999999999"/>
    <n v="606.70600000000002"/>
    <n v="1212.462"/>
    <n v="49.132426418312491"/>
    <n v="616.75"/>
    <n v="595.71199999999999"/>
    <n v="1164.056"/>
    <n v="49.27039592596919"/>
    <n v="590.52099999999996"/>
    <n v="573.53499999999997"/>
    <n v="7097.0059999999994"/>
    <n v="51.256713042091285"/>
    <n v="3459.3139999999994"/>
    <n v="3637.6920000000009"/>
    <n v="2015"/>
    <s v="http://esa.un.org/unpd/wpp/Download/Standard/Population/"/>
    <n v="79.7"/>
    <n v="79.8"/>
    <n v="79.7"/>
    <n v="85"/>
    <n v="77.099999999999994"/>
    <n v="2012"/>
    <s v="DHS"/>
    <n v="5871.45"/>
    <n v="54.816667657853323"/>
    <n v="2903.8702121740062"/>
    <n v="2967.5797878259937"/>
    <n v="2015"/>
    <s v="http://www.electionguide.org/countries/id/94/"/>
    <n v="18"/>
    <n v="18"/>
    <s v="HT2015"/>
    <n v="5871.45"/>
    <n v="6053.2089999999998"/>
    <n v="10110.019"/>
    <n v="1"/>
    <n v="4"/>
    <s v="LH"/>
    <x v="0"/>
    <n v="1959.2103829999994"/>
    <n v="18.29145857270802"/>
    <n v="52.604390019405457"/>
    <n v="926.74160382599337"/>
    <n v="1030.6306711740071"/>
    <n v="17.494200081209186"/>
    <n v="19.037647854153846"/>
    <n v="1225.5559999999996"/>
    <n v="54.678220511670418"/>
    <n v="555.44378782599324"/>
    <n v="670.11221217400725"/>
    <n v="482.43315399999989"/>
    <n v="49.200006059285059"/>
    <n v="243.86874200000005"/>
    <n v="237.35714099999996"/>
    <n v="251.22122899999994"/>
    <n v="49.025043978269849"/>
    <n v="127.42907400000004"/>
    <n v="123.16131799999998"/>
    <n v="20.200000000000006"/>
    <n v="20.299999999999997"/>
    <n v="10317.460999999999"/>
    <n v="50.589810807135592"/>
    <n v="3606.6150000000025"/>
    <n v="49.098549768691143"/>
    <n v="1250.307"/>
    <n v="48.967942336268841"/>
    <n v="70.214694242722913"/>
    <n v="4712"/>
    <n v="1998.8459999999984"/>
    <n v="50.589810807135592"/>
    <n v="732.14284500000031"/>
    <n v="49.098549768691143"/>
    <n v="253.34481359321848"/>
    <n v="48.967942336268841"/>
    <n v="5773.424"/>
    <n v="55.957799999999999"/>
    <n v="46.070269566205432"/>
    <n v="4544.0370000000003"/>
    <n v="44.042200000000001"/>
    <n v="57.117140551452373"/>
    <n v="12.096038045100119"/>
    <n v="11.630458375879329"/>
    <n v="11.229923574211229"/>
    <n v="34.9564199951907"/>
    <n v="60.526635380545699"/>
    <n v="4.5169446242636599"/>
    <n v="79.7"/>
    <n v="79.7"/>
    <n v="79.8"/>
    <n v="85"/>
    <n v="77.099999999999994"/>
    <n v="2012"/>
    <n v="61.7"/>
    <n v="2001"/>
    <n v="6246.3765789999998"/>
    <n v="77"/>
    <n v="2001"/>
    <n v="7795.3159900000001"/>
    <n v="80"/>
    <n v="2003"/>
    <n v="48.685020446777301"/>
    <s v="fre"/>
    <n v="1"/>
    <n v="3"/>
    <s v="-"/>
    <s v="-"/>
    <s v="-"/>
    <s v="-"/>
    <s v="PAHO RC"/>
    <n v="0.81"/>
    <s v="-"/>
    <s v="-"/>
    <m/>
    <m/>
    <m/>
    <m/>
    <m/>
    <m/>
    <n v="10188200"/>
    <n v="2010"/>
    <n v="52"/>
    <n v="48"/>
    <s v="?"/>
    <s v="?"/>
    <s v="?"/>
    <s v="fre"/>
    <n v="19"/>
    <s v="?"/>
    <n v="1"/>
    <s v="-"/>
    <s v="-"/>
    <s v="-"/>
    <s v="-"/>
    <s v="-"/>
    <s v="http://portal.oas.org/Portal/Sector/Secretar%C3%ADaGeneral/SEDI/OESEDI/Proyectos/PUICA/Links/tabid/620/Default.aspx"/>
    <n v="1"/>
    <s v="Voter registration + ID cards"/>
    <n v="1"/>
    <s v="Voter registration + ID cards"/>
    <m/>
    <m/>
    <m/>
    <m/>
    <m/>
    <m/>
    <m/>
    <m/>
    <m/>
    <m/>
    <n v="1"/>
    <s v="civil"/>
    <s v="PF"/>
    <n v="4"/>
    <n v="5"/>
    <s v="-"/>
    <s v="-"/>
    <s v="-"/>
    <s v="-"/>
    <s v="-"/>
    <s v="PF"/>
    <n v="50"/>
    <n v="14"/>
    <n v="18"/>
    <n v="18"/>
    <n v="7"/>
    <n v="-0.78955459594726563"/>
    <n v="-0.66289222240447998"/>
    <n v="-1.5304287672042847"/>
    <n v="-0.94587862491607666"/>
    <n v="-1.2992122173309326"/>
    <n v="-1.1548581123352051"/>
    <n v="176"/>
    <n v="0.18085999999999999"/>
    <n v="0.17646999999999999"/>
    <n v="0.11022999999999999"/>
    <n v="9.5210000000000003E-2"/>
    <n v="0.3372"/>
    <s v="-"/>
    <s v="-"/>
    <s v="-"/>
    <s v="-"/>
    <s v="-"/>
    <s v="-"/>
    <s v="-"/>
    <s v="-"/>
    <s v="-"/>
    <s v="-"/>
    <s v="-"/>
    <s v="-"/>
    <s v="-"/>
    <s v="-"/>
    <s v="-"/>
    <s v="-"/>
    <s v="-"/>
    <s v="-"/>
    <s v="-"/>
    <s v="-"/>
    <s v="-"/>
    <s v="-"/>
    <s v="-"/>
    <s v="-"/>
    <m/>
    <m/>
    <m/>
    <n v="1"/>
    <m/>
    <s v="IDA"/>
    <s v="HIPC"/>
    <n v="0"/>
    <n v="13"/>
    <n v="52"/>
    <s v="B"/>
    <m/>
    <n v="4"/>
    <n v="0"/>
    <n v="0"/>
  </r>
  <r>
    <n v="73"/>
    <m/>
    <s v="Honduras"/>
    <x v="5"/>
    <x v="3"/>
    <s v="HND"/>
    <s v="HN"/>
    <s v="http://www.rnp.hn"/>
    <s v="Registro Nacional de las Personas (RNP) + Municipal Registry"/>
    <n v="6"/>
    <n v="1881"/>
    <n v="2"/>
    <s v="1 y"/>
    <s v="free"/>
    <s v="http://www.rnp.hn"/>
    <s v="Registro Nacional de las Personas"/>
    <n v="6"/>
    <n v="1983"/>
    <s v="NUN (Número Único de Nacimiento) / Tarjeta de Identidad"/>
    <x v="1"/>
    <n v="2"/>
    <n v="18"/>
    <s v="free"/>
    <n v="1"/>
    <n v="1"/>
    <m/>
    <n v="1"/>
    <n v="1"/>
    <m/>
    <s v="http://www.rnp.hn"/>
    <n v="2011"/>
    <n v="2"/>
    <n v="4"/>
    <s v="C, H, R, S, V"/>
    <n v="0"/>
    <n v="0"/>
    <s v="-"/>
    <n v="9"/>
    <s v="http://www.hondurasnews.com/honduras-planning-to-renovate-id-cards/"/>
    <s v="-"/>
    <n v="1"/>
    <n v="1"/>
    <s v="http://www.sre.gob.hn/"/>
    <s v="Ministry of Foreign Affairs"/>
    <n v="1"/>
    <n v="3"/>
    <n v="2006"/>
    <n v="5"/>
    <s v="-"/>
    <n v="0"/>
    <s v="http://190.5.103.114/clienteremoto/rm_busquedas.aspx "/>
    <n v="2007"/>
    <n v="1"/>
    <n v="1"/>
    <s v="http://www.dei.gob.hn/website/?cat=1443 "/>
    <n v="2003"/>
    <n v="0"/>
    <s v="-"/>
    <n v="0"/>
    <s v="-"/>
    <n v="0"/>
    <n v="1"/>
    <n v="8075.06"/>
    <n v="50.019417812375387"/>
    <n v="4035.962"/>
    <n v="4039.098"/>
    <n v="815.92899999999997"/>
    <n v="49.000219381833467"/>
    <n v="416.12200000000001"/>
    <n v="399.80700000000002"/>
    <n v="857.17100000000005"/>
    <n v="49.071655480645049"/>
    <n v="436.54300000000001"/>
    <n v="420.62799999999999"/>
    <n v="891.76499999999999"/>
    <n v="49.158242362057265"/>
    <n v="453.38900000000001"/>
    <n v="438.37599999999998"/>
    <n v="5510.1949999999997"/>
    <n v="50.457143531218051"/>
    <n v="2729.9079999999999"/>
    <n v="2780.2870000000003"/>
    <n v="2015"/>
    <s v="http://esa.un.org/unpd/wpp/Download/Standard/Population/"/>
    <n v="93.6"/>
    <n v="93.6"/>
    <n v="93.5"/>
    <n v="94.6"/>
    <n v="92.7"/>
    <s v="2011-2012"/>
    <s v="DHS"/>
    <n v="5355.1120000000001"/>
    <n v="66.316683715043595"/>
    <n v="2676.5161543993481"/>
    <n v="2678.595845600652"/>
    <n v="2013"/>
    <s v="http://www.electionguide.org/countries/id/97/"/>
    <n v="18"/>
    <n v="18"/>
    <s v="HN2013"/>
    <n v="5355.1120000000001"/>
    <n v="4735.0810000000001"/>
    <n v="8448.4650000000001"/>
    <n v="1"/>
    <n v="4"/>
    <s v="LH"/>
    <x v="1"/>
    <n v="319.23435999999975"/>
    <n v="3.9533373126639271"/>
    <n v="57.485625732564749"/>
    <n v="136.97930160065187"/>
    <n v="183.51386939934824"/>
    <n v="3.3939690611718318"/>
    <n v="4.5434369108981318"/>
    <n v="155.08299999999963"/>
    <n v="65.572083593526401"/>
    <n v="53.391845600651777"/>
    <n v="101.69115439934831"/>
    <n v="111.9319040000001"/>
    <n v="49.883239724037836"/>
    <n v="56.955648000000053"/>
    <n v="55.835259999999948"/>
    <n v="52.219456000000044"/>
    <n v="49.765847809674533"/>
    <n v="26.631808000000024"/>
    <n v="25.987454999999979"/>
    <n v="6.4000000000000057"/>
    <n v="6.4999999999999947"/>
    <n v="8097.6880000000001"/>
    <n v="49.971362196221932"/>
    <n v="2853.2680000000041"/>
    <n v="48.947336537284123"/>
    <n v="997.49800000000005"/>
    <n v="48.951195381856088"/>
    <n v="66.129986732015354"/>
    <n v="5355"/>
    <n v="1776.285749828839"/>
    <n v="49.971362196221932"/>
    <n v="182.60915200000042"/>
    <n v="48.947336537284123"/>
    <n v="63.754895424979907"/>
    <n v="48.951195381856088"/>
    <n v="4315.9870000000001"/>
    <n v="53.298999999999999"/>
    <n v="45.389177492888649"/>
    <n v="3781.701"/>
    <n v="46.701000000000001"/>
    <n v="49.194370469796525"/>
    <n v="12.301909397044072"/>
    <n v="11.641387370593138"/>
    <n v="11.292291464460643"/>
    <n v="35.235588232097903"/>
    <n v="60.319797453297802"/>
    <n v="4.4446143146043697"/>
    <n v="93.6"/>
    <n v="93.5"/>
    <n v="93.6"/>
    <n v="94.6"/>
    <n v="92.7"/>
    <n v="2012"/>
    <n v="17.920000000000002"/>
    <n v="2009"/>
    <n v="1388.0889729999999"/>
    <n v="66.2"/>
    <n v="2010"/>
    <n v="5133.6027940000004"/>
    <n v="60"/>
    <n v="2010"/>
    <n v="85.355552673339801"/>
    <s v="spa"/>
    <n v="2"/>
    <s v="-"/>
    <s v="-"/>
    <s v="-"/>
    <s v="-"/>
    <s v="-"/>
    <s v="-"/>
    <s v="-"/>
    <s v="-"/>
    <n v="1"/>
    <s v="-"/>
    <s v="-"/>
    <s v="-"/>
    <s v="-"/>
    <s v="P034607 (C)"/>
    <s v="-"/>
    <n v="8045990"/>
    <n v="2010"/>
    <n v="52"/>
    <n v="48"/>
    <n v="64.5"/>
    <s v="?"/>
    <n v="82.5"/>
    <s v="esp"/>
    <n v="10"/>
    <s v="?"/>
    <n v="3"/>
    <s v="1 y"/>
    <s v="Trámite de reposición por omisión sin costo"/>
    <s v="Tarjeta de Identidad"/>
    <s v="free"/>
    <s v="NUN (Número Único de Nacimiento)"/>
    <s v="http://idbdocs.iadb.org/wsdocs/getdocument.aspx?docnum=1959542"/>
    <n v="1"/>
    <s v="National ID"/>
    <m/>
    <m/>
    <m/>
    <m/>
    <m/>
    <m/>
    <m/>
    <m/>
    <m/>
    <m/>
    <m/>
    <m/>
    <n v="1"/>
    <s v="civil"/>
    <s v="PF"/>
    <n v="4"/>
    <n v="4"/>
    <s v="-"/>
    <s v="-"/>
    <s v="-"/>
    <s v="-"/>
    <s v="-"/>
    <s v="NF"/>
    <n v="64"/>
    <n v="18"/>
    <n v="31"/>
    <n v="15"/>
    <n v="7"/>
    <n v="-0.50730293989181519"/>
    <n v="-0.46607121825218201"/>
    <n v="-0.74367678165435791"/>
    <n v="-0.19942346215248108"/>
    <n v="-1.2284866571426392"/>
    <n v="-0.95028030872344971"/>
    <n v="114"/>
    <n v="0.40826000000000001"/>
    <n v="0.33333000000000002"/>
    <n v="0.40156999999999998"/>
    <n v="0.19514000000000001"/>
    <n v="0.62809999999999999"/>
    <n v="119"/>
    <n v="3.18"/>
    <n v="3.94"/>
    <n v="1.03"/>
    <n v="5.96"/>
    <s v="-"/>
    <s v="-"/>
    <s v="-"/>
    <s v="-"/>
    <s v="-"/>
    <s v="-"/>
    <s v="-"/>
    <s v="-"/>
    <n v="52"/>
    <n v="83"/>
    <n v="2006"/>
    <s v="http://www.rti-rating.org/files/pdf/Honduras.pdf"/>
    <n v="2"/>
    <n v="23"/>
    <n v="13"/>
    <n v="12"/>
    <n v="18"/>
    <n v="2"/>
    <n v="13"/>
    <m/>
    <m/>
    <m/>
    <m/>
    <m/>
    <s v="IDA"/>
    <s v="HIPC"/>
    <n v="0"/>
    <n v="15"/>
    <n v="60"/>
    <s v="B"/>
    <m/>
    <n v="4"/>
    <n v="0"/>
    <n v="0"/>
  </r>
  <r>
    <n v="74"/>
    <m/>
    <s v="Hong Kong SAR, China"/>
    <x v="6"/>
    <x v="2"/>
    <s v="HKG"/>
    <s v="HK"/>
    <s v="http://www.gov.hk/en/residents/immigration/bdmreg/birth/birthreg/"/>
    <s v="The Births and Deaths General Register Office + Hospitals"/>
    <n v="5"/>
    <n v="1949"/>
    <n v="2"/>
    <s v="42 d"/>
    <s v="free"/>
    <s v="http://www.immd.gov.hk/en/services/hkid.html"/>
    <s v="Registration of Persons Offices"/>
    <n v="5"/>
    <n v="1997"/>
    <s v="HKID (Hong Kong Identity Card) "/>
    <x v="1"/>
    <n v="2"/>
    <n v="11"/>
    <s v="free"/>
    <n v="1"/>
    <n v="1"/>
    <s v="http://en.wikipedia.org/wiki/Hong_Kong_Identity_Card"/>
    <n v="1"/>
    <n v="1"/>
    <m/>
    <s v="http://www.gov.hk/en/residents/immigration/idcard/hkic/smartid.htm"/>
    <n v="2007"/>
    <n v="2"/>
    <s v="4B"/>
    <s v="C, R, S"/>
    <n v="1"/>
    <n v="1"/>
    <s v="-"/>
    <s v="1, 5"/>
    <s v="http://www.gemalto.com/govt/customer-cases/hongkong"/>
    <s v="-"/>
    <n v="1"/>
    <n v="1"/>
    <s v="http://www.immd.gov.hk/"/>
    <s v="Immigration Department"/>
    <n v="2"/>
    <n v="2"/>
    <n v="2007"/>
    <n v="10"/>
    <n v="1500"/>
    <n v="0"/>
    <s v="http://www.cr.gov.hk/"/>
    <n v="2011"/>
    <n v="1"/>
    <n v="2"/>
    <s v="https://www.eregistry.gov.hk/icris-ext/apps/por01a/menu?filename=Pam24C_Mar%202014.pdf"/>
    <n v="1993"/>
    <n v="1"/>
    <s v="C"/>
    <n v="1"/>
    <s v="https://www.eregistry.gov.hk/icris-ext/apps/por01a/index?locale=zh_CN "/>
    <n v="3"/>
    <n v="0"/>
    <n v="7287.9830000000002"/>
    <n v="53.050919575416131"/>
    <n v="3421.6410000000001"/>
    <n v="3866.3420000000001"/>
    <n v="367.577"/>
    <n v="48.430941000116981"/>
    <n v="189.55600000000001"/>
    <n v="178.02099999999999"/>
    <n v="245.28299999999999"/>
    <n v="48.077526775194372"/>
    <n v="127.357"/>
    <n v="117.926"/>
    <n v="258.83199999999999"/>
    <n v="48.312032515299499"/>
    <n v="133.785"/>
    <n v="125.047"/>
    <n v="6416.2909999999993"/>
    <n v="53.696878773110512"/>
    <n v="2970.9430000000002"/>
    <n v="3445.348"/>
    <n v="2015"/>
    <s v="http://esa.un.org/unpd/wpp/Download/Standard/Population/"/>
    <n v="95"/>
    <n v="95"/>
    <n v="95"/>
    <m/>
    <m/>
    <n v="2015"/>
    <s v="http://www.gov.hk/en/about/abouthk/factsheets/docs/population.pdf"/>
    <n v="7071.576"/>
    <n v="97.030632480893544"/>
    <n v="3303.0149999999999"/>
    <n v="3768.5610000000001"/>
    <n v="2011"/>
    <s v="http://www.gov.hk/en/about/abouthk/factsheets/docs/population.pdf"/>
    <n v="11"/>
    <n v="18"/>
    <s v="HK2015"/>
    <n v="3693.942"/>
    <s v="-"/>
    <s v="-"/>
    <n v="20"/>
    <n v="5"/>
    <s v="CD"/>
    <x v="1"/>
    <n v="216.40700000000015"/>
    <n v="2.9693675191064544"/>
    <n v="45.183843406174432"/>
    <n v="118.6260000000002"/>
    <n v="97.780999999999963"/>
    <n v="3.4669329716355461"/>
    <n v="2.529031316939887"/>
    <n v="172.8224000000001"/>
    <n v="44.398932082878076"/>
    <n v="96.091100000000182"/>
    <n v="76.731299999999933"/>
    <n v="25.205750000000023"/>
    <n v="48.197931027642497"/>
    <n v="13.057100000000013"/>
    <n v="12.148650000000011"/>
    <n v="18.378850000000018"/>
    <n v="48.430941000116974"/>
    <n v="9.4778000000000091"/>
    <n v="8.9010500000000068"/>
    <n v="5.0000000000000044"/>
    <n v="5.0000000000000044"/>
    <n v="7187.5"/>
    <n v="53.226796521739125"/>
    <n v="842.54503434003459"/>
    <n v="48.13207686506901"/>
    <n v="309.89699999999999"/>
    <n v="48.317654734643469"/>
    <n v="97.113043478260877"/>
    <n v="6980"/>
    <n v="183.17609118253088"/>
    <n v="53.226796521739125"/>
    <n v="84.254503434003439"/>
    <n v="48.13207686506901"/>
    <n v="31.055315436581548"/>
    <n v="48.317654734643469"/>
    <n v="7187.5"/>
    <n v="100"/>
    <n v="53.226796521739125"/>
    <n v="0"/>
    <n v="0"/>
    <n v="53.226796521739125"/>
    <n v="4.3207395390026511"/>
    <n v="3.2985619372239707"/>
    <n v="4.1030637411646822"/>
    <n v="11.722365695165699"/>
    <n v="74.274983494904703"/>
    <n v="14.0026508099296"/>
    <n v="90"/>
    <n v="90"/>
    <n v="90"/>
    <n v="90"/>
    <n v="90"/>
    <n v="2011"/>
    <s v="-"/>
    <s v="-"/>
    <m/>
    <s v="-"/>
    <s v="-"/>
    <m/>
    <n v="19.600000000000001"/>
    <n v="2012"/>
    <s v="-"/>
    <s v="chi"/>
    <n v="0"/>
    <s v="-"/>
    <s v="-"/>
    <s v="-"/>
    <s v="-"/>
    <s v="-"/>
    <s v="-"/>
    <s v="-"/>
    <s v="-"/>
    <s v="-"/>
    <m/>
    <m/>
    <m/>
    <m/>
    <m/>
    <m/>
    <m/>
    <m/>
    <m/>
    <m/>
    <m/>
    <m/>
    <m/>
    <m/>
    <m/>
    <m/>
    <m/>
    <m/>
    <m/>
    <m/>
    <m/>
    <m/>
    <m/>
    <n v="2"/>
    <m/>
    <m/>
    <m/>
    <m/>
    <m/>
    <m/>
    <m/>
    <m/>
    <m/>
    <m/>
    <m/>
    <m/>
    <m/>
    <n v="2"/>
    <s v="common"/>
    <s v="PF"/>
    <n v="5"/>
    <n v="2"/>
    <s v="-"/>
    <s v="-"/>
    <s v="-"/>
    <s v="-"/>
    <s v="-"/>
    <s v="PF"/>
    <n v="37"/>
    <n v="12"/>
    <n v="16"/>
    <n v="9"/>
    <m/>
    <n v="0.70412832498550415"/>
    <n v="0.88330894708633423"/>
    <n v="1.7334518432617187"/>
    <n v="1.925817608833313"/>
    <n v="1.5434002876281738"/>
    <n v="1.631432056427002"/>
    <s v="-"/>
    <s v="-"/>
    <s v="-"/>
    <s v="-"/>
    <s v="-"/>
    <s v="-"/>
    <n v="9"/>
    <n v="8.2799999999999994"/>
    <n v="9.24"/>
    <n v="7.36"/>
    <n v="8.24"/>
    <s v="Personal Data (Privacy) Ordinance"/>
    <s v="http://www.wipo.int/wipolex/en/text.jsp?file_id=187035 "/>
    <n v="1995"/>
    <n v="1995"/>
    <s v="Both"/>
    <s v="Privacy Commissioner for Personal Data"/>
    <s v="http://www.pcpd.org.hk"/>
    <s v="ICDPPC; APPA; APEC CPEA"/>
    <s v="-"/>
    <s v="-"/>
    <s v="-"/>
    <s v="-"/>
    <s v="-"/>
    <s v="-"/>
    <s v="-"/>
    <s v="-"/>
    <s v="-"/>
    <s v="-"/>
    <s v="-"/>
    <m/>
    <m/>
    <s v="APEC"/>
    <m/>
    <m/>
    <s v=".."/>
    <s v=""/>
    <n v="0"/>
    <n v="21"/>
    <n v="84"/>
    <s v="A"/>
    <m/>
    <n v="5"/>
    <n v="0"/>
    <n v="0"/>
  </r>
  <r>
    <n v="75"/>
    <m/>
    <s v="Hungary"/>
    <x v="1"/>
    <x v="1"/>
    <s v="HUN"/>
    <s v="HU"/>
    <s v="https://kozigazgatas.magyarorszag.hu/"/>
    <s v="Municipality Registry Office"/>
    <n v="5"/>
    <n v="1895"/>
    <n v="2"/>
    <s v="2 d"/>
    <s v="free"/>
    <s v="http://www.bmbah.hu/jomla/index.php?option=com_k2&amp;view=item&amp;layout=item&amp;id=390&amp;Itemid=459&amp;lang=hu"/>
    <s v="Office of Immigration and Nationality, Min of Interior"/>
    <n v="2"/>
    <n v="2001"/>
    <s v="Személyi Igazolvány (Identity Card)"/>
    <x v="1"/>
    <n v="2"/>
    <n v="14"/>
    <s v="free"/>
    <n v="1"/>
    <n v="1"/>
    <s v="http://en.wikipedia.org/wiki/Hungarian_identity_card"/>
    <n v="1"/>
    <n v="1"/>
    <m/>
    <s v="https://ugyintezes.magyarorszag.hu/ugyek/410010/Szemelyi_okmanyok20091202.html?ugy=szemazig.html#topicissue"/>
    <n v="2001"/>
    <n v="2"/>
    <s v="4B"/>
    <s v="C, R, S"/>
    <n v="0"/>
    <n v="0"/>
    <s v="-"/>
    <n v="9"/>
    <s v="http://www.mp-i.hu/en/about-us"/>
    <s v="-"/>
    <n v="0"/>
    <n v="0"/>
    <s v="http://www.mfa.gov.hu/"/>
    <s v="Ministry of Foreign Affairs"/>
    <n v="2"/>
    <n v="3"/>
    <n v="2006"/>
    <n v="10"/>
    <n v="3500"/>
    <n v="0"/>
    <s v="http://e-beszamolo.kim.gov.hu/kereses-Default.aspx "/>
    <n v="2009"/>
    <n v="1"/>
    <n v="0"/>
    <s v="-"/>
    <s v="-"/>
    <n v="0"/>
    <s v="-"/>
    <n v="0"/>
    <s v="-"/>
    <n v="3"/>
    <n v="1"/>
    <n v="9855.5709999999999"/>
    <n v="52.354064518433283"/>
    <n v="4695.7790000000005"/>
    <n v="5159.7920000000004"/>
    <n v="463.33199999999999"/>
    <n v="48.560643339980835"/>
    <n v="238.33500000000001"/>
    <n v="224.99700000000001"/>
    <n v="490.65"/>
    <n v="48.696830734739635"/>
    <n v="251.71899999999999"/>
    <n v="238.93100000000001"/>
    <n v="480.78199999999998"/>
    <n v="48.685890902737626"/>
    <n v="246.709"/>
    <n v="234.07300000000001"/>
    <n v="8420.8070000000007"/>
    <n v="52.985313640367252"/>
    <n v="3959.0160000000005"/>
    <n v="4461.7910000000002"/>
    <n v="2015"/>
    <s v="http://esa.un.org/unpd/wpp/Download/Standard/Population/"/>
    <n v="100"/>
    <n v="100"/>
    <n v="100"/>
    <s v="–"/>
    <s v="–"/>
    <n v="2011"/>
    <s v="UNSD "/>
    <n v="9855.5709999999999"/>
    <n v="100"/>
    <n v="4695.7790000000005"/>
    <n v="5159.7920000000004"/>
    <n v="2015"/>
    <s v="https://www.ksh.hu/docs/eng/xstadat/xstadat_annual/i_wdsd009.html"/>
    <n v="14"/>
    <n v="18"/>
    <s v="HU2014"/>
    <n v="8241.4879999999994"/>
    <n v="8043.8180000000002"/>
    <n v="9919.1280000000006"/>
    <n v="20"/>
    <n v="5"/>
    <s v="CD"/>
    <x v="1"/>
    <n v="0"/>
    <n v="0"/>
    <n v="0"/>
    <n v="0"/>
    <n v="0"/>
    <n v="0"/>
    <n v="0"/>
    <n v="0"/>
    <n v="0"/>
    <n v="0"/>
    <n v="0"/>
    <n v="0"/>
    <n v="0"/>
    <n v="0"/>
    <n v="0"/>
    <n v="0"/>
    <n v="0"/>
    <n v="0"/>
    <n v="0"/>
    <n v="0"/>
    <n v="0"/>
    <n v="9897.2469999999994"/>
    <n v="52.479724917444216"/>
    <n v="1452.0943098580851"/>
    <n v="48.663224449589507"/>
    <n v="492.52199999999999"/>
    <n v="48.626406011224219"/>
    <n v="98.956810919238464"/>
    <n v="9794"/>
    <n v="88.098910717199104"/>
    <n v="52.479724917444216"/>
    <n v="0"/>
    <n v="48.663224449589507"/>
    <n v="0"/>
    <n v="48.626406011224219"/>
    <n v="6965.4250000000002"/>
    <n v="70.377399999999994"/>
    <n v="52.479724917444216"/>
    <n v="2931.8220000000001"/>
    <n v="29.622600000000006"/>
    <n v="52.479724917444216"/>
    <n v="4.9612554840800778"/>
    <n v="4.8927769173515365"/>
    <n v="4.8176636772860331"/>
    <n v="14.671699209467899"/>
    <n v="68.111915479961198"/>
    <n v="17.216385310570899"/>
    <n v="100"/>
    <n v="100"/>
    <n v="100"/>
    <n v="100"/>
    <n v="100"/>
    <n v="2011"/>
    <n v="0.17"/>
    <n v="2007"/>
    <n v="17"/>
    <s v="-"/>
    <s v="-"/>
    <m/>
    <n v="14"/>
    <n v="2012"/>
    <n v="99.373558044433594"/>
    <s v="hun"/>
    <n v="0"/>
    <s v="-"/>
    <s v="-"/>
    <s v="-"/>
    <s v="-"/>
    <s v="-"/>
    <s v="-"/>
    <s v="-"/>
    <s v="-"/>
    <s v="-"/>
    <m/>
    <m/>
    <m/>
    <m/>
    <m/>
    <m/>
    <m/>
    <m/>
    <m/>
    <m/>
    <m/>
    <m/>
    <m/>
    <m/>
    <m/>
    <m/>
    <m/>
    <m/>
    <m/>
    <m/>
    <m/>
    <m/>
    <m/>
    <m/>
    <m/>
    <m/>
    <m/>
    <m/>
    <m/>
    <m/>
    <m/>
    <m/>
    <m/>
    <m/>
    <m/>
    <m/>
    <m/>
    <n v="1"/>
    <s v="civil"/>
    <s v="F"/>
    <n v="1"/>
    <n v="2"/>
    <s v="F"/>
    <n v="24"/>
    <n v="5"/>
    <n v="8"/>
    <n v="11"/>
    <s v="PF"/>
    <n v="35"/>
    <n v="11"/>
    <n v="13"/>
    <n v="11"/>
    <n v="10"/>
    <n v="0.73213499784469604"/>
    <n v="0.77946370840072632"/>
    <n v="0.64429080486297607"/>
    <n v="0.88760280609130859"/>
    <n v="0.56341630220413208"/>
    <n v="0.28822383284568787"/>
    <n v="39"/>
    <n v="0.66374"/>
    <n v="0.45097999999999999"/>
    <n v="0.55905000000000005"/>
    <n v="0.56535999999999997"/>
    <n v="0.86680000000000001"/>
    <n v="46"/>
    <n v="6.52"/>
    <n v="7.32"/>
    <n v="4.67"/>
    <n v="8.6199999999999992"/>
    <s v="Act on Informational Self-Determination and Freedom of Information"/>
    <s v="http://www.naih.hu/files/Privacy_Act-CXII-of-2011_EN_201310.pdf "/>
    <n v="1992"/>
    <n v="2011"/>
    <s v="Both"/>
    <s v="National Authority for Data Protection and Freedom of Information"/>
    <s v="www.naih.hu"/>
    <s v="ICDPPC; EDPA; A29WP; CEEDPA"/>
    <n v="49"/>
    <n v="87"/>
    <n v="1992"/>
    <s v="http://www.rti-rating.org/files/pdf/Hungary.pdf"/>
    <n v="2"/>
    <n v="29"/>
    <n v="15"/>
    <n v="12"/>
    <n v="20"/>
    <n v="0"/>
    <n v="9"/>
    <s v="EU"/>
    <s v="OECD"/>
    <m/>
    <m/>
    <m/>
    <s v=".."/>
    <s v=""/>
    <n v="0"/>
    <n v="18"/>
    <n v="72"/>
    <s v="B"/>
    <m/>
    <n v="5"/>
    <n v="0"/>
    <n v="0"/>
  </r>
  <r>
    <n v="76"/>
    <m/>
    <s v="Iceland"/>
    <x v="3"/>
    <x v="2"/>
    <s v="ISL"/>
    <s v="IS"/>
    <s v="http://www.skra.is"/>
    <s v="National Registry of Iceland, Min of Interior"/>
    <n v="2"/>
    <n v="1953"/>
    <n v="2"/>
    <s v="6 m"/>
    <s v="1900 KR"/>
    <s v="https://www.skra.is/english/english/"/>
    <s v="National Register of Persons (&quot;Þjóðskrá&quot;), Ministry of Interior"/>
    <n v="2"/>
    <n v="1962"/>
    <s v="Nafnskírteini (National ID Card)"/>
    <x v="1"/>
    <n v="1"/>
    <n v="14"/>
    <s v="free"/>
    <n v="0"/>
    <n v="0"/>
    <s v="http://en.wikipedia.org/wiki/National_identification_numbering_in_Iceland"/>
    <n v="1"/>
    <n v="1"/>
    <m/>
    <s v="-"/>
    <s v="-"/>
    <n v="0"/>
    <n v="1"/>
    <s v="-"/>
    <s v="-"/>
    <s v="-"/>
    <s v="-"/>
    <n v="0"/>
    <s v="-"/>
    <s v="-"/>
    <n v="0"/>
    <n v="0"/>
    <s v="http://www.mfa.is/"/>
    <s v="Ministry of Foreign Affairs"/>
    <n v="2"/>
    <n v="3"/>
    <n v="2006"/>
    <n v="5"/>
    <n v="200"/>
    <n v="0"/>
    <s v="https://www.rsk.is/fyrirtaekjaskra/"/>
    <n v="1989"/>
    <n v="1"/>
    <n v="1"/>
    <s v="http://www.doingbusiness.org/data/exploreeconomies/iceland/starting-a-business/"/>
    <n v="1988"/>
    <n v="0"/>
    <s v="-"/>
    <n v="0"/>
    <s v="-"/>
    <n v="3"/>
    <n v="1"/>
    <n v="329.42500000000001"/>
    <n v="49.906655536161495"/>
    <n v="165.02"/>
    <n v="164.405"/>
    <n v="23.010999999999999"/>
    <n v="49.250358524184094"/>
    <n v="11.678000000000001"/>
    <n v="11.333"/>
    <n v="23.015000000000001"/>
    <n v="48.346730393221819"/>
    <n v="11.888"/>
    <n v="11.127000000000001"/>
    <n v="20.911999999999999"/>
    <n v="49.837413925019128"/>
    <n v="10.49"/>
    <n v="10.422000000000001"/>
    <n v="262.48700000000002"/>
    <n v="50.10648146384392"/>
    <n v="130.964"/>
    <n v="131.523"/>
    <n v="2015"/>
    <s v="http://esa.un.org/unpd/wpp/Download/Standard/Population/"/>
    <n v="100"/>
    <n v="100"/>
    <n v="100"/>
    <s v="–"/>
    <s v="–"/>
    <n v="2010"/>
    <s v="UNSD "/>
    <n v="239.73400000000001"/>
    <n v="72.77346892312363"/>
    <n v="119.373"/>
    <n v="120.361"/>
    <n v="2014"/>
    <s v="http://www.statice.is/publications/publication-detail?id=55767"/>
    <n v="14"/>
    <n v="18"/>
    <s v="IS2013"/>
    <n v="237.95699999999999"/>
    <n v="242.209"/>
    <n v="321.85700000000003"/>
    <n v="10"/>
    <n v="5"/>
    <s v="CD"/>
    <x v="2"/>
    <n v="22.753000000000014"/>
    <n v="6.9068832055854941"/>
    <n v="49.057267173559467"/>
    <n v="11.590999999999994"/>
    <n v="11.161999999999992"/>
    <n v="7.0239970912616609"/>
    <n v="6.7893312247194375"/>
    <n v="22.753000000000014"/>
    <n v="49.057267173559467"/>
    <n v="11.590999999999994"/>
    <n v="11.161999999999992"/>
    <n v="0"/>
    <n v="0"/>
    <n v="0"/>
    <n v="0"/>
    <n v="0"/>
    <n v="0"/>
    <n v="0"/>
    <n v="0"/>
    <n v="0"/>
    <n v="0"/>
    <n v="323.00200000000001"/>
    <n v="49.661921598008682"/>
    <n v="66.845981143125996"/>
    <n v="48.822357325596037"/>
    <n v="24.225999999999999"/>
    <n v="48.66323591230848"/>
    <n v="91.330703834651175"/>
    <n v="295"/>
    <n v="22.206923920069201"/>
    <n v="49.661921598008682"/>
    <n v="0"/>
    <n v="48.822357325596037"/>
    <n v="0"/>
    <n v="48.66323591230848"/>
    <n v="303.42700000000002"/>
    <n v="93.939599999999999"/>
    <n v="49.661921598008682"/>
    <n v="19.574999999999999"/>
    <n v="6.0604000000000013"/>
    <n v="49.661921598008682"/>
    <n v="7.2766175688165777"/>
    <n v="6.8878878631320379"/>
    <n v="6.5307224613771222"/>
    <n v="20.6952220553204"/>
    <n v="66.496730241097296"/>
    <n v="12.8080477035823"/>
    <n v="100"/>
    <n v="100"/>
    <n v="100"/>
    <n v="100"/>
    <n v="100"/>
    <n v="2010"/>
    <s v="-"/>
    <s v="-"/>
    <m/>
    <s v="-"/>
    <s v="-"/>
    <m/>
    <s v="-"/>
    <s v="-"/>
    <s v="-"/>
    <s v="ice"/>
    <n v="0"/>
    <s v="-"/>
    <s v="-"/>
    <s v="-"/>
    <s v="-"/>
    <s v="-"/>
    <s v="-"/>
    <s v="-"/>
    <s v="-"/>
    <s v="-"/>
    <m/>
    <m/>
    <m/>
    <m/>
    <m/>
    <m/>
    <m/>
    <m/>
    <m/>
    <m/>
    <m/>
    <m/>
    <m/>
    <m/>
    <m/>
    <m/>
    <m/>
    <m/>
    <m/>
    <m/>
    <m/>
    <m/>
    <m/>
    <m/>
    <m/>
    <m/>
    <m/>
    <m/>
    <m/>
    <m/>
    <m/>
    <m/>
    <m/>
    <m/>
    <m/>
    <m/>
    <m/>
    <n v="1"/>
    <s v="civil"/>
    <s v="F"/>
    <n v="1"/>
    <n v="1"/>
    <s v="F"/>
    <n v="6"/>
    <n v="1"/>
    <n v="1"/>
    <n v="4"/>
    <s v="F"/>
    <n v="12"/>
    <n v="3"/>
    <n v="4"/>
    <n v="5"/>
    <m/>
    <n v="1.4578932523727417"/>
    <n v="1.260259747505188"/>
    <n v="1.4831475019454956"/>
    <n v="1.0913155078887939"/>
    <n v="1.6451395750045776"/>
    <n v="1.8996330499649048"/>
    <n v="19"/>
    <n v="0.79700000000000004"/>
    <n v="0.49019000000000001"/>
    <n v="0.61416999999999999"/>
    <n v="0.85906000000000005"/>
    <n v="0.91779999999999995"/>
    <n v="4"/>
    <n v="8.64"/>
    <n v="9.2799999999999994"/>
    <n v="7.65"/>
    <n v="9.32"/>
    <s v="Law on the Protection and Processing of Personal Data"/>
    <s v="http://www.personuvernd.is/information-in-english/greinar/nr/438 "/>
    <n v="1989"/>
    <n v="2000"/>
    <s v="Both"/>
    <s v="Data Protection Agency"/>
    <s v="http://www.personuvernd.is"/>
    <s v="ICDPPC; EDPA"/>
    <n v="87"/>
    <n v="64"/>
    <n v="1996"/>
    <s v="http://www.rti-rating.org/files/pdf/Iceland.pdf"/>
    <n v="0"/>
    <n v="10"/>
    <n v="21"/>
    <n v="17"/>
    <n v="12"/>
    <n v="0"/>
    <n v="4"/>
    <s v="EUR"/>
    <s v="OECD"/>
    <m/>
    <m/>
    <m/>
    <s v=".."/>
    <s v=""/>
    <n v="1"/>
    <n v="13"/>
    <n v="52"/>
    <s v="B"/>
    <m/>
    <n v="5"/>
    <n v="0"/>
    <n v="0"/>
  </r>
  <r>
    <n v="77"/>
    <m/>
    <s v="India"/>
    <x v="0"/>
    <x v="3"/>
    <s v="IND"/>
    <s v="IN"/>
    <s v="http://india.gov.in/howdo/howdoi.php?service=1"/>
    <s v="State/UT Government"/>
    <n v="5"/>
    <n v="1950"/>
    <n v="2"/>
    <s v="21 d"/>
    <s v="free"/>
    <s v="http://www.uidai.gov.in"/>
    <s v="Unique Identification Authority of India / Register General of Citizens Registration"/>
    <n v="6"/>
    <n v="2007"/>
    <s v="Aadhaar / MNIC (Multi Purpose National ID Card)"/>
    <x v="0"/>
    <n v="2"/>
    <n v="0"/>
    <s v="free"/>
    <n v="1"/>
    <n v="0"/>
    <s v="http://en.wikipedia.org/wiki/Aadhaar"/>
    <n v="1"/>
    <n v="1"/>
    <m/>
    <s v="http://www.uidai.gov.in"/>
    <n v="2010"/>
    <n v="3"/>
    <s v="4B"/>
    <s v="C, E, H, R, S, T"/>
    <n v="1"/>
    <n v="1"/>
    <n v="1200000"/>
    <s v="1, 2"/>
    <s v="http://www.morpho.com/references/identity/aadhaar-biometrics-sparks-economic-and-social-revolution?lang=en"/>
    <s v="-"/>
    <n v="1"/>
    <n v="1"/>
    <s v="http://passportindia.gov.in/AppOnlineProject/welcomeLink"/>
    <s v="Passport Office"/>
    <n v="2"/>
    <n v="3"/>
    <n v="2008"/>
    <n v="5"/>
    <n v="20000"/>
    <n v="0"/>
    <s v="http://www.mca.gov.in"/>
    <n v="2013"/>
    <n v="1"/>
    <n v="2"/>
    <s v="http://www.corporate-cases.com/2012/01/Corporate-Identity-Number.html"/>
    <n v="1956"/>
    <n v="1"/>
    <s v="C"/>
    <n v="0"/>
    <s v="-"/>
    <n v="2"/>
    <n v="1"/>
    <n v="1311050.527"/>
    <n v="48.16764159692832"/>
    <n v="679548.40800000005"/>
    <n v="631502.11899999995"/>
    <n v="123711.48699999999"/>
    <n v="47.365351772063015"/>
    <n v="65115.106"/>
    <n v="58596.381000000001"/>
    <n v="126965.226"/>
    <n v="47.272121580754721"/>
    <n v="66946.070000000007"/>
    <n v="60019.156000000003"/>
    <n v="126750.182"/>
    <n v="47.231387012919633"/>
    <n v="66884.312999999995"/>
    <n v="59865.868999999999"/>
    <n v="933623.63199999998"/>
    <n v="48.522841268439514"/>
    <n v="480602.91900000011"/>
    <n v="453020.71299999987"/>
    <n v="2015"/>
    <s v="http://esa.un.org/unpd/wpp/Download/Standard/Population/"/>
    <n v="83.6"/>
    <n v="83.6"/>
    <n v="83.6"/>
    <s v="–"/>
    <s v="–"/>
    <n v="2011"/>
    <s v="Vital registration"/>
    <n v="834082.81400000001"/>
    <n v="63.61942555399316"/>
    <n v="437063.89899999998"/>
    <n v="397018.91499999998"/>
    <n v="2014"/>
    <s v="https://portal.uidai.gov.in/uidwebportal/dashboard.do"/>
    <n v="0"/>
    <n v="18"/>
    <s v="IN2014"/>
    <n v="834101.47900000005"/>
    <n v="787860.32799999998"/>
    <n v="1236344.6310000001"/>
    <n v="20"/>
    <n v="6"/>
    <s v="CD"/>
    <x v="0"/>
    <n v="476967.71299999999"/>
    <n v="36.380574446006833"/>
    <n v="49.161232009848845"/>
    <n v="242484.50900000008"/>
    <n v="234483.20399999997"/>
    <n v="35.683184030062513"/>
    <n v="37.131024100332432"/>
    <n v="415069.70221999998"/>
    <n v="49.440431888529176"/>
    <n v="209857.44880400007"/>
    <n v="205212.25341599996"/>
    <n v="41609.326912000004"/>
    <n v="47.251771559731218"/>
    <n v="21948.182812000006"/>
    <n v="19661.144100000005"/>
    <n v="20288.683868000004"/>
    <n v="47.365351772063015"/>
    <n v="10678.877384000003"/>
    <n v="9609.8064840000025"/>
    <n v="16.400000000000002"/>
    <n v="16.400000000000002"/>
    <n v="1252139.5959999999"/>
    <n v="48.293573251077035"/>
    <n v="364250.39400000055"/>
    <n v="47.358641351182527"/>
    <n v="121292.978"/>
    <n v="47.368980708656885"/>
    <n v="75.813192317576068"/>
    <n v="949287"/>
    <n v="302852.5959999999"/>
    <n v="48.293573251077035"/>
    <n v="56823.061464000057"/>
    <n v="47.358641351182527"/>
    <n v="19003.139688561925"/>
    <n v="47.368980708656885"/>
    <n v="400997.70600000001"/>
    <n v="32.024999999999999"/>
    <n v="45.291262838296639"/>
    <n v="851141.89"/>
    <n v="67.974999999999994"/>
    <n v="47.696841004970395"/>
    <n v="9.7285477108737783"/>
    <n v="9.6523595603703392"/>
    <n v="9.7093311625223357"/>
    <n v="29.090238433766501"/>
    <n v="65.635120127612396"/>
    <n v="5.2746414386211899"/>
    <n v="84.4"/>
    <n v="84.1"/>
    <n v="84.8"/>
    <n v="84.4"/>
    <n v="84.4"/>
    <n v="2012"/>
    <n v="32.68"/>
    <n v="2010"/>
    <n v="405967.87092000002"/>
    <n v="29.8"/>
    <n v="2010"/>
    <n v="369964.60408000002"/>
    <n v="29.8"/>
    <n v="2010"/>
    <n v="62.754474639892599"/>
    <s v="hin"/>
    <n v="1"/>
    <n v="2"/>
    <s v="Yes"/>
    <s v="-"/>
    <s v="-"/>
    <s v="-"/>
    <s v="Likely in 2-14 through UNESCAP process"/>
    <n v="0"/>
    <s v="-"/>
    <n v="6"/>
    <s v="-"/>
    <s v="P118826 (A); P121731 (A): P150288 (P): P150308 (P)"/>
    <n v="0"/>
    <s v="P108258 (C)"/>
    <s v="P108258 (C); P118826 (A); P121731 (A): P149182 (P); P150288 (P): P150308 (P)"/>
    <s v="-"/>
    <m/>
    <m/>
    <m/>
    <m/>
    <m/>
    <m/>
    <m/>
    <m/>
    <m/>
    <m/>
    <m/>
    <m/>
    <m/>
    <m/>
    <m/>
    <m/>
    <m/>
    <n v="1"/>
    <s v="UID/Aadhaar (ID) + National Population Census"/>
    <m/>
    <m/>
    <n v="1"/>
    <s v="MNREGA &amp; NOAPS (Andhra Pradesh) + PDS (Andhra Pradesh, Orissa, Karnataka) "/>
    <n v="1"/>
    <s v="Teacher attendance (Maharashtra,De_x000a_lhi) + BMC employee attendance (Mumbai)"/>
    <n v="1"/>
    <s v="RSBY insurance + TB medication delivery (Delhi) + Sex worker clinic visits (Bangalore)"/>
    <n v="1"/>
    <s v="Biometric ATMs (Kerala) + ICICI Bank/FINO smartcards"/>
    <n v="1"/>
    <s v="National Coastal Security Program (ID for fisherman)"/>
    <n v="2"/>
    <s v="common"/>
    <s v="F"/>
    <n v="2"/>
    <n v="3"/>
    <s v="PF"/>
    <n v="42"/>
    <n v="13"/>
    <n v="10"/>
    <n v="19"/>
    <s v="PF"/>
    <n v="39"/>
    <n v="10"/>
    <n v="20"/>
    <n v="9"/>
    <n v="9"/>
    <n v="0.41172811388969421"/>
    <n v="-1.1874749660491943"/>
    <n v="-0.18987399339675903"/>
    <n v="-0.47332155704498291"/>
    <n v="-9.8995424807071686E-2"/>
    <n v="-0.55983805656433105"/>
    <n v="118"/>
    <n v="0.38342999999999999"/>
    <n v="0.62744999999999995"/>
    <n v="0.54330000000000001"/>
    <n v="0.13722999999999999"/>
    <n v="0.4698"/>
    <n v="129"/>
    <n v="2.5299999999999998"/>
    <n v="3.05"/>
    <n v="0.68"/>
    <n v="5.2"/>
    <s v="Rules under s43A (2008 Amendt), Information Technology Act 2000"/>
    <s v="http://deity.gov.in/sites/upload_files/dit/files/downloads/itact2000/itbill2000.pdf "/>
    <n v="2011"/>
    <n v="2011"/>
    <s v="Pri"/>
    <s v="-"/>
    <s v="-"/>
    <s v="-"/>
    <n v="3"/>
    <n v="128"/>
    <n v="2005"/>
    <s v="http://www.rti-rating.org/files/pdf/India.pdf"/>
    <n v="5"/>
    <n v="25"/>
    <n v="25"/>
    <n v="26"/>
    <n v="29"/>
    <n v="5"/>
    <n v="13"/>
    <m/>
    <m/>
    <m/>
    <m/>
    <m/>
    <s v="IBRD"/>
    <s v=""/>
    <n v="0"/>
    <n v="22"/>
    <n v="88"/>
    <s v="A"/>
    <m/>
    <n v="6"/>
    <n v="1"/>
    <n v="0"/>
  </r>
  <r>
    <n v="78"/>
    <m/>
    <s v="Indonesia"/>
    <x v="6"/>
    <x v="3"/>
    <s v="IDN"/>
    <s v="ID"/>
    <s v="http://www.jakarta.go.id/web/news/2009/11/Akta-Kelahiran"/>
    <s v="Dept of Population and Civil Registration Regional Service Office"/>
    <n v="6"/>
    <n v="1958"/>
    <n v="2"/>
    <s v="60 d"/>
    <s v="free"/>
    <s v="http://www.dukcapil.kemendagri.go.id/detail/program-penerapan-kartu-tanda-penduduk-elektronik"/>
    <s v="Ministry of Home Affairs, Department of Population and Civil Registration "/>
    <n v="2"/>
    <n v="2011"/>
    <s v="e-KTP (Electronic KTP) &lt; KTP (Kartu Tanda Penduduk)"/>
    <x v="1"/>
    <n v="2"/>
    <n v="17"/>
    <s v="free"/>
    <n v="1"/>
    <n v="1"/>
    <s v="http://en.wikipedia.org/wiki/Indonesian_identity_card"/>
    <n v="1"/>
    <n v="1"/>
    <m/>
    <s v="http://www.dukcapil.kemendagri.go.id/detail/program-penerapan-kartu-tanda-penduduk-elektronik"/>
    <n v="2015"/>
    <n v="2"/>
    <s v="4B"/>
    <s v="C, E, F, H, R, S"/>
    <n v="0"/>
    <n v="0"/>
    <n v="172000"/>
    <n v="10"/>
    <s v="http://banglanews24.com/en/fullnews/bn/89683.html"/>
    <n v="4"/>
    <n v="1"/>
    <n v="1"/>
    <s v="http://www.imigrasi.go.id/index.php/en/contact-us/immigration-offices"/>
    <s v="Directorate General of Immigration"/>
    <n v="2"/>
    <n v="2"/>
    <n v="2010"/>
    <n v="5"/>
    <n v="2500"/>
    <n v="0"/>
    <s v="http://portal.ahu.web.id/ "/>
    <n v="1977"/>
    <n v="0"/>
    <n v="1"/>
    <s v="http://cekindo.com/how-to-register-foreign-company-as-pt-pma-in-indonesia.html "/>
    <n v="2008"/>
    <n v="0"/>
    <s v="-"/>
    <n v="0"/>
    <s v="-"/>
    <n v="0"/>
    <n v="1"/>
    <n v="257563.815"/>
    <n v="49.648253579409044"/>
    <n v="129687.879"/>
    <n v="127875.936"/>
    <n v="24863.562000000002"/>
    <n v="48.937859346138737"/>
    <n v="12695.867"/>
    <n v="12167.695"/>
    <n v="22923.743999999999"/>
    <n v="48.597153239889614"/>
    <n v="11783.457"/>
    <n v="11140.287"/>
    <n v="23538.262999999999"/>
    <n v="48.51173172803788"/>
    <n v="12119.444"/>
    <n v="11418.819"/>
    <n v="186238.24599999998"/>
    <n v="50.016114842490524"/>
    <n v="93089.111000000004"/>
    <n v="93149.135000000009"/>
    <n v="2015"/>
    <s v="http://esa.un.org/unpd/wpp/Download/Standard/Population/"/>
    <n v="66.599999999999994"/>
    <n v="66.3"/>
    <n v="67"/>
    <n v="75.7"/>
    <n v="57.9"/>
    <n v="2012"/>
    <s v="DHS"/>
    <n v="168300.87299999999"/>
    <n v="65.343368593915258"/>
    <n v="84742.428796600812"/>
    <n v="83558.444203399165"/>
    <n v="2014"/>
    <s v="http://www.electionguide.org/countries/id/102/"/>
    <n v="17"/>
    <n v="17"/>
    <s v="ID2014"/>
    <n v="193944.15"/>
    <n v="168300.87299999999"/>
    <n v="253609.64300000001"/>
    <n v="1"/>
    <n v="4"/>
    <s v="CD"/>
    <x v="0"/>
    <n v="41760.113045999999"/>
    <n v="16.213501514566399"/>
    <n v="50.408233098921585"/>
    <n v="20680.467019399191"/>
    <n v="21050.53512660084"/>
    <n v="15.946337605998778"/>
    <n v="16.461686056867524"/>
    <n v="17937.372999999992"/>
    <n v="53.467644323395888"/>
    <n v="8346.6822033991921"/>
    <n v="9590.6907966008439"/>
    <n v="15518.310338000003"/>
    <n v="47.972394016186726"/>
    <n v="8055.2776370000011"/>
    <n v="7444.5049799999997"/>
    <n v="8304.4297080000033"/>
    <n v="48.351777198280757"/>
    <n v="4278.5071790000011"/>
    <n v="4015.3393499999993"/>
    <n v="33.70000000000001"/>
    <n v="32.999999999999993"/>
    <n v="249865.63099999999"/>
    <n v="49.692721044936349"/>
    <n v="72185.545000000056"/>
    <n v="48.61308174649087"/>
    <n v="23978.799999999999"/>
    <n v="48.801496278951248"/>
    <n v="95.677576382983091"/>
    <n v="170000"/>
    <n v="7680.0859999999593"/>
    <n v="49.692721044936349"/>
    <n v="24109.972030000023"/>
    <n v="48.61308174649087"/>
    <n v="7972.3615640000007"/>
    <n v="48.801496278951248"/>
    <n v="130453.34699999999"/>
    <n v="52.209400000000002"/>
    <n v="45.043408506797455"/>
    <n v="119412.284"/>
    <n v="47.790599999999998"/>
    <n v="52.431967552015003"/>
    <n v="9.5528728398824878"/>
    <n v="9.9732539846586832"/>
    <n v="9.3636187203353067"/>
    <n v="28.889745544876501"/>
    <n v="65.887399696038997"/>
    <n v="5.2228547590844903"/>
    <n v="66.599999999999994"/>
    <n v="67"/>
    <n v="66.3"/>
    <n v="75.7"/>
    <n v="57.9"/>
    <n v="2012"/>
    <n v="16.2"/>
    <n v="2011"/>
    <n v="43860.940478000004"/>
    <n v="12"/>
    <n v="2012"/>
    <n v="29079.076560000001"/>
    <n v="11.7"/>
    <n v="2012"/>
    <n v="92.811904907226605"/>
    <s v="ind"/>
    <n v="3"/>
    <n v="1"/>
    <s v="Yes"/>
    <s v=" Completed"/>
    <s v="Plan and Committee "/>
    <s v="-"/>
    <s v="Through UNESCAP in 2-14"/>
    <n v="0.53"/>
    <s v="-"/>
    <s v="-"/>
    <m/>
    <m/>
    <m/>
    <m/>
    <m/>
    <m/>
    <m/>
    <m/>
    <m/>
    <m/>
    <m/>
    <m/>
    <m/>
    <m/>
    <m/>
    <m/>
    <m/>
    <m/>
    <m/>
    <m/>
    <m/>
    <m/>
    <m/>
    <n v="1"/>
    <s v="E-KTPs (ID)"/>
    <m/>
    <m/>
    <n v="1"/>
    <s v="Cash Grants for Livelihood_x000a_Recovery (relief payments)"/>
    <m/>
    <m/>
    <m/>
    <m/>
    <n v="1"/>
    <s v="PT Bank Danamon"/>
    <m/>
    <m/>
    <n v="1"/>
    <s v="civil"/>
    <s v="PF"/>
    <n v="2"/>
    <n v="4"/>
    <s v="PF"/>
    <n v="42"/>
    <n v="11"/>
    <n v="12"/>
    <n v="19"/>
    <s v="PF"/>
    <n v="49"/>
    <n v="16"/>
    <n v="18"/>
    <n v="15"/>
    <n v="8"/>
    <n v="2.5164636317640543E-3"/>
    <n v="-0.50047028064727783"/>
    <n v="-0.23797361552715302"/>
    <n v="-0.19714158773422241"/>
    <n v="-0.55442750453948975"/>
    <n v="-0.62189257144927979"/>
    <n v="106"/>
    <n v="0.44874000000000003"/>
    <n v="0.29410999999999998"/>
    <n v="0.36220000000000002"/>
    <n v="0.30543999999999999"/>
    <n v="0.67859999999999998"/>
    <n v="106"/>
    <n v="3.83"/>
    <n v="4.32"/>
    <n v="1.8"/>
    <n v="6.89"/>
    <s v="-"/>
    <s v="-"/>
    <s v="-"/>
    <s v="-"/>
    <s v="-"/>
    <s v="-"/>
    <s v="-"/>
    <s v="-"/>
    <n v="26"/>
    <n v="101"/>
    <n v="2008"/>
    <s v="http://www.rti-rating.org/files/pdf/Indonesia.pdf"/>
    <n v="6"/>
    <n v="28"/>
    <n v="13"/>
    <n v="16"/>
    <n v="25"/>
    <n v="3"/>
    <n v="10"/>
    <m/>
    <m/>
    <s v="APEC"/>
    <m/>
    <m/>
    <s v="IBRD"/>
    <s v=""/>
    <n v="0"/>
    <n v="15"/>
    <n v="60"/>
    <s v="B"/>
    <m/>
    <n v="3"/>
    <n v="1"/>
    <n v="0"/>
  </r>
  <r>
    <n v="79"/>
    <m/>
    <s v="Iran"/>
    <x v="2"/>
    <x v="1"/>
    <s v="IRN"/>
    <s v="IR"/>
    <s v="http://www.sabteahval.ir"/>
    <s v="Birth Registration Organization of Iran"/>
    <n v="2"/>
    <n v="1928"/>
    <n v="2"/>
    <s v="15 d"/>
    <s v="20,000 IR"/>
    <s v="http://www.moi.ir/"/>
    <s v="Ministry of Interior"/>
    <n v="2"/>
    <n v="2008"/>
    <s v="National ID Card (Shenasnameh)"/>
    <x v="1"/>
    <n v="2"/>
    <n v="15"/>
    <s v="free"/>
    <n v="1"/>
    <n v="0"/>
    <m/>
    <m/>
    <m/>
    <m/>
    <s v="http://www.moi.ir/"/>
    <n v="2008"/>
    <n v="2"/>
    <s v="4B"/>
    <s v="C, S, R, V"/>
    <n v="1"/>
    <n v="1"/>
    <s v="-"/>
    <n v="9"/>
    <s v="http://irfamily.com/iranian-national-identity-card/"/>
    <n v="3"/>
    <n v="0"/>
    <n v="0"/>
    <s v="http://www.imigrasi.go.id/index.php/en/contact-us/immigration-offices"/>
    <s v="Ministry of Foreign Affairs"/>
    <n v="2"/>
    <n v="3"/>
    <n v="2007"/>
    <n v="5"/>
    <n v="1500"/>
    <n v="0"/>
    <s v="http://www.gazette.ir/Archive/Index.asp "/>
    <n v="1969"/>
    <n v="0"/>
    <n v="0"/>
    <s v="-"/>
    <s v="-"/>
    <n v="0"/>
    <s v="-"/>
    <n v="0"/>
    <s v="-"/>
    <n v="0"/>
    <n v="0"/>
    <n v="79109.271999999997"/>
    <n v="49.645343721529891"/>
    <n v="39835.201999999997"/>
    <n v="39274.07"/>
    <n v="6855.3190000000004"/>
    <n v="49.052611556077842"/>
    <n v="3492.6060000000002"/>
    <n v="3362.7130000000002"/>
    <n v="6395.3710000000001"/>
    <n v="49.341281373668551"/>
    <n v="3239.8130000000001"/>
    <n v="3155.558"/>
    <n v="5426.5910000000003"/>
    <n v="48.332645670182259"/>
    <n v="2803.7759999999998"/>
    <n v="2622.8150000000001"/>
    <n v="60431.990999999995"/>
    <n v="49.862636496619814"/>
    <n v="30299.006999999998"/>
    <n v="30132.983999999997"/>
    <n v="2015"/>
    <s v="http://esa.un.org/unpd/wpp/Download/Standard/Population/"/>
    <n v="98.6"/>
    <n v="98.7"/>
    <n v="98.6"/>
    <n v="98.9"/>
    <n v="98.1"/>
    <n v="2010"/>
    <s v="MIDHS"/>
    <n v="50483.192000000003"/>
    <n v="63.814507103541551"/>
    <n v="25420.637810000124"/>
    <n v="25062.554189999883"/>
    <n v="2013"/>
    <s v="http://www.electionguide.org/countries/id/103/"/>
    <n v="15"/>
    <n v="18"/>
    <s v="IR2013"/>
    <n v="50483.192000000003"/>
    <n v="58940.163"/>
    <n v="79853.899999999994"/>
    <n v="1"/>
    <n v="4"/>
    <s v="CD"/>
    <x v="1"/>
    <n v="10210.280933999991"/>
    <n v="12.906554030733581"/>
    <n v="50.913437618445442"/>
    <n v="5002.3397249998743"/>
    <n v="5198.4050140001145"/>
    <n v="12.557585938687781"/>
    <n v="13.236226889650386"/>
    <n v="9948.7989999999918"/>
    <n v="50.965245252217059"/>
    <n v="4878.3691899998739"/>
    <n v="5070.4298100001142"/>
    <n v="165.50746800000013"/>
    <n v="48.87829109922702"/>
    <n v="78.566657000000077"/>
    <n v="80.89722200000007"/>
    <n v="95.974466000000092"/>
    <n v="49.052611556077842"/>
    <n v="45.403878000000041"/>
    <n v="47.077982000000041"/>
    <n v="1.3000000000000012"/>
    <n v="1.400000000000001"/>
    <n v="77447.168000000005"/>
    <n v="49.697880495772289"/>
    <n v="18440.404000000035"/>
    <n v="48.865705609095656"/>
    <n v="7090.2619999999997"/>
    <n v="48.854920379605488"/>
    <n v="85.554598452475773"/>
    <n v="50483"/>
    <n v="8523.7639999999647"/>
    <n v="49.697880495772289"/>
    <n v="258.16565600000069"/>
    <n v="48.865705609095656"/>
    <n v="98.47561950009441"/>
    <n v="48.854920379605488"/>
    <n v="53725.565000000002"/>
    <n v="69.370599999999996"/>
    <n v="52.073726911945926"/>
    <n v="23721.602999999999"/>
    <n v="30.629400000000004"/>
    <n v="51.997409281320493"/>
    <n v="9.0822853863879285"/>
    <n v="7.8062297211740113"/>
    <n v="6.9217861290178151"/>
    <n v="23.8103012365798"/>
    <n v="70.90374950831"/>
    <n v="5.2859492551102703"/>
    <n v="98.6"/>
    <n v="98.6"/>
    <n v="98.7"/>
    <n v="98.9"/>
    <n v="98.1"/>
    <n v="2010"/>
    <n v="1.45"/>
    <n v="2005"/>
    <n v="1085"/>
    <s v="-"/>
    <s v="-"/>
    <m/>
    <n v="18.7"/>
    <n v="2007"/>
    <n v="84.279510498046903"/>
    <s v="per"/>
    <n v="0"/>
    <s v="-"/>
    <s v="-"/>
    <s v="-"/>
    <s v="-"/>
    <s v="-"/>
    <s v="-"/>
    <s v="-"/>
    <s v="-"/>
    <s v="-"/>
    <m/>
    <m/>
    <m/>
    <m/>
    <m/>
    <m/>
    <m/>
    <m/>
    <m/>
    <m/>
    <m/>
    <m/>
    <m/>
    <m/>
    <m/>
    <m/>
    <m/>
    <m/>
    <m/>
    <m/>
    <m/>
    <m/>
    <m/>
    <m/>
    <m/>
    <m/>
    <m/>
    <m/>
    <m/>
    <m/>
    <m/>
    <m/>
    <m/>
    <m/>
    <m/>
    <m/>
    <m/>
    <n v="3"/>
    <s v="religious"/>
    <s v="NF"/>
    <n v="6"/>
    <n v="6"/>
    <s v="NF"/>
    <n v="89"/>
    <n v="22"/>
    <n v="31"/>
    <n v="36"/>
    <s v="NF"/>
    <n v="90"/>
    <n v="30"/>
    <n v="36"/>
    <n v="24"/>
    <n v="3"/>
    <n v="-1.6001113653182983"/>
    <n v="-1.269212007522583"/>
    <n v="-0.69653671979904175"/>
    <n v="-1.4989084005355835"/>
    <n v="-0.98273158073425293"/>
    <n v="-0.68019735813140869"/>
    <n v="105"/>
    <n v="0.45074999999999998"/>
    <n v="0.29410999999999998"/>
    <n v="0.37007000000000001"/>
    <n v="0.29400999999999999"/>
    <n v="0.68820000000000003"/>
    <n v="94"/>
    <n v="4.29"/>
    <n v="5.53"/>
    <n v="1.44"/>
    <n v="7.52"/>
    <s v="-"/>
    <s v="-"/>
    <s v="-"/>
    <s v="-"/>
    <s v="-"/>
    <s v="-"/>
    <s v="-"/>
    <s v="-"/>
    <s v="-"/>
    <s v="-"/>
    <s v="-"/>
    <s v="-"/>
    <s v="-"/>
    <s v="-"/>
    <s v="-"/>
    <s v="-"/>
    <s v="-"/>
    <s v="-"/>
    <s v="-"/>
    <m/>
    <m/>
    <m/>
    <m/>
    <n v="33.5"/>
    <s v="IBRD"/>
    <s v=""/>
    <n v="0"/>
    <n v="13"/>
    <n v="52"/>
    <s v="B"/>
    <m/>
    <n v="4"/>
    <n v="0"/>
    <n v="0"/>
  </r>
  <r>
    <n v="80"/>
    <m/>
    <s v="Iraq"/>
    <x v="2"/>
    <x v="1"/>
    <s v="IRQ"/>
    <s v="IQ"/>
    <s v="http://www.egov.gov.iq/egov-iraq/index.jsp?sid=1&amp;id=344&amp;pid=343&amp;lng=en"/>
    <s v="Min of Health"/>
    <n v="3"/>
    <n v="1924"/>
    <n v="2"/>
    <s v="15-45 d"/>
    <s v="free"/>
    <s v="http://iraqinationality.gov.iq/about_ar.htm"/>
    <s v="General Directorate of Nationality, Ministry of Interior"/>
    <n v="2"/>
    <n v="2003"/>
    <s v="National ID Card (Shenasnameh)"/>
    <x v="1"/>
    <n v="2"/>
    <n v="18"/>
    <s v="free"/>
    <n v="1"/>
    <n v="1"/>
    <m/>
    <m/>
    <m/>
    <m/>
    <s v="http://www.iraqinationality.gov.iq/national_id_en.htm"/>
    <n v="2015"/>
    <n v="2"/>
    <s v="4B"/>
    <s v="C, H, S, V"/>
    <n v="0"/>
    <n v="0"/>
    <s v="-"/>
    <n v="4"/>
    <s v="http://www.gi-de.com/en/about_g_d/press/press_releases/Giesecke-%26-Devrient-Wins-Another-Major-Contract-from-Iraq-g28224.jsp"/>
    <n v="3"/>
    <n v="0"/>
    <n v="0"/>
    <s v="http://moi.gov.iq/"/>
    <s v="Ministry of Interior"/>
    <n v="2"/>
    <n v="2"/>
    <n v="2009"/>
    <n v="5"/>
    <s v="-"/>
    <n v="0"/>
    <s v="http://bsr-mot.com/English/search.htm "/>
    <n v="2012"/>
    <n v="1"/>
    <n v="1"/>
    <s v="http://www.doingbusiness.org/data/exploreeconomies/iraq/starting-a-business "/>
    <n v="1982"/>
    <n v="0"/>
    <s v="-"/>
    <n v="0"/>
    <s v="-"/>
    <n v="0"/>
    <n v="0"/>
    <n v="36423.394999999997"/>
    <n v="49.381497798324411"/>
    <n v="18436.976999999999"/>
    <n v="17986.418000000001"/>
    <n v="5727.4449999999997"/>
    <n v="48.595071624432883"/>
    <n v="2944.1889999999999"/>
    <n v="2783.2559999999999"/>
    <n v="4974.4189999999999"/>
    <n v="48.54711675876117"/>
    <n v="2559.482"/>
    <n v="2414.9369999999999"/>
    <n v="4225.4480000000003"/>
    <n v="48.586729738479804"/>
    <n v="2172.4409999999998"/>
    <n v="2053.0070000000001"/>
    <n v="21496.082999999995"/>
    <n v="49.940344945635005"/>
    <n v="10760.864999999998"/>
    <n v="10735.218000000003"/>
    <n v="2015"/>
    <s v="http://esa.un.org/unpd/wpp/Download/Standard/Population/"/>
    <n v="99.2"/>
    <n v="99.4"/>
    <n v="99"/>
    <n v="99.4"/>
    <n v="98.9"/>
    <n v="2011"/>
    <s v="MICS"/>
    <n v="16942.233"/>
    <n v="46.514700235933532"/>
    <n v="8575.9045841180086"/>
    <n v="8366.3284158819915"/>
    <n v="2014"/>
    <s v="http://www.electionguide.org/countries/id/104/"/>
    <n v="18"/>
    <n v="18"/>
    <s v="IQ2014"/>
    <n v="21500"/>
    <n v="16942.233"/>
    <n v="32585.691999999999"/>
    <n v="1"/>
    <n v="4"/>
    <s v="CD"/>
    <x v="1"/>
    <n v="4673.2684959999951"/>
    <n v="12.830403360257867"/>
    <n v="52.241842860252675"/>
    <n v="2231.0170878819886"/>
    <n v="2441.4015841180108"/>
    <n v="12.100774914900574"/>
    <n v="13.573584157323657"/>
    <n v="4553.8499999999949"/>
    <n v="52.019490850994508"/>
    <n v="2184.9604158819893"/>
    <n v="2368.889584118011"/>
    <n v="73.598936000000066"/>
    <n v="60.706638476404059"/>
    <n v="28.3915379999995"/>
    <n v="44.679440000000042"/>
    <n v="45.819560000000038"/>
    <n v="60.743839530541102"/>
    <n v="17.665133999999689"/>
    <n v="27.832560000000022"/>
    <n v="0.59999999999998954"/>
    <n v="1.0000000000000009"/>
    <n v="33417.476000000002"/>
    <n v="49.4471994234394"/>
    <n v="13386.279865884186"/>
    <n v="48.627644247974438"/>
    <n v="4908.6180000000004"/>
    <n v="48.522834870674615"/>
    <n v="64.337593898473955"/>
    <n v="21500"/>
    <n v="7143.6065123415692"/>
    <n v="49.4471994234394"/>
    <n v="107.09023892707359"/>
    <n v="48.627644247974438"/>
    <n v="38.917734111978248"/>
    <n v="48.522834870674615"/>
    <n v="22202.370999999999"/>
    <n v="66.439400000000006"/>
    <n v="53.433492684331775"/>
    <n v="11215.105"/>
    <n v="33.560599999999994"/>
    <n v="46.543846383179648"/>
    <n v="14.557403329914193"/>
    <n v="13.39581794166442"/>
    <n v="12.104501819177854"/>
    <n v="40.0577226894221"/>
    <n v="56.746412996658798"/>
    <n v="3.1958643139191198"/>
    <n v="99.2"/>
    <n v="99"/>
    <n v="99.4"/>
    <n v="99.4"/>
    <n v="98.9"/>
    <n v="2011"/>
    <n v="2.82"/>
    <n v="2007"/>
    <n v="922.93485199999998"/>
    <n v="22.9"/>
    <n v="2007"/>
    <n v="7548.2886109999999"/>
    <n v="25"/>
    <n v="2008"/>
    <n v="79.001998901367202"/>
    <s v="ara"/>
    <n v="3"/>
    <n v="1"/>
    <s v="Yes"/>
    <s v="Completed"/>
    <s v="Plan"/>
    <s v="-"/>
    <s v="Health Minister"/>
    <n v="0.95"/>
    <n v="0.53"/>
    <s v="-"/>
    <m/>
    <m/>
    <m/>
    <m/>
    <m/>
    <m/>
    <m/>
    <m/>
    <m/>
    <m/>
    <m/>
    <m/>
    <m/>
    <m/>
    <m/>
    <m/>
    <m/>
    <m/>
    <m/>
    <m/>
    <m/>
    <m/>
    <m/>
    <m/>
    <m/>
    <m/>
    <m/>
    <m/>
    <m/>
    <n v="1"/>
    <s v="Civil Service Reform"/>
    <m/>
    <m/>
    <m/>
    <m/>
    <m/>
    <m/>
    <n v="3"/>
    <s v="civil + religious"/>
    <s v="NF"/>
    <n v="5"/>
    <n v="6"/>
    <s v="-"/>
    <s v="-"/>
    <s v="-"/>
    <s v="-"/>
    <s v="-"/>
    <s v="NF"/>
    <n v="69"/>
    <n v="23"/>
    <n v="30"/>
    <n v="16"/>
    <n v="3"/>
    <n v="-1.0964865684509277"/>
    <n v="-1.9885441064834595"/>
    <n v="-1.07856285572052"/>
    <n v="-1.2580001354217529"/>
    <n v="-1.4714291095733643"/>
    <n v="-1.2459168434143066"/>
    <n v="134"/>
    <n v="0.31413999999999997"/>
    <n v="0.13725000000000001"/>
    <n v="0.19685"/>
    <n v="0.21726999999999999"/>
    <n v="0.52829999999999999"/>
    <s v="-"/>
    <s v="-"/>
    <s v="-"/>
    <s v="-"/>
    <s v="-"/>
    <s v="-"/>
    <s v="-"/>
    <s v="-"/>
    <s v="-"/>
    <s v="-"/>
    <s v="-"/>
    <s v="-"/>
    <s v="-"/>
    <s v="-"/>
    <s v="-"/>
    <s v="-"/>
    <s v="-"/>
    <s v="-"/>
    <s v="-"/>
    <s v="-"/>
    <s v="-"/>
    <s v="-"/>
    <s v="-"/>
    <s v="-"/>
    <m/>
    <m/>
    <m/>
    <n v="1"/>
    <n v="54.4"/>
    <s v="IBRD"/>
    <s v=""/>
    <n v="0"/>
    <n v="15"/>
    <n v="60"/>
    <s v="B"/>
    <m/>
    <n v="4"/>
    <n v="0"/>
    <n v="0"/>
  </r>
  <r>
    <n v="81"/>
    <m/>
    <s v="Ireland"/>
    <x v="3"/>
    <x v="2"/>
    <s v="IRL"/>
    <s v="IE"/>
    <s v="http://www.welfare.ie/en/Pages/General-Register-Office.aspx"/>
    <s v="Minister for Social Protection"/>
    <n v="6"/>
    <n v="1864"/>
    <n v="2"/>
    <s v="3 m"/>
    <s v="free"/>
    <s v="-"/>
    <s v="-"/>
    <n v="0"/>
    <s v="-"/>
    <s v="-"/>
    <x v="2"/>
    <n v="0"/>
    <s v="-"/>
    <s v="-"/>
    <n v="0"/>
    <n v="0"/>
    <s v="http://en.wikipedia.org/wiki/Personal_Public_Service_Number"/>
    <n v="1"/>
    <n v="1"/>
    <m/>
    <s v="-"/>
    <s v="-"/>
    <n v="0"/>
    <n v="0"/>
    <s v="-"/>
    <s v="-"/>
    <s v="-"/>
    <s v="-"/>
    <n v="0"/>
    <s v="-"/>
    <s v="-"/>
    <n v="0"/>
    <n v="0"/>
    <s v="https://www.dfa.ie/passports-citizenship/ "/>
    <s v="Passport Office"/>
    <n v="2"/>
    <n v="3"/>
    <n v="2006"/>
    <n v="10"/>
    <n v="2800"/>
    <n v="1"/>
    <s v="https://www.cro.ie"/>
    <n v="2005"/>
    <n v="1"/>
    <n v="1"/>
    <s v="http://www.doingbusiness.org/data/exploreeconomies/ireland/starting-a-business"/>
    <n v="2013"/>
    <n v="0"/>
    <s v="-"/>
    <n v="1"/>
    <s v="https://core.cro.ie/Main/index.jsp "/>
    <n v="3"/>
    <n v="1"/>
    <n v="4688.4650000000001"/>
    <n v="50.088205841357457"/>
    <n v="2340.0970000000002"/>
    <n v="2348.3679999999999"/>
    <n v="353.46800000000002"/>
    <n v="48.298572996706909"/>
    <n v="182.74799999999999"/>
    <n v="170.72"/>
    <n v="355.21100000000001"/>
    <n v="48.332962661629281"/>
    <n v="183.52699999999999"/>
    <n v="171.684"/>
    <n v="312.495"/>
    <n v="48.621577945247125"/>
    <n v="160.55500000000001"/>
    <n v="151.94"/>
    <n v="3667.2910000000002"/>
    <n v="50.555682655126091"/>
    <n v="1813.2670000000001"/>
    <n v="1854.0240000000001"/>
    <n v="2015"/>
    <s v="http://esa.un.org/unpd/wpp/Download/Standard/Population/"/>
    <n v="100"/>
    <n v="100"/>
    <n v="100"/>
    <s v="–"/>
    <s v="–"/>
    <n v="2010"/>
    <s v="UNSD "/>
    <n v="4581.2690000000002"/>
    <n v="97.713622688875788"/>
    <n v="2268.6979999999999"/>
    <n v="2312.5709999999999"/>
    <n v="2011"/>
    <s v="http://www.cso.ie/en/media/csoie/census/documents/Prelim,complete.pdf"/>
    <s v="-"/>
    <n v="18"/>
    <s v="IE2011"/>
    <n v="3202.442"/>
    <n v="3516.7950000000001"/>
    <n v="4670.9759999999997"/>
    <n v="20"/>
    <n v="5"/>
    <s v="CD"/>
    <x v="2"/>
    <n v="107.19599999999991"/>
    <n v="2.2863773111242147"/>
    <n v="33.393969924250953"/>
    <n v="71.399000000000342"/>
    <n v="35.797000000000025"/>
    <n v="3.0511128384849147"/>
    <n v="1.5243351978906214"/>
    <n v="107.19599999999991"/>
    <n v="33.393969924250953"/>
    <n v="71.399000000000342"/>
    <n v="35.797000000000025"/>
    <n v="0"/>
    <n v="0"/>
    <n v="0"/>
    <n v="0"/>
    <n v="0"/>
    <n v="0"/>
    <n v="0"/>
    <n v="0"/>
    <n v="0"/>
    <n v="0"/>
    <n v="4595.2809999999999"/>
    <n v="50.350783771438564"/>
    <n v="993.0828430177578"/>
    <n v="48.61078405006802"/>
    <n v="362.94400000000002"/>
    <n v="48.4394265562293"/>
    <n v="78.424336388164065"/>
    <n v="2825"/>
    <n v="777.19815698224238"/>
    <n v="50.350783771438564"/>
    <n v="0"/>
    <n v="48.61078405006802"/>
    <n v="0"/>
    <n v="48.4394265562293"/>
    <n v="2886.71"/>
    <n v="62.819000000000003"/>
    <n v="50.497694607355783"/>
    <n v="1708.5709999999999"/>
    <n v="37.180999999999997"/>
    <n v="50.207512593857672"/>
    <n v="7.7802167221237175"/>
    <n v="7.2875831601879133"/>
    <n v="6.5431309835048452"/>
    <n v="21.610927449654501"/>
    <n v="66.334909025445995"/>
    <n v="12.054163524899501"/>
    <n v="100"/>
    <n v="100"/>
    <n v="100"/>
    <n v="100"/>
    <n v="100"/>
    <n v="2010"/>
    <s v="-"/>
    <s v="-"/>
    <m/>
    <s v="-"/>
    <s v="-"/>
    <m/>
    <n v="5.5"/>
    <n v="2009"/>
    <s v="-"/>
    <s v="eng"/>
    <n v="0"/>
    <s v="-"/>
    <s v="-"/>
    <s v="-"/>
    <s v="-"/>
    <s v="-"/>
    <s v="-"/>
    <s v="-"/>
    <s v="-"/>
    <s v="-"/>
    <m/>
    <m/>
    <m/>
    <m/>
    <m/>
    <m/>
    <m/>
    <m/>
    <m/>
    <m/>
    <m/>
    <m/>
    <m/>
    <m/>
    <m/>
    <m/>
    <m/>
    <m/>
    <m/>
    <m/>
    <m/>
    <m/>
    <m/>
    <m/>
    <m/>
    <m/>
    <m/>
    <m/>
    <m/>
    <m/>
    <m/>
    <m/>
    <m/>
    <m/>
    <m/>
    <m/>
    <m/>
    <n v="2"/>
    <s v="common"/>
    <s v="F"/>
    <n v="1"/>
    <n v="1"/>
    <s v="-"/>
    <s v="-"/>
    <s v="-"/>
    <s v="-"/>
    <s v="-"/>
    <s v="F"/>
    <n v="16"/>
    <n v="5"/>
    <n v="6"/>
    <n v="5"/>
    <n v="10"/>
    <n v="1.312080979347229"/>
    <n v="0.87775856256484985"/>
    <n v="1.4648195505142212"/>
    <n v="1.5793559551239014"/>
    <n v="1.7208665609359741"/>
    <n v="1.537993311882019"/>
    <n v="22"/>
    <n v="0.78100000000000003"/>
    <n v="0.64705000000000001"/>
    <n v="0.67715999999999998"/>
    <n v="0.70391000000000004"/>
    <n v="0.96189999999999998"/>
    <n v="26"/>
    <n v="7.57"/>
    <n v="8.24"/>
    <n v="6.24"/>
    <n v="8.92"/>
    <s v="Data Protection Act"/>
    <s v="http://www.irishstatutebook.ie/1988/en/act/pub/0025/index.html "/>
    <n v="1988"/>
    <n v="2003"/>
    <s v="Both"/>
    <s v="Data Protection Commissioner"/>
    <s v="http://www.dataprotection.ie"/>
    <s v="ICDPPC; EDPA; A29WP; GPEN; BIIDPA"/>
    <n v="39"/>
    <n v="92"/>
    <n v="1997"/>
    <s v="http://www.rti-rating.org/files/pdf/Ireland.pdf"/>
    <n v="2"/>
    <n v="24"/>
    <n v="19"/>
    <n v="7"/>
    <n v="23"/>
    <n v="3"/>
    <n v="14"/>
    <s v="EU"/>
    <s v="OECD"/>
    <m/>
    <m/>
    <m/>
    <s v=".."/>
    <s v="EMU"/>
    <n v="0"/>
    <n v="11"/>
    <n v="44"/>
    <s v="C"/>
    <m/>
    <n v="1"/>
    <n v="0"/>
    <n v="0"/>
  </r>
  <r>
    <n v="82"/>
    <m/>
    <s v="Israel"/>
    <x v="2"/>
    <x v="2"/>
    <s v="ISR"/>
    <s v="IL"/>
    <s v="http://www.nbn.org.il"/>
    <s v="Hospitals; Misrad Hapnim"/>
    <n v="6"/>
    <n v="1953"/>
    <n v="2"/>
    <s v="14-21 d"/>
    <s v="free"/>
    <s v="http://piba.gov.il/Subject/RegistryAndPassports/IdentityCard/Pages/TzRishona.aspx"/>
    <s v="Ministry of Interior"/>
    <n v="2"/>
    <n v="1983"/>
    <s v="Teudat Zehut"/>
    <x v="1"/>
    <n v="2"/>
    <n v="16"/>
    <s v="1,400 NIS"/>
    <n v="1"/>
    <n v="1"/>
    <s v="http://en.wikipedia.org/wiki/Israeli_identity_card"/>
    <m/>
    <n v="1"/>
    <m/>
    <s v="http://www.nbn.org.il/aliyahpedia/government-services/post-aliyah-government-processing/biometric-smart-ids/"/>
    <n v="2013"/>
    <n v="2"/>
    <s v="4B"/>
    <s v="C, S, V"/>
    <n v="1"/>
    <n v="1"/>
    <s v="-"/>
    <n v="1"/>
    <s v="http://972mag.com/pilot-for-israels-national-biometric-database-program-begins/75330/"/>
    <n v="3"/>
    <n v="1"/>
    <n v="1"/>
    <s v="http://www.moin.gov.il/"/>
    <s v="Ministry of Interior"/>
    <n v="2"/>
    <n v="2"/>
    <n v="2013"/>
    <n v="5"/>
    <s v="-"/>
    <n v="0"/>
    <s v="http://www.justice.gov.il/mojeng/"/>
    <n v="2002"/>
    <n v="1"/>
    <n v="0"/>
    <s v="-"/>
    <s v="-"/>
    <n v="0"/>
    <s v="-"/>
    <n v="0"/>
    <s v="-"/>
    <n v="3"/>
    <n v="1"/>
    <n v="8064.0360000000001"/>
    <n v="50.414122655206398"/>
    <n v="3998.623"/>
    <n v="4065.413"/>
    <n v="831.851"/>
    <n v="48.692253781025691"/>
    <n v="426.80399999999997"/>
    <n v="405.04700000000003"/>
    <n v="740.53399999999999"/>
    <n v="48.631257984103357"/>
    <n v="380.40300000000002"/>
    <n v="360.13099999999997"/>
    <n v="672.11500000000001"/>
    <n v="48.628434122136838"/>
    <n v="345.27600000000001"/>
    <n v="326.839"/>
    <n v="5819.536000000001"/>
    <n v="51.093351772374973"/>
    <n v="2846.1400000000003"/>
    <n v="2973.3960000000002"/>
    <n v="2015"/>
    <s v="http://esa.un.org/unpd/wpp/Download/Standard/Population/"/>
    <n v="100"/>
    <n v="100"/>
    <n v="100"/>
    <s v="–"/>
    <s v="–"/>
    <n v="2012"/>
    <s v="UNSD "/>
    <n v="5591"/>
    <n v="69.332527781373983"/>
    <n v="2772.3464023474103"/>
    <n v="2818.6535976525897"/>
    <n v="2015"/>
    <s v="http://www.electionguide.org/countries/id/106/"/>
    <n v="16"/>
    <n v="18"/>
    <s v="IL2015"/>
    <n v="5881.6959999999999"/>
    <n v="5591"/>
    <n v="8320.1"/>
    <n v="1"/>
    <n v="4"/>
    <s v="CD"/>
    <x v="1"/>
    <n v="228.53600000000097"/>
    <n v="2.834015125924549"/>
    <n v="67.710296122890838"/>
    <n v="73.793597652590051"/>
    <n v="154.74240234741046"/>
    <n v="1.8454752461682447"/>
    <n v="3.8063144469555854"/>
    <n v="228.53600000000097"/>
    <n v="67.710296122890838"/>
    <n v="73.793597652590051"/>
    <n v="154.74240234741046"/>
    <n v="0"/>
    <n v="0"/>
    <n v="0"/>
    <n v="0"/>
    <n v="0"/>
    <n v="0"/>
    <n v="0"/>
    <n v="0"/>
    <n v="0"/>
    <n v="0"/>
    <n v="8059.4"/>
    <n v="50.492642132168655"/>
    <n v="2235.5419236470993"/>
    <n v="48.71517278177194"/>
    <n v="782.07799999999997"/>
    <n v="48.765140106528065"/>
    <n v="70.17892150780456"/>
    <n v="5656"/>
    <n v="1736.7372882232617"/>
    <n v="50.492642132168655"/>
    <n v="0"/>
    <n v="48.71517278177194"/>
    <n v="0"/>
    <n v="48.765140106528065"/>
    <n v="7415.0349999999999"/>
    <n v="92.004800000000003"/>
    <n v="49.395586130072211"/>
    <n v="644.36500000000001"/>
    <n v="7.995199999999997"/>
    <n v="51.477035531104264"/>
    <n v="10.057891202919032"/>
    <n v="9.309308021510784"/>
    <n v="8.3711187645023628"/>
    <n v="27.738317041555199"/>
    <n v="61.539058370049801"/>
    <n v="10.722624588395099"/>
    <n v="100"/>
    <n v="100"/>
    <n v="100"/>
    <n v="100"/>
    <n v="100"/>
    <n v="2012"/>
    <s v="-"/>
    <s v="-"/>
    <m/>
    <s v="-"/>
    <s v="-"/>
    <m/>
    <n v="21"/>
    <s v="-"/>
    <n v="97.764190673828097"/>
    <s v="heb"/>
    <n v="0"/>
    <s v="-"/>
    <s v="-"/>
    <s v="-"/>
    <s v="-"/>
    <s v="-"/>
    <s v="-"/>
    <s v="-"/>
    <s v="-"/>
    <s v="-"/>
    <m/>
    <m/>
    <m/>
    <m/>
    <m/>
    <m/>
    <m/>
    <m/>
    <m/>
    <m/>
    <m/>
    <m/>
    <m/>
    <m/>
    <m/>
    <m/>
    <m/>
    <m/>
    <m/>
    <m/>
    <m/>
    <m/>
    <m/>
    <n v="2"/>
    <m/>
    <m/>
    <m/>
    <m/>
    <m/>
    <m/>
    <m/>
    <m/>
    <m/>
    <m/>
    <m/>
    <m/>
    <m/>
    <n v="2"/>
    <s v="common"/>
    <s v="F"/>
    <n v="1"/>
    <n v="2"/>
    <s v="-"/>
    <s v="-"/>
    <s v="-"/>
    <s v="-"/>
    <s v="-"/>
    <s v="F"/>
    <n v="30"/>
    <n v="7"/>
    <n v="14"/>
    <n v="9"/>
    <n v="10"/>
    <n v="0.63073569536209106"/>
    <n v="-1.093532919883728"/>
    <n v="1.2173752784729004"/>
    <n v="1.1550329923629761"/>
    <n v="0.95247608423233032"/>
    <n v="0.84246653318405151"/>
    <n v="17"/>
    <n v="0.81615000000000004"/>
    <n v="0.86273999999999995"/>
    <n v="0.87400999999999995"/>
    <n v="0.71997999999999995"/>
    <n v="0.85450000000000004"/>
    <n v="29"/>
    <n v="7.29"/>
    <n v="8.31"/>
    <n v="5.53"/>
    <n v="8.7799999999999994"/>
    <s v="Privacy Protection Act 1981"/>
    <s v="http://www.justice.gov.il/NR/rdonlyres/C5205E15-3FE9-4037-BA0F-62212B40773A/18334/ProtectionofPrivacyLaw57411981unofficialtranslatio.pdf "/>
    <n v="1981"/>
    <n v="1981"/>
    <s v="Both"/>
    <s v="Law, Information and Technology Authority"/>
    <s v="http://www.justice.gov.il"/>
    <s v="ICDPPC; GPEN"/>
    <n v="80"/>
    <n v="66"/>
    <n v="1998"/>
    <s v="http://www.rti-rating.org/files/pdf/Israel.pdf"/>
    <n v="3"/>
    <n v="25"/>
    <n v="12"/>
    <n v="11"/>
    <n v="8"/>
    <n v="3"/>
    <n v="4"/>
    <m/>
    <s v="OECD"/>
    <m/>
    <m/>
    <m/>
    <s v=".."/>
    <s v=""/>
    <n v="0"/>
    <n v="18"/>
    <n v="72"/>
    <s v="B"/>
    <m/>
    <n v="4"/>
    <n v="0"/>
    <n v="0"/>
  </r>
  <r>
    <n v="83"/>
    <m/>
    <s v="Italy"/>
    <x v="3"/>
    <x v="2"/>
    <s v="ITA"/>
    <s v="IT"/>
    <s v="http://www.interno.gov.it/mininterno/export/sites/default/it/temi/servizi_demografici/scheda_003.html"/>
    <s v="Register of Births, Marriages and Deaths (Registro Communale dello Stato Civile), Min of Interior"/>
    <n v="2"/>
    <n v="1804"/>
    <n v="2"/>
    <s v="3 - 10 d"/>
    <s v="free"/>
    <s v="http://www.interno.gov.it"/>
    <s v="Ministry of Internal Affairs"/>
    <n v="2"/>
    <n v="2001"/>
    <s v="National ID Card"/>
    <x v="1"/>
    <n v="1"/>
    <n v="15"/>
    <s v="various"/>
    <n v="1"/>
    <n v="0"/>
    <s v="http://en.wikipedia.org/wiki/Italian_electronic_identity_card"/>
    <n v="1"/>
    <n v="1"/>
    <n v="1"/>
    <s v="http://www.progettocns.it"/>
    <n v="2001"/>
    <n v="3"/>
    <s v="4B"/>
    <s v="C, E, F, H, S, V"/>
    <n v="1"/>
    <n v="1"/>
    <s v="-"/>
    <n v="7"/>
    <s v="http://www.hidglobal.com/sites/hidglobal.com/files/resource_files/hid-gov-id-usa-cs-en.pdf"/>
    <s v="-"/>
    <n v="0"/>
    <n v="0"/>
    <s v="http://www.esteri.it/mae/en"/>
    <s v="Ministry of Foreign Affairs"/>
    <n v="2"/>
    <n v="3"/>
    <n v="2006"/>
    <n v="10"/>
    <n v="11200"/>
    <n v="1"/>
    <s v="http://www.infocamere.it"/>
    <n v="1993"/>
    <n v="1"/>
    <n v="1"/>
    <s v="http://www.welcomeoffice.fvg.it/trieste/dailylife/tax-identification-code.aspx"/>
    <n v="1976"/>
    <n v="0"/>
    <s v="-"/>
    <n v="0"/>
    <s v="-"/>
    <n v="3"/>
    <n v="1"/>
    <n v="59797.684999999998"/>
    <n v="51.386562874465788"/>
    <n v="29069.71"/>
    <n v="30727.974999999999"/>
    <n v="2570.3180000000002"/>
    <n v="48.479332129331858"/>
    <n v="1324.2449999999999"/>
    <n v="1246.0730000000001"/>
    <n v="2816.96"/>
    <n v="48.545346756787453"/>
    <n v="1449.4570000000001"/>
    <n v="1367.5029999999999"/>
    <n v="2811.2130000000002"/>
    <n v="48.644446365323432"/>
    <n v="1443.7139999999999"/>
    <n v="1367.499"/>
    <n v="51599.193999999996"/>
    <n v="51.835887203974536"/>
    <n v="24852.294000000002"/>
    <n v="26746.899999999998"/>
    <n v="2015"/>
    <s v="http://esa.un.org/unpd/wpp/Download/Standard/Population/"/>
    <n v="100"/>
    <n v="100"/>
    <n v="100"/>
    <s v="–"/>
    <s v="–"/>
    <n v="2011"/>
    <s v="UNSD "/>
    <n v="50662.46"/>
    <n v="84.7231126087908"/>
    <n v="24628.763138348917"/>
    <n v="26033.696861651079"/>
    <n v="2014"/>
    <s v="http://www.idea.int/vt/countryview.cfm?id=110"/>
    <n v="15"/>
    <n v="18"/>
    <s v="IT2014"/>
    <n v="50662.46"/>
    <n v="50577.525999999998"/>
    <n v="61680.122000000003"/>
    <n v="1"/>
    <n v="5"/>
    <s v="CD"/>
    <x v="2"/>
    <n v="936.73399999999674"/>
    <n v="1.5665054591996277"/>
    <n v="76.137210600759857"/>
    <n v="223.53086165108471"/>
    <n v="713.20313834891931"/>
    <n v="0.76894768352035403"/>
    <n v="2.3210222552866542"/>
    <n v="936.73399999999674"/>
    <n v="76.137210600759857"/>
    <n v="223.53086165108471"/>
    <n v="713.20313834891931"/>
    <n v="0"/>
    <n v="0"/>
    <n v="0"/>
    <n v="0"/>
    <n v="0"/>
    <n v="0"/>
    <n v="0"/>
    <n v="0"/>
    <n v="0"/>
    <n v="0"/>
    <n v="59831.093000000001"/>
    <n v="51.418153099760353"/>
    <n v="8410.0709790173696"/>
    <n v="48.535461758782148"/>
    <n v="2858.6770000000001"/>
    <n v="48.547420326979349"/>
    <n v="99.755824283537649"/>
    <n v="59685"/>
    <n v="125.55764893199557"/>
    <n v="51.418153099760353"/>
    <n v="0"/>
    <n v="48.535461758782148"/>
    <n v="0"/>
    <n v="48.547420326979349"/>
    <n v="41139.86"/>
    <n v="68.760000000000005"/>
    <n v="51.418153099760353"/>
    <n v="18691.233"/>
    <n v="31.239999999999995"/>
    <n v="51.418153099760353"/>
    <n v="4.6964109536977325"/>
    <n v="4.699539321113404"/>
    <n v="4.6604050052102384"/>
    <n v="14.0563552449516"/>
    <n v="64.809986024493696"/>
    <n v="21.1336587305547"/>
    <n v="100"/>
    <n v="100"/>
    <n v="100"/>
    <n v="100"/>
    <n v="100"/>
    <n v="2011"/>
    <s v="-"/>
    <s v="-"/>
    <m/>
    <s v="-"/>
    <s v="-"/>
    <m/>
    <n v="29.9"/>
    <n v="2012"/>
    <n v="99.025611877441406"/>
    <s v="ita"/>
    <n v="0"/>
    <s v="-"/>
    <s v="-"/>
    <s v="-"/>
    <s v="-"/>
    <s v="-"/>
    <s v="-"/>
    <s v="-"/>
    <s v="-"/>
    <s v="-"/>
    <m/>
    <m/>
    <m/>
    <m/>
    <m/>
    <m/>
    <m/>
    <m/>
    <m/>
    <m/>
    <m/>
    <m/>
    <m/>
    <m/>
    <m/>
    <m/>
    <m/>
    <m/>
    <m/>
    <m/>
    <m/>
    <m/>
    <m/>
    <n v="2"/>
    <m/>
    <m/>
    <m/>
    <m/>
    <m/>
    <m/>
    <m/>
    <m/>
    <m/>
    <m/>
    <m/>
    <m/>
    <m/>
    <n v="1"/>
    <s v="civil"/>
    <s v="F"/>
    <n v="1"/>
    <n v="1"/>
    <s v="F"/>
    <n v="22"/>
    <n v="4"/>
    <n v="6"/>
    <n v="12"/>
    <s v="PF"/>
    <n v="31"/>
    <n v="12"/>
    <n v="10"/>
    <n v="9"/>
    <n v="10"/>
    <n v="0.93486869335174561"/>
    <n v="0.50986284017562866"/>
    <n v="0.45150807499885559"/>
    <n v="0.7690272331237793"/>
    <n v="0.35697352886199951"/>
    <n v="-3.7337947636842728E-2"/>
    <n v="23"/>
    <n v="0.75929999999999997"/>
    <n v="0.78430999999999995"/>
    <n v="0.74802999999999997"/>
    <n v="0.67473000000000005"/>
    <n v="0.85519999999999996"/>
    <n v="36"/>
    <n v="6.94"/>
    <n v="7.62"/>
    <n v="5.38"/>
    <n v="8.7100000000000009"/>
    <s v="Consolidation Act regarding the Protection of Personal Data"/>
    <s v="http://www.garanteprivacy.it/web/guest/home/docweb/-/docweb-display/docweb/28335 "/>
    <n v="1996"/>
    <n v="2003"/>
    <s v="Both"/>
    <s v="Data Protection Authority"/>
    <s v="http://www.garanteprivacy.it"/>
    <s v="ICDPPC; EDPA; A29WP; GPEN"/>
    <n v="95"/>
    <n v="57"/>
    <n v="1990"/>
    <s v="http://www.rti-rating.org/files/pdf/Italy.pdf"/>
    <n v="2"/>
    <n v="21"/>
    <n v="7"/>
    <n v="5"/>
    <n v="13"/>
    <n v="2"/>
    <n v="7"/>
    <s v="EU"/>
    <s v="OECD"/>
    <m/>
    <m/>
    <m/>
    <s v=".."/>
    <s v="EMU"/>
    <n v="0"/>
    <n v="19"/>
    <n v="76"/>
    <s v="A"/>
    <m/>
    <n v="5"/>
    <n v="2"/>
    <n v="0"/>
  </r>
  <r>
    <n v="84"/>
    <m/>
    <s v="Jamaica"/>
    <x v="5"/>
    <x v="1"/>
    <s v="JAM"/>
    <s v="JM"/>
    <s v="http://www.rgd.gov.jm/overview"/>
    <s v="Departamento de Registro General (RGD), Ministerio del Salud"/>
    <n v="3"/>
    <n v="1879"/>
    <n v="2"/>
    <s v="14 d-3m"/>
    <s v="free"/>
    <s v="http://www.rgd.gov.jm"/>
    <s v="Registrar General's Department"/>
    <n v="6"/>
    <n v="1999"/>
    <s v="NIDS / National Identification System"/>
    <x v="1"/>
    <n v="2"/>
    <s v="-"/>
    <s v="free"/>
    <n v="1"/>
    <n v="1"/>
    <m/>
    <n v="1"/>
    <m/>
    <m/>
    <s v="http://opm.gov.jm/opm-programmes/national-identification-system/"/>
    <n v="2016"/>
    <n v="2"/>
    <s v="4B"/>
    <s v="C, F, H, R, S, V"/>
    <n v="0"/>
    <n v="0"/>
    <s v="-"/>
    <n v="10"/>
    <s v="http://www.egovja.com/content/national-identification-system-nids"/>
    <s v="-"/>
    <n v="0"/>
    <n v="0"/>
    <s v="https://www.mns.gov.jm/"/>
    <s v="Ministry of National Security"/>
    <n v="1"/>
    <n v="6"/>
    <n v="2009"/>
    <n v="5"/>
    <s v="-"/>
    <n v="0"/>
    <s v="https://www.orcjamaica.com/profile/ "/>
    <n v="2003"/>
    <n v="1"/>
    <n v="1"/>
    <s v="http://www.jamaicatax.gov.jm/index.php/2012-05-11-17-40-29/taxpayer-registration-number-trn "/>
    <n v="1994"/>
    <n v="0"/>
    <s v="-"/>
    <n v="0"/>
    <s v="-"/>
    <n v="1"/>
    <n v="1"/>
    <n v="2793.335"/>
    <n v="50.201497493139925"/>
    <n v="1391.039"/>
    <n v="1402.296"/>
    <n v="203.732"/>
    <n v="48.679147114837143"/>
    <n v="104.557"/>
    <n v="99.174999999999997"/>
    <n v="217.86199999999999"/>
    <n v="49.205919343437586"/>
    <n v="110.661"/>
    <n v="107.20099999999999"/>
    <n v="237.02799999999999"/>
    <n v="48.848237339048559"/>
    <n v="121.244"/>
    <n v="115.78400000000001"/>
    <n v="2134.7130000000002"/>
    <n v="50.598651903089539"/>
    <n v="1054.577"/>
    <n v="1080.136"/>
    <n v="2015"/>
    <s v="http://esa.un.org/unpd/wpp/Download/Standard/Population/"/>
    <n v="98.1"/>
    <n v="97.3"/>
    <n v="98.8"/>
    <n v="98"/>
    <n v="98"/>
    <n v="2010"/>
    <s v="JSLC"/>
    <n v="1648.0360000000001"/>
    <n v="58.998866945783448"/>
    <n v="820.69724877395652"/>
    <n v="827.33875122604354"/>
    <n v="2011"/>
    <s v="http://www.electionguide.org/countries/id/108/"/>
    <s v="-"/>
    <n v="18"/>
    <s v="JM2011"/>
    <n v="1648.0360000000001"/>
    <n v="1897.7249999999999"/>
    <n v="2868.38"/>
    <n v="1"/>
    <n v="4"/>
    <s v="CD"/>
    <x v="1"/>
    <n v="499.19081800000015"/>
    <n v="17.870782344401949"/>
    <n v="51.41584330462512"/>
    <n v="242.96422522604348"/>
    <n v="256.66316877395644"/>
    <n v="17.466384855208481"/>
    <n v="18.303066454868048"/>
    <n v="486.67700000000013"/>
    <n v="51.943537248309738"/>
    <n v="233.87975122604348"/>
    <n v="252.79724877395643"/>
    <n v="8.6429100000000076"/>
    <n v="30.959711486061988"/>
    <n v="6.2614350000000059"/>
    <n v="2.6758200000000025"/>
    <n v="3.8709080000000036"/>
    <n v="30.744724493581348"/>
    <n v="2.8230390000000027"/>
    <n v="1.190100000000001"/>
    <n v="2.7000000000000024"/>
    <n v="1.2000000000000011"/>
    <n v="2715"/>
    <n v="50.768250460405149"/>
    <n v="737.57249034444033"/>
    <n v="49.225630653361527"/>
    <n v="248.548"/>
    <n v="48.738024374370838"/>
    <n v="83.340602472302947"/>
    <n v="1648"/>
    <n v="329.42750965555967"/>
    <n v="50.768250460405149"/>
    <n v="14.013877316544379"/>
    <n v="49.225630653361527"/>
    <n v="4.4915559054465115"/>
    <n v="48.738024374370838"/>
    <n v="1418.2619999999999"/>
    <n v="52.238"/>
    <n v="53.106971772493374"/>
    <n v="1296.7380000000001"/>
    <n v="47.762"/>
    <n v="48.834460711559004"/>
    <n v="8.7070968410322926"/>
    <n v="8.72994258554934"/>
    <n v="9.7295167428474656"/>
    <n v="27.166574229997799"/>
    <n v="64.922762697349896"/>
    <n v="7.9106630726523504"/>
    <n v="98.1"/>
    <n v="98.8"/>
    <n v="97.3"/>
    <n v="98"/>
    <n v="98"/>
    <n v="2010"/>
    <n v="0.21"/>
    <n v="2004"/>
    <n v="5.7014999999999993"/>
    <n v="17.600000000000001"/>
    <n v="2010"/>
    <n v="476.8368000000001"/>
    <n v="16.5"/>
    <n v="2009"/>
    <n v="87.482017517089801"/>
    <s v="eng"/>
    <n v="0"/>
    <s v="-"/>
    <s v="-"/>
    <s v="-"/>
    <s v="-"/>
    <s v="-"/>
    <s v="-"/>
    <s v="-"/>
    <s v="-"/>
    <n v="2"/>
    <s v="-"/>
    <s v="-"/>
    <s v="-"/>
    <s v="-"/>
    <s v="P007457 (C); P007490 (C)"/>
    <s v="-"/>
    <n v="2729900"/>
    <n v="2010"/>
    <n v="52"/>
    <n v="48"/>
    <n v="18.600000000000001"/>
    <s v="?"/>
    <n v="86"/>
    <s v="eng"/>
    <n v="11"/>
    <s v="?"/>
    <n v="4"/>
    <s v="-"/>
    <s v="-"/>
    <s v="Tarjeta nacional de votación"/>
    <s v="free"/>
    <s v="Birth Entry Number"/>
    <s v="http://www.moj.gov.jm/node/view/21"/>
    <m/>
    <m/>
    <n v="1"/>
    <s v="Voter Registration"/>
    <m/>
    <m/>
    <m/>
    <m/>
    <m/>
    <m/>
    <m/>
    <m/>
    <m/>
    <m/>
    <n v="2"/>
    <s v="common"/>
    <s v="F"/>
    <n v="2"/>
    <n v="3"/>
    <s v="-"/>
    <s v="-"/>
    <s v="-"/>
    <s v="-"/>
    <s v="-"/>
    <s v="F"/>
    <n v="17"/>
    <n v="3"/>
    <n v="8"/>
    <n v="6"/>
    <n v="10"/>
    <n v="0.49796345829963684"/>
    <n v="0.17612482607364655"/>
    <n v="-1.6090983524918556E-2"/>
    <n v="0.22610543668270111"/>
    <n v="-0.38703241944313049"/>
    <n v="-0.36755746603012085"/>
    <n v="109"/>
    <n v="0.43881999999999999"/>
    <n v="0.19606999999999999"/>
    <n v="0.31496000000000002"/>
    <n v="0.27533000000000002"/>
    <n v="0.72619999999999996"/>
    <n v="97"/>
    <n v="4.26"/>
    <n v="4.58"/>
    <n v="2.62"/>
    <n v="6.89"/>
    <s v="Data Protection Bill"/>
    <s v="http://jis.gov.jm/data-protection-law-to-be-promulgated-this-year"/>
    <n v="2012"/>
    <s v="-"/>
    <s v="Both"/>
    <s v="-"/>
    <s v="-"/>
    <s v="-"/>
    <n v="47"/>
    <n v="88"/>
    <n v="2002"/>
    <s v="http://www.rti-rating.org/files/pdf/Jamaica.pdf"/>
    <n v="3"/>
    <n v="18"/>
    <n v="23"/>
    <n v="14"/>
    <n v="17"/>
    <n v="5"/>
    <n v="8"/>
    <m/>
    <m/>
    <m/>
    <m/>
    <m/>
    <s v="IBRD"/>
    <s v=""/>
    <n v="0"/>
    <n v="16"/>
    <n v="64"/>
    <s v="B"/>
    <m/>
    <n v="4"/>
    <n v="0"/>
    <n v="0"/>
  </r>
  <r>
    <n v="85"/>
    <m/>
    <s v="Japan"/>
    <x v="6"/>
    <x v="2"/>
    <s v="JPN"/>
    <s v="JP"/>
    <s v="http://www.tokyo-icc.jp"/>
    <s v="Koseki; Municipal Office"/>
    <n v="5"/>
    <n v="1670"/>
    <n v="2"/>
    <s v="14 d"/>
    <s v="free"/>
    <s v="http://www.soumu.go.jp/english/lab/index.html"/>
    <s v="Ministry of Internal Affairs and Communications"/>
    <n v="2"/>
    <n v="1999"/>
    <s v="Juki Net / Basic Resident Registration Network System"/>
    <x v="1"/>
    <n v="1"/>
    <s v="-"/>
    <s v="free"/>
    <n v="0"/>
    <n v="0"/>
    <s v="http://en.wikipedia.org/wiki/Koseki"/>
    <m/>
    <m/>
    <m/>
    <s v="http://juki-card.com/"/>
    <n v="2003"/>
    <n v="3"/>
    <s v="4B"/>
    <s v="C, E, H, R, S, V"/>
    <n v="1"/>
    <n v="1"/>
    <s v="-"/>
    <n v="9"/>
    <s v="http://juki-card.com/about/index.html"/>
    <s v="-"/>
    <n v="0"/>
    <n v="0"/>
    <s v="http://www.seikatubunka.metro.tokyo.jp/index.html"/>
    <s v="Bureau of citizens and cultural affairs"/>
    <n v="2"/>
    <n v="2"/>
    <n v="2006"/>
    <n v="10"/>
    <n v="20000"/>
    <n v="0"/>
    <s v="http://www1.touki.or.jp/gateway.html "/>
    <n v="2011"/>
    <n v="1"/>
    <n v="1"/>
    <s v="http://www.japantimes.co.jp/news/2015/01/07/national/ready-for-your-my-number-id-many-japanese-firms-arent/#.VLVCEyKzHMs "/>
    <n v="2016"/>
    <n v="0"/>
    <s v="-"/>
    <n v="0"/>
    <s v="-"/>
    <n v="3"/>
    <n v="1"/>
    <n v="126573.481"/>
    <n v="51.365343266493554"/>
    <n v="61558.578000000001"/>
    <n v="65014.902999999998"/>
    <n v="5269.0379999999996"/>
    <n v="48.647684833550265"/>
    <n v="2705.7730000000001"/>
    <n v="2563.2649999999999"/>
    <n v="5398.973"/>
    <n v="48.697650460559814"/>
    <n v="2769.8"/>
    <n v="2629.1729999999998"/>
    <n v="5603.6379999999999"/>
    <n v="48.781684327217427"/>
    <n v="2870.0889999999999"/>
    <n v="2733.549"/>
    <n v="110301.83199999999"/>
    <n v="51.756997109531234"/>
    <n v="53212.915999999997"/>
    <n v="57088.915999999997"/>
    <n v="2015"/>
    <s v="http://esa.un.org/unpd/wpp/Download/Standard/Population/"/>
    <n v="100"/>
    <n v="100"/>
    <n v="100"/>
    <s v="–"/>
    <s v="–"/>
    <n v="2012"/>
    <s v="UNSD "/>
    <n v="101280.758"/>
    <n v="80.017360034524131"/>
    <n v="49257.548990393363"/>
    <n v="52023.209009606631"/>
    <n v="2014"/>
    <s v="http://www.electionguide.org/countries/id/109/"/>
    <s v="-"/>
    <n v="18"/>
    <s v="JP2014"/>
    <n v="101280.758"/>
    <n v="102617.75900000001"/>
    <n v="127103.38800000001"/>
    <n v="1"/>
    <n v="5"/>
    <s v="CD"/>
    <x v="1"/>
    <n v="9021.0739999999932"/>
    <n v="7.1271437972066138"/>
    <n v="56.154145175988688"/>
    <n v="3955.3670096066344"/>
    <n v="5065.7069903933661"/>
    <n v="6.4253709850260581"/>
    <n v="7.7916089337138077"/>
    <n v="9021.0739999999932"/>
    <n v="56.154145175988688"/>
    <n v="3955.3670096066344"/>
    <n v="5065.7069903933661"/>
    <n v="0"/>
    <n v="0"/>
    <n v="0"/>
    <n v="0"/>
    <n v="0"/>
    <n v="0"/>
    <n v="0"/>
    <n v="0"/>
    <n v="0"/>
    <n v="0"/>
    <n v="127338.621"/>
    <n v="51.348204092770878"/>
    <n v="16619.555098701301"/>
    <n v="48.656056723421422"/>
    <n v="5381.9690000000001"/>
    <n v="48.672422058093559"/>
    <n v="86.398850298535578"/>
    <n v="95660"/>
    <n v="15059.065901298683"/>
    <n v="51.348204092770878"/>
    <n v="0"/>
    <n v="48.656056723421422"/>
    <n v="0"/>
    <n v="48.672422058093559"/>
    <n v="117563.599"/>
    <n v="92.323599999999999"/>
    <n v="51.348204092770878"/>
    <n v="9775.0220000000008"/>
    <n v="7.676400000000001"/>
    <n v="51.348204092770878"/>
    <n v="4.2214983409110101"/>
    <n v="4.2929215320598137"/>
    <n v="4.5370446940908842"/>
    <n v="13.051464644572601"/>
    <n v="61.871003519116002"/>
    <n v="25.077531836311302"/>
    <n v="100"/>
    <n v="100"/>
    <n v="100"/>
    <n v="100"/>
    <n v="100"/>
    <n v="2012"/>
    <s v="-"/>
    <s v="-"/>
    <m/>
    <s v="-"/>
    <s v="-"/>
    <m/>
    <n v="16"/>
    <n v="2010"/>
    <s v="-"/>
    <s v="jpn"/>
    <n v="0"/>
    <s v="-"/>
    <s v="-"/>
    <s v="-"/>
    <s v="-"/>
    <s v="-"/>
    <s v="-"/>
    <s v="-"/>
    <s v="-"/>
    <s v="-"/>
    <m/>
    <m/>
    <m/>
    <m/>
    <m/>
    <m/>
    <m/>
    <m/>
    <m/>
    <m/>
    <m/>
    <m/>
    <m/>
    <m/>
    <m/>
    <m/>
    <m/>
    <m/>
    <m/>
    <m/>
    <m/>
    <m/>
    <m/>
    <m/>
    <m/>
    <m/>
    <m/>
    <m/>
    <m/>
    <m/>
    <m/>
    <m/>
    <m/>
    <m/>
    <m/>
    <m/>
    <m/>
    <n v="1"/>
    <s v="civil"/>
    <s v="F"/>
    <n v="1"/>
    <n v="1"/>
    <s v="F"/>
    <n v="22"/>
    <n v="4"/>
    <n v="7"/>
    <n v="11"/>
    <s v="F"/>
    <n v="25"/>
    <n v="5"/>
    <n v="14"/>
    <n v="6"/>
    <n v="10"/>
    <n v="1.0998812913894653"/>
    <n v="0.98158049583435059"/>
    <n v="1.5949901342391968"/>
    <n v="1.102057933807373"/>
    <n v="1.4094862937927246"/>
    <n v="1.6461528539657593"/>
    <n v="6"/>
    <n v="0.88744000000000001"/>
    <n v="0.96077999999999997"/>
    <n v="0.94488000000000005"/>
    <n v="0.85533000000000003"/>
    <n v="0.86209999999999998"/>
    <n v="11"/>
    <n v="8.2200000000000006"/>
    <n v="8.4"/>
    <n v="7.8"/>
    <n v="8.67"/>
    <s v="Act on the Protection of Personal Information"/>
    <s v="http://www.cas.go.jp/jp/seisaku/hourei/data/APPI.pdf "/>
    <n v="2003"/>
    <n v="2003"/>
    <s v="Both"/>
    <s v="Ministries of Internal Affairs and Communications"/>
    <s v="http://www.soumu.go.jp/ "/>
    <s v="-"/>
    <n v="82"/>
    <n v="65"/>
    <n v="1999"/>
    <s v="http://www.rti-rating.org/files/pdf/Japan.pdf"/>
    <n v="3"/>
    <n v="14"/>
    <n v="13"/>
    <n v="21"/>
    <n v="9"/>
    <n v="0"/>
    <n v="5"/>
    <m/>
    <s v="OECD"/>
    <s v="APEC"/>
    <m/>
    <m/>
    <s v=".."/>
    <s v=""/>
    <n v="0"/>
    <n v="19"/>
    <n v="76"/>
    <s v="A"/>
    <m/>
    <n v="5"/>
    <n v="2"/>
    <n v="0"/>
  </r>
  <r>
    <n v="86"/>
    <m/>
    <s v="Jordan"/>
    <x v="2"/>
    <x v="1"/>
    <s v="JOR"/>
    <s v="JO"/>
    <s v="http://www.cspd.gov.jo"/>
    <s v="Office of Civil Status and Passport"/>
    <n v="6"/>
    <n v="1954"/>
    <n v="2"/>
    <s v="30 d"/>
    <s v="1 JOD"/>
    <s v="http://www.cspd.gov.jo/SubDefault.aspx?PageId=186&amp;MenuId=111"/>
    <s v="Department of Civil Status and Passports"/>
    <n v="6"/>
    <n v="1955"/>
    <s v="Personal Card"/>
    <x v="1"/>
    <n v="2"/>
    <n v="16"/>
    <s v="2 JOD"/>
    <n v="1"/>
    <n v="1"/>
    <m/>
    <n v="1"/>
    <n v="1"/>
    <m/>
    <s v="http://www.jordan.gov.jo/wps/portal/!ut/p/b1/jZFRT4MwFIV_iz_A9JYitI_AsC2DRmHtRl8WzBYyxsAHohu_Xlx8UOM279tNvnNyTg6yqMSMMkpcwly0Qrar3nZ1Nez6rmo_f-utDZtTM-cYIJYRyDDNfUEd7CQwAeV3gApOQSbgeJkfEnC9_-kjHgjXTwFoyh9ABkLn7JkQCMgt_RKV4ZcJXLgAbpkU224ysj8xbiatDAvFPM0dashv4I-uZ-BamTNwJWg5Af7lqBgt0ArcddGcXuW4H_MGjqpojMwaSbCGUTUzrfQeFON4iI8pnun3Aga1aGyWjRKrQTxtTK7DYLaRsipRgmzd9i_T1MsIKdEftuhg28f0dJ_EOcWU1HcfJfn-Ag!!/dl4/d5/L2dBISEvZ0FBIS9nQSEh/"/>
    <n v="2012"/>
    <n v="2"/>
    <s v="4B"/>
    <s v="C, S"/>
    <n v="0"/>
    <n v="0"/>
    <s v="-"/>
    <n v="9"/>
    <s v="http://en.ammonnews.net/article.aspx?articleno=6991#.VKBU1YcOA"/>
    <s v="-"/>
    <n v="1"/>
    <n v="1"/>
    <s v="www.cspd.gov.jo"/>
    <s v="Civil Status and Passports Department"/>
    <n v="1"/>
    <n v="2"/>
    <n v="2003"/>
    <n v="5"/>
    <s v="-"/>
    <n v="0"/>
    <s v="http://www.ccd.gov.jo/e-services/home/search-by-company-name"/>
    <n v="1997"/>
    <n v="1"/>
    <n v="1"/>
    <s v="http://www.doingbusiness.org/data/exploreeconomies/jordan/starting-a-business"/>
    <n v="2008"/>
    <n v="0"/>
    <s v="-"/>
    <n v="0"/>
    <s v="-"/>
    <n v="0"/>
    <n v="1"/>
    <n v="7594.5469999999996"/>
    <n v="48.792021433273113"/>
    <n v="3889.0140000000001"/>
    <n v="3705.5329999999999"/>
    <n v="980.40499999999997"/>
    <n v="48.9412028702424"/>
    <n v="500.58300000000003"/>
    <n v="479.822"/>
    <n v="896.01900000000001"/>
    <n v="49.082441332159256"/>
    <n v="456.23099999999999"/>
    <n v="439.78800000000001"/>
    <n v="821.57100000000003"/>
    <n v="49.051147131532147"/>
    <n v="418.58100000000002"/>
    <n v="402.99"/>
    <n v="4896.5519999999997"/>
    <n v="48.665530356871535"/>
    <n v="2513.6189999999997"/>
    <n v="2382.933"/>
    <n v="2015"/>
    <s v="http://esa.un.org/unpd/wpp/Download/Standard/Population/"/>
    <n v="99.1"/>
    <n v="99.3"/>
    <n v="98.8"/>
    <n v="99"/>
    <n v="99.5"/>
    <n v="2012"/>
    <s v="DHS (prelim)"/>
    <n v="2272.1819999999998"/>
    <n v="29.918598173136591"/>
    <n v="1163.5384715570262"/>
    <n v="1108.6435284429735"/>
    <n v="2013"/>
    <s v="http://www.electionguide.org/countries/id/110/"/>
    <n v="16"/>
    <n v="18"/>
    <s v="JO2013"/>
    <n v="2272.1819999999998"/>
    <n v="3759.5329999999999"/>
    <n v="6508.8869999999997"/>
    <n v="1"/>
    <n v="4"/>
    <s v="CD"/>
    <x v="1"/>
    <n v="2648.6519549999998"/>
    <n v="34.875706938149179"/>
    <n v="48.710086998086787"/>
    <n v="1359.7082934429734"/>
    <n v="1290.1606715570265"/>
    <n v="34.962802742365376"/>
    <n v="34.817141597633224"/>
    <n v="2624.37"/>
    <n v="48.556014264643572"/>
    <n v="1350.0805284429734"/>
    <n v="1274.2894715570264"/>
    <n v="15.458310000000015"/>
    <n v="65.423296595811578"/>
    <n v="6.1236840000000061"/>
    <n v="10.113336000000011"/>
    <n v="8.823645000000008"/>
    <n v="65.254937160323195"/>
    <n v="3.5040810000000033"/>
    <n v="5.757864000000005"/>
    <n v="0.70000000000000062"/>
    <n v="1.2000000000000011"/>
    <n v="6459"/>
    <n v="48.973107292150488"/>
    <n v="2198.5155711616435"/>
    <n v="48.450074462807684"/>
    <n v="954.60299999999995"/>
    <n v="48.772323634737184"/>
    <n v="53.280326167485306"/>
    <n v="2270"/>
    <n v="1990.484428838357"/>
    <n v="48.973107292150488"/>
    <n v="19.786640140454811"/>
    <n v="48.450074462807684"/>
    <n v="7.4807010297858705"/>
    <n v="48.772323634737184"/>
    <n v="5373.2030000000004"/>
    <n v="83.189400000000006"/>
    <n v="36.14142253698585"/>
    <n v="1085.797"/>
    <n v="16.810599999999994"/>
    <n v="49.309401296927511"/>
    <n v="12.868694895642365"/>
    <n v="11.197092474869279"/>
    <n v="9.9722370914793732"/>
    <n v="34.038017822598597"/>
    <n v="62.416833349395603"/>
    <n v="3.5451488280058299"/>
    <n v="99.1"/>
    <n v="98.8"/>
    <n v="99.3"/>
    <n v="99"/>
    <n v="99.5"/>
    <n v="2012"/>
    <n v="0.12"/>
    <n v="2010"/>
    <n v="7"/>
    <n v="13.3"/>
    <n v="2008"/>
    <n v="822.07299999999998"/>
    <n v="14.2"/>
    <n v="2002"/>
    <n v="97.890319824218807"/>
    <s v="ara"/>
    <n v="0"/>
    <s v="-"/>
    <s v="-"/>
    <s v="-"/>
    <s v="-"/>
    <s v="-"/>
    <s v="-"/>
    <s v="-"/>
    <s v="-"/>
    <s v="-"/>
    <m/>
    <m/>
    <m/>
    <m/>
    <m/>
    <m/>
    <m/>
    <m/>
    <m/>
    <m/>
    <m/>
    <m/>
    <m/>
    <m/>
    <m/>
    <m/>
    <m/>
    <m/>
    <m/>
    <m/>
    <m/>
    <m/>
    <m/>
    <m/>
    <m/>
    <m/>
    <m/>
    <m/>
    <m/>
    <m/>
    <m/>
    <m/>
    <m/>
    <m/>
    <m/>
    <m/>
    <m/>
    <n v="3"/>
    <s v="civil + religious"/>
    <s v="NF"/>
    <n v="6"/>
    <n v="5"/>
    <s v="PF"/>
    <n v="48"/>
    <n v="12"/>
    <n v="15"/>
    <n v="21"/>
    <s v="NF"/>
    <n v="68"/>
    <n v="22"/>
    <n v="26"/>
    <n v="20"/>
    <n v="-1"/>
    <n v="-0.81671696901321411"/>
    <n v="-0.61608850955963135"/>
    <n v="-0.11210222542285919"/>
    <n v="0.11452990770339966"/>
    <n v="0.38729506731033325"/>
    <n v="8.6076445877552032E-2"/>
    <n v="79"/>
    <n v="0.51673999999999998"/>
    <n v="0.47058"/>
    <n v="0.51968000000000003"/>
    <n v="0.31035000000000001"/>
    <n v="0.72019999999999995"/>
    <n v="87"/>
    <n v="4.62"/>
    <n v="5.47"/>
    <n v="2.2200000000000002"/>
    <n v="7.74"/>
    <s v="-"/>
    <s v="-"/>
    <s v="-"/>
    <s v="-"/>
    <s v="-"/>
    <s v="-"/>
    <s v="-"/>
    <s v="-"/>
    <n v="96"/>
    <n v="53"/>
    <n v="2007"/>
    <s v="http://www.rti-rating.org/files/pdf/Jordan.pdf"/>
    <n v="0"/>
    <n v="25"/>
    <n v="5"/>
    <n v="10"/>
    <n v="8"/>
    <n v="0"/>
    <n v="5"/>
    <m/>
    <m/>
    <m/>
    <m/>
    <m/>
    <s v="IBRD"/>
    <s v=""/>
    <n v="0"/>
    <n v="15"/>
    <n v="60"/>
    <s v="B"/>
    <m/>
    <n v="4"/>
    <n v="0"/>
    <n v="0"/>
  </r>
  <r>
    <n v="87"/>
    <m/>
    <s v="Kazakhstan"/>
    <x v="1"/>
    <x v="1"/>
    <s v="KAZ"/>
    <s v="KZ"/>
    <s v="http://egov.kz/wps/portal/Content?contentPath=/egovcontent/_family/child_/article/childbirth&amp;lang=en"/>
    <s v="Civil Registry Office, Min of Justice"/>
    <n v="1"/>
    <n v="1991"/>
    <n v="2"/>
    <s v="60 d"/>
    <s v="free"/>
    <s v="http://egov.kz/wps/portal/Content?contentPath=/egovcontent/citizen_migration/passport_id_card/article/iin_info&amp;lang=en"/>
    <s v="CON Registration Office"/>
    <n v="1"/>
    <n v="1997"/>
    <s v="ID Card"/>
    <x v="1"/>
    <n v="2"/>
    <n v="16"/>
    <s v="KZT 282"/>
    <n v="0"/>
    <n v="0"/>
    <m/>
    <m/>
    <m/>
    <m/>
    <s v="http://pki.gov.kz/index.php/en/udostoverenie-lichnosti"/>
    <n v="2014"/>
    <n v="3"/>
    <s v="4B"/>
    <s v="C, E, F, H, S, T, O"/>
    <n v="1"/>
    <n v="1"/>
    <s v="-"/>
    <n v="2"/>
    <s v="http://www.pki.gov.kz/index.php/en/udostoverenie-lichnosti"/>
    <s v="-"/>
    <n v="0"/>
    <n v="0"/>
    <s v="http://egov.kz/wps/portal/index"/>
    <s v="Ministry of Justice"/>
    <n v="2"/>
    <n v="1"/>
    <n v="2009"/>
    <n v="5"/>
    <n v="130"/>
    <n v="1"/>
    <s v="http://www.salyk.kz/ru/Pages/findtaxpayers.aspx"/>
    <n v="2013"/>
    <n v="1"/>
    <n v="1"/>
    <s v="http://egov.kz/wps/portal/Content?contentPath=/egovcontent/bus_business/for_businessmen/article/business_identification_number&amp;lang=en"/>
    <n v="2013"/>
    <n v="0"/>
    <s v="-"/>
    <n v="1"/>
    <s v="http://egov.kz/wps/portal/index"/>
    <n v="0"/>
    <n v="0"/>
    <n v="17625.225999999999"/>
    <n v="51.705249056097216"/>
    <n v="8512.0589999999993"/>
    <n v="9113.1669999999995"/>
    <n v="1948.4480000000001"/>
    <n v="48.58302608024438"/>
    <n v="1001.833"/>
    <n v="946.61500000000001"/>
    <n v="1618.9839999999999"/>
    <n v="48.554402020032313"/>
    <n v="832.89599999999996"/>
    <n v="786.08799999999997"/>
    <n v="1141.57"/>
    <n v="48.807694666117719"/>
    <n v="584.39599999999996"/>
    <n v="557.17399999999998"/>
    <n v="12916.223999999998"/>
    <n v="52.827281409799035"/>
    <n v="6092.9340000000002"/>
    <n v="6823.29"/>
    <n v="2015"/>
    <s v="http://esa.un.org/unpd/wpp/Download/Standard/Population/"/>
    <n v="99.7"/>
    <n v="99.8"/>
    <n v="99.7"/>
    <n v="99.9"/>
    <n v="99.6"/>
    <s v="2010-2011"/>
    <s v="MICS"/>
    <n v="9547.8639999999996"/>
    <n v="54.171583388491015"/>
    <n v="4611.1171392625538"/>
    <n v="4936.7468607374458"/>
    <n v="2015"/>
    <s v="http://www.electionguide.org/countries/id/111/"/>
    <n v="16"/>
    <n v="18"/>
    <s v="KZ2015"/>
    <n v="9547.8639999999996"/>
    <n v="12839.924999999999"/>
    <n v="18157.121999999999"/>
    <n v="1"/>
    <n v="4"/>
    <s v="CD"/>
    <x v="1"/>
    <n v="3382.4870059999985"/>
    <n v="19.191169554364855"/>
    <n v="55.976941431081286"/>
    <n v="1486.6551107374464"/>
    <n v="1893.4127702625542"/>
    <n v="17.465282027972862"/>
    <n v="20.776671493703063"/>
    <n v="3368.3599999999988"/>
    <n v="56.007764587590245"/>
    <n v="1481.8168607374464"/>
    <n v="1886.5431392625542"/>
    <n v="8.2816620000000079"/>
    <n v="48.659145954036752"/>
    <n v="2.8345840000000022"/>
    <n v="4.0297860000000032"/>
    <n v="5.8453440000000052"/>
    <n v="48.58302608024438"/>
    <n v="2.0036660000000017"/>
    <n v="2.8398450000000026"/>
    <n v="0.20000000000000018"/>
    <n v="0.30000000000000027"/>
    <n v="17037.508000000002"/>
    <n v="51.851133393451676"/>
    <n v="4390.3968807807796"/>
    <n v="48.640316778378086"/>
    <n v="1658.489"/>
    <n v="48.631443573500704"/>
    <n v="73.558300486999485"/>
    <n v="9303"/>
    <n v="3344.1111192192238"/>
    <n v="51.851133393451676"/>
    <n v="13.171190642342351"/>
    <n v="48.640316778378086"/>
    <n v="5.0866181966705533"/>
    <n v="48.631443573500704"/>
    <n v="9105.9349999999995"/>
    <n v="53.446399999999997"/>
    <n v="55.682837621836747"/>
    <n v="7931.5730000000003"/>
    <n v="46.553600000000003"/>
    <n v="46.52648346046869"/>
    <n v="9.9518039779654544"/>
    <n v="8.7573514989997765"/>
    <n v="7.0598536997289196"/>
    <n v="25.7690084769485"/>
    <n v="67.5691000308626"/>
    <n v="6.6618914921889001"/>
    <n v="99.7"/>
    <n v="99.7"/>
    <n v="99.8"/>
    <n v="99.9"/>
    <n v="99.6"/>
    <n v="2011"/>
    <n v="0.11"/>
    <n v="2009"/>
    <n v="18"/>
    <n v="5.3"/>
    <n v="2011"/>
    <n v="877.59832699999981"/>
    <n v="5.3"/>
    <n v="2011"/>
    <n v="99.732414245605497"/>
    <s v="kaz"/>
    <n v="0"/>
    <s v="-"/>
    <s v="-"/>
    <s v="-"/>
    <s v="-"/>
    <s v="-"/>
    <s v="-"/>
    <s v="-"/>
    <s v="-"/>
    <n v="2"/>
    <s v="-"/>
    <s v="-"/>
    <s v="P116696 (A)"/>
    <s v="-"/>
    <s v="-"/>
    <s v="P143274 (A)"/>
    <m/>
    <m/>
    <m/>
    <m/>
    <m/>
    <m/>
    <m/>
    <m/>
    <m/>
    <m/>
    <m/>
    <m/>
    <m/>
    <m/>
    <m/>
    <m/>
    <m/>
    <m/>
    <m/>
    <m/>
    <m/>
    <m/>
    <m/>
    <m/>
    <m/>
    <m/>
    <m/>
    <m/>
    <m/>
    <m/>
    <m/>
    <n v="1"/>
    <s v="civil"/>
    <s v="NF"/>
    <n v="6"/>
    <n v="5"/>
    <s v="PF"/>
    <n v="60"/>
    <n v="15"/>
    <n v="23"/>
    <n v="22"/>
    <s v="NF"/>
    <n v="85"/>
    <n v="29"/>
    <n v="33"/>
    <n v="23"/>
    <n v="-3"/>
    <n v="-1.2243735790252686"/>
    <n v="-0.38138318061828613"/>
    <n v="-0.5370221734046936"/>
    <n v="-0.3830450177192688"/>
    <n v="-0.66697525978088379"/>
    <n v="-0.89843583106994629"/>
    <n v="28"/>
    <n v="0.72826999999999997"/>
    <n v="0.76470000000000005"/>
    <n v="0.74802999999999997"/>
    <n v="0.57487999999999995"/>
    <n v="0.8619"/>
    <n v="53"/>
    <n v="6.08"/>
    <n v="6.84"/>
    <n v="4.33"/>
    <n v="8.06"/>
    <s v="-"/>
    <s v="-"/>
    <s v="-"/>
    <s v="-"/>
    <s v="-"/>
    <s v="-"/>
    <s v="-"/>
    <s v="-"/>
    <s v="-"/>
    <s v="-"/>
    <s v="-"/>
    <s v="-"/>
    <s v="-"/>
    <s v="-"/>
    <s v="-"/>
    <s v="-"/>
    <s v="-"/>
    <s v="-"/>
    <s v="-"/>
    <m/>
    <m/>
    <m/>
    <m/>
    <n v="30.4"/>
    <s v="IBRD"/>
    <s v=""/>
    <n v="0"/>
    <n v="17"/>
    <n v="68"/>
    <s v="B"/>
    <m/>
    <n v="4"/>
    <n v="0"/>
    <n v="0"/>
  </r>
  <r>
    <n v="88"/>
    <m/>
    <s v="Kenya"/>
    <x v="4"/>
    <x v="0"/>
    <s v="KEN"/>
    <s v="KE"/>
    <s v="http://www.mirp.go.ke"/>
    <s v="Min of State for Immigration and Registration of Persons (MIRP)"/>
    <n v="6"/>
    <n v="1904"/>
    <n v="2"/>
    <s v="0 - 6 m"/>
    <s v="2 KD"/>
    <s v="http://www.freerepublic.com/focus/news/2307076/posts"/>
    <s v="Civil Registration Department"/>
    <n v="2"/>
    <n v="1971"/>
    <s v="National ID Card"/>
    <x v="1"/>
    <n v="2"/>
    <n v="18"/>
    <s v="free"/>
    <n v="1"/>
    <n v="1"/>
    <m/>
    <n v="1"/>
    <n v="1"/>
    <m/>
    <s v="http://www.businessdailyafrica.com/Rollout-of-digital-IDs-starts-in-Feb/-/539546/2497388/-/ujohpp/-/index.html"/>
    <n v="2015"/>
    <n v="2"/>
    <s v="4B"/>
    <s v="C, H, F, R"/>
    <n v="0"/>
    <n v="0"/>
    <s v="-"/>
    <n v="10"/>
    <s v="http://www.sdw2014.com/creo_files/logos/sdw2014_event_guide_min_web.pdf"/>
    <s v="-"/>
    <n v="0"/>
    <n v="0"/>
    <s v="http://www.immigration.go.ke/Information.html"/>
    <s v="Ministry of Interior"/>
    <n v="1"/>
    <n v="2"/>
    <n v="2005"/>
    <n v="10"/>
    <s v="-"/>
    <n v="0"/>
    <s v="http://www.ecitizen.go.ke/service.html"/>
    <n v="1959"/>
    <n v="0"/>
    <n v="1"/>
    <s v="http://www.doingbusiness.org/data/exploreeconomies/kenya/starting-a-business"/>
    <n v="2012"/>
    <n v="0"/>
    <s v="-"/>
    <n v="0"/>
    <s v="-"/>
    <n v="2"/>
    <n v="1"/>
    <n v="46050.302000000003"/>
    <n v="50.017837016573743"/>
    <n v="23016.937000000002"/>
    <n v="23033.365000000002"/>
    <n v="7166.4889999999996"/>
    <n v="49.580666348612276"/>
    <n v="3613.2959999999998"/>
    <n v="3553.1930000000002"/>
    <n v="6486.9949999999999"/>
    <n v="49.693363414030692"/>
    <n v="3263.3890000000001"/>
    <n v="3223.6060000000002"/>
    <n v="5645.7659999999996"/>
    <n v="49.74125743078973"/>
    <n v="2837.491"/>
    <n v="2808.2750000000001"/>
    <n v="26751.052000000003"/>
    <n v="50.272007994302434"/>
    <n v="13302.761000000004"/>
    <n v="13448.291000000003"/>
    <n v="2015"/>
    <s v="http://esa.un.org/unpd/wpp/Download/Standard/Population/"/>
    <n v="60"/>
    <n v="60.9"/>
    <n v="59.1"/>
    <n v="76.3"/>
    <n v="56.7"/>
    <s v="2008-2009"/>
    <s v="DHS"/>
    <n v="14352.532999999999"/>
    <n v="31.167076819604784"/>
    <n v="7173.706436310038"/>
    <n v="7178.8265636899614"/>
    <n v="2013"/>
    <s v="http://www.electionguide.org/countries/id/112/"/>
    <n v="18"/>
    <n v="18"/>
    <s v="KE2013"/>
    <n v="14352.532999999999"/>
    <n v="22177.678"/>
    <n v="43013.341"/>
    <n v="1"/>
    <n v="4"/>
    <s v="CD"/>
    <x v="0"/>
    <n v="20118.219000000005"/>
    <n v="43.687485480551253"/>
    <n v="50.649412367516419"/>
    <n v="9927.2973796899678"/>
    <n v="10189.759702310041"/>
    <n v="43.130401667650077"/>
    <n v="44.239127467089759"/>
    <n v="12398.519000000004"/>
    <n v="50.566236469936769"/>
    <n v="6129.054563689966"/>
    <n v="6269.4644363100415"/>
    <n v="4853.1044000000002"/>
    <n v="50.834252174752315"/>
    <n v="2385.4440800000002"/>
    <n v="2467.0393290000002"/>
    <n v="2866.5956000000001"/>
    <n v="50.696231341456041"/>
    <n v="1412.798736"/>
    <n v="1453.2559370000001"/>
    <n v="39.1"/>
    <n v="40.900000000000006"/>
    <n v="44353.690999999999"/>
    <n v="50.107518673023179"/>
    <n v="18728.332999999981"/>
    <n v="49.694885184001656"/>
    <n v="7048.018"/>
    <n v="49.620097656563807"/>
    <n v="34"/>
    <n v="8712.6217200000065"/>
    <n v="16912.736280000008"/>
    <n v="50.107518673023179"/>
    <n v="7491.3331999999928"/>
    <n v="49.694885184001656"/>
    <n v="2820.4868654518777"/>
    <n v="49.620097656563807"/>
    <n v="11004.416999999999"/>
    <n v="24.810600000000001"/>
    <n v="56.418836181871335"/>
    <n v="33349.273999999998"/>
    <n v="75.189400000000006"/>
    <n v="45.829855246623964"/>
    <n v="15.897700968403495"/>
    <n v="14.211953961748621"/>
    <n v="12.115315704197119"/>
    <n v="42.224970634349198"/>
    <n v="55.099188926576602"/>
    <n v="2.6758404390741699"/>
    <n v="60"/>
    <n v="59.1"/>
    <n v="60.9"/>
    <n v="76.3"/>
    <n v="56.7"/>
    <n v="2009"/>
    <n v="43.4"/>
    <n v="2005"/>
    <n v="18058.621952000001"/>
    <n v="45.9"/>
    <n v="2005"/>
    <n v="19098.865151999998"/>
    <n v="43.4"/>
    <n v="2012"/>
    <n v="72.157028198242202"/>
    <s v="eng"/>
    <n v="1"/>
    <n v="1"/>
    <s v="-"/>
    <s v="Underway"/>
    <s v="Plan"/>
    <s v="-"/>
    <s v="CR Minister"/>
    <n v="0.6"/>
    <s v="-"/>
    <n v="5"/>
    <s v="P094103 (A)"/>
    <s v="P131305 (A)"/>
    <s v="P090567 (C)"/>
    <s v="-"/>
    <s v="P066490 (C); P066490 (C); P090567 (C)"/>
    <s v="-"/>
    <m/>
    <m/>
    <m/>
    <m/>
    <m/>
    <m/>
    <m/>
    <m/>
    <m/>
    <m/>
    <m/>
    <m/>
    <m/>
    <m/>
    <m/>
    <m/>
    <m/>
    <m/>
    <m/>
    <n v="1"/>
    <s v="Electronic Voter Registration"/>
    <n v="1"/>
    <s v="Hunger Safety Net Program"/>
    <m/>
    <m/>
    <n v="1"/>
    <s v="KEMRI/CDC HDSS “CliniPAK” (EHRs)"/>
    <m/>
    <m/>
    <n v="1"/>
    <s v="UNHCR proGres (refugee tracking)"/>
    <n v="2"/>
    <s v="common + customary + religious"/>
    <s v="PF"/>
    <n v="4"/>
    <n v="4"/>
    <s v="F"/>
    <n v="28"/>
    <n v="9"/>
    <n v="7"/>
    <n v="12"/>
    <s v="PF"/>
    <n v="57"/>
    <n v="17"/>
    <n v="23"/>
    <n v="17"/>
    <n v="9"/>
    <n v="-0.24187590181827545"/>
    <n v="-1.1482337713241577"/>
    <n v="-0.48642918467521667"/>
    <n v="-0.35348868370056152"/>
    <n v="-0.7438962459564209"/>
    <n v="-1.0640664100646973"/>
    <n v="119"/>
    <n v="0.38053999999999999"/>
    <n v="0.64705000000000001"/>
    <n v="0.42519000000000001"/>
    <n v="0.16120000000000001"/>
    <n v="0.55520000000000003"/>
    <n v="124"/>
    <n v="2.79"/>
    <n v="3.29"/>
    <n v="1.41"/>
    <n v="4.54"/>
    <s v="Data Protection Bill"/>
    <s v="http://www.cickenya.org/index.php/legislation/item/download/298_d79313b69240bf9c9403613edacc41b1 "/>
    <n v="2012"/>
    <n v="2013"/>
    <s v="Both"/>
    <s v="-"/>
    <s v="-"/>
    <s v="-"/>
    <s v="-"/>
    <s v="-"/>
    <n v="1963"/>
    <s v="http://www.humanrightsinitiative.org/programs/ai/rti/international/laws_papers/kenya/draft_foi-bill_2005.pdf "/>
    <s v="-"/>
    <s v="-"/>
    <s v="-"/>
    <s v="-"/>
    <s v="-"/>
    <s v="-"/>
    <s v="-"/>
    <m/>
    <m/>
    <m/>
    <m/>
    <m/>
    <s v="IDA"/>
    <m/>
    <n v="0"/>
    <n v="16"/>
    <n v="64"/>
    <s v="B"/>
    <n v="1"/>
    <n v="3"/>
    <n v="0"/>
    <n v="0"/>
  </r>
  <r>
    <n v="89"/>
    <m/>
    <s v="Kiribati"/>
    <x v="6"/>
    <x v="3"/>
    <s v="KIR"/>
    <s v="KI"/>
    <s v="http://www.unicef.org/pacificislands/English_BIRTH_REGISLAYOUT.pdf"/>
    <s v="Civil Registration Office, Min of Justice"/>
    <n v="1"/>
    <n v="1979"/>
    <n v="2"/>
    <s v="10 d"/>
    <s v="free"/>
    <s v="http://www.president.gov.ki/ministry-of-internal-affairs/"/>
    <s v="Ministry of Interior"/>
    <n v="2"/>
    <n v="1979"/>
    <s v="National ID Card"/>
    <x v="1"/>
    <n v="2"/>
    <n v="18"/>
    <s v="free"/>
    <n v="0"/>
    <n v="0"/>
    <m/>
    <m/>
    <m/>
    <m/>
    <s v="-"/>
    <s v="-"/>
    <n v="0"/>
    <n v="1"/>
    <s v="-"/>
    <s v="-"/>
    <s v="-"/>
    <s v="-"/>
    <n v="0"/>
    <s v="-"/>
    <s v="-"/>
    <n v="0"/>
    <n v="0"/>
    <s v="http://www.mfa.gov.ki/"/>
    <s v="Ministry of Foreign Affairs and Immigration"/>
    <n v="1"/>
    <n v="3"/>
    <n v="2012"/>
    <n v="5"/>
    <s v="-"/>
    <n v="0"/>
    <s v="http://www.mcic.gov.ki/?page_id=34"/>
    <n v="2006"/>
    <n v="1"/>
    <n v="1"/>
    <s v="http://www.paclii.org/ki/legis/consol_act/co160/"/>
    <n v="1977"/>
    <n v="0"/>
    <s v="-"/>
    <n v="0"/>
    <s v="-"/>
    <n v="0"/>
    <n v="1"/>
    <n v="112.423"/>
    <n v="50.700479439260647"/>
    <n v="55.423999999999999"/>
    <n v="56.999000000000002"/>
    <n v="14.757"/>
    <n v="48.966592125770816"/>
    <n v="7.5309999999999997"/>
    <n v="7.226"/>
    <n v="13.727"/>
    <n v="49.246011510162454"/>
    <n v="6.9669999999999996"/>
    <n v="6.76"/>
    <n v="10.804"/>
    <n v="48.074787115883005"/>
    <n v="5.61"/>
    <n v="5.194"/>
    <n v="73.134999999999991"/>
    <n v="51.711218978601224"/>
    <n v="35.316000000000003"/>
    <n v="37.819000000000003"/>
    <n v="2015"/>
    <s v="http://esa.un.org/unpd/wpp/Download/Standard/Population/"/>
    <n v="93.5"/>
    <n v="94.5"/>
    <n v="92.5"/>
    <n v="94.5"/>
    <n v="92.8"/>
    <n v="2009"/>
    <s v="DHS"/>
    <n v="49.91"/>
    <n v="44.394830239363827"/>
    <n v="24.605390711865009"/>
    <n v="25.304609288134987"/>
    <n v="2012"/>
    <s v="http://www.electionguide.org/countries/id/113/"/>
    <n v="18"/>
    <n v="18"/>
    <s v="KI2012"/>
    <n v="49.91"/>
    <n v="61.341999999999999"/>
    <n v="101.998"/>
    <n v="1"/>
    <n v="5"/>
    <s v="CD"/>
    <x v="1"/>
    <n v="25.778719999999993"/>
    <n v="22.930112165660045"/>
    <n v="54.125614894242304"/>
    <n v="11.816549288134995"/>
    <n v="13.952890711865015"/>
    <n v="21.320275130151188"/>
    <n v="24.47918509423852"/>
    <n v="23.224999999999994"/>
    <n v="53.883275400925811"/>
    <n v="10.710609288134993"/>
    <n v="12.514390711865016"/>
    <n v="1.5945149999999986"/>
    <n v="56.227128625318691"/>
    <n v="0.69173500000000065"/>
    <n v="0.89654999999999951"/>
    <n v="0.9592049999999992"/>
    <n v="56.499913991274042"/>
    <n v="0.41420500000000038"/>
    <n v="0.54194999999999971"/>
    <n v="5.5000000000000053"/>
    <n v="7.4999999999999956"/>
    <n v="102.351"/>
    <n v="50.26624068157615"/>
    <n v="32.600999999999949"/>
    <n v="48.888070918069978"/>
    <n v="11.093"/>
    <n v="48.741818260185241"/>
    <n v="89.886762220203025"/>
    <n v="92"/>
    <n v="7.0539833514083981"/>
    <n v="50.26624068157615"/>
    <n v="2.1190649999999951"/>
    <n v="48.888070918069978"/>
    <n v="0.71838723399866145"/>
    <n v="48.741818260185241"/>
    <n v="45.234999999999999"/>
    <n v="44.195799999999998"/>
    <n v="46.150105007184699"/>
    <n v="57.116"/>
    <n v="55.804200000000002"/>
    <n v="45.600182085580222"/>
    <n v="10.798244562619914"/>
    <n v="10.284321165180451"/>
    <n v="10.769590088947885"/>
    <n v="31.852155816748201"/>
    <n v="64.015984211194805"/>
    <n v="4.1318599720569402"/>
    <n v="93.5"/>
    <n v="92.5"/>
    <n v="94.5"/>
    <n v="94.5"/>
    <n v="92.8"/>
    <n v="2009"/>
    <s v="-"/>
    <s v="-"/>
    <m/>
    <s v="-"/>
    <s v="-"/>
    <m/>
    <s v="-"/>
    <s v="-"/>
    <s v="-"/>
    <s v="eng"/>
    <n v="0"/>
    <s v="-"/>
    <s v="-"/>
    <s v="-"/>
    <s v="-"/>
    <s v="-"/>
    <s v="-"/>
    <s v="-"/>
    <s v="-"/>
    <s v="-"/>
    <m/>
    <m/>
    <m/>
    <m/>
    <m/>
    <m/>
    <m/>
    <m/>
    <m/>
    <m/>
    <m/>
    <m/>
    <m/>
    <m/>
    <m/>
    <m/>
    <m/>
    <m/>
    <m/>
    <m/>
    <m/>
    <m/>
    <m/>
    <m/>
    <m/>
    <m/>
    <m/>
    <m/>
    <m/>
    <m/>
    <m/>
    <m/>
    <m/>
    <m/>
    <m/>
    <m/>
    <m/>
    <n v="2"/>
    <s v="common"/>
    <s v="F"/>
    <n v="1"/>
    <n v="1"/>
    <s v="-"/>
    <s v="-"/>
    <s v="-"/>
    <s v="-"/>
    <s v="-"/>
    <s v="F"/>
    <n v="29"/>
    <n v="6"/>
    <n v="9"/>
    <n v="14"/>
    <m/>
    <n v="0.81585896015167236"/>
    <n v="1.3230555057525635"/>
    <n v="-0.84968149662017822"/>
    <n v="-1.376677393913269"/>
    <n v="0.14013822376728058"/>
    <n v="-4.0476474910974503E-2"/>
    <n v="132"/>
    <n v="0.3201"/>
    <n v="0.29410999999999998"/>
    <n v="0.21259"/>
    <n v="6.6540000000000002E-2"/>
    <n v="0.68120000000000003"/>
    <s v="-"/>
    <s v="-"/>
    <s v="-"/>
    <s v="-"/>
    <s v="-"/>
    <s v="-"/>
    <s v="-"/>
    <s v="-"/>
    <s v="-"/>
    <s v="-"/>
    <s v="-"/>
    <s v="-"/>
    <s v="-"/>
    <s v="-"/>
    <s v="-"/>
    <n v="1979"/>
    <s v="http://www.humanrightsinitiative.org/programs/ai/rti/international/laws_&amp;_papers.htm#17 "/>
    <s v="-"/>
    <s v="-"/>
    <s v="-"/>
    <s v="-"/>
    <s v="-"/>
    <s v="-"/>
    <s v="-"/>
    <m/>
    <m/>
    <m/>
    <n v="1"/>
    <m/>
    <s v="IDA"/>
    <s v=""/>
    <n v="1"/>
    <n v="10"/>
    <n v="40"/>
    <s v="C"/>
    <m/>
    <n v="5"/>
    <n v="0"/>
    <n v="0"/>
  </r>
  <r>
    <n v="90"/>
    <m/>
    <s v="Korea, DPR"/>
    <x v="3"/>
    <x v="0"/>
    <s v="PRK"/>
    <s v="KP"/>
    <s v="http://www.searo.who.int/entity/child_adolescent/data/fs_dprk.pdf"/>
    <s v="Central Bureau of Statistics"/>
    <n v="6"/>
    <n v="1948"/>
    <n v="2"/>
    <s v="5 d"/>
    <s v="free"/>
    <s v="http://www.korea-dpr.com/citizen.html"/>
    <s v="Ministry of Interior"/>
    <n v="2"/>
    <n v="1998"/>
    <s v="Identity Card, Travel Pass"/>
    <x v="0"/>
    <n v="2"/>
    <n v="0"/>
    <s v="free"/>
    <n v="0"/>
    <n v="0"/>
    <m/>
    <m/>
    <m/>
    <m/>
    <s v="http://www.dailynk.com/english/read.php?cataId=nk01500&amp;num=6087"/>
    <n v="2012"/>
    <n v="1"/>
    <n v="4"/>
    <s v="C"/>
    <n v="0"/>
    <n v="0"/>
    <s v="-"/>
    <n v="9"/>
    <s v="http://en.wikipedia.org/wiki/List_of_national_identity_card_policies_by_country"/>
    <n v="3"/>
    <n v="0"/>
    <n v="0"/>
    <s v="http://en.wikipedia.org/wiki/Government_of_North_Korea"/>
    <s v="Ministry of Foreign Affairs"/>
    <n v="1"/>
    <n v="3"/>
    <n v="2000"/>
    <n v="5"/>
    <s v="-"/>
    <n v="0"/>
    <s v="-"/>
    <s v="-"/>
    <n v="0"/>
    <n v="0"/>
    <s v="-"/>
    <s v="-"/>
    <n v="0"/>
    <s v="-"/>
    <n v="0"/>
    <s v="-"/>
    <n v="0"/>
    <n v="0"/>
    <n v="25155.316999999999"/>
    <n v="51.10470681009506"/>
    <n v="12299.766"/>
    <n v="12855.550999999999"/>
    <n v="1747.3969999999999"/>
    <n v="48.885742621739645"/>
    <n v="893.16899999999998"/>
    <n v="854.22799999999995"/>
    <n v="1709.6210000000001"/>
    <n v="48.921310629665868"/>
    <n v="873.25199999999995"/>
    <n v="836.36900000000003"/>
    <n v="1867.7149999999999"/>
    <n v="48.972086212296844"/>
    <n v="953.05600000000004"/>
    <n v="914.65899999999999"/>
    <n v="19830.583999999999"/>
    <n v="51.689324933647953"/>
    <n v="9580.2889999999989"/>
    <n v="10250.295"/>
    <n v="2015"/>
    <s v="http://esa.un.org/unpd/wpp/Download/Standard/Population/"/>
    <n v="100"/>
    <n v="100"/>
    <n v="100"/>
    <n v="100"/>
    <n v="100"/>
    <n v="2009"/>
    <s v="MICS"/>
    <n v="17645.838"/>
    <n v="70.147547733149224"/>
    <n v="8627.9842259156576"/>
    <n v="9017.8537740843421"/>
    <n v="2014"/>
    <s v="http://www.electionguide.org/countries/id/115/"/>
    <n v="0"/>
    <n v="17"/>
    <s v="KP2014"/>
    <n v="17645.838"/>
    <n v="17640.544000000002"/>
    <n v="24720.406999999999"/>
    <n v="1"/>
    <n v="6"/>
    <s v="CD"/>
    <x v="2"/>
    <n v="2184.7459999999992"/>
    <n v="8.6850267082700618"/>
    <n v="56.411190404543973"/>
    <n v="952.30477408434126"/>
    <n v="1232.4412259156579"/>
    <n v="7.7424625320867193"/>
    <n v="9.5868409367724343"/>
    <n v="2184.7459999999992"/>
    <n v="56.411190404543973"/>
    <n v="952.30477408434126"/>
    <n v="1232.4412259156579"/>
    <n v="0"/>
    <n v="0"/>
    <n v="0"/>
    <n v="0"/>
    <n v="0"/>
    <n v="0"/>
    <n v="0"/>
    <n v="0"/>
    <n v="0"/>
    <n v="0"/>
    <n v="24895.48"/>
    <n v="51.121842197860815"/>
    <n v="5399.6839999999993"/>
    <n v="48.905917457391951"/>
    <n v="1709.566"/>
    <n v="48.887246413952163"/>
    <n v="70.876319717474829"/>
    <n v="17645"/>
    <n v="7250.4799999999959"/>
    <n v="51.121842197860815"/>
    <n v="0"/>
    <n v="48.905917457391951"/>
    <n v="0"/>
    <n v="48.887246413952163"/>
    <n v="15088.155000000001"/>
    <n v="60.606000000000002"/>
    <n v="43.412464943526892"/>
    <n v="9807.3250000000007"/>
    <n v="39.393999999999998"/>
    <n v="43.78918818332216"/>
    <n v="6.9204728233052393"/>
    <n v="7.0830886812593628"/>
    <n v="7.6858536021133963"/>
    <n v="21.689415106677998"/>
    <n v="68.851602780906404"/>
    <n v="9.4589821124155904"/>
    <n v="100"/>
    <n v="100"/>
    <n v="100"/>
    <n v="100"/>
    <n v="100"/>
    <n v="2009"/>
    <n v="32"/>
    <n v="2010"/>
    <n v="7966.5536000000002"/>
    <s v="-"/>
    <s v="-"/>
    <m/>
    <s v="-"/>
    <s v="-"/>
    <n v="99.998260498046903"/>
    <s v="kor"/>
    <n v="2"/>
    <n v="2"/>
    <s v="Yes"/>
    <s v="-"/>
    <s v="Underway"/>
    <s v="-"/>
    <s v="Through UNESCAP in 2-14"/>
    <n v="1"/>
    <s v="-"/>
    <s v="-"/>
    <m/>
    <m/>
    <m/>
    <m/>
    <m/>
    <m/>
    <m/>
    <m/>
    <m/>
    <m/>
    <m/>
    <m/>
    <m/>
    <m/>
    <m/>
    <m/>
    <m/>
    <m/>
    <m/>
    <m/>
    <m/>
    <m/>
    <m/>
    <m/>
    <m/>
    <m/>
    <m/>
    <m/>
    <m/>
    <m/>
    <m/>
    <m/>
    <m/>
    <m/>
    <m/>
    <m/>
    <m/>
    <n v="1"/>
    <s v="civil"/>
    <s v="NF"/>
    <n v="7"/>
    <n v="7"/>
    <s v="-"/>
    <s v="-"/>
    <s v="-"/>
    <s v="-"/>
    <s v="-"/>
    <s v="NF"/>
    <n v="97"/>
    <n v="30"/>
    <n v="38"/>
    <n v="29"/>
    <n v="-7"/>
    <n v="-2.1919858455657959"/>
    <n v="-0.53038221597671509"/>
    <n v="-1.9275548458099365"/>
    <n v="-2.517986536026001"/>
    <n v="-1.2859936952590942"/>
    <n v="-1.3577980995178223"/>
    <n v="149"/>
    <n v="0.27526"/>
    <n v="1.9599999999999999E-2"/>
    <n v="7.8700000000000003E-3"/>
    <n v="1.7250000000000001E-2"/>
    <n v="0.80069999999999997"/>
    <s v="-"/>
    <s v="-"/>
    <s v="-"/>
    <s v="-"/>
    <s v="-"/>
    <s v="-"/>
    <s v="-"/>
    <s v="-"/>
    <s v="-"/>
    <s v="-"/>
    <s v="-"/>
    <s v="-"/>
    <s v="-"/>
    <s v="-"/>
    <s v="-"/>
    <s v="-"/>
    <s v="-"/>
    <s v="-"/>
    <s v="-"/>
    <s v="-"/>
    <s v="-"/>
    <s v="-"/>
    <s v="-"/>
    <s v="-"/>
    <s v="OTH"/>
    <m/>
    <m/>
    <m/>
    <m/>
    <s v=".."/>
    <s v=""/>
    <n v="0"/>
    <n v="12"/>
    <n v="48"/>
    <s v="C"/>
    <m/>
    <n v="6"/>
    <n v="0"/>
    <n v="0"/>
  </r>
  <r>
    <n v="91"/>
    <m/>
    <s v="Korea, Rep."/>
    <x v="6"/>
    <x v="2"/>
    <s v="KOR"/>
    <s v="KR"/>
    <s v="http://www.gwangjuguide.or.kr/2010/05/giving-birth-in-korea/?ckattempt=1"/>
    <s v="City Division (25 Wards), Family Census Register"/>
    <n v="6"/>
    <n v="1948"/>
    <n v="2"/>
    <s v="30 d"/>
    <s v="free"/>
    <s v="http://www.mogaha.go.kr/eng/a01/engMain.do"/>
    <s v="Ministry of Government administration and Home Affairs"/>
    <n v="2"/>
    <n v="1968"/>
    <s v="Identity Card / Resident Registration Number"/>
    <x v="1"/>
    <n v="2"/>
    <n v="19"/>
    <s v="free"/>
    <n v="1"/>
    <n v="1"/>
    <s v="http://en.wikipedia.org/wiki/Resident_registration_number"/>
    <m/>
    <m/>
    <m/>
    <s v="http://www.g-pin.go.kr/center/main/index.gpin"/>
    <n v="2001"/>
    <n v="3"/>
    <s v="4B"/>
    <s v="C, E, H, R, S"/>
    <n v="1"/>
    <n v="1"/>
    <s v="-"/>
    <n v="9"/>
    <s v="http://www.koreabang.com/2014/stories/korean-government-reorganizes-resident-registration-number-system.html"/>
    <n v="4"/>
    <n v="1"/>
    <n v="1"/>
    <s v="http://www.immigration.go.kr/"/>
    <s v="Korea immigration service"/>
    <n v="2"/>
    <n v="2"/>
    <n v="2008"/>
    <n v="10"/>
    <n v="10000"/>
    <n v="0"/>
    <s v="www.startbiz.go.kr "/>
    <n v="2010"/>
    <n v="1"/>
    <n v="1"/>
    <s v="http://www.nts.go.kr/eng/about/about_01.asp?top_code=A001&amp;sub_code=AS01&amp;ssub_code=ASA1 "/>
    <n v="1968"/>
    <n v="0"/>
    <s v="-"/>
    <n v="1"/>
    <s v="https://www.startbiz.go.kr/EP/web/portal/jsp/EP_Default_new.jsp "/>
    <n v="3"/>
    <n v="1"/>
    <n v="50293.438999999998"/>
    <n v="50.301612900243306"/>
    <n v="24995.027999999998"/>
    <n v="25298.411"/>
    <n v="2287.2860000000001"/>
    <n v="48.336674993857351"/>
    <n v="1181.6880000000001"/>
    <n v="1105.598"/>
    <n v="2272.4389999999999"/>
    <n v="48.502248025139508"/>
    <n v="1170.2550000000001"/>
    <n v="1102.184"/>
    <n v="2477.6849999999999"/>
    <n v="48.071324643770296"/>
    <n v="1286.6289999999999"/>
    <n v="1191.056"/>
    <n v="43256.029000000002"/>
    <n v="50.627793411179745"/>
    <n v="21356.455999999995"/>
    <n v="21899.573"/>
    <n v="2015"/>
    <s v="http://esa.un.org/unpd/wpp/Download/Standard/Population/"/>
    <n v="100"/>
    <n v="100"/>
    <n v="100"/>
    <s v="–"/>
    <s v="–"/>
    <n v="2013"/>
    <s v="http://www.unicef.org/gambia/Every_childs_birth_right_-_inequities_and_trends_in_birth_registration_-_2013_report.pdf"/>
    <n v="40507.841999999997"/>
    <n v="80.542994882493517"/>
    <n v="20131.744122917822"/>
    <n v="20376.097877082175"/>
    <n v="2012"/>
    <s v="http://www.nec.go.kr/engvote_2013/05_resourcecenter/07_02.jsp?num=304&amp;pg=1&amp;col=&amp;sw="/>
    <n v="19"/>
    <n v="19"/>
    <s v="KR2012"/>
    <n v="40507.841999999997"/>
    <n v="38233.341"/>
    <n v="48860.5"/>
    <n v="1"/>
    <n v="5"/>
    <s v="CD"/>
    <x v="1"/>
    <n v="2748.1870000000054"/>
    <n v="5.4643051949579453"/>
    <n v="55.435642586105772"/>
    <n v="1224.7118770821726"/>
    <n v="1523.4751229178255"/>
    <n v="4.8998219849250528"/>
    <n v="6.0220190229252957"/>
    <n v="2748.1870000000054"/>
    <n v="55.435642586105772"/>
    <n v="1224.7118770821726"/>
    <n v="1523.4751229178255"/>
    <n v="0"/>
    <n v="0"/>
    <n v="0"/>
    <n v="0"/>
    <n v="0"/>
    <n v="0"/>
    <n v="0"/>
    <n v="0"/>
    <n v="0"/>
    <n v="0"/>
    <n v="50219.669000000002"/>
    <n v="50.276426553110099"/>
    <n v="7477.0371854508203"/>
    <n v="48.056786488799929"/>
    <n v="2362.25"/>
    <n v="48.425320162895119"/>
    <n v="99"/>
    <n v="42315.205496403687"/>
    <n v="427.42631814549219"/>
    <n v="50.276426553110099"/>
    <n v="747.70371854508187"/>
    <n v="48.056786488799929"/>
    <n v="236.62883242112579"/>
    <n v="48.425320162895119"/>
    <n v="42052.142999999996"/>
    <n v="83.736400000000003"/>
    <n v="50.276426553110099"/>
    <n v="8167.5259999999998"/>
    <n v="16.263599999999997"/>
    <n v="50.276426553110099"/>
    <n v="4.7118755884497334"/>
    <n v="4.5819882620615555"/>
    <n v="5.5947985976621553"/>
    <n v="14.888662817452699"/>
    <n v="72.941512460401597"/>
    <n v="12.169824722145799"/>
    <n v="90"/>
    <n v="90"/>
    <n v="90"/>
    <n v="90"/>
    <n v="90"/>
    <n v="2011"/>
    <n v="16"/>
    <n v="2009"/>
    <n v="8035.1470399999998"/>
    <s v="-"/>
    <s v="-"/>
    <m/>
    <n v="16"/>
    <n v="2009"/>
    <s v="-"/>
    <s v="kor"/>
    <n v="0"/>
    <s v="-"/>
    <s v="-"/>
    <s v="-"/>
    <s v="-"/>
    <s v="-"/>
    <s v="-"/>
    <s v="-"/>
    <s v="-"/>
    <s v="-"/>
    <m/>
    <m/>
    <m/>
    <m/>
    <m/>
    <m/>
    <m/>
    <m/>
    <m/>
    <m/>
    <m/>
    <m/>
    <m/>
    <m/>
    <m/>
    <m/>
    <m/>
    <m/>
    <m/>
    <m/>
    <m/>
    <m/>
    <m/>
    <m/>
    <m/>
    <m/>
    <m/>
    <m/>
    <m/>
    <m/>
    <m/>
    <m/>
    <m/>
    <m/>
    <m/>
    <m/>
    <m/>
    <n v="1"/>
    <s v="civil"/>
    <s v="F"/>
    <n v="2"/>
    <n v="2"/>
    <s v="PF"/>
    <n v="33"/>
    <n v="3"/>
    <n v="14"/>
    <n v="16"/>
    <s v="PF"/>
    <n v="32"/>
    <n v="9"/>
    <n v="14"/>
    <n v="9"/>
    <n v="8"/>
    <n v="0.68835067749023438"/>
    <n v="0.23629789054393768"/>
    <n v="1.1218830347061157"/>
    <n v="0.98153698444366455"/>
    <n v="0.9373629093170166"/>
    <n v="0.54755353927612305"/>
    <n v="1"/>
    <n v="0.94623000000000002"/>
    <n v="1"/>
    <n v="0.97636999999999996"/>
    <n v="0.93503000000000003"/>
    <n v="0.92730000000000001"/>
    <n v="2"/>
    <n v="8.85"/>
    <n v="8.94"/>
    <n v="8.26"/>
    <n v="9.81"/>
    <s v="Data Protection Act"/>
    <s v="http://koreanlii.or.kr/w/images/0/0e/KoreanDPAct2011.pdf "/>
    <n v="1994"/>
    <n v="2011"/>
    <s v="Both"/>
    <s v="Personal Information Protection Commission &amp; Korea Information Security Agency"/>
    <s v="http://www.kisa.kr/eng/main.jsp "/>
    <s v="ICDPPC; APPA; GPEN; APEC CPEA"/>
    <n v="55"/>
    <n v="82"/>
    <n v="1996"/>
    <s v="http://www.rti-rating.org/files/pdf/South%20Korea.pdf"/>
    <n v="4"/>
    <n v="23"/>
    <n v="9"/>
    <n v="20"/>
    <n v="17"/>
    <n v="1"/>
    <n v="8"/>
    <m/>
    <s v="OECD"/>
    <s v="APEC"/>
    <m/>
    <m/>
    <s v="IBRD"/>
    <s v=""/>
    <n v="0"/>
    <n v="21"/>
    <n v="84"/>
    <s v="A"/>
    <m/>
    <n v="3"/>
    <n v="2"/>
    <n v="0"/>
  </r>
  <r>
    <n v="92"/>
    <m/>
    <s v="Kosovo"/>
    <x v="1"/>
    <x v="3"/>
    <s v="KSV"/>
    <s v="XK"/>
    <s v="https://www.rks-gov.net/"/>
    <s v="Municipal Civil Status Office (MCSO), Min of Internal affairs"/>
    <n v="5"/>
    <n v="2008"/>
    <n v="2"/>
    <s v="30 d"/>
    <s v="free"/>
    <s v="http://www.mpb-ks.org/"/>
    <s v="Civil Registration Agency, Ministry of Internal Affairs"/>
    <n v="2"/>
    <n v="2010"/>
    <s v="ID Card"/>
    <x v="1"/>
    <n v="2"/>
    <n v="16"/>
    <n v="10"/>
    <n v="0"/>
    <n v="0"/>
    <s v="http://en.wikipedia.org/wiki/Kosovo_identity_card"/>
    <n v="1"/>
    <n v="1"/>
    <m/>
    <s v="http://www.rks-gov.net/sq-AL/Qytetaret/Shtetesia/Pages/Leternjoftimi.aspx#l1"/>
    <n v="2013"/>
    <n v="1"/>
    <s v="4B"/>
    <s v="C"/>
    <n v="1"/>
    <n v="0"/>
    <s v="-"/>
    <n v="4"/>
    <s v="http://m.gi-de.com/are/en/about_g_d/press/press_releases/Republic-of-Kosovo-Introduces-Contactless-ID-Card-%E2%80%93-G%26D-Supplies-End-To-End-Solution-g27008.jsp"/>
    <s v="-"/>
    <n v="0"/>
    <n v="0"/>
    <s v="http://www.mpb-ks.org/"/>
    <s v="Ministry of Internal Affairs"/>
    <n v="2"/>
    <n v="2"/>
    <n v="2010"/>
    <n v="5"/>
    <n v="200"/>
    <n v="0"/>
    <s v="http://www.arbk.org/en/Home"/>
    <n v="2008"/>
    <n v="1"/>
    <n v="1"/>
    <s v="http://www.doingbusiness.org/data/exploreeconomies/kosovo/starting-a-business"/>
    <n v="2008"/>
    <n v="0"/>
    <s v="-"/>
    <n v="0"/>
    <s v="-"/>
    <n v="3"/>
    <n v="1"/>
    <n v="1804.944"/>
    <n v="49.75124378109453"/>
    <n v="906.96191044776106"/>
    <n v="897.98208955223879"/>
    <n v="152.24199999999999"/>
    <n v="48.072148290222152"/>
    <n v="79.061999999999998"/>
    <n v="73.186000000000007"/>
    <n v="163.52600000000001"/>
    <n v="48.357447745312669"/>
    <n v="84.448999999999998"/>
    <n v="79.076999999999998"/>
    <n v="179.327"/>
    <n v="48.279957842377328"/>
    <n v="92.748000000000005"/>
    <n v="86.578999999999994"/>
    <n v="1309.8489999999999"/>
    <n v="50.32183782651579"/>
    <n v="650.70291044776104"/>
    <n v="659.14008955223881"/>
    <n v="2014"/>
    <s v="https://ask.rks-gov.net/eng/"/>
    <n v="93.1"/>
    <n v="90.9"/>
    <n v="95.2"/>
    <m/>
    <m/>
    <n v="2010"/>
    <s v="http://www.unicef.org/kosovoprogramme/UNICEF_Birth_Registration_2009_English.pdf"/>
    <n v="1242.9169999999999"/>
    <n v="68.861804022728677"/>
    <n v="624.55033333333336"/>
    <n v="618.36666666666667"/>
    <n v="2014"/>
    <s v="http://www.electionguide.org/countries/id/253/"/>
    <n v="16"/>
    <n v="18"/>
    <s v="KS2014"/>
    <n v="1799.0229999999999"/>
    <n v="1242.9169999999999"/>
    <n v="1859.203"/>
    <n v="1"/>
    <n v="4"/>
    <s v="CD"/>
    <x v="1"/>
    <n v="101.09355500000005"/>
    <n v="5.600924737831205"/>
    <n v="51.672768739384125"/>
    <n v="49.47214611442768"/>
    <n v="52.237838885572117"/>
    <n v="5.4547104508505333"/>
    <n v="5.8172473029634135"/>
    <n v="66.932000000000016"/>
    <n v="60.917681954180544"/>
    <n v="26.152577114427686"/>
    <n v="40.773422885572131"/>
    <n v="23.656857000000024"/>
    <n v="33.611768461042736"/>
    <n v="16.124926999999996"/>
    <n v="7.9514879999999888"/>
    <n v="10.504698000000008"/>
    <n v="33.44149446276316"/>
    <n v="7.1946419999999973"/>
    <n v="3.5129279999999952"/>
    <n v="9.0999999999999979"/>
    <n v="4.7999999999999936"/>
    <n v="1859.2"/>
    <n v="48.543674698795179"/>
    <n v="488.68600000000004"/>
    <n v="48.0492586241472"/>
    <n v="157"/>
    <n v="47.798742138364794"/>
    <n v="96.762048192771076"/>
    <n v="1799"/>
    <n v="44.3765828313254"/>
    <n v="48.543674698795179"/>
    <n v="48.868599999999994"/>
    <n v="48.0492586241472"/>
    <n v="15.899999999999997"/>
    <n v="47.798742138364794"/>
    <n v="0"/>
    <n v="0"/>
    <n v="48.543674698795179"/>
    <n v="0"/>
    <n v="0"/>
    <n v="48.543674698795179"/>
    <n v="8.5520654044750426"/>
    <n v="8.8209982788296042"/>
    <n v="8.9116824440619613"/>
    <n v="26.28474612736661"/>
    <n v="66.815299999999993"/>
    <n v="6.9"/>
    <n v="90"/>
    <n v="90"/>
    <n v="90"/>
    <n v="90"/>
    <n v="90"/>
    <n v="2013"/>
    <n v="10.199999999999999"/>
    <n v="2011"/>
    <n v="189.63839999999999"/>
    <n v="29.7"/>
    <n v="2011"/>
    <n v="619.03453500000001"/>
    <n v="30"/>
    <n v="2013"/>
    <s v="-"/>
    <s v="alb"/>
    <n v="0"/>
    <s v="-"/>
    <s v="-"/>
    <s v="-"/>
    <s v="-"/>
    <s v="-"/>
    <s v="-"/>
    <s v="-"/>
    <s v="-"/>
    <s v="-"/>
    <m/>
    <m/>
    <m/>
    <m/>
    <m/>
    <m/>
    <m/>
    <m/>
    <m/>
    <m/>
    <m/>
    <m/>
    <m/>
    <m/>
    <m/>
    <m/>
    <m/>
    <m/>
    <m/>
    <m/>
    <m/>
    <m/>
    <m/>
    <m/>
    <m/>
    <m/>
    <m/>
    <m/>
    <m/>
    <m/>
    <m/>
    <m/>
    <m/>
    <m/>
    <m/>
    <m/>
    <m/>
    <n v="1"/>
    <s v="-"/>
    <s v="PF"/>
    <n v="5"/>
    <n v="4"/>
    <s v="-"/>
    <s v="-"/>
    <s v="-"/>
    <s v="-"/>
    <s v="-"/>
    <s v="PF"/>
    <n v="49"/>
    <n v="14"/>
    <n v="18"/>
    <n v="17"/>
    <n v="8"/>
    <n v="-0.27022546529769897"/>
    <n v="-0.98484683036804199"/>
    <n v="-0.41381102800369263"/>
    <n v="-4.4097181409597397E-2"/>
    <n v="-0.56979662179946899"/>
    <n v="-0.64154326915740967"/>
    <s v="-"/>
    <s v="-"/>
    <s v="-"/>
    <s v="-"/>
    <s v="-"/>
    <s v="-"/>
    <s v="-"/>
    <s v="-"/>
    <s v="-"/>
    <s v="-"/>
    <s v="-"/>
    <s v="Law on the Protection of Personal Data"/>
    <s v="http://www.kuvendikosoves.org/common/docs/ligjet/2010-172-eng.pdf "/>
    <n v="2010"/>
    <n v="2010"/>
    <s v="Both"/>
    <s v="National Agency for the Protection of Personal Data"/>
    <s v="http://www.amdp-rks.org/ "/>
    <s v="EDPA (O)"/>
    <n v="20"/>
    <n v="106"/>
    <n v="2003"/>
    <s v="http://www.rti-rating.org/files/pdf/Kosovo.pdf"/>
    <n v="2"/>
    <n v="25"/>
    <n v="23"/>
    <n v="22"/>
    <n v="21"/>
    <n v="2"/>
    <n v="11"/>
    <m/>
    <m/>
    <m/>
    <n v="1"/>
    <m/>
    <s v="IDA"/>
    <m/>
    <n v="0"/>
    <n v="18"/>
    <n v="72"/>
    <s v="B"/>
    <m/>
    <n v="4"/>
    <n v="0"/>
    <n v="0"/>
  </r>
  <r>
    <n v="93"/>
    <m/>
    <s v="Kuwait"/>
    <x v="2"/>
    <x v="2"/>
    <s v="KWT"/>
    <s v="KW"/>
    <s v="http://www.paci.gov.kw/en/"/>
    <s v="Public Authority for Civil Information"/>
    <n v="6"/>
    <n v="1959"/>
    <n v="2"/>
    <s v="60 d"/>
    <s v="free"/>
    <s v="http://e.gov.kw/PACI_en/Pages/ServiceContent/521KuRegistrationForTheFirstTime.aspx#"/>
    <s v="PACI / Public Authority for Civil Information"/>
    <n v="5"/>
    <n v="2009"/>
    <s v="Civil ID"/>
    <x v="0"/>
    <n v="2"/>
    <n v="0"/>
    <s v="2 KD"/>
    <n v="1"/>
    <n v="1"/>
    <m/>
    <n v="1"/>
    <n v="1"/>
    <m/>
    <s v="http://www.paci.gov.kw/en/"/>
    <n v="2009"/>
    <n v="2"/>
    <n v="4"/>
    <s v="C, R, S"/>
    <n v="0"/>
    <n v="0"/>
    <n v="3000"/>
    <n v="1"/>
    <s v="http://www.gemalto.com/govt/customer-cases/kuwait"/>
    <s v="-"/>
    <n v="0"/>
    <n v="0"/>
    <s v="http://www.e.gov.kw/sites/KGOEnglish/portal/Pages/PortalMain.aspx#"/>
    <s v="Ministry of Foreign Affairs"/>
    <n v="1"/>
    <n v="3"/>
    <n v="2014"/>
    <n v="5"/>
    <s v="-"/>
    <n v="0"/>
    <s v="http://www.kuwaitchamber.org.kw/echamber/website/index.jsp"/>
    <n v="2012"/>
    <n v="1"/>
    <n v="1"/>
    <s v="http://www.e.gov.kw/sites/kgoenglish/portal/pages/visitors/DoingBusinessInKuwait/GoverningBody_OverView.aspx"/>
    <n v="1959"/>
    <n v="0"/>
    <s v="-"/>
    <n v="0"/>
    <s v="-"/>
    <n v="0"/>
    <n v="0"/>
    <n v="3892.1149999999998"/>
    <n v="43.823962036065225"/>
    <n v="2186.4360000000001"/>
    <n v="1705.6790000000001"/>
    <n v="347.875"/>
    <n v="49.003808839381961"/>
    <n v="177.40299999999999"/>
    <n v="170.47200000000001"/>
    <n v="298.13499999999999"/>
    <n v="49.46551059083972"/>
    <n v="150.661"/>
    <n v="147.47399999999999"/>
    <n v="222.87"/>
    <n v="47.073181675416166"/>
    <n v="117.958"/>
    <n v="104.91200000000001"/>
    <n v="3023.2349999999997"/>
    <n v="42.432063666899872"/>
    <n v="1740.414"/>
    <n v="1282.8210000000001"/>
    <n v="2015"/>
    <s v="http://esa.un.org/unpd/wpp/Download/Standard/Population/"/>
    <n v="90"/>
    <n v="90"/>
    <n v="90"/>
    <s v="–"/>
    <s v="–"/>
    <n v="2015"/>
    <s v="http://www.sesrtcic.org/files/article/506.pdf"/>
    <n v="1291.4010000000001"/>
    <n v="33.179929164477414"/>
    <n v="633.37099999999998"/>
    <n v="658.03"/>
    <n v="2015"/>
    <s v="https://www.paci.gov.kw/STAT/SubCategories/Index?CategoryId=8 "/>
    <n v="0"/>
    <n v="21"/>
    <s v="KW2013"/>
    <n v="439.911"/>
    <n v="1876.3309999999999"/>
    <n v="2695.3159999999998"/>
    <n v="20"/>
    <n v="6"/>
    <s v="CD"/>
    <x v="1"/>
    <n v="2600.7139999999999"/>
    <n v="66.8200708355226"/>
    <n v="40.283129940470197"/>
    <n v="1553.0650000000001"/>
    <n v="1047.6490000000001"/>
    <n v="71.031807013788651"/>
    <n v="61.421228730611098"/>
    <n v="2513.826"/>
    <n v="39.993348783885601"/>
    <n v="1508.4628"/>
    <n v="1005.3632000000001"/>
    <n v="52.10049999999999"/>
    <n v="48.442145468853461"/>
    <n v="26.861899999999995"/>
    <n v="25.238599999999991"/>
    <n v="34.787499999999994"/>
    <n v="49.003808839381961"/>
    <n v="17.740299999999994"/>
    <n v="17.047199999999997"/>
    <n v="9.9999999999999982"/>
    <n v="9.9999999999999982"/>
    <n v="3368.5720000000001"/>
    <n v="40.214013534518486"/>
    <n v="834.67700000000002"/>
    <n v="48.913771434938347"/>
    <n v="324.25799999999998"/>
    <n v="48.992917690190104"/>
    <n v="36.870222753142876"/>
    <n v="1242"/>
    <n v="2126.5720000000001"/>
    <n v="40.214013534518486"/>
    <n v="83.467699999999979"/>
    <n v="48.913771434938347"/>
    <n v="32.066675635335187"/>
    <n v="48.992917690190104"/>
    <n v="3310.6460000000002"/>
    <n v="98.2804"/>
    <n v="40.214013534518486"/>
    <n v="57.926000000000002"/>
    <n v="1.7195999999999998"/>
    <n v="40.214013534518486"/>
    <n v="9.5193677425731718"/>
    <n v="8.0744539018743993"/>
    <n v="7.184541412657933"/>
    <n v="24.778363057105501"/>
    <n v="72.895161510574795"/>
    <n v="2.3264754323196901"/>
    <n v="90"/>
    <n v="90"/>
    <n v="90"/>
    <n v="90"/>
    <n v="90"/>
    <n v="2001"/>
    <s v="-"/>
    <s v="-"/>
    <m/>
    <s v="-"/>
    <s v="-"/>
    <m/>
    <s v="-"/>
    <s v="-"/>
    <n v="95.513175964355497"/>
    <s v="ara"/>
    <n v="0"/>
    <s v="-"/>
    <s v="-"/>
    <s v="-"/>
    <s v="-"/>
    <s v="-"/>
    <s v="-"/>
    <s v="-"/>
    <s v="-"/>
    <s v="-"/>
    <m/>
    <m/>
    <m/>
    <m/>
    <m/>
    <m/>
    <m/>
    <m/>
    <m/>
    <m/>
    <m/>
    <m/>
    <m/>
    <m/>
    <m/>
    <m/>
    <m/>
    <m/>
    <m/>
    <m/>
    <m/>
    <m/>
    <m/>
    <m/>
    <m/>
    <m/>
    <m/>
    <m/>
    <m/>
    <m/>
    <m/>
    <m/>
    <m/>
    <m/>
    <m/>
    <m/>
    <m/>
    <n v="3"/>
    <s v="common + civil + religious"/>
    <s v="PF"/>
    <n v="5"/>
    <n v="5"/>
    <s v="-"/>
    <s v="-"/>
    <s v="-"/>
    <s v="-"/>
    <s v="-"/>
    <s v="PF"/>
    <n v="59"/>
    <n v="20"/>
    <n v="23"/>
    <n v="16"/>
    <n v="-7"/>
    <n v="-0.64906209707260132"/>
    <n v="0.1423010528087616"/>
    <n v="-7.3176421225070953E-2"/>
    <n v="-8.5887081921100616E-2"/>
    <n v="0.38760179281234741"/>
    <n v="-0.15402252972126007"/>
    <n v="49"/>
    <n v="0.62680000000000002"/>
    <n v="0.43136999999999998"/>
    <n v="0.57479999999999998"/>
    <n v="0.58620000000000005"/>
    <n v="0.71940000000000004"/>
    <s v="-"/>
    <s v="-"/>
    <s v="-"/>
    <s v="-"/>
    <s v="-"/>
    <s v="-"/>
    <s v="-"/>
    <s v="-"/>
    <s v="-"/>
    <s v="-"/>
    <s v="-"/>
    <s v="-"/>
    <s v="-"/>
    <s v="-"/>
    <s v="-"/>
    <s v="-"/>
    <s v="-"/>
    <s v="-"/>
    <s v="-"/>
    <s v="-"/>
    <s v="-"/>
    <s v="-"/>
    <s v="-"/>
    <s v="-"/>
    <m/>
    <m/>
    <m/>
    <m/>
    <n v="46"/>
    <s v=".."/>
    <s v=""/>
    <n v="0"/>
    <n v="15"/>
    <n v="60"/>
    <s v="B"/>
    <m/>
    <n v="6"/>
    <n v="0"/>
    <n v="0"/>
  </r>
  <r>
    <n v="94"/>
    <m/>
    <s v="Kyrgyz Republic"/>
    <x v="1"/>
    <x v="3"/>
    <s v="KGZ"/>
    <s v="KG"/>
    <s v="http://grs.gov.kg"/>
    <s v="Department of Civil Status Act Registration (DCSAR) / Zapis Aktov Grazhdanskogo Sostoyaniya (ZAGS)"/>
    <n v="6"/>
    <n v="1993"/>
    <n v="2"/>
    <s v="60 d"/>
    <s v="free"/>
    <s v="http://grs.gov.kg"/>
    <s v="State Registration Service"/>
    <n v="6"/>
    <n v="2009"/>
    <s v="National ID Card"/>
    <x v="1"/>
    <n v="2"/>
    <n v="16"/>
    <s v="free"/>
    <n v="0"/>
    <n v="0"/>
    <m/>
    <m/>
    <m/>
    <m/>
    <s v="http://biometrika.srs.kg"/>
    <n v="2015"/>
    <n v="2"/>
    <s v="4B"/>
    <s v="C, H, R, S, V"/>
    <n v="0"/>
    <n v="0"/>
    <s v="-"/>
    <n v="10"/>
    <s v="http://www.acuity-mi.com/GNeID_2014_Intro_Preview.pdf"/>
    <s v="-"/>
    <n v="0"/>
    <n v="0"/>
    <s v="http://www.pasport.kg/"/>
    <s v="Department of passport and visa and registration work"/>
    <n v="2"/>
    <n v="2"/>
    <n v="2014"/>
    <n v="5"/>
    <s v="-"/>
    <n v="0"/>
    <s v="https://register.minjust.gov.kg/register/SearchAction.seam"/>
    <n v="2012"/>
    <n v="1"/>
    <n v="1"/>
    <s v="http://www.doingbusiness.org/data/exploreeconomies/kyrgyz-republic/starting-a-business"/>
    <n v="1996"/>
    <n v="0"/>
    <s v="-"/>
    <n v="0"/>
    <s v="-"/>
    <n v="2"/>
    <n v="1"/>
    <n v="5939.9620000000004"/>
    <n v="50.501754051625234"/>
    <n v="2940.1770000000001"/>
    <n v="2999.7849999999999"/>
    <n v="780.36800000000005"/>
    <n v="48.654737252168204"/>
    <n v="400.68200000000002"/>
    <n v="379.68599999999998"/>
    <n v="601.89"/>
    <n v="49.053481533170512"/>
    <n v="306.642"/>
    <n v="295.24799999999999"/>
    <n v="482.988"/>
    <n v="49.068920966980549"/>
    <n v="245.99100000000001"/>
    <n v="236.99700000000001"/>
    <n v="4074.7159999999999"/>
    <n v="51.239252011673941"/>
    <n v="1986.8620000000001"/>
    <n v="2087.8539999999998"/>
    <n v="2015"/>
    <s v="http://esa.un.org/unpd/wpp/Download/Standard/Population/"/>
    <n v="98.3"/>
    <n v="98.2"/>
    <n v="98.5"/>
    <n v="98.9"/>
    <n v="98.1"/>
    <n v="2012"/>
    <s v="DHS"/>
    <n v="2761.297"/>
    <n v="46.486778871649342"/>
    <n v="1292.806"/>
    <n v="1468.491"/>
    <n v="2015"/>
    <s v="https://data.srs.kg/data/"/>
    <n v="16"/>
    <n v="18"/>
    <s v="KG2015"/>
    <n v="2761.297"/>
    <n v="3682.3029999999999"/>
    <n v="5664.9390000000003"/>
    <n v="10"/>
    <n v="4"/>
    <s v="CD"/>
    <x v="1"/>
    <n v="1345.1281819999999"/>
    <n v="22.64540045879081"/>
    <n v="47.061831985317809"/>
    <n v="711.21567000000005"/>
    <n v="633.04196499999989"/>
    <n v="24.189552873857593"/>
    <n v="21.102911208636616"/>
    <n v="1313.4189999999999"/>
    <n v="47.156543342223607"/>
    <n v="694.05600000000004"/>
    <n v="619.36299999999983"/>
    <n v="18.442926000000014"/>
    <n v="43.288548682568049"/>
    <n v="9.9473940000000098"/>
    <n v="7.983675000000007"/>
    <n v="13.266256000000013"/>
    <n v="42.930650516619004"/>
    <n v="7.2122760000000063"/>
    <n v="5.6952900000000044"/>
    <n v="1.8000000000000016"/>
    <n v="1.5000000000000011"/>
    <n v="5719.5"/>
    <n v="50.679237695602765"/>
    <n v="1735.8911195540829"/>
    <n v="49.082609093899521"/>
    <n v="680.74599999999998"/>
    <n v="48.872042283874521"/>
    <n v="76.11188977118168"/>
    <n v="3032"/>
    <n v="951.60888044591582"/>
    <n v="50.679237695602765"/>
    <n v="29.510149032419434"/>
    <n v="49.082609093899521"/>
    <n v="11.829274993239546"/>
    <n v="48.872042283874521"/>
    <n v="2033.9"/>
    <n v="35.5608"/>
    <n v="48.573184522346232"/>
    <n v="3685.6"/>
    <n v="64.4392"/>
    <n v="48.950238767093552"/>
    <n v="12.166093285858528"/>
    <n v="9.5753997077563131"/>
    <n v="8.6089047684272941"/>
    <n v="30.350399852331201"/>
    <n v="65.477072032544797"/>
    <n v="4.1725281151240203"/>
    <n v="98.3"/>
    <n v="98.5"/>
    <n v="98.2"/>
    <n v="98.9"/>
    <n v="98.1"/>
    <n v="2012"/>
    <n v="5.03"/>
    <n v="2011"/>
    <n v="368.96899999999999"/>
    <n v="33.700000000000003"/>
    <n v="2010"/>
    <n v="1855.8590000000002"/>
    <n v="33.700000000000003"/>
    <n v="2011"/>
    <n v="99.241401672363295"/>
    <s v="kir"/>
    <n v="3"/>
    <n v="3"/>
    <s v="-"/>
    <s v="-"/>
    <s v="-"/>
    <s v="-"/>
    <s v="Through UNESCAP in 2-14"/>
    <n v="0.94"/>
    <n v="0.99"/>
    <s v="-"/>
    <m/>
    <m/>
    <m/>
    <m/>
    <m/>
    <m/>
    <m/>
    <m/>
    <m/>
    <m/>
    <m/>
    <m/>
    <m/>
    <m/>
    <m/>
    <m/>
    <m/>
    <m/>
    <m/>
    <m/>
    <m/>
    <m/>
    <m/>
    <m/>
    <m/>
    <m/>
    <m/>
    <m/>
    <m/>
    <m/>
    <m/>
    <m/>
    <m/>
    <m/>
    <m/>
    <m/>
    <m/>
    <n v="1"/>
    <s v="civil"/>
    <s v="PF"/>
    <n v="5"/>
    <n v="5"/>
    <s v="PF"/>
    <n v="34"/>
    <n v="12"/>
    <n v="9"/>
    <n v="13"/>
    <s v="NF"/>
    <n v="66"/>
    <n v="19"/>
    <n v="27"/>
    <n v="20"/>
    <n v="7"/>
    <n v="-0.56544071435928345"/>
    <n v="-0.91044151782989502"/>
    <n v="-0.69312542676925659"/>
    <n v="-0.3290979266166687"/>
    <n v="-1.1385891437530518"/>
    <n v="-1.1249353885650635"/>
    <n v="101"/>
    <n v="0.46567999999999998"/>
    <n v="0.41176000000000001"/>
    <n v="0.27559"/>
    <n v="0.38013000000000002"/>
    <n v="0.74129999999999996"/>
    <n v="108"/>
    <n v="3.78"/>
    <n v="4.05"/>
    <n v="1.59"/>
    <n v="7.62"/>
    <s v="Law on Personal Data"/>
    <s v="http://www.legislationline.org/download/action/download/id/4220/file/Kyrgyz_Law_personal_data_2008_EN.pdf "/>
    <n v="2008"/>
    <n v="2008"/>
    <s v="Both"/>
    <s v="-"/>
    <s v="-"/>
    <s v="-"/>
    <n v="27"/>
    <n v="101"/>
    <n v="2007"/>
    <s v="http://www.rti-rating.org/files/pdf/Kyrgyzstan.pdf"/>
    <n v="4"/>
    <n v="30"/>
    <n v="24"/>
    <n v="13"/>
    <n v="19"/>
    <n v="3"/>
    <n v="8"/>
    <m/>
    <m/>
    <m/>
    <m/>
    <m/>
    <s v="IDA"/>
    <m/>
    <n v="0"/>
    <n v="18"/>
    <n v="72"/>
    <s v="B"/>
    <m/>
    <n v="4"/>
    <n v="0"/>
    <n v="0"/>
  </r>
  <r>
    <n v="95"/>
    <m/>
    <s v="Lao PDR"/>
    <x v="6"/>
    <x v="3"/>
    <s v="LAO"/>
    <s v="LA"/>
    <s v="http://www.moha.gov.la"/>
    <s v="Min of Home Affairs"/>
    <n v="2"/>
    <n v="1990"/>
    <n v="1"/>
    <s v="-"/>
    <s v="free"/>
    <s v="http://unpan1.un.org/intradoc/groups/public/documents/un-dpadm/unpan040847.pdf"/>
    <s v="Ministry of Public Security"/>
    <n v="6"/>
    <n v="2007"/>
    <s v="National ID Card"/>
    <x v="1"/>
    <n v="1"/>
    <n v="18"/>
    <s v="free"/>
    <n v="0"/>
    <n v="0"/>
    <m/>
    <m/>
    <m/>
    <m/>
    <s v="-"/>
    <s v="-"/>
    <n v="0"/>
    <n v="1"/>
    <s v="-"/>
    <s v="-"/>
    <s v="-"/>
    <s v="-"/>
    <n v="0"/>
    <s v="-"/>
    <s v="-"/>
    <n v="0"/>
    <n v="0"/>
    <s v="http://www.mofa.gov.la/"/>
    <s v="Ministry of Foreign Affairs"/>
    <n v="1"/>
    <n v="3"/>
    <n v="2004"/>
    <n v="5"/>
    <s v="-"/>
    <n v="0"/>
    <s v="http://www.moic.gov.la/ "/>
    <n v="1994"/>
    <n v="1"/>
    <n v="1"/>
    <s v="http://www.doingbusiness.org/data/exploreeconomies/lao-pdr/starting-a-business/"/>
    <n v="2013"/>
    <n v="0"/>
    <s v="-"/>
    <n v="0"/>
    <s v="-"/>
    <n v="0"/>
    <n v="0"/>
    <n v="6802.0230000000001"/>
    <n v="50.23057111097684"/>
    <n v="3385.328"/>
    <n v="3416.6950000000002"/>
    <n v="838.8"/>
    <n v="48.927873152122082"/>
    <n v="428.39299999999997"/>
    <n v="410.40699999999998"/>
    <n v="795.654"/>
    <n v="48.96751603083753"/>
    <n v="406.04199999999997"/>
    <n v="389.61200000000002"/>
    <n v="730.58299999999997"/>
    <n v="49.113242437888644"/>
    <n v="371.77"/>
    <n v="358.81299999999999"/>
    <n v="4436.9859999999999"/>
    <n v="50.8873140460664"/>
    <n v="2179.123"/>
    <n v="2257.8629999999998"/>
    <n v="2015"/>
    <s v="http://esa.un.org/unpd/wpp/Download/Standard/Population/"/>
    <n v="74.8"/>
    <n v="74.3"/>
    <n v="75.2"/>
    <n v="87.8"/>
    <n v="71.3"/>
    <s v="2011-2012"/>
    <s v="MICS"/>
    <n v="3240"/>
    <n v="47.632888039337708"/>
    <n v="1612.5294960043504"/>
    <n v="1627.4705039956496"/>
    <n v="2011"/>
    <s v="http://www.electionguide.org/countries/id/118/"/>
    <n v="18"/>
    <n v="18"/>
    <s v="LA2011"/>
    <n v="3240"/>
    <n v="3661.8580000000002"/>
    <n v="6477.2110000000002"/>
    <n v="1"/>
    <n v="4"/>
    <s v="LH"/>
    <x v="0"/>
    <n v="1792.9753239999998"/>
    <n v="26.359442242403468"/>
    <n v="51.187700116075355"/>
    <n v="876.5881889956496"/>
    <n v="917.78283200435033"/>
    <n v="25.893744682809157"/>
    <n v="26.861713790793452"/>
    <n v="1196.9859999999999"/>
    <n v="52.664984887404728"/>
    <n v="566.5935039956496"/>
    <n v="630.39249600435028"/>
    <n v="384.61172399999998"/>
    <n v="48.25890330893813"/>
    <n v="199.89768399999997"/>
    <n v="185.60939999999999"/>
    <n v="211.3776"/>
    <n v="48.151240244945534"/>
    <n v="110.09700099999999"/>
    <n v="101.780936"/>
    <n v="25.7"/>
    <n v="24.8"/>
    <n v="6769.7269999999999"/>
    <n v="50.224403436061749"/>
    <n v="2381.6919999999968"/>
    <n v="48.87071879991197"/>
    <n v="880.36400000000003"/>
    <n v="48.897283508433254"/>
    <n v="47.7"/>
    <n v="2093.0926950000012"/>
    <n v="2294.9423050000014"/>
    <n v="50.224403436061749"/>
    <n v="600.18638399999918"/>
    <n v="48.87071879991197"/>
    <n v="217.14742493146412"/>
    <n v="48.897283508433254"/>
    <n v="2465.8870000000002"/>
    <n v="36.425199999999997"/>
    <n v="30.783811261424386"/>
    <n v="4303.84"/>
    <n v="63.574800000000003"/>
    <n v="47.863280233465929"/>
    <n v="12.728668832294318"/>
    <n v="11.576391762177"/>
    <n v="10.87644672480463"/>
    <n v="35.181507319275902"/>
    <n v="61.031825951031699"/>
    <n v="3.78666672969235"/>
    <n v="74.8"/>
    <n v="75.2"/>
    <n v="74.3"/>
    <n v="87.8"/>
    <n v="71.3"/>
    <n v="2012"/>
    <n v="33.880000000000003"/>
    <n v="2008"/>
    <n v="2131.6445430000003"/>
    <n v="27.6"/>
    <n v="2008"/>
    <n v="1735.498212"/>
    <n v="22"/>
    <n v="2013"/>
    <n v="72.702262878417997"/>
    <s v="lao"/>
    <n v="2"/>
    <n v="1"/>
    <s v="Yes"/>
    <s v="Completed"/>
    <s v="Plan and Committee"/>
    <s v="-"/>
    <s v="Through UNESCAP in 2-14"/>
    <n v="0.72"/>
    <s v="-"/>
    <n v="2"/>
    <s v="P151425 (P)"/>
    <s v="P151425 (P)"/>
    <s v="-"/>
    <s v="-"/>
    <s v="-"/>
    <s v="P074027 (A)"/>
    <m/>
    <m/>
    <m/>
    <m/>
    <m/>
    <m/>
    <m/>
    <m/>
    <m/>
    <m/>
    <m/>
    <m/>
    <m/>
    <m/>
    <m/>
    <m/>
    <m/>
    <m/>
    <m/>
    <m/>
    <m/>
    <m/>
    <m/>
    <m/>
    <m/>
    <m/>
    <m/>
    <m/>
    <m/>
    <m/>
    <m/>
    <n v="1"/>
    <s v="civil"/>
    <s v="NF"/>
    <n v="7"/>
    <n v="6"/>
    <s v="-"/>
    <s v="-"/>
    <s v="-"/>
    <s v="-"/>
    <s v="-"/>
    <s v="NF"/>
    <n v="84"/>
    <n v="26"/>
    <n v="33"/>
    <n v="25"/>
    <n v="8"/>
    <n v="-1.5876858234405518"/>
    <n v="6.4782619476318359E-2"/>
    <n v="-0.75852054357528687"/>
    <n v="-0.84973806142807007"/>
    <n v="-0.76938045024871826"/>
    <n v="-0.89936977624893188"/>
    <n v="152"/>
    <n v="0.26588000000000001"/>
    <n v="0.19606999999999999"/>
    <n v="0.14172999999999999"/>
    <n v="0.16177"/>
    <n v="0.49409999999999998"/>
    <n v="134"/>
    <n v="2.35"/>
    <n v="3.1"/>
    <n v="0.5"/>
    <n v="4.53"/>
    <s v="-"/>
    <s v="-"/>
    <s v="-"/>
    <s v="-"/>
    <s v="-"/>
    <s v="-"/>
    <s v="-"/>
    <s v="-"/>
    <s v="-"/>
    <s v="-"/>
    <s v="-"/>
    <s v="-"/>
    <s v="-"/>
    <s v="-"/>
    <s v="-"/>
    <s v="-"/>
    <s v="-"/>
    <s v="-"/>
    <s v="-"/>
    <m/>
    <m/>
    <m/>
    <m/>
    <m/>
    <s v="IDA"/>
    <m/>
    <n v="0"/>
    <n v="7"/>
    <n v="28.000000000000004"/>
    <s v="C"/>
    <m/>
    <n v="3"/>
    <n v="0"/>
    <n v="0"/>
  </r>
  <r>
    <n v="96"/>
    <m/>
    <s v="Latvia"/>
    <x v="1"/>
    <x v="2"/>
    <s v="LVA"/>
    <s v="LV"/>
    <s v="http://www.tm.gov.lv/lv/pakalpojumi/nozares-pakalpojumi-1/dzimsanas-fakta-registracija"/>
    <s v="Min of Justice, Civil Registry Dept"/>
    <n v="1"/>
    <n v="1918"/>
    <n v="2"/>
    <s v="30 d"/>
    <s v="free"/>
    <s v="http://www.pmlp.gov.lv/en/home/about-ocma/"/>
    <s v="Office of Citizenship and Migration Affairs, Ministry of Interior"/>
    <n v="2"/>
    <n v="2006"/>
    <s v="Personas Apliecība (Identity Card)"/>
    <x v="1"/>
    <n v="2"/>
    <n v="18"/>
    <s v="various"/>
    <n v="1"/>
    <n v="0"/>
    <m/>
    <m/>
    <m/>
    <m/>
    <s v="http://www.pmlp.gov.lv/en/home/services/personal-certificates-(eid)/"/>
    <n v="2012"/>
    <n v="3"/>
    <n v="4"/>
    <s v="C, E, H, R, S"/>
    <n v="1"/>
    <n v="1"/>
    <s v="-"/>
    <n v="9"/>
    <s v="https://www.eparaksts.lv/en/eid-card/eid-users/"/>
    <s v="-"/>
    <n v="0"/>
    <n v="0"/>
    <s v="http://www.pmlp.gov.lv/en/home/about-ocma/"/>
    <s v="The Office of Citizenship and Migration Affairs"/>
    <n v="2"/>
    <n v="2"/>
    <n v="2007"/>
    <n v="10"/>
    <n v="1000"/>
    <n v="1"/>
    <s v="http://www.lursoft.lv/en/data-bases-of-companies"/>
    <n v="2010"/>
    <n v="1"/>
    <n v="1"/>
    <s v="http://likumi.lv/doc.php?id=253451"/>
    <n v="2000"/>
    <n v="0"/>
    <s v="-"/>
    <n v="0"/>
    <s v="-"/>
    <n v="3"/>
    <n v="1"/>
    <n v="1970.5029999999999"/>
    <n v="54.123896284349726"/>
    <n v="903.99"/>
    <n v="1066.5129999999999"/>
    <n v="95.102999999999994"/>
    <n v="48.407516061533286"/>
    <n v="49.066000000000003"/>
    <n v="46.036999999999999"/>
    <n v="107.068"/>
    <n v="48.838121567601902"/>
    <n v="54.777999999999999"/>
    <n v="52.29"/>
    <n v="91.87"/>
    <n v="48.897354958092954"/>
    <n v="46.948"/>
    <n v="44.921999999999997"/>
    <n v="1676.462"/>
    <n v="55.072169843396388"/>
    <n v="753.19799999999998"/>
    <n v="923.2639999999999"/>
    <n v="2015"/>
    <s v="http://esa.un.org/unpd/wpp/Download/Standard/Population/"/>
    <n v="100"/>
    <n v="100"/>
    <n v="100"/>
    <s v="–"/>
    <s v="–"/>
    <n v="2011"/>
    <s v="UNSD "/>
    <n v="1553.556"/>
    <n v="78.840580298532913"/>
    <n v="712.7109618407078"/>
    <n v="840.84503815929236"/>
    <n v="2014"/>
    <s v="http://www.electionguide.org/countries/id/119/"/>
    <n v="18"/>
    <n v="18"/>
    <s v="LV2014"/>
    <n v="1553.556"/>
    <n v="1767.172"/>
    <n v="2165.165"/>
    <n v="1"/>
    <n v="4"/>
    <s v="CD"/>
    <x v="1"/>
    <n v="122.90599999999995"/>
    <n v="6.2372906816178384"/>
    <n v="67.058534034715606"/>
    <n v="40.487038159292183"/>
    <n v="82.418961840707539"/>
    <n v="4.4787042068266452"/>
    <n v="7.7278909718594662"/>
    <n v="122.90599999999995"/>
    <n v="67.058534034715606"/>
    <n v="40.487038159292183"/>
    <n v="82.418961840707539"/>
    <n v="0"/>
    <n v="0"/>
    <n v="0"/>
    <n v="0"/>
    <n v="0"/>
    <n v="0"/>
    <n v="0"/>
    <n v="0"/>
    <n v="0"/>
    <n v="0"/>
    <n v="2013.385"/>
    <n v="54.284600312409204"/>
    <n v="298.60364235627958"/>
    <n v="49.009794048512688"/>
    <n v="110.206"/>
    <n v="48.864682336784732"/>
    <n v="90.565481895253157"/>
    <n v="1553"/>
    <n v="161.78135764372061"/>
    <n v="54.284600312409204"/>
    <n v="0"/>
    <n v="49.009794048512688"/>
    <n v="0"/>
    <n v="48.864682336784732"/>
    <n v="1363.2629999999999"/>
    <n v="67.709999999999994"/>
    <n v="74.743758174321457"/>
    <n v="650.12199999999996"/>
    <n v="32.290000000000006"/>
    <n v="78.337450509289027"/>
    <n v="5.4195936065450301"/>
    <n v="5.0639417517305025"/>
    <n v="4.3474085496208703"/>
    <n v="14.830926144591301"/>
    <n v="66.598579634271204"/>
    <n v="18.570494221137501"/>
    <n v="100"/>
    <n v="100"/>
    <n v="100"/>
    <n v="100"/>
    <n v="100"/>
    <n v="2011"/>
    <n v="0.19"/>
    <n v="2009"/>
    <n v="4"/>
    <n v="5.9"/>
    <n v="2004"/>
    <n v="130.97999999999999"/>
    <s v="-"/>
    <s v="-"/>
    <n v="99.895904541015597"/>
    <s v="lav"/>
    <n v="0"/>
    <s v="-"/>
    <s v="-"/>
    <s v="-"/>
    <s v="-"/>
    <s v="-"/>
    <s v="-"/>
    <s v="-"/>
    <s v="-"/>
    <s v="-"/>
    <m/>
    <m/>
    <m/>
    <m/>
    <m/>
    <m/>
    <m/>
    <m/>
    <m/>
    <m/>
    <m/>
    <m/>
    <m/>
    <m/>
    <m/>
    <m/>
    <m/>
    <m/>
    <m/>
    <m/>
    <m/>
    <m/>
    <m/>
    <m/>
    <m/>
    <m/>
    <m/>
    <m/>
    <m/>
    <m/>
    <m/>
    <m/>
    <m/>
    <m/>
    <m/>
    <m/>
    <m/>
    <n v="1"/>
    <s v="civil"/>
    <s v="F"/>
    <n v="2"/>
    <n v="2"/>
    <s v="-"/>
    <s v="-"/>
    <s v="-"/>
    <s v="-"/>
    <s v="-"/>
    <s v="F"/>
    <n v="27"/>
    <n v="6"/>
    <n v="11"/>
    <n v="10"/>
    <n v="8"/>
    <n v="0.73640942573547363"/>
    <n v="0.57266116142272949"/>
    <n v="0.88197612762451172"/>
    <n v="1.026598334312439"/>
    <n v="0.74585670232772827"/>
    <n v="0.26569867134094238"/>
    <n v="31"/>
    <n v="0.71775"/>
    <n v="0.70587999999999995"/>
    <n v="0.70077999999999996"/>
    <n v="0.62366999999999995"/>
    <n v="0.82879999999999998"/>
    <n v="33"/>
    <n v="7.03"/>
    <n v="7.29"/>
    <n v="5.91"/>
    <n v="8.75"/>
    <s v="Law on Protection of Personal Data of Natural Persons"/>
    <s v="http://www.dvi.gov.lv/en/legal-acts/personal-data-protection-law"/>
    <n v="2000"/>
    <n v="2002"/>
    <s v="Both"/>
    <s v="State Data Protection Inspectorate"/>
    <s v="http://www.dvi.gov.lv"/>
    <s v="ICDPPC; EDPA; A29WP; CEEDPA; GPEN"/>
    <n v="71"/>
    <n v="72"/>
    <n v="1998"/>
    <s v="http://www.rti-rating.org/files/pdf/Latvia.pdf"/>
    <n v="4"/>
    <n v="30"/>
    <n v="18"/>
    <n v="14"/>
    <n v="4"/>
    <n v="2"/>
    <n v="0"/>
    <s v="EU"/>
    <m/>
    <m/>
    <m/>
    <m/>
    <s v=".."/>
    <s v="EMU"/>
    <n v="0"/>
    <n v="20"/>
    <n v="80"/>
    <s v="A"/>
    <m/>
    <n v="4"/>
    <n v="0"/>
    <n v="0"/>
  </r>
  <r>
    <n v="97"/>
    <m/>
    <s v="Lebanon"/>
    <x v="2"/>
    <x v="1"/>
    <s v="LBN"/>
    <s v="LB"/>
    <s v="http://www.moim.gov.lb"/>
    <s v="Municipalities &gt; Gen Dir of Civil Affairs / Ministry of Interior and Municipalities"/>
    <n v="2"/>
    <n v="1926"/>
    <n v="2"/>
    <s v="-"/>
    <s v="free"/>
    <s v="http://www.moim.gov.lb"/>
    <s v="Ministry of Interior"/>
    <n v="2"/>
    <n v="1970"/>
    <s v="National ID Card / Tazkarat Al Hawiya"/>
    <x v="1"/>
    <n v="2"/>
    <s v="-"/>
    <s v="free"/>
    <n v="1"/>
    <n v="1"/>
    <s v="http://en.wikipedia.org/wiki/Lebanese_identity_card"/>
    <m/>
    <n v="1"/>
    <m/>
    <s v="http://www.moim.gov.lb"/>
    <n v="2006"/>
    <n v="1"/>
    <s v="3B"/>
    <s v="C"/>
    <n v="0"/>
    <n v="0"/>
    <s v="-"/>
    <n v="9"/>
    <s v="http://www.isf.gov.lb/ar/article/97/%D8%A7%D9%84%D8%AD%D8%B5%D9%88%D9%84-%D8%B9%D9%84%D9%89-%D8%A7%D9%84%D8%A8%D8%B5%D9%85%D8%A7%D8%AA"/>
    <n v="3"/>
    <n v="0"/>
    <n v="0"/>
    <s v="http://www.emigrants.gov.lb/"/>
    <s v="Ministry of Foreign Affairs"/>
    <n v="2"/>
    <n v="3"/>
    <n v="2014"/>
    <n v="5"/>
    <s v="-"/>
    <n v="0"/>
    <s v="http://www.databank.com.lb/default.asp"/>
    <n v="2002"/>
    <n v="1"/>
    <n v="0"/>
    <s v="-"/>
    <s v="-"/>
    <n v="0"/>
    <s v="-"/>
    <n v="0"/>
    <s v="-"/>
    <n v="0"/>
    <n v="0"/>
    <n v="5850.7430000000004"/>
    <n v="49.775114032525437"/>
    <n v="2938.529"/>
    <n v="2912.2139999999999"/>
    <n v="461.13299999999998"/>
    <n v="49.353223473488129"/>
    <n v="233.54900000000001"/>
    <n v="227.584"/>
    <n v="438.53899999999999"/>
    <n v="50.206025005757759"/>
    <n v="218.36600000000001"/>
    <n v="220.173"/>
    <n v="504.09899999999999"/>
    <n v="50.860247689441962"/>
    <n v="247.71299999999999"/>
    <n v="256.38600000000002"/>
    <n v="4446.9720000000007"/>
    <n v="49.653359634375931"/>
    <n v="2238.9009999999998"/>
    <n v="2208.0710000000004"/>
    <n v="2015"/>
    <s v="http://esa.un.org/unpd/wpp/Download/Standard/Population/"/>
    <n v="99.5"/>
    <n v="99.5"/>
    <n v="99.6"/>
    <s v="–"/>
    <s v="–"/>
    <n v="2009"/>
    <s v="MICS"/>
    <n v="3258.5729999999999"/>
    <n v="55.695028819416606"/>
    <n v="1636.6145734169149"/>
    <n v="1621.9584265830852"/>
    <n v="2009"/>
    <s v="http://www.idea.int/vt/countryview.cfm?id=128"/>
    <s v="-"/>
    <n v="21"/>
    <s v="LB2009"/>
    <n v="3258.5729999999999"/>
    <n v="2651.4119999999998"/>
    <n v="4099.3149999999996"/>
    <n v="1"/>
    <n v="4"/>
    <s v="CD"/>
    <x v="1"/>
    <n v="1195.4178550000008"/>
    <n v="20.431898222157439"/>
    <n v="49.265547018027007"/>
    <n v="605.78456658308482"/>
    <n v="588.92914541691528"/>
    <n v="20.615231858630111"/>
    <n v="20.222729010193458"/>
    <n v="1188.3990000000008"/>
    <n v="49.319510822283995"/>
    <n v="602.2864265830849"/>
    <n v="586.11257341691521"/>
    <n v="4.7131900000000044"/>
    <n v="40.44470942185653"/>
    <n v="2.330395000000002"/>
    <n v="1.9062360000000016"/>
    <n v="2.3056650000000021"/>
    <n v="39.482578778790497"/>
    <n v="1.1677450000000011"/>
    <n v="0.91033600000000081"/>
    <n v="0.50000000000000044"/>
    <n v="0.40000000000000036"/>
    <n v="4467.3900000000003"/>
    <n v="49.187624093710198"/>
    <n v="930.18160028129421"/>
    <n v="49.699113730264102"/>
    <n v="301.60500000000002"/>
    <n v="48.915224336433063"/>
    <n v="92.106532379010815"/>
    <n v="3258"/>
    <n v="279.20839971870561"/>
    <n v="49.187624093710198"/>
    <n v="4.6509080014064752"/>
    <n v="49.699113730264102"/>
    <n v="1.4133003282271481"/>
    <n v="48.915224336433063"/>
    <n v="3907.6889999999999"/>
    <n v="87.471400000000003"/>
    <n v="16.107858122793292"/>
    <n v="559.70100000000002"/>
    <n v="12.528599999999997"/>
    <n v="74.479945542352084"/>
    <n v="6.3271857985407447"/>
    <n v="6.4342166721014937"/>
    <n v="8.0601958227684545"/>
    <n v="20.8215893459334"/>
    <n v="70.523443629171595"/>
    <n v="8.6549670248950097"/>
    <n v="99.5"/>
    <n v="99.6"/>
    <n v="99.5"/>
    <n v="99.5"/>
    <n v="99.5"/>
    <n v="2009"/>
    <n v="8"/>
    <n v="2013"/>
    <n v="357.39120000000003"/>
    <n v="28.6"/>
    <n v="2013"/>
    <n v="1277.6735400000002"/>
    <n v="28"/>
    <n v="1999"/>
    <n v="89.612442016601605"/>
    <s v="ara"/>
    <n v="0"/>
    <s v="-"/>
    <s v="-"/>
    <s v="-"/>
    <s v="-"/>
    <s v="-"/>
    <s v="-"/>
    <s v="-"/>
    <s v="-"/>
    <s v="-"/>
    <m/>
    <m/>
    <m/>
    <m/>
    <m/>
    <m/>
    <m/>
    <m/>
    <m/>
    <m/>
    <m/>
    <m/>
    <m/>
    <m/>
    <m/>
    <m/>
    <m/>
    <m/>
    <m/>
    <m/>
    <m/>
    <m/>
    <m/>
    <m/>
    <m/>
    <m/>
    <m/>
    <m/>
    <m/>
    <m/>
    <m/>
    <m/>
    <m/>
    <m/>
    <m/>
    <m/>
    <m/>
    <n v="1"/>
    <s v="civil"/>
    <s v="PF"/>
    <n v="5"/>
    <n v="4"/>
    <s v="PF"/>
    <n v="47"/>
    <n v="14"/>
    <n v="12"/>
    <n v="21"/>
    <s v="PF"/>
    <n v="53"/>
    <n v="18"/>
    <n v="21"/>
    <n v="14"/>
    <n v="6"/>
    <n v="-0.44067946076393127"/>
    <n v="-1.69492506980896"/>
    <n v="-0.39132723212242126"/>
    <n v="-8.6206056177616119E-2"/>
    <n v="-0.77628809213638306"/>
    <n v="-0.92491239309310913"/>
    <n v="89"/>
    <n v="0.49823000000000001"/>
    <n v="0.29410999999999998"/>
    <n v="0.35432999999999998"/>
    <n v="0.40298"/>
    <n v="0.73740000000000006"/>
    <n v="62"/>
    <n v="5.71"/>
    <n v="6.45"/>
    <n v="4.33"/>
    <n v="6.99"/>
    <s v="-"/>
    <s v="-"/>
    <s v="-"/>
    <s v="-"/>
    <s v="-"/>
    <s v="-"/>
    <s v="-"/>
    <s v="-"/>
    <s v="-"/>
    <s v="-"/>
    <s v="-"/>
    <s v="-"/>
    <s v="-"/>
    <s v="-"/>
    <s v="-"/>
    <s v="-"/>
    <s v="-"/>
    <s v="-"/>
    <s v="-"/>
    <m/>
    <m/>
    <m/>
    <m/>
    <m/>
    <s v="IBRD"/>
    <s v=""/>
    <n v="0"/>
    <n v="12"/>
    <n v="48"/>
    <s v="C"/>
    <m/>
    <n v="4"/>
    <n v="0"/>
    <n v="0"/>
  </r>
  <r>
    <n v="98"/>
    <m/>
    <s v="Lesotho"/>
    <x v="4"/>
    <x v="3"/>
    <s v="LSO"/>
    <s v="LS"/>
    <s v="http://www.gov.ls/articles/2014/civil_registration_vital_development.php"/>
    <s v="Min of Home affairs, National Identity Civil Registry (NICR)"/>
    <n v="2"/>
    <n v="1973"/>
    <n v="2"/>
    <s v="-"/>
    <s v="free"/>
    <s v="http://www.gov.ls"/>
    <s v="Registrar of Births and Deaths, Ministry of Local Government"/>
    <n v="6"/>
    <n v="2003"/>
    <s v="National ID card"/>
    <x v="1"/>
    <n v="2"/>
    <n v="18"/>
    <s v="free"/>
    <n v="0"/>
    <n v="0"/>
    <m/>
    <m/>
    <m/>
    <m/>
    <s v="http://lestimes.com/ministry-stops-issuing-passports-ids/"/>
    <n v="2015"/>
    <n v="1"/>
    <s v="2B"/>
    <s v="C"/>
    <n v="0"/>
    <n v="0"/>
    <s v="-"/>
    <n v="10"/>
    <s v="http://nip-global.com/advanced-technological-systems-and-solution-provider"/>
    <n v="6"/>
    <n v="0"/>
    <n v="0"/>
    <s v="http://www.mps.gov.ls/"/>
    <s v="Ministry of the Public Service"/>
    <n v="2"/>
    <n v="2"/>
    <n v="2011"/>
    <n v="5"/>
    <s v="-"/>
    <n v="0"/>
    <s v="https://www.companies.org.ls/lesotho-companies-br/viewInstance/view.html?id=13c857736aeecb0a09b5d94dcd0806b170c5668ce9c7d06a7134cf9abc5fa084&amp;_timestamp=2130401047677064"/>
    <n v="2012"/>
    <n v="1"/>
    <n v="1"/>
    <s v="http://www.obfc.org.ls/legislation/COMPANIES%20REGS%202012%20PRINTING%2024.4.2012%20FINAL.pdf"/>
    <n v="2012"/>
    <n v="0"/>
    <s v="-"/>
    <n v="0"/>
    <s v="-"/>
    <n v="0"/>
    <n v="1"/>
    <n v="2135.0219999999999"/>
    <n v="50.502851961244431"/>
    <n v="1056.7750000000001"/>
    <n v="1078.2470000000001"/>
    <n v="278.39499999999998"/>
    <n v="49.611523195459696"/>
    <n v="140.279"/>
    <n v="138.11600000000001"/>
    <n v="249.221"/>
    <n v="49.643489112073219"/>
    <n v="125.499"/>
    <n v="123.72199999999999"/>
    <n v="242.54300000000001"/>
    <n v="49.562345645926698"/>
    <n v="122.333"/>
    <n v="120.21"/>
    <n v="1364.8629999999998"/>
    <n v="51.008709299028553"/>
    <n v="668.6640000000001"/>
    <n v="696.19900000000007"/>
    <n v="2015"/>
    <s v="http://esa.un.org/unpd/wpp/Download/Standard/Population/"/>
    <n v="45.1"/>
    <n v="45.7"/>
    <n v="44.6"/>
    <n v="43.4"/>
    <n v="45.5"/>
    <n v="2009"/>
    <s v="DHS"/>
    <n v="1210.079"/>
    <n v="56.677589270742878"/>
    <n v="598.95459401589301"/>
    <n v="611.12440598410694"/>
    <n v="2015"/>
    <s v="http://www.electionguide.org/countries/id/121/"/>
    <n v="18"/>
    <n v="18"/>
    <s v="LS2015"/>
    <n v="1210.079"/>
    <n v="1133.1010000000001"/>
    <n v="2073"/>
    <n v="1"/>
    <n v="4"/>
    <s v="LH"/>
    <x v="0"/>
    <n v="577.60129099999983"/>
    <n v="27.053645864070713"/>
    <n v="51.372666688844582"/>
    <n v="280.45367898410706"/>
    <n v="296.72918601589316"/>
    <n v="26.538636794408177"/>
    <n v="27.519593007529181"/>
    <n v="154.78399999999988"/>
    <n v="54.963429046860909"/>
    <n v="69.709405984107093"/>
    <n v="85.074594015893126"/>
    <n v="269.97843599999999"/>
    <n v="50.055230336988842"/>
    <n v="134.57277599999998"/>
    <n v="135.138328"/>
    <n v="152.83885499999997"/>
    <n v="50.063358561538585"/>
    <n v="76.171496999999988"/>
    <n v="76.516264000000021"/>
    <n v="54.29999999999999"/>
    <n v="55.400000000000006"/>
    <n v="2074.4650000000001"/>
    <n v="50.657157387567395"/>
    <n v="754.11100000000033"/>
    <n v="49.555787461371523"/>
    <n v="261.67500000000001"/>
    <n v="49.613284251783114"/>
    <n v="85.355896979143495"/>
    <n v="1127"/>
    <n v="193.35399999999964"/>
    <n v="50.657157387567395"/>
    <n v="414.00693900000016"/>
    <n v="49.555787461371523"/>
    <n v="142.96721850252678"/>
    <n v="49.613284251783114"/>
    <n v="602.16300000000001"/>
    <n v="29.0274"/>
    <n v="37.698762627394913"/>
    <n v="1472.3019999999999"/>
    <n v="70.9726"/>
    <n v="63.507283152505401"/>
    <n v="12.553302998786814"/>
    <n v="11.814173016185801"/>
    <n v="11.98459548297987"/>
    <n v="36.352071497952501"/>
    <n v="59.4332514648355"/>
    <n v="4.2146770372119997"/>
    <n v="45.1"/>
    <n v="44.6"/>
    <n v="45.7"/>
    <n v="43.4"/>
    <n v="45.5"/>
    <n v="2009"/>
    <n v="43.4"/>
    <n v="2003"/>
    <n v="952.12786199999982"/>
    <n v="56.6"/>
    <n v="2003"/>
    <n v="1241.715138"/>
    <n v="49"/>
    <n v="1999"/>
    <n v="75.800201416015597"/>
    <s v="eng"/>
    <n v="1"/>
    <n v="2"/>
    <s v="-"/>
    <s v="Underway"/>
    <s v="-"/>
    <s v="-"/>
    <s v="CR Minister"/>
    <n v="0.45"/>
    <s v="-"/>
    <s v="-"/>
    <m/>
    <m/>
    <m/>
    <m/>
    <m/>
    <m/>
    <m/>
    <m/>
    <m/>
    <m/>
    <m/>
    <m/>
    <m/>
    <m/>
    <m/>
    <m/>
    <m/>
    <m/>
    <m/>
    <m/>
    <m/>
    <m/>
    <m/>
    <n v="1"/>
    <s v="National ID"/>
    <m/>
    <m/>
    <m/>
    <m/>
    <m/>
    <m/>
    <m/>
    <m/>
    <m/>
    <m/>
    <m/>
    <m/>
    <n v="2"/>
    <s v="civil + common"/>
    <s v="F"/>
    <n v="2"/>
    <n v="3"/>
    <s v="-"/>
    <s v="-"/>
    <s v="-"/>
    <s v="-"/>
    <s v="-"/>
    <s v="PF"/>
    <n v="47"/>
    <n v="13"/>
    <n v="18"/>
    <n v="16"/>
    <n v="9"/>
    <n v="7.8348636627197266E-2"/>
    <n v="0.32635414600372314"/>
    <n v="-0.38184216618537903"/>
    <n v="-0.35156849026679993"/>
    <n v="-0.26018881797790527"/>
    <n v="0.22980020940303802"/>
    <n v="153"/>
    <n v="0.26294000000000001"/>
    <n v="0.13725000000000001"/>
    <n v="0.15748000000000001"/>
    <n v="0.11785"/>
    <n v="0.51349999999999996"/>
    <n v="132"/>
    <n v="2.36"/>
    <n v="3.02"/>
    <n v="0.55000000000000004"/>
    <n v="4.66"/>
    <s v="-"/>
    <s v="-"/>
    <s v="-"/>
    <s v="-"/>
    <s v="-"/>
    <s v="-"/>
    <s v="-"/>
    <s v="-"/>
    <s v="-"/>
    <s v="-"/>
    <n v="1966"/>
    <s v="http://www.humanrightsinitiative.org/programs/ai/rti/international/laws_papers/lesotho/ari_bill_2000.pdf "/>
    <s v="-"/>
    <s v="-"/>
    <s v="-"/>
    <s v="-"/>
    <s v="-"/>
    <s v="-"/>
    <s v="-"/>
    <m/>
    <m/>
    <m/>
    <m/>
    <m/>
    <s v="IDA"/>
    <s v=""/>
    <n v="0"/>
    <n v="13"/>
    <n v="52"/>
    <s v="B"/>
    <n v="1"/>
    <n v="4"/>
    <n v="0"/>
    <n v="0"/>
  </r>
  <r>
    <n v="99"/>
    <m/>
    <s v="Liberia"/>
    <x v="4"/>
    <x v="0"/>
    <s v="LBR"/>
    <s v="LR"/>
    <s v="http://www.mohsw.gov.lr"/>
    <s v="Min of Health &amp; Social Welfare"/>
    <n v="3"/>
    <n v="1973"/>
    <n v="1"/>
    <s v="0-12 y"/>
    <s v="free"/>
    <s v="http://www.mia.gov.lr/"/>
    <s v="National Identification Registry, Ministry of Internal Affairs"/>
    <n v="2"/>
    <n v="2011"/>
    <s v="National ID card"/>
    <x v="0"/>
    <n v="2"/>
    <n v="0"/>
    <s v="free"/>
    <n v="0"/>
    <n v="0"/>
    <m/>
    <n v="1"/>
    <n v="1"/>
    <m/>
    <s v="-"/>
    <s v="-"/>
    <n v="0"/>
    <n v="1"/>
    <s v="-"/>
    <s v="-"/>
    <s v="-"/>
    <s v="-"/>
    <n v="0"/>
    <s v="-"/>
    <s v="-"/>
    <n v="0"/>
    <n v="0"/>
    <s v="http://mofa.gov.lr/public2/2content.php?sub=182&amp;related=24&amp;third=182&amp;pg=sp&amp;pt=Passports"/>
    <s v="Ministry of Foreign Affairs"/>
    <n v="2"/>
    <n v="3"/>
    <n v="2011"/>
    <n v="5"/>
    <n v="4"/>
    <n v="1"/>
    <s v="http://www.liscr.com/liscr/"/>
    <n v="2010"/>
    <n v="1"/>
    <n v="1"/>
    <s v="http://www.doingbusiness.org/data/exploreeconomies/liberia/starting-a-business"/>
    <n v="1977"/>
    <n v="0"/>
    <s v="-"/>
    <n v="0"/>
    <s v="-"/>
    <n v="0"/>
    <n v="1"/>
    <n v="4503.4380000000001"/>
    <n v="49.598617767137014"/>
    <n v="2269.7950000000001"/>
    <n v="2233.643"/>
    <n v="701.125"/>
    <n v="48.945623105722945"/>
    <n v="357.95499999999998"/>
    <n v="343.17"/>
    <n v="637.28800000000001"/>
    <n v="48.955888075720864"/>
    <n v="325.298"/>
    <n v="311.99"/>
    <n v="566.79899999999998"/>
    <n v="49.017200100917613"/>
    <n v="288.97000000000003"/>
    <n v="277.82900000000001"/>
    <n v="2598.2260000000001"/>
    <n v="50.059309698232553"/>
    <n v="1297.5720000000001"/>
    <n v="1300.654"/>
    <n v="2015"/>
    <s v="http://esa.un.org/unpd/wpp/Download/Standard/Population/"/>
    <n v="3.6"/>
    <n v="3.2"/>
    <n v="4"/>
    <n v="5.3"/>
    <n v="2.8"/>
    <n v="2007"/>
    <s v="DHS"/>
    <n v="1798.93"/>
    <n v="39.945703704591921"/>
    <n v="906.68558540164224"/>
    <n v="892.24441459835793"/>
    <n v="2014"/>
    <s v="http://www.electionguide.org/countries/id/122/"/>
    <n v="0"/>
    <n v="18"/>
    <s v="LR2011"/>
    <n v="1798.93"/>
    <n v="1912.402"/>
    <n v="3786.7640000000001"/>
    <n v="1"/>
    <n v="6"/>
    <s v="LH"/>
    <x v="0"/>
    <n v="2635.9203680000001"/>
    <n v="58.531290272009961"/>
    <n v="49.47338475141833"/>
    <n v="1331.9982785983577"/>
    <n v="1304.079025401642"/>
    <n v="58.68363788793075"/>
    <n v="58.383502887508968"/>
    <n v="799.29600000000005"/>
    <n v="51.096162798467901"/>
    <n v="390.88641459835787"/>
    <n v="408.40958540164206"/>
    <n v="1160.7398680000001"/>
    <n v="48.781493219116335"/>
    <n v="594.61142399999994"/>
    <n v="566.22623999999996"/>
    <n v="675.8845"/>
    <n v="48.742529233914965"/>
    <n v="346.50043999999997"/>
    <n v="329.44319999999999"/>
    <n v="96.8"/>
    <n v="96"/>
    <n v="4294.0770000000002"/>
    <n v="49.64135482433128"/>
    <n v="1841.5530000000017"/>
    <n v="48.953324879320718"/>
    <n v="686.09"/>
    <n v="48.942648888646133"/>
    <n v="44.246994173602381"/>
    <n v="1900"/>
    <n v="2394.0770000000002"/>
    <n v="49.64135482433128"/>
    <n v="1775.2570920000016"/>
    <n v="48.953324879320718"/>
    <n v="660.78713568054832"/>
    <n v="48.942648888646133"/>
    <n v="2101.7190000000001"/>
    <n v="48.944600000000001"/>
    <n v="47.79592324187962"/>
    <n v="2192.3580000000002"/>
    <n v="51.055399999999999"/>
    <n v="44.340705304516867"/>
    <n v="15.963007502974794"/>
    <n v="14.375099715369693"/>
    <n v="12.547779550802874"/>
    <n v="42.885886769147398"/>
    <n v="54.077861202768403"/>
    <n v="3.0362520280842702"/>
    <n v="3.6"/>
    <n v="4"/>
    <n v="3.2"/>
    <n v="5.3"/>
    <n v="2.8"/>
    <n v="2007"/>
    <n v="83.76"/>
    <n v="2007"/>
    <n v="3459.743336"/>
    <n v="63.8"/>
    <n v="2007"/>
    <n v="2634.0289360000002"/>
    <n v="80"/>
    <n v="2000"/>
    <n v="42.941085815429702"/>
    <s v="eng"/>
    <n v="1"/>
    <n v="1"/>
    <s v="-"/>
    <s v="Completed"/>
    <s v="Plan"/>
    <s v="-"/>
    <s v="CR Minister"/>
    <n v="0.04"/>
    <s v="-"/>
    <n v="3"/>
    <s v="-"/>
    <s v="-"/>
    <s v="-"/>
    <s v="-"/>
    <s v="P107248 (A); P109775 (C); P143064 (A)"/>
    <s v="-"/>
    <m/>
    <m/>
    <m/>
    <m/>
    <m/>
    <m/>
    <m/>
    <m/>
    <m/>
    <m/>
    <m/>
    <m/>
    <m/>
    <m/>
    <m/>
    <m/>
    <m/>
    <m/>
    <m/>
    <m/>
    <m/>
    <m/>
    <m/>
    <n v="1"/>
    <s v="EBIRS (Employee Biometric Identification &amp; Records System)"/>
    <m/>
    <m/>
    <m/>
    <m/>
    <m/>
    <m/>
    <n v="2"/>
    <s v="common + customary"/>
    <s v="PF"/>
    <n v="3"/>
    <n v="4"/>
    <s v="-"/>
    <s v="-"/>
    <s v="-"/>
    <s v="-"/>
    <s v="-"/>
    <s v="PF"/>
    <n v="58"/>
    <n v="16"/>
    <n v="21"/>
    <n v="21"/>
    <n v="6"/>
    <n v="-0.44720283150672913"/>
    <n v="-0.46151947975158691"/>
    <n v="-1.3334478139877319"/>
    <n v="-0.91605013608932495"/>
    <n v="-0.91562843322753906"/>
    <n v="-0.67755973339080811"/>
    <n v="179"/>
    <n v="0.17682"/>
    <n v="0.11763999999999999"/>
    <n v="7.8740000000000004E-2"/>
    <n v="7.6300000000000007E-2"/>
    <n v="0.37540000000000001"/>
    <n v="153"/>
    <n v="1.7"/>
    <n v="2.36"/>
    <n v="0.21"/>
    <n v="3.32"/>
    <s v="-"/>
    <s v="-"/>
    <s v="-"/>
    <s v="-"/>
    <s v="-"/>
    <s v="-"/>
    <s v="-"/>
    <s v="-"/>
    <n v="4"/>
    <n v="124"/>
    <n v="2010"/>
    <s v="http://www.rti-rating.org/files/pdf/Liberia.pdf"/>
    <n v="5"/>
    <n v="30"/>
    <n v="19"/>
    <n v="27"/>
    <n v="20"/>
    <n v="7"/>
    <n v="16"/>
    <m/>
    <m/>
    <m/>
    <n v="1"/>
    <n v="40.200000000000003"/>
    <s v="IDA"/>
    <s v="HIPC"/>
    <n v="0"/>
    <n v="11"/>
    <n v="44"/>
    <s v="C"/>
    <n v="1"/>
    <n v="4"/>
    <n v="0"/>
    <n v="0"/>
  </r>
  <r>
    <n v="100"/>
    <m/>
    <s v="Libya"/>
    <x v="2"/>
    <x v="1"/>
    <s v="LBY"/>
    <s v="LY"/>
    <s v="http://health.gov.ly/web/"/>
    <s v="Min of Health"/>
    <n v="3"/>
    <n v="1951"/>
    <n v="2"/>
    <s v="3 m"/>
    <s v="8 LYD"/>
    <s v="http://www.cra.gov.ly"/>
    <s v="Ministry of Internal Affairs"/>
    <n v="2"/>
    <n v="2013"/>
    <s v="National ID Card"/>
    <x v="1"/>
    <n v="2"/>
    <n v="18"/>
    <s v="free"/>
    <n v="0"/>
    <n v="0"/>
    <m/>
    <n v="1"/>
    <n v="1"/>
    <m/>
    <s v="-"/>
    <s v="-"/>
    <n v="0"/>
    <n v="1"/>
    <s v="-"/>
    <s v="-"/>
    <s v="-"/>
    <s v="-"/>
    <n v="0"/>
    <s v="-"/>
    <s v="-"/>
    <n v="0"/>
    <n v="0"/>
    <s v="http://www.foreign.gov.ly/ar/index.php"/>
    <s v="Ministry of Foreign Affairs"/>
    <n v="2"/>
    <n v="3"/>
    <n v="2009"/>
    <n v="5"/>
    <n v="30"/>
    <n v="0"/>
    <s v="-"/>
    <s v="-"/>
    <n v="0"/>
    <n v="0"/>
    <s v="-"/>
    <s v="-"/>
    <n v="0"/>
    <s v="-"/>
    <n v="0"/>
    <s v="-"/>
    <n v="0"/>
    <n v="0"/>
    <n v="6278.4380000000001"/>
    <n v="49.720854136012818"/>
    <n v="3156.7449999999999"/>
    <n v="3121.6930000000002"/>
    <n v="649.00199999999995"/>
    <n v="48.728047063029081"/>
    <n v="332.75599999999997"/>
    <n v="316.24599999999998"/>
    <n v="649.58199999999999"/>
    <n v="48.774442641575654"/>
    <n v="332.75200000000001"/>
    <n v="316.83"/>
    <n v="574.45299999999997"/>
    <n v="48.682137616132223"/>
    <n v="294.79700000000003"/>
    <n v="279.65600000000001"/>
    <n v="4405.4009999999998"/>
    <n v="50.142109651312119"/>
    <n v="2196.44"/>
    <n v="2208.9610000000002"/>
    <n v="2015"/>
    <s v="http://esa.un.org/unpd/wpp/Download/Standard/Population/"/>
    <n v="90"/>
    <n v="90"/>
    <n v="90"/>
    <s v="–"/>
    <s v="–"/>
    <n v="2014"/>
    <s v="http://www.lip.gov.ly/portal/page?_pageid=854,2038572&amp;service=2&amp;_dad=portal&amp;_schema=PORTAL"/>
    <n v="1509.2180000000001"/>
    <n v="24.038112664328292"/>
    <n v="758.82191962555009"/>
    <n v="750.39608037444998"/>
    <n v="2014"/>
    <s v="http://www.idea.int/vt/countryview.cfm?id=137"/>
    <n v="18"/>
    <n v="18"/>
    <s v="LY2014"/>
    <n v="1509.2180000000001"/>
    <n v="4029.3649999999998"/>
    <n v="6244.174"/>
    <n v="1"/>
    <n v="4"/>
    <s v="LH"/>
    <x v="0"/>
    <n v="3083.4866999999999"/>
    <n v="49.11232220498156"/>
    <n v="50.262520011049517"/>
    <n v="1533.6485803744499"/>
    <n v="1549.8381196255505"/>
    <n v="48.583226721653155"/>
    <n v="49.647358648834157"/>
    <n v="2896.183"/>
    <n v="50.361628378647019"/>
    <n v="1437.6180803744501"/>
    <n v="1458.5649196255504"/>
    <n v="122.40349999999998"/>
    <n v="48.73112288455804"/>
    <n v="62.754899999999992"/>
    <n v="59.648599999999988"/>
    <n v="64.900199999999984"/>
    <n v="48.728047063029081"/>
    <n v="33.27559999999999"/>
    <n v="31.62459999999999"/>
    <n v="9.9999999999999982"/>
    <n v="9.9999999999999982"/>
    <n v="6201.5209999999997"/>
    <n v="49.990800643906553"/>
    <n v="1825.8650000000018"/>
    <n v="48.840709729510479"/>
    <n v="640.57100000000003"/>
    <n v="48.75387553584234"/>
    <n v="34.486257603431369"/>
    <n v="1509"/>
    <n v="2866.6559999999977"/>
    <n v="49.990800643906553"/>
    <n v="182.58650000000014"/>
    <n v="48.840709729510479"/>
    <n v="64.175779815314726"/>
    <n v="48.75387553584234"/>
    <n v="4842.0860000000002"/>
    <n v="78.078999999999994"/>
    <n v="26.349573303737273"/>
    <n v="1359.4349999999999"/>
    <n v="21.921000000000006"/>
    <n v="41.741532327768525"/>
    <n v="10.348393533669361"/>
    <n v="10.049079956839863"/>
    <n v="9.044739153775943"/>
    <n v="29.442212644285199"/>
    <n v="65.764366515891794"/>
    <n v="4.7934208398229998"/>
    <n v="90"/>
    <n v="90"/>
    <n v="90"/>
    <n v="90"/>
    <n v="90"/>
    <n v="2001"/>
    <n v="30"/>
    <n v="2013"/>
    <n v="1860.4563000000001"/>
    <n v="40"/>
    <n v="2011"/>
    <n v="2480.6084000000001"/>
    <s v="-"/>
    <s v="-"/>
    <n v="89.879440307617202"/>
    <s v="ara"/>
    <n v="0"/>
    <s v="-"/>
    <s v="-"/>
    <s v="-"/>
    <s v="-"/>
    <s v="-"/>
    <s v="-"/>
    <s v="-"/>
    <s v="-"/>
    <s v="-"/>
    <m/>
    <m/>
    <m/>
    <m/>
    <m/>
    <m/>
    <m/>
    <m/>
    <m/>
    <m/>
    <m/>
    <m/>
    <m/>
    <m/>
    <m/>
    <m/>
    <m/>
    <m/>
    <m/>
    <m/>
    <m/>
    <m/>
    <m/>
    <m/>
    <m/>
    <m/>
    <m/>
    <m/>
    <m/>
    <m/>
    <m/>
    <m/>
    <m/>
    <m/>
    <m/>
    <m/>
    <m/>
    <n v="3"/>
    <s v="civil + religious"/>
    <s v="PF"/>
    <n v="4"/>
    <n v="5"/>
    <s v="PF"/>
    <n v="48"/>
    <n v="18"/>
    <n v="9"/>
    <n v="21"/>
    <s v="NF"/>
    <n v="62"/>
    <n v="16"/>
    <n v="29"/>
    <n v="17"/>
    <n v="-7"/>
    <n v="-0.99611324071884155"/>
    <n v="-1.8096121549606323"/>
    <n v="-1.4977035522460937"/>
    <n v="-1.8294030427932739"/>
    <n v="-1.3631532192230225"/>
    <n v="-1.5157136917114258"/>
    <n v="121"/>
    <n v="0.37530000000000002"/>
    <n v="5.8819999999999997E-2"/>
    <n v="1.5740000000000001E-2"/>
    <n v="0.32808999999999999"/>
    <n v="0.78210000000000002"/>
    <s v="-"/>
    <s v="-"/>
    <s v="-"/>
    <s v="-"/>
    <s v="-"/>
    <s v="-"/>
    <s v="-"/>
    <s v="-"/>
    <s v="-"/>
    <s v="-"/>
    <s v="-"/>
    <s v="-"/>
    <s v="-"/>
    <s v="-"/>
    <s v="-"/>
    <s v="-"/>
    <s v="-"/>
    <s v="-"/>
    <s v="-"/>
    <s v="-"/>
    <s v="-"/>
    <s v="-"/>
    <s v="-"/>
    <s v="-"/>
    <m/>
    <m/>
    <m/>
    <n v="1"/>
    <n v="40.299999999999997"/>
    <s v="IBRD"/>
    <s v=""/>
    <n v="0"/>
    <n v="8"/>
    <n v="32"/>
    <s v="C"/>
    <n v="1"/>
    <n v="4"/>
    <n v="0"/>
    <n v="0"/>
  </r>
  <r>
    <n v="101"/>
    <m/>
    <s v="Liechtenstein"/>
    <x v="3"/>
    <x v="2"/>
    <s v="LIE"/>
    <s v="LI"/>
    <s v="http://www.llv.li/#/1569/zivilstandsamt"/>
    <s v="Civil Registry Office (ZSA)"/>
    <n v="2"/>
    <n v="1866"/>
    <n v="2"/>
    <s v="-"/>
    <s v="free"/>
    <s v="http://www.llv.li"/>
    <s v="Immigration and Passport Office"/>
    <n v="2"/>
    <n v="1990"/>
    <s v="Identitätskarte"/>
    <x v="1"/>
    <n v="1"/>
    <n v="15"/>
    <s v="various"/>
    <n v="0"/>
    <n v="0"/>
    <m/>
    <m/>
    <n v="1"/>
    <n v="1"/>
    <s v="http://www.llv.li/#/1460"/>
    <n v="2010"/>
    <n v="2"/>
    <s v="4B"/>
    <s v="C, F, R, S"/>
    <n v="1"/>
    <n v="1"/>
    <s v="-"/>
    <n v="5"/>
    <s v="http://www.trueb.ee/services-and-products/documents/id-cards"/>
    <s v="-"/>
    <n v="0"/>
    <n v="0"/>
    <s v="http://www.llv.li/#/11359/auslander-und-passamt"/>
    <s v="Immigration and Passport Office"/>
    <n v="2"/>
    <n v="2"/>
    <n v="2006"/>
    <n v="10"/>
    <n v="30"/>
    <n v="1"/>
    <s v="http://www.oera.li/hrweb/ger/firmensuche_afj.htm"/>
    <n v="2006"/>
    <n v="1"/>
    <n v="1"/>
    <s v="http://www.lihk.li/CFDOCS/cmsout/admin/index.cfm?GroupID=20&amp;MandID=1&amp;meID=74&amp;"/>
    <n v="1947"/>
    <n v="0"/>
    <s v="-"/>
    <n v="0"/>
    <s v="-"/>
    <n v="3"/>
    <n v="1"/>
    <n v="37.313000000000002"/>
    <n v="50.389944523356476"/>
    <n v="18.510999999999999"/>
    <n v="18.802000000000003"/>
    <n v="2"/>
    <n v="45"/>
    <n v="1.1000000000000001"/>
    <n v="0.9"/>
    <n v="1.85"/>
    <n v="48.648648648648646"/>
    <n v="0.95"/>
    <n v="0.9"/>
    <n v="2.0300000000000002"/>
    <n v="46.798029556650242"/>
    <n v="1.08"/>
    <n v="0.95"/>
    <n v="31.433"/>
    <n v="51.067349600738098"/>
    <n v="15.380999999999998"/>
    <n v="16.052000000000007"/>
    <n v="2014"/>
    <s v="http://www.indexmundi.com/liechtenstein/age_structure.html"/>
    <n v="100"/>
    <n v="100"/>
    <n v="100"/>
    <s v="–"/>
    <s v="–"/>
    <n v="2011"/>
    <s v="UNSD "/>
    <n v="19.251000000000001"/>
    <n v="51.593278482030392"/>
    <n v="9.5504317798086458"/>
    <n v="9.7005682201913555"/>
    <n v="2014"/>
    <s v="http://www.llv.li/files/as/zivilstandsstatistik-2014.pdf"/>
    <n v="15"/>
    <n v="18"/>
    <s v="LI2013"/>
    <n v="19.251000000000001"/>
    <n v="29.15"/>
    <n v="36.713000000000001"/>
    <n v="1"/>
    <n v="4"/>
    <s v="CD"/>
    <x v="2"/>
    <n v="12.181999999999999"/>
    <n v="32.648138718409129"/>
    <n v="52.137840911251452"/>
    <n v="5.8305682201913527"/>
    <n v="6.3514317798086513"/>
    <n v="31.497856518779933"/>
    <n v="33.780617911970268"/>
    <n v="12.181999999999999"/>
    <n v="52.137840911251452"/>
    <n v="5.8305682201913527"/>
    <n v="6.3514317798086513"/>
    <n v="0"/>
    <n v="0"/>
    <n v="0"/>
    <n v="0"/>
    <n v="0"/>
    <n v="0"/>
    <n v="0"/>
    <n v="0"/>
    <n v="0"/>
    <n v="0"/>
    <n v="37.128999999999998"/>
    <n v="50.44304990708072"/>
    <n v="5.6473208999999995"/>
    <n v="48.123229461756374"/>
    <n v="1.8858641160972189"/>
    <n v="46.78552133981632"/>
    <n v="99"/>
    <n v="31.166862308999999"/>
    <n v="0.31481679100000026"/>
    <n v="50.44304990708072"/>
    <n v="0"/>
    <n v="48.123229461756374"/>
    <n v="0"/>
    <n v="46.78552133981632"/>
    <n v="5.2969999999999997"/>
    <n v="14.3466"/>
    <n v="50.44304990708072"/>
    <n v="31.628"/>
    <n v="85.653400000000005"/>
    <n v="50.44304990708072"/>
    <n v="4.984"/>
    <n v="5.0199999999999996"/>
    <n v="5.2060000000000004"/>
    <n v="15.21"/>
    <n v="68.790000000000006"/>
    <n v="16"/>
    <n v="100"/>
    <n v="100"/>
    <n v="100"/>
    <n v="100"/>
    <n v="100"/>
    <n v="2011"/>
    <s v="-"/>
    <s v="-"/>
    <m/>
    <s v="-"/>
    <s v="-"/>
    <m/>
    <s v="-"/>
    <s v="-"/>
    <s v="-"/>
    <s v="ger"/>
    <n v="0"/>
    <s v="-"/>
    <s v="-"/>
    <s v="-"/>
    <s v="-"/>
    <s v="-"/>
    <s v="-"/>
    <s v="-"/>
    <s v="-"/>
    <s v="-"/>
    <m/>
    <m/>
    <m/>
    <m/>
    <m/>
    <m/>
    <m/>
    <m/>
    <m/>
    <m/>
    <m/>
    <m/>
    <m/>
    <m/>
    <m/>
    <m/>
    <m/>
    <m/>
    <m/>
    <m/>
    <m/>
    <m/>
    <m/>
    <m/>
    <m/>
    <m/>
    <m/>
    <m/>
    <m/>
    <m/>
    <m/>
    <m/>
    <m/>
    <m/>
    <m/>
    <m/>
    <m/>
    <n v="1"/>
    <s v="civil"/>
    <s v="F"/>
    <n v="1"/>
    <n v="1"/>
    <s v="-"/>
    <s v="-"/>
    <s v="-"/>
    <s v="-"/>
    <s v="-"/>
    <s v="F"/>
    <n v="14"/>
    <n v="1"/>
    <n v="5"/>
    <n v="8"/>
    <m/>
    <n v="1.4628721475601196"/>
    <n v="1.41255784034729"/>
    <n v="1.7328453063964844"/>
    <n v="1.5571442842483521"/>
    <n v="1.5856434106826782"/>
    <n v="1.8335716724395752"/>
    <n v="35"/>
    <n v="0.69823000000000002"/>
    <n v="0.27450000000000002"/>
    <n v="0.51180999999999999"/>
    <n v="0.74682000000000004"/>
    <n v="0.83609999999999995"/>
    <s v="-"/>
    <s v="-"/>
    <s v="-"/>
    <s v="-"/>
    <s v="-"/>
    <s v="Gesetz über die Abänderung des Datenschutzgesetzes (2002)"/>
    <s v="http://ec.europa.eu/justice/policies/privacy/docs/implementation/liechstenstein_gesetz_11_12_2008_de.pdf"/>
    <n v="2002"/>
    <n v="2008"/>
    <s v="Both"/>
    <s v="Data Protection Commissioner"/>
    <s v="https://ada.lt/go.php/lit/English"/>
    <s v="ICDPPC; EDPA"/>
    <n v="99"/>
    <n v="39"/>
    <n v="1999"/>
    <s v="http://www.rti-rating.org/files/pdf/Liechtenstein.pdf"/>
    <n v="0"/>
    <n v="17"/>
    <n v="10"/>
    <n v="5"/>
    <n v="1"/>
    <n v="2"/>
    <n v="4"/>
    <s v="EUR"/>
    <m/>
    <m/>
    <m/>
    <m/>
    <s v=".."/>
    <s v=""/>
    <n v="1"/>
    <n v="18"/>
    <n v="72"/>
    <s v="B"/>
    <m/>
    <n v="3"/>
    <n v="0"/>
    <n v="0"/>
  </r>
  <r>
    <n v="102"/>
    <m/>
    <s v="Lithuania"/>
    <x v="1"/>
    <x v="2"/>
    <s v="LTU"/>
    <s v="LT"/>
    <s v="https://mepis.vrm.lt/kontaktai"/>
    <s v="Civil Registry Offices, Min of Justice"/>
    <n v="1"/>
    <n v="1992"/>
    <n v="2"/>
    <s v="3 m"/>
    <s v="free"/>
    <s v="http://www.vdtat.lt/new/index.php?menu=27"/>
    <s v="Ministry of Interior"/>
    <n v="2"/>
    <n v="2009"/>
    <s v="Asmens Tapatybės Kortelė (Identity Card)"/>
    <x v="1"/>
    <n v="1"/>
    <n v="16"/>
    <s v="free"/>
    <n v="1"/>
    <n v="1"/>
    <m/>
    <n v="1"/>
    <n v="1"/>
    <m/>
    <s v="http://www.eid.lt/lt/apie-atk/bendra-informacija.html"/>
    <n v="2009"/>
    <n v="2"/>
    <s v="4B"/>
    <s v="C, R, T"/>
    <n v="1"/>
    <n v="1"/>
    <n v="900"/>
    <n v="1"/>
    <s v="http://www.gemalto.com/govt/customer-cases/lithuania"/>
    <s v="-"/>
    <n v="0"/>
    <n v="0"/>
    <s v="http://www.dokumentai.lt/viewpage.php?page_id=81"/>
    <s v="Police"/>
    <n v="2"/>
    <n v="2"/>
    <n v="2006"/>
    <n v="10"/>
    <n v="1100"/>
    <n v="1"/>
    <s v="http://www.registrucentras.lt/jar_p_en/"/>
    <n v="1997"/>
    <n v="1"/>
    <n v="1"/>
    <s v="http://www.litlex.lt/Litlex/Eng/Frames/Laws/Documents/119.HTM"/>
    <n v="1990"/>
    <n v="0"/>
    <s v="-"/>
    <n v="0"/>
    <s v="-"/>
    <n v="3"/>
    <n v="1"/>
    <n v="2921.2620000000002"/>
    <n v="53.915225679860278"/>
    <n v="1346.2570000000001"/>
    <n v="1575.0050000000001"/>
    <n v="151.90600000000001"/>
    <n v="48.717628006793674"/>
    <n v="77.900999999999996"/>
    <n v="74.004999999999995"/>
    <n v="133.34899999999999"/>
    <n v="49.011241179161445"/>
    <n v="67.992999999999995"/>
    <n v="65.355999999999995"/>
    <n v="132.542"/>
    <n v="48.571773475577551"/>
    <n v="68.164000000000001"/>
    <n v="64.378"/>
    <n v="2503.4650000000001"/>
    <n v="54.774722234982306"/>
    <n v="1132.1990000000001"/>
    <n v="1371.2660000000001"/>
    <n v="2015"/>
    <s v="http://esa.un.org/unpd/wpp/Download/Standard/Population/"/>
    <n v="100"/>
    <n v="100"/>
    <n v="100"/>
    <s v="–"/>
    <s v="–"/>
    <n v="2011"/>
    <s v="UNSD "/>
    <n v="2452.7530000000002"/>
    <n v="83.962102680279955"/>
    <n v="1130.3456846804568"/>
    <n v="1322.4073153195434"/>
    <n v="2014"/>
    <s v="http://www.electionguide.org/countries/id/125/"/>
    <n v="16"/>
    <n v="18"/>
    <s v="LT2014"/>
    <n v="2559.3980000000001"/>
    <n v="2807.1950000000002"/>
    <n v="3505.7379999999998"/>
    <n v="1"/>
    <n v="4"/>
    <s v="CD"/>
    <x v="1"/>
    <n v="50.711999999999989"/>
    <n v="1.7359620602328714"/>
    <n v="96.345410712369258"/>
    <n v="1.8533153195432988"/>
    <n v="48.85868468045669"/>
    <n v="0.13766430329003293"/>
    <n v="3.1021288618421328"/>
    <n v="50.711999999999989"/>
    <n v="96.345410712369258"/>
    <n v="1.8533153195432988"/>
    <n v="48.85868468045669"/>
    <n v="0"/>
    <n v="0"/>
    <n v="0"/>
    <n v="0"/>
    <n v="0"/>
    <n v="0"/>
    <n v="0"/>
    <n v="0"/>
    <n v="0"/>
    <n v="0"/>
    <n v="2956.1210000000001"/>
    <n v="53.958515229924622"/>
    <n v="448.86416697288291"/>
    <n v="48.835457765598058"/>
    <n v="166.75399999999999"/>
    <n v="48.889506490842948"/>
    <n v="86.566145296488202"/>
    <n v="2559"/>
    <n v="336.82123999273426"/>
    <n v="53.958515229924622"/>
    <n v="0"/>
    <n v="48.835457765598058"/>
    <n v="0"/>
    <n v="48.889506490842948"/>
    <n v="1990.758"/>
    <n v="67.343599999999995"/>
    <n v="67.891526745089052"/>
    <n v="965.36300000000006"/>
    <n v="32.656400000000005"/>
    <n v="92.560000745833435"/>
    <n v="5.4576302039164322"/>
    <n v="4.9099215020711204"/>
    <n v="4.8166711319815283"/>
    <n v="15.1842284863469"/>
    <n v="69.145055591224605"/>
    <n v="15.670715922428499"/>
    <n v="100"/>
    <n v="100"/>
    <n v="100"/>
    <n v="100"/>
    <n v="100"/>
    <n v="2011"/>
    <n v="0.16"/>
    <n v="2008"/>
    <n v="5"/>
    <s v="-"/>
    <s v="-"/>
    <m/>
    <n v="4"/>
    <n v="2008"/>
    <n v="99.815597534179702"/>
    <s v="lit"/>
    <n v="0"/>
    <s v="-"/>
    <s v="-"/>
    <s v="-"/>
    <s v="-"/>
    <s v="-"/>
    <s v="-"/>
    <s v="-"/>
    <s v="-"/>
    <s v="-"/>
    <m/>
    <m/>
    <m/>
    <m/>
    <m/>
    <m/>
    <m/>
    <m/>
    <m/>
    <m/>
    <m/>
    <m/>
    <m/>
    <m/>
    <m/>
    <m/>
    <m/>
    <m/>
    <m/>
    <m/>
    <m/>
    <m/>
    <m/>
    <m/>
    <m/>
    <m/>
    <m/>
    <m/>
    <m/>
    <m/>
    <m/>
    <m/>
    <m/>
    <m/>
    <m/>
    <m/>
    <m/>
    <n v="1"/>
    <s v="civil"/>
    <s v="F"/>
    <n v="1"/>
    <n v="1"/>
    <s v="-"/>
    <s v="-"/>
    <s v="-"/>
    <s v="-"/>
    <s v="-"/>
    <s v="F"/>
    <n v="24"/>
    <n v="6"/>
    <n v="8"/>
    <n v="10"/>
    <n v="10"/>
    <n v="0.91783714294433594"/>
    <n v="0.92245030403137207"/>
    <n v="0.82435619831085205"/>
    <n v="1.1311988830566406"/>
    <n v="0.79100668430328369"/>
    <n v="0.36356371641159058"/>
    <n v="29"/>
    <n v="0.72709000000000001"/>
    <n v="0.64705000000000001"/>
    <n v="0.75590000000000002"/>
    <n v="0.56967999999999996"/>
    <n v="0.85570000000000002"/>
    <n v="40"/>
    <n v="6.74"/>
    <n v="7"/>
    <n v="5.29"/>
    <n v="9.1199999999999992"/>
    <s v="Law on Legal Protection of Personal Data"/>
    <s v="http://www3.lrs.lt/pls/inter3/dokpaieska.showdoc_l?p_id=435305&amp;p_query=&amp;p_tr2=2"/>
    <n v="1996"/>
    <n v="2003"/>
    <s v="Both"/>
    <s v="State Data Protection Inspectorate"/>
    <s v="https://ada.lt/go.php/lit/English"/>
    <s v="ICDPPC; EDPA; A29WP"/>
    <n v="88"/>
    <n v="64"/>
    <n v="1996"/>
    <s v="http://www.rti-rating.org/files/pdf/Lithuania.pdf"/>
    <n v="5"/>
    <n v="24"/>
    <n v="18"/>
    <n v="11"/>
    <n v="6"/>
    <n v="0"/>
    <n v="0"/>
    <s v="EU"/>
    <m/>
    <m/>
    <m/>
    <m/>
    <s v=".."/>
    <s v=""/>
    <n v="0"/>
    <n v="18"/>
    <n v="72"/>
    <s v="B"/>
    <m/>
    <n v="4"/>
    <n v="0"/>
    <n v="0"/>
  </r>
  <r>
    <n v="103"/>
    <m/>
    <s v="Luxembourg"/>
    <x v="3"/>
    <x v="2"/>
    <s v="LUX"/>
    <s v="LU"/>
    <s v="http://www.guichet.public.lu/citoyens/fr/certificats/etat-civil-authentification/etat-civil/acte-naissance/index.html"/>
    <s v="Municipality, State Registrar"/>
    <n v="5"/>
    <n v="1796"/>
    <n v="2"/>
    <s v="5 d"/>
    <s v="free"/>
    <s v="http://www.guichet.public.lu/citoyens/fr/citoyennete/papiers-identite/carte-identite/nouv-carte-identite-adulte/index.html"/>
    <s v="Local Administrative Office, Ministry of Interior"/>
    <n v="2"/>
    <n v="2014"/>
    <s v="Carte de Identite (identity Card)"/>
    <x v="1"/>
    <n v="2"/>
    <n v="15"/>
    <s v="free"/>
    <n v="1"/>
    <n v="0"/>
    <m/>
    <n v="1"/>
    <n v="1"/>
    <m/>
    <s v="http://www.guichet.public.lu/citoyens/fr/demarches-internet/index.html"/>
    <n v="2014"/>
    <n v="3"/>
    <n v="4"/>
    <s v="C, E, F, H, R, S, T"/>
    <n v="1"/>
    <n v="1"/>
    <s v="-"/>
    <n v="9"/>
    <s v="https://www.luxtrust.lu/fr"/>
    <s v="-"/>
    <n v="0"/>
    <n v="0"/>
    <s v="http://www.mae.lu/en/Site-MAE/Passeports"/>
    <s v="Passport Office"/>
    <n v="2"/>
    <n v="3"/>
    <n v="2006"/>
    <n v="5"/>
    <n v="110"/>
    <n v="1"/>
    <s v="http://www.legilux.public.lu/entr/search/index.php"/>
    <n v="2002"/>
    <n v="1"/>
    <n v="1"/>
    <s v="http://www.legilux.public.lu/leg/textescoordonnes/codes/#code_commerce"/>
    <n v="1913"/>
    <n v="0"/>
    <s v="-"/>
    <n v="1"/>
    <s v="http://www.rcsl.lu"/>
    <n v="3"/>
    <n v="0"/>
    <n v="567.11"/>
    <n v="49.813087408086616"/>
    <n v="284.61500000000001"/>
    <n v="282.495"/>
    <n v="31.783000000000001"/>
    <n v="48.547965893716764"/>
    <n v="16.353000000000002"/>
    <n v="15.43"/>
    <n v="30.105"/>
    <n v="48.95200132868294"/>
    <n v="15.368"/>
    <n v="14.737"/>
    <n v="31.309000000000001"/>
    <n v="48.602638219042447"/>
    <n v="16.091999999999999"/>
    <n v="15.217000000000001"/>
    <n v="473.91299999999995"/>
    <n v="50.032600920422112"/>
    <n v="236.80200000000002"/>
    <n v="237.11099999999999"/>
    <n v="2015"/>
    <s v="http://esa.un.org/unpd/wpp/Download/Standard/Population/"/>
    <n v="100"/>
    <n v="100"/>
    <n v="100"/>
    <s v="–"/>
    <s v="–"/>
    <n v="2010"/>
    <s v="UNSD "/>
    <n v="246.97399999999999"/>
    <n v="43.549575920015513"/>
    <n v="123.94862550475217"/>
    <n v="123.02537449524783"/>
    <n v="2015"/>
    <s v="http://www.electionguide.org/countries/id/126/"/>
    <n v="15"/>
    <n v="18"/>
    <s v="LU2013"/>
    <n v="239.66800000000001"/>
    <n v="396.35399999999998"/>
    <n v="514.86199999999997"/>
    <n v="1"/>
    <n v="5"/>
    <s v="CD"/>
    <x v="2"/>
    <n v="226.93899999999996"/>
    <n v="40.016751600218647"/>
    <n v="50.271493883709795"/>
    <n v="112.85337449524785"/>
    <n v="114.08562550475216"/>
    <n v="39.651239216221157"/>
    <n v="40.385006992956392"/>
    <n v="226.93899999999996"/>
    <n v="50.271493883709795"/>
    <n v="112.85337449524785"/>
    <n v="114.08562550475216"/>
    <n v="0"/>
    <n v="0"/>
    <n v="0"/>
    <n v="0"/>
    <n v="0"/>
    <n v="0"/>
    <n v="0"/>
    <n v="0"/>
    <n v="0"/>
    <n v="0"/>
    <n v="543.202"/>
    <n v="50.226251007912339"/>
    <n v="95.143820272257528"/>
    <n v="48.290867831536971"/>
    <n v="30.780999999999999"/>
    <n v="48.842206098032307"/>
    <n v="67.134138736799258"/>
    <n v="300.8"/>
    <n v="147.25817972774249"/>
    <n v="50.226251007912339"/>
    <n v="0"/>
    <n v="48.290867831536971"/>
    <n v="0"/>
    <n v="48.842206098032307"/>
    <n v="466.43799999999999"/>
    <n v="85.868200000000002"/>
    <n v="25.585393985910237"/>
    <n v="76.763999999999996"/>
    <n v="14.131799999999998"/>
    <n v="84.508363295294657"/>
    <n v="5.8112926332826911"/>
    <n v="5.6383977757650721"/>
    <n v="6.0657090187893941"/>
    <n v="17.5153663411139"/>
    <n v="68.262000829593902"/>
    <n v="14.2226328292922"/>
    <n v="100"/>
    <n v="100"/>
    <n v="100"/>
    <n v="100"/>
    <n v="100"/>
    <n v="2010"/>
    <s v="-"/>
    <s v="-"/>
    <m/>
    <s v="-"/>
    <s v="-"/>
    <m/>
    <s v="-"/>
    <s v="-"/>
    <s v="-"/>
    <s v="fre"/>
    <n v="0"/>
    <s v="-"/>
    <s v="-"/>
    <s v="-"/>
    <s v="-"/>
    <s v="-"/>
    <s v="-"/>
    <s v="-"/>
    <s v="-"/>
    <s v="-"/>
    <m/>
    <m/>
    <m/>
    <m/>
    <m/>
    <m/>
    <m/>
    <m/>
    <m/>
    <m/>
    <m/>
    <m/>
    <m/>
    <m/>
    <m/>
    <m/>
    <m/>
    <m/>
    <m/>
    <m/>
    <m/>
    <m/>
    <m/>
    <m/>
    <m/>
    <m/>
    <m/>
    <m/>
    <m/>
    <m/>
    <m/>
    <m/>
    <m/>
    <m/>
    <m/>
    <m/>
    <m/>
    <n v="1"/>
    <s v="civil"/>
    <s v="F"/>
    <n v="1"/>
    <n v="1"/>
    <s v="-"/>
    <s v="-"/>
    <s v="-"/>
    <s v="-"/>
    <s v="-"/>
    <s v="F"/>
    <n v="12"/>
    <n v="2"/>
    <n v="4"/>
    <n v="6"/>
    <n v="10"/>
    <n v="1.6100245714187622"/>
    <n v="1.3321306705474854"/>
    <n v="1.6155534982681274"/>
    <n v="1.7623633146286011"/>
    <n v="1.7876087427139282"/>
    <n v="2.1148431301116943"/>
    <n v="24"/>
    <n v="0.75910999999999995"/>
    <n v="0.54901"/>
    <n v="0.62204000000000004"/>
    <n v="0.87224999999999997"/>
    <n v="0.78300000000000003"/>
    <n v="10"/>
    <n v="8.26"/>
    <n v="9.4600000000000009"/>
    <n v="7.66"/>
    <n v="7.08"/>
    <s v="Data Protection Law"/>
    <s v="http://www.right2info.org/resources/publications/laws-1/J-1999-O-0486.pdf"/>
    <n v="1979"/>
    <n v="2002"/>
    <s v="Both"/>
    <s v="National Data Protection Commission"/>
    <s v="http://www.cnpd.public.lu/fr/index.html"/>
    <s v="ICDPPC; EDPA; A29WP; AFAPDP"/>
    <s v="-"/>
    <s v="-"/>
    <s v="-"/>
    <s v="-"/>
    <s v="-"/>
    <s v="-"/>
    <s v="-"/>
    <s v="-"/>
    <s v="-"/>
    <s v="-"/>
    <s v="-"/>
    <s v="EU"/>
    <s v="OECD"/>
    <m/>
    <m/>
    <m/>
    <s v=".."/>
    <s v="EMU"/>
    <n v="0"/>
    <n v="20"/>
    <n v="80"/>
    <s v="A"/>
    <m/>
    <n v="5"/>
    <n v="0"/>
    <n v="0"/>
  </r>
  <r>
    <n v="104"/>
    <m/>
    <s v="Macau SAR, China"/>
    <x v="6"/>
    <x v="2"/>
    <s v="MAC"/>
    <s v="MO"/>
    <s v="http://www.dsi.gov.mo/idcard03_e.jsp"/>
    <s v="Identification Services Bureau (DSI)"/>
    <n v="6"/>
    <n v="1987"/>
    <n v="2"/>
    <s v="-"/>
    <s v="free"/>
    <s v="http://www.dsi.gov.mo/idcard03_e.jsp"/>
    <s v="Identification Services Bureau"/>
    <n v="2"/>
    <n v="2002"/>
    <s v="Bilhete de Identidade"/>
    <x v="1"/>
    <n v="2"/>
    <n v="18"/>
    <s v="free"/>
    <n v="0"/>
    <n v="0"/>
    <s v="http://en.wikipedia.org/wiki/Macau_Resident_Identity_Card"/>
    <m/>
    <n v="1"/>
    <m/>
    <s v="http://portal.gov.mo/web/guest/info_detail?infoid=252978"/>
    <n v="2002"/>
    <n v="2"/>
    <s v="4B"/>
    <s v="C, R, S"/>
    <n v="0"/>
    <n v="0"/>
    <s v="-"/>
    <n v="4"/>
    <s v="https://www.gi-de.com/en/products_and_solutions/products/national_id_cards/National-ID-cards-for-secure-identification-6530.jsp"/>
    <s v="-"/>
    <n v="0"/>
    <n v="0"/>
    <s v="http://www.dsi.gov.mo/passport_e.jsp"/>
    <s v="Identification Services"/>
    <n v="2"/>
    <n v="2"/>
    <n v="2009"/>
    <n v="10"/>
    <n v="150"/>
    <n v="1"/>
    <s v="http://www.ipim.gov.mo/ipim_service_detail.php?tid=2615"/>
    <n v="2000"/>
    <n v="1"/>
    <n v="1"/>
    <s v="http://www.bnlawmacau.com/fotos/gca/business_macau_1236222439.pdf"/>
    <n v="2000"/>
    <n v="0"/>
    <s v="-"/>
    <n v="0"/>
    <s v="-"/>
    <n v="3"/>
    <n v="0"/>
    <n v="587.60599999999999"/>
    <n v="51.836604799814843"/>
    <n v="283.01100000000002"/>
    <n v="304.59500000000003"/>
    <n v="33.424999999999997"/>
    <n v="48.915482423335838"/>
    <n v="17.074999999999999"/>
    <n v="16.350000000000001"/>
    <n v="22.896999999999998"/>
    <n v="48.211556099052274"/>
    <n v="11.858000000000001"/>
    <n v="11.039"/>
    <n v="20.134"/>
    <n v="48.246746796463697"/>
    <n v="10.42"/>
    <n v="9.7140000000000004"/>
    <n v="511.15"/>
    <n v="52.33140956666341"/>
    <n v="243.65800000000004"/>
    <n v="267.49200000000002"/>
    <n v="2015"/>
    <s v="http://esa.un.org/unpd/wpp/Download/Standard/Population/"/>
    <n v="100"/>
    <n v="100"/>
    <n v="100"/>
    <m/>
    <m/>
    <n v="2015"/>
    <s v="http://www.dsec.gov.mo"/>
    <n v="552.50300000000004"/>
    <n v="94.026099120839476"/>
    <n v="265.14400000000001"/>
    <n v="287.35899999999998"/>
    <n v="2011"/>
    <s v="http://www.dsec.gov.mo/Statistic.aspx?NodeGuid=8d4d5779-c0d3-42f0-ae71-8b747bdc8d88"/>
    <n v="18"/>
    <n v="18"/>
    <s v="MO2013"/>
    <n v="276.03399999999999"/>
    <s v="-"/>
    <s v="-"/>
    <n v="20"/>
    <n v="5"/>
    <s v="CD"/>
    <x v="1"/>
    <n v="35.102999999999952"/>
    <n v="5.9739008791605182"/>
    <n v="49.10121642024918"/>
    <n v="17.867000000000019"/>
    <n v="17.236000000000047"/>
    <n v="6.3131821731310866"/>
    <n v="5.6586615013378569"/>
    <n v="35.102999999999952"/>
    <n v="49.10121642024918"/>
    <n v="17.867000000000019"/>
    <n v="17.236000000000047"/>
    <n v="0"/>
    <n v="0"/>
    <n v="0"/>
    <n v="0"/>
    <n v="0"/>
    <n v="0"/>
    <n v="0"/>
    <n v="0"/>
    <n v="0"/>
    <n v="0"/>
    <n v="566.375"/>
    <n v="51.915956742440962"/>
    <n v="70.029000000000138"/>
    <n v="47.889057543798863"/>
    <n v="27.344000000000001"/>
    <n v="48.681049473228221"/>
    <n v="93.401015228426402"/>
    <n v="529"/>
    <n v="32.753796954314701"/>
    <n v="51.915956742440962"/>
    <n v="0"/>
    <n v="47.889057543798863"/>
    <n v="0"/>
    <n v="48.681049473228221"/>
    <n v="566.375"/>
    <n v="100"/>
    <n v="51.915956742440962"/>
    <n v="0"/>
    <n v="0"/>
    <n v="51.915956742440962"/>
    <n v="4.7512758146459246"/>
    <n v="3.6196915478172667"/>
    <n v="3.9934555022465861"/>
    <n v="12.3644228647098"/>
    <n v="79.492562348267498"/>
    <n v="8.1430147870227305"/>
    <n v="100"/>
    <n v="100"/>
    <n v="100"/>
    <n v="100"/>
    <n v="100"/>
    <n v="2012"/>
    <s v="-"/>
    <s v="-"/>
    <m/>
    <s v="-"/>
    <s v="-"/>
    <m/>
    <s v="-"/>
    <s v="-"/>
    <n v="95.640037536621094"/>
    <s v="chi"/>
    <n v="0"/>
    <s v="-"/>
    <s v="-"/>
    <s v="-"/>
    <s v="-"/>
    <s v="-"/>
    <s v="-"/>
    <s v="-"/>
    <s v="-"/>
    <s v="-"/>
    <m/>
    <m/>
    <m/>
    <m/>
    <m/>
    <m/>
    <m/>
    <m/>
    <m/>
    <m/>
    <m/>
    <m/>
    <m/>
    <m/>
    <m/>
    <m/>
    <m/>
    <m/>
    <m/>
    <m/>
    <m/>
    <m/>
    <m/>
    <m/>
    <m/>
    <m/>
    <m/>
    <m/>
    <m/>
    <m/>
    <m/>
    <m/>
    <m/>
    <m/>
    <m/>
    <m/>
    <m/>
    <n v="1"/>
    <s v="civil"/>
    <s v="PF"/>
    <s v="-"/>
    <s v="-"/>
    <s v="-"/>
    <s v="-"/>
    <s v="-"/>
    <s v="-"/>
    <s v="-"/>
    <s v="PF"/>
    <n v="59"/>
    <s v="-"/>
    <s v="-"/>
    <s v="-"/>
    <m/>
    <n v="-0.29773688316345215"/>
    <n v="0.76996207237243652"/>
    <n v="1.0396131277084351"/>
    <n v="1.332642674446106"/>
    <n v="0.629874587059021"/>
    <n v="0.5893593430519104"/>
    <s v="-"/>
    <s v="-"/>
    <s v="-"/>
    <s v="-"/>
    <s v="-"/>
    <s v="-"/>
    <n v="22"/>
    <n v="7.66"/>
    <n v="7.88"/>
    <n v="7.01"/>
    <n v="8.5299999999999994"/>
    <s v="Personal Data Protection Act"/>
    <s v="http://www.gpdp.gov.mo/uploadfile/2013/1217/20131217120421182.pdf"/>
    <n v="2005"/>
    <n v="2006"/>
    <s v="Both"/>
    <s v="Office for Personal Data Protection"/>
    <s v="http://www.gpdp.gov.mo/paw2014/index_en.html"/>
    <s v="APPA; GPEN"/>
    <s v="-"/>
    <s v="-"/>
    <s v="-"/>
    <s v="-"/>
    <s v="-"/>
    <s v="-"/>
    <s v="-"/>
    <s v="-"/>
    <s v="-"/>
    <s v="-"/>
    <s v="-"/>
    <m/>
    <m/>
    <m/>
    <m/>
    <m/>
    <s v=".."/>
    <s v=""/>
    <n v="0"/>
    <n v="18"/>
    <n v="72"/>
    <s v="B"/>
    <m/>
    <n v="5"/>
    <n v="0"/>
    <n v="0"/>
  </r>
  <r>
    <n v="105"/>
    <m/>
    <s v="Macedonia"/>
    <x v="1"/>
    <x v="1"/>
    <s v="MKD"/>
    <s v="MK"/>
    <s v="http://eudo-citizenship.eu/NationalDB/docs/MAC%20Law_Registers_Birth_eng.pdf"/>
    <s v="Ministry of Internal Affairs"/>
    <n v="2"/>
    <n v="1946"/>
    <n v="2"/>
    <s v="15 d"/>
    <s v="free"/>
    <s v="http://www.mvr.gov.mk/DesktopDefault.aspx?tabindex=5&amp;tabid=187&amp;parent=100"/>
    <s v="Ministry of Interior"/>
    <n v="2"/>
    <n v="2008"/>
    <s v="National ID Card / Лична карта"/>
    <x v="1"/>
    <n v="2"/>
    <n v="18"/>
    <s v="190 D"/>
    <n v="1"/>
    <n v="1"/>
    <s v="http://en.wikipedia.org/wiki/Macedonian_identity_card"/>
    <m/>
    <n v="1"/>
    <m/>
    <s v="http://www.mvr.gov.mk/DesktopDefault.aspx?tabindex=5&amp;tabid=187&amp;parent=100"/>
    <n v="2006"/>
    <n v="2"/>
    <n v="2"/>
    <s v="C, R, S"/>
    <n v="0"/>
    <n v="0"/>
    <m/>
    <n v="4"/>
    <s v="https://www.gi-de.com/en/products_and_solutions/products/national_id_cards/National-ID-cards-for-secure-identification-6530.jsp"/>
    <s v="-"/>
    <n v="0"/>
    <n v="0"/>
    <s v="http://www.mvr.gov.mk/DesktopDefault.aspx?tabindex=5&amp;tabid=184&amp;parent=100"/>
    <s v="Ministry of Interior"/>
    <n v="2"/>
    <n v="2"/>
    <n v="2007"/>
    <n v="10"/>
    <n v="1100"/>
    <n v="1"/>
    <s v="http://www.crm.com.mk/DS/default.aspx?MainId=12"/>
    <n v="2007"/>
    <n v="1"/>
    <n v="1"/>
    <s v="http://www.doingbusiness.org/data/exploreeconomies/macedonia-fyr/starting-a-business"/>
    <n v="2004"/>
    <n v="0"/>
    <s v="-"/>
    <n v="1"/>
    <s v="https://e-submit.crm.com.mk/sso/login.aspx?ReturnUrl=https%3a%2f%2fwww.crm.com.mk%3a443%2fDS%2fusers%2fPaContent.aspx"/>
    <n v="3"/>
    <n v="1"/>
    <n v="2078.453"/>
    <n v="50.220187803140128"/>
    <n v="1034.6500000000001"/>
    <n v="1043.8030000000001"/>
    <n v="115.34"/>
    <n v="48.75065025143055"/>
    <n v="59.110999999999997"/>
    <n v="56.228999999999999"/>
    <n v="112.17100000000001"/>
    <n v="48.749676832692941"/>
    <n v="57.488"/>
    <n v="54.683"/>
    <n v="124.851"/>
    <n v="48.749309176538432"/>
    <n v="63.987000000000002"/>
    <n v="60.863999999999997"/>
    <n v="1726.0909999999999"/>
    <n v="50.520337572005189"/>
    <n v="854.06400000000019"/>
    <n v="872.02700000000004"/>
    <n v="2015"/>
    <s v="http://esa.un.org/unpd/wpp/Download/Standard/Population/"/>
    <n v="99.7"/>
    <n v="99.9"/>
    <n v="99.6"/>
    <n v="99.9"/>
    <n v="99.6"/>
    <n v="2011"/>
    <s v="MICS"/>
    <n v="1625.3150000000001"/>
    <n v="78.198304219532517"/>
    <n v="809.07875460739308"/>
    <n v="816.23624539260697"/>
    <n v="2014"/>
    <s v="http://www.electionguide.org/countries/id/128/"/>
    <n v="18"/>
    <n v="18"/>
    <s v="MK2014"/>
    <n v="1779.5719999999999"/>
    <n v="1625.3150000000001"/>
    <n v="2091.7190000000001"/>
    <n v="1"/>
    <n v="4"/>
    <s v="CD"/>
    <x v="1"/>
    <n v="101.83308599999984"/>
    <n v="4.8994654197135965"/>
    <n v="55.461206986689135"/>
    <n v="45.165831392607096"/>
    <n v="56.477858607393067"/>
    <n v="4.3653246404684767"/>
    <n v="5.4107775708053207"/>
    <n v="100.77599999999984"/>
    <n v="55.361152067350517"/>
    <n v="44.985245392607112"/>
    <n v="55.790754607393069"/>
    <n v="0.71106600000000064"/>
    <n v="64.999310893784823"/>
    <n v="0.12147499999998662"/>
    <n v="0.46218800000000038"/>
    <n v="0.34602000000000033"/>
    <n v="65.000867001907409"/>
    <n v="5.9110999999993488E-2"/>
    <n v="0.2249160000000002"/>
    <n v="9.9999999999988987E-2"/>
    <n v="0.40000000000000036"/>
    <n v="2107.1579999999999"/>
    <n v="49.911207417763642"/>
    <n v="351.82200000000017"/>
    <n v="48.448931561982981"/>
    <n v="112.288"/>
    <n v="48.611690744901011"/>
    <n v="84.426511917948261"/>
    <n v="1779"/>
    <n v="273.36704275996357"/>
    <n v="49.911207417763642"/>
    <n v="1.0554660000000013"/>
    <n v="48.448931561982981"/>
    <n v="0.33785700000000024"/>
    <n v="48.611690744901011"/>
    <n v="1255.2090000000001"/>
    <n v="59.568800000000003"/>
    <n v="47.732449337122347"/>
    <n v="851.94899999999996"/>
    <n v="40.431199999999997"/>
    <n v="46.731905313580981"/>
    <n v="5.3445920998805017"/>
    <n v="5.5072756765273398"/>
    <n v="5.8446495231966482"/>
    <n v="16.696517299604501"/>
    <n v="70.958276503233293"/>
    <n v="12.3452061971622"/>
    <n v="99.7"/>
    <n v="100"/>
    <n v="100"/>
    <n v="99.9"/>
    <n v="99.6"/>
    <n v="2011"/>
    <n v="0.6"/>
    <n v="2010"/>
    <n v="12"/>
    <n v="19"/>
    <n v="2006"/>
    <n v="392.13967000000002"/>
    <n v="30.4"/>
    <n v="2011"/>
    <n v="97.537063598632798"/>
    <s v="mac"/>
    <n v="0"/>
    <s v="-"/>
    <s v="-"/>
    <s v="-"/>
    <s v="-"/>
    <s v="-"/>
    <s v="-"/>
    <s v="-"/>
    <s v="-"/>
    <s v="-"/>
    <m/>
    <m/>
    <m/>
    <m/>
    <m/>
    <m/>
    <m/>
    <m/>
    <m/>
    <m/>
    <m/>
    <m/>
    <m/>
    <m/>
    <m/>
    <m/>
    <m/>
    <m/>
    <m/>
    <m/>
    <m/>
    <m/>
    <m/>
    <m/>
    <m/>
    <m/>
    <m/>
    <m/>
    <m/>
    <m/>
    <m/>
    <m/>
    <m/>
    <m/>
    <m/>
    <m/>
    <m/>
    <n v="1"/>
    <s v="civil"/>
    <s v="PF"/>
    <n v="3"/>
    <n v="3"/>
    <s v="-"/>
    <s v="-"/>
    <s v="-"/>
    <s v="-"/>
    <s v="-"/>
    <s v="PF"/>
    <n v="57"/>
    <n v="17"/>
    <n v="21"/>
    <n v="19"/>
    <n v="9"/>
    <n v="-3.8272526115179062E-2"/>
    <n v="-0.37378472089767456"/>
    <n v="-6.1508603394031525E-2"/>
    <n v="0.32372704148292542"/>
    <n v="-0.20096820592880249"/>
    <n v="2.116113156080246E-2"/>
    <n v="96"/>
    <n v="0.47198000000000001"/>
    <n v="0.21568000000000001"/>
    <n v="0.24409"/>
    <n v="0.45207000000000003"/>
    <n v="0.7198"/>
    <n v="60"/>
    <n v="5.77"/>
    <n v="6.55"/>
    <n v="4.22"/>
    <n v="7.29"/>
    <s v="Law on Personal Data Protection"/>
    <s v="http://www.ceecprivacy.org/pdf/Law%20on%20Personal%20Data%20Protection.pdf"/>
    <n v="2005"/>
    <n v="2005"/>
    <s v="Both"/>
    <s v="Directorate of Personal Data Protection"/>
    <s v="http://privacy.mk/en/node/46"/>
    <s v="ICDPPC; EDPA; CEEDPA"/>
    <n v="12"/>
    <n v="113"/>
    <n v="2006"/>
    <s v="http://www.rti-rating.org/files/pdf/Macedonia.pdf"/>
    <n v="4"/>
    <n v="30"/>
    <n v="21"/>
    <n v="22"/>
    <n v="18"/>
    <n v="4"/>
    <n v="14"/>
    <m/>
    <m/>
    <m/>
    <m/>
    <m/>
    <s v="IBRD"/>
    <s v=""/>
    <n v="0"/>
    <n v="18"/>
    <n v="72"/>
    <s v="B"/>
    <m/>
    <n v="4"/>
    <n v="0"/>
    <n v="0"/>
  </r>
  <r>
    <n v="106"/>
    <m/>
    <s v="Madagascar"/>
    <x v="4"/>
    <x v="0"/>
    <s v="MDG"/>
    <s v="MG"/>
    <s v="http://www.madagascar.gov.mg/"/>
    <s v="Local Register Offices"/>
    <n v="5"/>
    <n v="1961"/>
    <n v="2"/>
    <s v="12 d"/>
    <s v="free"/>
    <s v="http://unstats.un.org/unsd/demographic/CRVS/Technical%20report%20SADC%20final%20v2.pdf"/>
    <s v="Ministry of Interior"/>
    <n v="2"/>
    <n v="1961"/>
    <s v="Carte nationale d'identité de citoyen malagasy"/>
    <x v="1"/>
    <n v="2"/>
    <n v="18"/>
    <s v="free"/>
    <n v="1"/>
    <n v="1"/>
    <m/>
    <n v="1"/>
    <m/>
    <m/>
    <s v="-"/>
    <s v="-"/>
    <n v="0"/>
    <n v="1"/>
    <s v="-"/>
    <s v="-"/>
    <s v="-"/>
    <s v="-"/>
    <n v="0"/>
    <s v="-"/>
    <s v="-"/>
    <n v="0"/>
    <n v="0"/>
    <s v="http://www.policenationale.gov.mg/?page_id=93"/>
    <s v="Police"/>
    <n v="2"/>
    <n v="2"/>
    <n v="2010"/>
    <n v="5"/>
    <n v="80"/>
    <n v="0"/>
    <s v="http://www.edbm.gov.mg/"/>
    <n v="2006"/>
    <n v="1"/>
    <n v="1"/>
    <s v="http://www.edbm.gov.mg/One-Stop-Shop/Company-creation"/>
    <n v="2013"/>
    <n v="0"/>
    <s v="-"/>
    <n v="0"/>
    <s v="-"/>
    <n v="1"/>
    <n v="1"/>
    <n v="24235.39"/>
    <n v="50.14538243453066"/>
    <n v="12082.460999999999"/>
    <n v="12152.929"/>
    <n v="3770.13"/>
    <n v="49.403627991607713"/>
    <n v="1907.549"/>
    <n v="1862.5809999999999"/>
    <n v="3328.0390000000002"/>
    <n v="49.633162351763296"/>
    <n v="1676.2280000000001"/>
    <n v="1651.8109999999999"/>
    <n v="3010.2510000000002"/>
    <n v="49.852121965909149"/>
    <n v="1509.577"/>
    <n v="1500.674"/>
    <n v="14126.969999999998"/>
    <n v="50.526496481552677"/>
    <n v="6989.1070000000009"/>
    <n v="7137.8630000000003"/>
    <n v="2015"/>
    <s v="http://esa.un.org/unpd/wpp/Download/Standard/Population/"/>
    <n v="83"/>
    <n v="83.2"/>
    <n v="82.9"/>
    <n v="97.4"/>
    <n v="80.900000000000006"/>
    <s v="2012-2013"/>
    <s v="ENSOMD"/>
    <n v="7971.79"/>
    <n v="32.893178116795312"/>
    <n v="3974.3054176223282"/>
    <n v="3997.4845823776718"/>
    <n v="2013"/>
    <s v="http://www.electionguide.org/countries/id/129/"/>
    <n v="18"/>
    <n v="18"/>
    <s v="MG2013"/>
    <n v="7971.79"/>
    <n v="11458.380999999999"/>
    <n v="22599.098000000002"/>
    <n v="1"/>
    <n v="4"/>
    <s v="LH"/>
    <x v="0"/>
    <n v="7873.611399999998"/>
    <n v="32.488073845727257"/>
    <n v="50.776632227777064"/>
    <n v="3870.4850543776724"/>
    <n v="3997.954703622328"/>
    <n v="32.033913077622785"/>
    <n v="32.897046494901176"/>
    <n v="6155.1799999999976"/>
    <n v="51.0200906817076"/>
    <n v="3014.8015823776727"/>
    <n v="3140.3784176223285"/>
    <n v="1077.5093000000004"/>
    <n v="50.029724569430591"/>
    <n v="535.21523999999977"/>
    <n v="539.07493499999975"/>
    <n v="640.92210000000011"/>
    <n v="49.694237568028903"/>
    <n v="320.46823199999983"/>
    <n v="318.50135099999983"/>
    <n v="16.79999999999999"/>
    <n v="17.099999999999994"/>
    <n v="22924.850999999999"/>
    <n v="50.164081764370025"/>
    <n v="9718.0590000000102"/>
    <n v="49.644362310596144"/>
    <n v="3606.2620000000002"/>
    <n v="49.449983249572774"/>
    <n v="35"/>
    <n v="4622.3771999999972"/>
    <n v="8584.4147999999932"/>
    <n v="50.164081764370025"/>
    <n v="1652.0700300000021"/>
    <n v="49.644362310596144"/>
    <n v="612.65894634423285"/>
    <n v="49.449983249572774"/>
    <n v="7758.9620000000004"/>
    <n v="33.845199999999998"/>
    <n v="25.789532156492069"/>
    <n v="15165.888999999999"/>
    <n v="66.154799999999994"/>
    <n v="36.648032963975936"/>
    <n v="15.720390745248789"/>
    <n v="13.96946544341448"/>
    <n v="12.701080179908985"/>
    <n v="42.390936368572298"/>
    <n v="54.792203447690902"/>
    <n v="2.8168601837368499"/>
    <n v="83"/>
    <n v="82.9"/>
    <n v="83.2"/>
    <n v="97.4"/>
    <n v="80.900000000000006"/>
    <n v="2013"/>
    <n v="81.290000000000006"/>
    <n v="2010"/>
    <n v="17329.204754999999"/>
    <n v="68.7"/>
    <n v="2005"/>
    <n v="14643.497745000001"/>
    <n v="50"/>
    <n v="2004"/>
    <n v="64.480903625488295"/>
    <s v="mlg"/>
    <n v="1"/>
    <n v="3"/>
    <s v="Yes"/>
    <s v="-"/>
    <s v="-"/>
    <s v="-"/>
    <s v="CR Minister"/>
    <n v="0.8"/>
    <s v="-"/>
    <n v="1"/>
    <s v="-"/>
    <s v="-"/>
    <s v="P149323 (P)"/>
    <s v="-"/>
    <s v="-"/>
    <s v="-"/>
    <m/>
    <m/>
    <m/>
    <m/>
    <m/>
    <m/>
    <m/>
    <m/>
    <m/>
    <m/>
    <m/>
    <m/>
    <m/>
    <m/>
    <m/>
    <m/>
    <m/>
    <m/>
    <m/>
    <m/>
    <m/>
    <m/>
    <m/>
    <m/>
    <m/>
    <m/>
    <m/>
    <m/>
    <m/>
    <m/>
    <m/>
    <n v="1"/>
    <s v="civil"/>
    <s v="PF"/>
    <n v="5"/>
    <n v="4"/>
    <s v="-"/>
    <s v="-"/>
    <s v="-"/>
    <s v="-"/>
    <s v="-"/>
    <s v="NF"/>
    <n v="63"/>
    <n v="20"/>
    <n v="27"/>
    <n v="16"/>
    <n v="9"/>
    <n v="-0.78014206886291504"/>
    <n v="-0.71434897184371948"/>
    <n v="-1.1237829923629761"/>
    <n v="-0.66955476999282837"/>
    <n v="-0.89731436967849731"/>
    <n v="-0.68909555673599243"/>
    <n v="155"/>
    <n v="0.2606"/>
    <n v="0.35293999999999998"/>
    <n v="0.24409"/>
    <n v="4.879E-2"/>
    <n v="0.4889"/>
    <n v="160"/>
    <n v="1.42"/>
    <n v="1.68"/>
    <n v="0.09"/>
    <n v="3.55"/>
    <s v="Data Protection Bill"/>
    <s v="http://www.afapdp.org/wp-content/uploads/2015/01/Madagascar-L-2014-038-du-09-01-15-sur-la-protection-des-donn%C3%A9es-%C3%A0-caract%C3%A8re-personnel.pdf"/>
    <n v="2014"/>
    <s v="-"/>
    <s v="Both"/>
    <s v="Minister of Justice"/>
    <s v="http://www.justice.gov.mg/"/>
    <s v="-"/>
    <s v="-"/>
    <s v="-"/>
    <n v="2004"/>
    <s v="http://www.servat.unibe.ch/icl/ma00000_.html"/>
    <s v="-"/>
    <s v="-"/>
    <s v="-"/>
    <s v="-"/>
    <s v="-"/>
    <s v="-"/>
    <s v="-"/>
    <m/>
    <m/>
    <m/>
    <n v="1"/>
    <m/>
    <s v="IDA"/>
    <s v="HIPC"/>
    <n v="0"/>
    <n v="12"/>
    <n v="48"/>
    <s v="C"/>
    <n v="1"/>
    <n v="3"/>
    <n v="0"/>
    <n v="0"/>
  </r>
  <r>
    <n v="107"/>
    <m/>
    <s v="Malawi"/>
    <x v="4"/>
    <x v="0"/>
    <s v="MWI"/>
    <s v="MW"/>
    <s v="http://www.malawi.gov.mw/index.php?option=com_content&amp;view=article&amp;id=31&amp;Itemid=115"/>
    <s v="National Registration Bureau, Registration Officer"/>
    <n v="6"/>
    <n v="1904"/>
    <n v="2"/>
    <s v="42 d"/>
    <s v="free"/>
    <s v="http://www.registrargeneral.gov.mw/cms/drg/?id=11"/>
    <s v="National Registration Bureau (under the Office of the President and Cabinet)"/>
    <n v="1"/>
    <n v="2005"/>
    <s v="National ID Card"/>
    <x v="1"/>
    <n v="2"/>
    <n v="16"/>
    <s v="free"/>
    <n v="1"/>
    <n v="1"/>
    <m/>
    <n v="1"/>
    <n v="1"/>
    <m/>
    <s v="-"/>
    <s v="-"/>
    <n v="0"/>
    <n v="1"/>
    <s v="-"/>
    <s v="-"/>
    <s v="-"/>
    <s v="-"/>
    <n v="0"/>
    <s v="-"/>
    <s v="-"/>
    <n v="0"/>
    <n v="0"/>
    <s v="http://www.immigration.gov.mw/index.html"/>
    <s v="Department of Immigration"/>
    <n v="2"/>
    <n v="2"/>
    <n v="2010"/>
    <n v="5"/>
    <s v="-"/>
    <n v="0"/>
    <s v="http://www.rgd.gov.gh/en/services/searches.php"/>
    <n v="2013"/>
    <n v="1"/>
    <n v="1"/>
    <s v="http://www.doingbusiness.org/data/exploreeconomies/malawi/starting-a-business"/>
    <n v="2005"/>
    <n v="0"/>
    <s v="-"/>
    <n v="0"/>
    <s v="-"/>
    <n v="0"/>
    <n v="1"/>
    <n v="17215.232"/>
    <n v="50.084547219578567"/>
    <n v="8593.0609999999997"/>
    <n v="8622.1710000000003"/>
    <n v="2953.5949999999998"/>
    <n v="49.432098849029742"/>
    <n v="1493.5709999999999"/>
    <n v="1460.0239999999999"/>
    <n v="2613.4050000000002"/>
    <n v="49.761479755338343"/>
    <n v="1312.9359999999999"/>
    <n v="1300.4690000000001"/>
    <n v="2206.8789999999999"/>
    <n v="49.843013595217499"/>
    <n v="1106.904"/>
    <n v="1099.9749999999999"/>
    <n v="9441.3529999999992"/>
    <n v="50.434540473171609"/>
    <n v="4679.6499999999996"/>
    <n v="4761.7030000000013"/>
    <n v="2015"/>
    <s v="http://esa.un.org/unpd/wpp/Download/Standard/Population/"/>
    <n v="2.2999999999999998"/>
    <n v="2.2999999999999998"/>
    <n v="2.2999999999999998"/>
    <s v="–"/>
    <s v="–"/>
    <n v="2011"/>
    <s v="WMS"/>
    <n v="7470.8059999999996"/>
    <n v="43.396487482712978"/>
    <n v="3729.0866412468908"/>
    <n v="3741.7193587531087"/>
    <n v="2014"/>
    <s v="http://www.electionguide.org/countries/id/130/"/>
    <n v="16"/>
    <n v="18"/>
    <s v="MW2014"/>
    <n v="7470.8059999999996"/>
    <n v="8173.6689999999999"/>
    <n v="17377.468000000001"/>
    <n v="1"/>
    <n v="4"/>
    <s v="LH"/>
    <x v="0"/>
    <n v="9565.6267829999997"/>
    <n v="55.564901960078139"/>
    <n v="50.092492483217264"/>
    <n v="4773.9659057531089"/>
    <n v="4791.6608772468926"/>
    <n v="55.556057448598459"/>
    <n v="55.573716610896405"/>
    <n v="1970.5469999999996"/>
    <n v="51.761447011763373"/>
    <n v="950.56335875310879"/>
    <n v="1019.9836412468926"/>
    <n v="4709.4174679999996"/>
    <n v="49.798808534932796"/>
    <n v="2364.1836800000001"/>
    <n v="2345.233788"/>
    <n v="2885.6623149999996"/>
    <n v="49.432098849029742"/>
    <n v="1459.2188669999998"/>
    <n v="1426.4434479999998"/>
    <n v="97.7"/>
    <n v="97.699999999999989"/>
    <n v="16362.566999999999"/>
    <n v="49.879209050755911"/>
    <n v="7410.4049999999916"/>
    <n v="49.400038150059402"/>
    <n v="2870.0360000000001"/>
    <n v="49.425010030338406"/>
    <n v="5"/>
    <n v="447.60810000000043"/>
    <n v="8504.5539000000063"/>
    <n v="49.879209050755911"/>
    <n v="7239.9656849999919"/>
    <n v="49.400038150059402"/>
    <n v="2777.2478923724452"/>
    <n v="49.425010030338406"/>
    <n v="2618.1419999999998"/>
    <n v="16.000800000000002"/>
    <n v="37.768463284268009"/>
    <n v="13744.424999999999"/>
    <n v="83.999200000000002"/>
    <n v="43.709278489278383"/>
    <n v="17.3727529689635"/>
    <n v="15.216220668256463"/>
    <n v="12.699794317099183"/>
    <n v="45.288767954319098"/>
    <n v="51.511459051626801"/>
    <n v="3.19977299405405"/>
    <n v="2.2999999999999998"/>
    <n v="2.2999999999999998"/>
    <n v="2.2999999999999998"/>
    <n v="2.2999999999999998"/>
    <n v="2.2999999999999998"/>
    <n v="2011"/>
    <n v="61.64"/>
    <n v="2010"/>
    <n v="11366.476232000003"/>
    <n v="50.7"/>
    <n v="2010"/>
    <n v="7798.1102160000009"/>
    <n v="53"/>
    <n v="2004"/>
    <n v="61.309722900390597"/>
    <s v="eng"/>
    <n v="1"/>
    <n v="2"/>
    <s v="-"/>
    <s v="Planned"/>
    <s v="-"/>
    <s v="-"/>
    <s v="CR Minister"/>
    <n v="0"/>
    <s v="-"/>
    <n v="3"/>
    <s v="-"/>
    <s v="P133620 (A)"/>
    <s v="-"/>
    <s v="-"/>
    <s v="P001657 (C); P078408 (C)"/>
    <s v="-"/>
    <m/>
    <m/>
    <m/>
    <m/>
    <m/>
    <m/>
    <m/>
    <m/>
    <m/>
    <m/>
    <m/>
    <m/>
    <m/>
    <m/>
    <m/>
    <m/>
    <m/>
    <m/>
    <m/>
    <n v="1"/>
    <s v="Voter Registration"/>
    <n v="1"/>
    <s v="Dowa Emergency Cash Transfer (DECT)"/>
    <m/>
    <m/>
    <n v="1"/>
    <s v="FPIS (Fingerprint Identification System, treatment monitoring)"/>
    <n v="1"/>
    <s v="MALSWITCH OIBM Credit market experiment"/>
    <m/>
    <m/>
    <n v="2"/>
    <s v="common + customary"/>
    <s v="PF"/>
    <n v="3"/>
    <n v="4"/>
    <s v="PF"/>
    <n v="42"/>
    <n v="16"/>
    <n v="11"/>
    <n v="15"/>
    <s v="PF"/>
    <n v="51"/>
    <n v="17"/>
    <n v="18"/>
    <n v="16"/>
    <n v="6"/>
    <n v="-0.18730795383453369"/>
    <n v="-0.22415845096111298"/>
    <n v="-0.56065845489501953"/>
    <n v="-0.68002557754516602"/>
    <n v="-0.19043238461017609"/>
    <n v="-0.63648265600204468"/>
    <n v="166"/>
    <n v="0.23208000000000001"/>
    <n v="0.23529"/>
    <n v="0.17322000000000001"/>
    <n v="4.8370000000000003E-2"/>
    <n v="0.47460000000000002"/>
    <n v="158"/>
    <n v="1.52"/>
    <n v="1.89"/>
    <n v="0.31"/>
    <n v="3.21"/>
    <s v="-"/>
    <s v="-"/>
    <s v="-"/>
    <s v="-"/>
    <s v="-"/>
    <s v="-"/>
    <s v="-"/>
    <s v="-"/>
    <s v="-"/>
    <s v="-"/>
    <n v="1964"/>
    <s v="http://www.sdnp.org.mw/constitut/chapter4.html#37"/>
    <s v="-"/>
    <s v="-"/>
    <s v="-"/>
    <s v="-"/>
    <s v="-"/>
    <s v="-"/>
    <s v="-"/>
    <m/>
    <m/>
    <m/>
    <m/>
    <m/>
    <s v="IDA"/>
    <s v="HIPC"/>
    <n v="0"/>
    <n v="11"/>
    <n v="44"/>
    <s v="C"/>
    <n v="1"/>
    <n v="3"/>
    <n v="0"/>
    <n v="0"/>
  </r>
  <r>
    <n v="108"/>
    <m/>
    <s v="Malaysia"/>
    <x v="6"/>
    <x v="1"/>
    <s v="MYS"/>
    <s v="MY"/>
    <s v="http://www.jpn.gov.my/en/"/>
    <s v="National Registration Dept, Min of Home Affairs"/>
    <n v="2"/>
    <n v="1959"/>
    <n v="2"/>
    <s v="14 d"/>
    <s v="RM 5"/>
    <s v="http://www.jpn.gov.my/"/>
    <s v="National Registration Department of Malaysia"/>
    <n v="2"/>
    <n v="2001"/>
    <s v="MyKad"/>
    <x v="1"/>
    <n v="2"/>
    <n v="12"/>
    <s v="free"/>
    <n v="1"/>
    <n v="1"/>
    <s v="http://en.wikipedia.org/wiki/MyKad"/>
    <m/>
    <n v="1"/>
    <m/>
    <s v="http://www.jpn.gov.my/en/perkhidmatan/kanak-kanak-bawah-12-tahun/"/>
    <n v="2001"/>
    <n v="3"/>
    <s v="4B"/>
    <s v="C, E, F, V"/>
    <n v="1"/>
    <n v="1"/>
    <s v="-"/>
    <n v="6"/>
    <s v="http://www.iris.com.my/Trusted_ID/projects.html"/>
    <s v="-"/>
    <n v="1"/>
    <n v="1"/>
    <s v="http://www.imi.gov.my/index.php/en/main-services/pasport/malaysian-international-passport"/>
    <s v="Immigration Department of Malaysia"/>
    <n v="1"/>
    <n v="5"/>
    <n v="1998"/>
    <n v="5"/>
    <n v="1500"/>
    <n v="0"/>
    <s v="http://www.ssm.com.my"/>
    <n v="2012"/>
    <n v="1"/>
    <n v="2"/>
    <s v="http://www.ssm.com.my/en/product-services/mycoid"/>
    <n v="2013"/>
    <n v="2"/>
    <s v="C, F, P"/>
    <n v="1"/>
    <s v="http://ww2.ssm-mycoid.com.my/omni/omni"/>
    <n v="2"/>
    <n v="0"/>
    <n v="30331.007000000001"/>
    <n v="50.4610051357675"/>
    <n v="15025.675999999999"/>
    <n v="15305.331"/>
    <n v="2476.6729999999998"/>
    <n v="48.609687269978721"/>
    <n v="1272.77"/>
    <n v="1203.903"/>
    <n v="2329.6320000000001"/>
    <n v="51.152070369912494"/>
    <n v="1137.9770000000001"/>
    <n v="1191.655"/>
    <n v="2626.2649999999999"/>
    <n v="51.585845297409058"/>
    <n v="1271.4839999999999"/>
    <n v="1354.7809999999999"/>
    <n v="22898.437000000002"/>
    <n v="50.461924540963196"/>
    <n v="11343.444999999998"/>
    <n v="11554.991999999998"/>
    <n v="2015"/>
    <s v="http://esa.un.org/unpd/wpp/Download/Standard/Population/"/>
    <n v="95"/>
    <n v="95"/>
    <n v="95"/>
    <s v="–"/>
    <s v="–"/>
    <n v="2014"/>
    <s v="http://www.unicef.org/about/annualreport/files/Malaysia_Annual_Report_2014.pdf"/>
    <n v="13268.002"/>
    <n v="43.744020763966063"/>
    <n v="6572.8348293662657"/>
    <n v="6695.1671706337356"/>
    <n v="2013"/>
    <s v="http://www.electionguide.org/countries/id/131/"/>
    <n v="12"/>
    <n v="21"/>
    <s v="MY2013"/>
    <n v="13268.002"/>
    <n v="17883.697"/>
    <n v="29628.392"/>
    <n v="1"/>
    <n v="5"/>
    <s v="CD"/>
    <x v="1"/>
    <n v="10002.063500000002"/>
    <n v="32.976364747797533"/>
    <n v="50.46300475263191"/>
    <n v="4954.7217206337327"/>
    <n v="5047.3417793662629"/>
    <n v="32.975033673251922"/>
    <n v="32.977671501297571"/>
    <n v="9630.4350000000013"/>
    <n v="50.463191219983962"/>
    <n v="4770.6101706337322"/>
    <n v="4859.8248293662627"/>
    <n v="247.79485000000022"/>
    <n v="51.381939535870089"/>
    <n v="120.47305000000011"/>
    <n v="127.32180000000011"/>
    <n v="123.83365000000011"/>
    <n v="48.609687269978721"/>
    <n v="63.638500000000057"/>
    <n v="60.195150000000055"/>
    <n v="5.0000000000000044"/>
    <n v="5.0000000000000044"/>
    <n v="29716.965"/>
    <n v="51.467823177770676"/>
    <n v="7758.0449999999955"/>
    <n v="50.988998938889061"/>
    <n v="2499.0070000000001"/>
    <n v="49.540393976034835"/>
    <n v="43.248939383175482"/>
    <n v="9497"/>
    <n v="12461.920000000004"/>
    <n v="51.467823177770676"/>
    <n v="775.80449999999939"/>
    <n v="50.988998938889061"/>
    <n v="253.36008358702179"/>
    <n v="49.540393976034835"/>
    <n v="22002.440999999999"/>
    <n v="74.040000000000006"/>
    <n v="49.232705589348022"/>
    <n v="7714.5240000000003"/>
    <n v="25.959999999999994"/>
    <n v="57.434859234348089"/>
    <n v="8.5257725204112145"/>
    <n v="8.4385630595425365"/>
    <n v="9.1421157349769633"/>
    <n v="26.106451314930698"/>
    <n v="68.537735936358203"/>
    <n v="5.3558127487110498"/>
    <n v="90"/>
    <n v="90"/>
    <n v="90"/>
    <n v="90"/>
    <n v="90"/>
    <n v="2012"/>
    <n v="0"/>
    <n v="2009"/>
    <n v="0"/>
    <n v="3.8"/>
    <n v="2009"/>
    <n v="1096.6478519999998"/>
    <n v="3.8"/>
    <n v="2009"/>
    <n v="93.117881774902301"/>
    <s v="may"/>
    <n v="0"/>
    <s v="-"/>
    <s v="-"/>
    <s v="-"/>
    <s v="-"/>
    <s v="-"/>
    <s v="-"/>
    <s v="-"/>
    <s v="-"/>
    <s v="-"/>
    <m/>
    <m/>
    <m/>
    <m/>
    <m/>
    <m/>
    <m/>
    <m/>
    <m/>
    <m/>
    <m/>
    <m/>
    <m/>
    <m/>
    <m/>
    <m/>
    <m/>
    <m/>
    <m/>
    <m/>
    <m/>
    <m/>
    <m/>
    <n v="1"/>
    <s v="MyKad (ID)"/>
    <m/>
    <m/>
    <m/>
    <m/>
    <m/>
    <m/>
    <m/>
    <m/>
    <m/>
    <m/>
    <s v="UNHCR ProGres (refugee tracking)"/>
    <m/>
    <n v="3"/>
    <s v="common + customary + religious"/>
    <s v="PF"/>
    <n v="4"/>
    <n v="4"/>
    <s v="PF"/>
    <n v="42"/>
    <n v="8"/>
    <n v="14"/>
    <n v="20"/>
    <s v="NF"/>
    <n v="64"/>
    <n v="24"/>
    <n v="23"/>
    <n v="17"/>
    <n v="10"/>
    <n v="-0.32052543759346008"/>
    <n v="5.1782149821519852E-2"/>
    <n v="1.1003822088241577"/>
    <n v="0.61653310060501099"/>
    <n v="0.47590911388397217"/>
    <n v="0.40656179189682007"/>
    <n v="52"/>
    <n v="0.61151999999999995"/>
    <n v="0.52941000000000005"/>
    <n v="0.67715999999999998"/>
    <n v="0.44546000000000002"/>
    <n v="0.71189999999999998"/>
    <n v="71"/>
    <n v="5.2"/>
    <n v="6.58"/>
    <n v="3.16"/>
    <n v="6.54"/>
    <s v="Personal Data Protection Act"/>
    <s v="http://www.pdp.gov.my/images/LAWS_OF_MALAYSIA_PDPA.pdf"/>
    <n v="2010"/>
    <n v="2013"/>
    <s v="Pri"/>
    <s v="-"/>
    <s v="-"/>
    <s v="-"/>
    <s v="-"/>
    <s v="-"/>
    <s v="-"/>
    <s v="-"/>
    <s v="-"/>
    <s v="-"/>
    <s v="-"/>
    <s v="-"/>
    <s v="-"/>
    <s v="-"/>
    <s v="-"/>
    <m/>
    <m/>
    <s v="APEC"/>
    <m/>
    <m/>
    <s v="IBRD"/>
    <s v=""/>
    <n v="0"/>
    <n v="21"/>
    <n v="84"/>
    <s v="A"/>
    <m/>
    <n v="5"/>
    <n v="0"/>
    <n v="0"/>
  </r>
  <r>
    <n v="109"/>
    <m/>
    <s v="Maldives"/>
    <x v="0"/>
    <x v="1"/>
    <s v="MDV"/>
    <s v="MV"/>
    <s v="https://citizen.egov.mv/G2CWeb/CMSPages/NCITG2C/Municipalty/English/RegisteringBirthOfAChildBornInMale_ENG_FNL.htm"/>
    <s v="Male Municipality (Foolhumaa Form)"/>
    <n v="5"/>
    <n v="1965"/>
    <n v="2"/>
    <s v="7 d"/>
    <s v="RF 20"/>
    <s v="http://www.dnr.gov.mv/index.html"/>
    <s v="Department of National Registration"/>
    <n v="6"/>
    <n v="1984"/>
    <s v="National ID Card"/>
    <x v="1"/>
    <n v="2"/>
    <n v="18"/>
    <s v="free"/>
    <n v="0"/>
    <n v="0"/>
    <m/>
    <n v="1"/>
    <n v="1"/>
    <m/>
    <s v="-"/>
    <s v="-"/>
    <n v="0"/>
    <n v="1"/>
    <s v="-"/>
    <s v="-"/>
    <s v="-"/>
    <s v="-"/>
    <n v="0"/>
    <s v="-"/>
    <s v="-"/>
    <n v="0"/>
    <n v="0"/>
    <s v="http://www.immigration.gov.mv/"/>
    <s v="Department of Immigration"/>
    <n v="1"/>
    <n v="5"/>
    <n v="2007"/>
    <n v="5"/>
    <n v="100"/>
    <n v="0"/>
    <s v="http://trade.gov.mv/"/>
    <n v="2001"/>
    <n v="1"/>
    <n v="1"/>
    <s v="http://www.doingbusiness.org/data/exploreeconomies/maldives/starting-a-business"/>
    <n v="1996"/>
    <n v="0"/>
    <s v="-"/>
    <n v="0"/>
    <s v="-"/>
    <n v="0"/>
    <n v="1"/>
    <n v="363.65699999999998"/>
    <n v="49.851920903488725"/>
    <n v="182.36699999999999"/>
    <n v="181.29"/>
    <n v="37.363999999999997"/>
    <n v="47.577882453698756"/>
    <n v="19.587"/>
    <n v="17.777000000000001"/>
    <n v="32.75"/>
    <n v="48.549618320610691"/>
    <n v="16.850000000000001"/>
    <n v="15.9"/>
    <n v="29.814"/>
    <n v="48.792513584222178"/>
    <n v="15.266999999999999"/>
    <n v="14.547000000000001"/>
    <n v="263.72899999999998"/>
    <n v="50.455581297468235"/>
    <n v="130.66300000000001"/>
    <n v="133.06599999999997"/>
    <n v="2015"/>
    <s v="http://esa.un.org/unpd/wpp/Download/Standard/Population/"/>
    <n v="92.5"/>
    <n v="92.8"/>
    <n v="92.3"/>
    <n v="92.6"/>
    <n v="92.4"/>
    <n v="2009"/>
    <s v="DHS"/>
    <n v="240.65199999999999"/>
    <n v="66.175544537847472"/>
    <n v="120.68235530733628"/>
    <n v="119.96964469266368"/>
    <n v="2014"/>
    <s v="http://www.electionguide.org/countries/id/132/"/>
    <n v="18"/>
    <n v="18"/>
    <s v="MV2014"/>
    <n v="240.65199999999999"/>
    <n v="247.81899999999999"/>
    <n v="393.59500000000003"/>
    <n v="1"/>
    <n v="4"/>
    <s v="CD"/>
    <x v="1"/>
    <n v="30.571599999999993"/>
    <n v="8.4067129190418441"/>
    <n v="54.984375391985708"/>
    <n v="13.703332692663734"/>
    <n v="16.8096033073363"/>
    <n v="7.5141515146181792"/>
    <n v="9.2722176111954884"/>
    <n v="23.076999999999998"/>
    <n v="56.750683829511182"/>
    <n v="9.9806446926637307"/>
    <n v="13.096355307336296"/>
    <n v="4.6922999999999977"/>
    <n v="49.963109775589864"/>
    <n v="2.3124240000000018"/>
    <n v="2.344419000000002"/>
    <n v="2.802299999999998"/>
    <n v="48.846625985797459"/>
    <n v="1.4102640000000013"/>
    <n v="1.3688290000000012"/>
    <n v="7.2000000000000064"/>
    <n v="7.7000000000000064"/>
    <n v="345.02300000000002"/>
    <n v="49.646835138526995"/>
    <n v="99.136999999999901"/>
    <n v="48.54825239450907"/>
    <n v="36.94"/>
    <n v="48.561409400248948"/>
    <n v="97.606207754813141"/>
    <n v="240"/>
    <n v="5.8860000000001529"/>
    <n v="49.646835138526995"/>
    <n v="7.4352749999999883"/>
    <n v="48.54825239450907"/>
    <n v="2.7370658635578362"/>
    <n v="48.561409400248948"/>
    <n v="149.577"/>
    <n v="43.352800000000002"/>
    <n v="34.564806086497256"/>
    <n v="195.446"/>
    <n v="56.647199999999998"/>
    <n v="49.830132108101473"/>
    <n v="10.577327167784322"/>
    <n v="9.0768387931437378"/>
    <n v="9.0792807947954728"/>
    <n v="28.733446755723499"/>
    <n v="66.328041898655997"/>
    <n v="4.9385113456204399"/>
    <n v="92.5"/>
    <n v="92.3"/>
    <n v="92.8"/>
    <n v="92.6"/>
    <n v="92.4"/>
    <n v="2009"/>
    <n v="1.48"/>
    <n v="2004"/>
    <n v="5.1063404000000006"/>
    <s v="-"/>
    <s v="-"/>
    <m/>
    <n v="16"/>
    <n v="2008"/>
    <n v="98.397895812988295"/>
    <s v="div"/>
    <n v="0"/>
    <s v="-"/>
    <s v="-"/>
    <s v="-"/>
    <s v="-"/>
    <s v="-"/>
    <s v="-"/>
    <s v="-"/>
    <s v="-"/>
    <s v="-"/>
    <m/>
    <m/>
    <m/>
    <m/>
    <m/>
    <m/>
    <m/>
    <m/>
    <m/>
    <m/>
    <m/>
    <m/>
    <m/>
    <m/>
    <m/>
    <m/>
    <m/>
    <m/>
    <m/>
    <m/>
    <m/>
    <m/>
    <m/>
    <n v="1"/>
    <s v="Biometric Census (civil registry &amp; ID)"/>
    <m/>
    <m/>
    <m/>
    <m/>
    <m/>
    <m/>
    <m/>
    <m/>
    <m/>
    <m/>
    <m/>
    <m/>
    <n v="3"/>
    <s v="religious"/>
    <s v="PF"/>
    <n v="4"/>
    <n v="4"/>
    <s v="-"/>
    <s v="-"/>
    <s v="-"/>
    <s v="-"/>
    <s v="-"/>
    <s v="PF"/>
    <n v="55"/>
    <n v="18"/>
    <n v="21"/>
    <n v="16"/>
    <m/>
    <n v="-0.42706394195556641"/>
    <n v="0.14191819727420807"/>
    <n v="-0.28050580620765686"/>
    <n v="-0.39384862780570984"/>
    <n v="-0.68204653263092041"/>
    <n v="-0.51175802946090698"/>
    <n v="94"/>
    <n v="0.48129"/>
    <n v="0.27450000000000002"/>
    <n v="0.36220000000000002"/>
    <n v="0.39516000000000001"/>
    <n v="0.6865"/>
    <n v="85"/>
    <n v="4.71"/>
    <n v="6.05"/>
    <n v="2.66"/>
    <n v="6.12"/>
    <s v="-"/>
    <s v="-"/>
    <s v="-"/>
    <s v="-"/>
    <s v="-"/>
    <s v="-"/>
    <s v="-"/>
    <s v="-"/>
    <n v="9"/>
    <n v="116"/>
    <n v="2014"/>
    <s v="http://www.rti-rating.org/files/pdf/Maldives.pdf"/>
    <n v="2"/>
    <n v="28"/>
    <n v="20"/>
    <n v="17"/>
    <n v="29"/>
    <n v="8"/>
    <n v="12"/>
    <m/>
    <m/>
    <m/>
    <m/>
    <m/>
    <s v="IDA"/>
    <m/>
    <n v="1"/>
    <n v="10"/>
    <n v="40"/>
    <s v="C"/>
    <m/>
    <n v="3"/>
    <n v="0"/>
    <n v="0"/>
  </r>
  <r>
    <n v="110"/>
    <m/>
    <s v="Mali"/>
    <x v="4"/>
    <x v="0"/>
    <s v="MLI"/>
    <s v="ML"/>
    <s v="http://www.primature.gov.ml/index.php?option=com_content&amp;view=article&amp;id=10337&amp;Itemid=100013"/>
    <s v="Office of the Civil Registrar "/>
    <n v="6"/>
    <n v="1961"/>
    <n v="2"/>
    <s v="30 d"/>
    <s v="free"/>
    <s v="http://www.matcl.gov.ml/"/>
    <s v="Ministry fo Interior and Security"/>
    <n v="2"/>
    <n v="2010"/>
    <s v="NINA / Numéro d’Identification National "/>
    <x v="1"/>
    <n v="2"/>
    <n v="18"/>
    <s v="free"/>
    <n v="1"/>
    <n v="1"/>
    <m/>
    <m/>
    <m/>
    <m/>
    <s v="http://www.matcl.gov.ml/"/>
    <n v="2013"/>
    <n v="2"/>
    <s v="2B"/>
    <s v="C, V"/>
    <n v="0"/>
    <n v="0"/>
    <n v="8000"/>
    <n v="2"/>
    <s v="http://www.morpho.com/references/identity/the-nina-card-a-technological-challenge-an-industrial-success?lang=en"/>
    <s v="3, 4"/>
    <n v="1"/>
    <n v="1"/>
    <s v="http://www.diplomatie.gouv.ml/"/>
    <s v="Ministry of Foreign Affairs"/>
    <n v="1"/>
    <n v="3"/>
    <n v="2007"/>
    <n v="5"/>
    <s v="-"/>
    <n v="1"/>
    <s v="http://www.apimali.gov.ml/api/en/index.php?page=starting-a-business#How_9"/>
    <n v="2008"/>
    <n v="1"/>
    <n v="1"/>
    <s v="http://www.apimali.gov.ml/api/en/index.php?page=start-a-business"/>
    <n v="2009"/>
    <n v="0"/>
    <s v="-"/>
    <n v="0"/>
    <s v="-"/>
    <n v="1"/>
    <n v="0"/>
    <n v="17599.694"/>
    <n v="49.517929118540359"/>
    <n v="8884.69"/>
    <n v="8715.0040000000008"/>
    <n v="3271.2559999999999"/>
    <n v="49.215989210260524"/>
    <n v="1661.2750000000001"/>
    <n v="1609.981"/>
    <n v="2802.5320000000002"/>
    <n v="48.906310436419638"/>
    <n v="1431.9169999999999"/>
    <n v="1370.615"/>
    <n v="2290.6750000000002"/>
    <n v="48.883276763399437"/>
    <n v="1170.9179999999999"/>
    <n v="1119.7570000000001"/>
    <n v="9235.2309999999998"/>
    <n v="49.967900099087956"/>
    <n v="4620.5800000000017"/>
    <n v="4614.6510000000017"/>
    <n v="2015"/>
    <s v="http://esa.un.org/unpd/wpp/Download/Standard/Population/"/>
    <n v="80.8"/>
    <n v="81.400000000000006"/>
    <n v="80.2"/>
    <n v="92.4"/>
    <n v="77.099999999999994"/>
    <n v="2010"/>
    <s v="MICS"/>
    <n v="6829.6959999999999"/>
    <n v="38.805765600242822"/>
    <n v="3447.7719757082136"/>
    <n v="3381.9240242917858"/>
    <n v="2013"/>
    <s v="http://www.electionguide.org/countries/id/133/"/>
    <n v="18"/>
    <n v="18"/>
    <s v="ML2013"/>
    <n v="6829.6959999999999"/>
    <n v="7487.808"/>
    <n v="15968.882"/>
    <n v="1"/>
    <n v="4"/>
    <s v="LH"/>
    <x v="0"/>
    <n v="4011.5118960000004"/>
    <n v="22.793077516006814"/>
    <n v="50.968236483280663"/>
    <n v="1965.9324842917879"/>
    <n v="2044.5968697082158"/>
    <n v="22.127192780972525"/>
    <n v="23.460653256248829"/>
    <n v="2405.5349999999999"/>
    <n v="51.245439193701856"/>
    <n v="1172.8080242917881"/>
    <n v="1232.7269757082158"/>
    <n v="977.89574400000038"/>
    <n v="50.423949488014109"/>
    <n v="484.12730999999985"/>
    <n v="493.0936559999999"/>
    <n v="628.0811520000002"/>
    <n v="50.753988873081134"/>
    <n v="308.99714999999992"/>
    <n v="318.77623799999992"/>
    <n v="18.599999999999994"/>
    <n v="19.799999999999997"/>
    <n v="15301.65"/>
    <n v="49.604820395186138"/>
    <n v="7252.3469999999961"/>
    <n v="48.947030972545555"/>
    <n v="2950.7089999999998"/>
    <n v="49.050208419489458"/>
    <n v="52.3"/>
    <n v="4209.7854690000013"/>
    <n v="3839.5175310000018"/>
    <n v="49.604820395186138"/>
    <n v="1392.4506239999996"/>
    <n v="48.947030972545555"/>
    <n v="565.49721681991537"/>
    <n v="49.050208419489458"/>
    <n v="5542.7780000000002"/>
    <n v="36.223399999999998"/>
    <n v="36.957208100342463"/>
    <n v="9758.8719999999994"/>
    <n v="63.776600000000002"/>
    <n v="58.332725339567936"/>
    <n v="19.24823796303269"/>
    <n v="15.351370624253569"/>
    <n v="12.796240879928064"/>
    <n v="47.395849467214298"/>
    <n v="49.820489947162599"/>
    <n v="2.78366058562312"/>
    <n v="80.8"/>
    <n v="80.2"/>
    <n v="81.400000000000006"/>
    <n v="92.4"/>
    <n v="77.099999999999994"/>
    <n v="2010"/>
    <n v="50.43"/>
    <n v="2010"/>
    <n v="7983.127152"/>
    <n v="43.6"/>
    <n v="2010"/>
    <n v="6906.0385680000009"/>
    <n v="36.1"/>
    <n v="2005"/>
    <n v="33.560939788818402"/>
    <s v="fre"/>
    <n v="2"/>
    <n v="3"/>
    <s v="-"/>
    <s v="-"/>
    <s v="-"/>
    <s v="-"/>
    <s v="CR Minister"/>
    <n v="0.81"/>
    <s v="-"/>
    <s v="-"/>
    <m/>
    <m/>
    <m/>
    <m/>
    <m/>
    <m/>
    <m/>
    <m/>
    <m/>
    <m/>
    <m/>
    <m/>
    <m/>
    <m/>
    <m/>
    <m/>
    <m/>
    <m/>
    <m/>
    <m/>
    <m/>
    <m/>
    <m/>
    <m/>
    <m/>
    <m/>
    <m/>
    <m/>
    <m/>
    <m/>
    <m/>
    <m/>
    <m/>
    <m/>
    <m/>
    <m/>
    <m/>
    <n v="1"/>
    <s v="civil"/>
    <s v="PF"/>
    <n v="5"/>
    <n v="4"/>
    <s v="-"/>
    <s v="-"/>
    <s v="-"/>
    <s v="-"/>
    <s v="-"/>
    <s v="PF"/>
    <n v="37"/>
    <n v="9"/>
    <n v="20"/>
    <n v="8"/>
    <n v="7"/>
    <n v="-0.30246958136558533"/>
    <n v="-1.6854244470596313"/>
    <n v="-0.83902931213378906"/>
    <n v="-0.50220733880996704"/>
    <n v="-0.74970912933349609"/>
    <n v="-0.72532027959823608"/>
    <n v="181"/>
    <n v="0.16335"/>
    <n v="0.15686"/>
    <n v="0.13385"/>
    <n v="0.13500999999999999"/>
    <n v="0.22120000000000001"/>
    <n v="143"/>
    <n v="2.04"/>
    <n v="3.55"/>
    <n v="0.14000000000000001"/>
    <n v="2.85"/>
    <s v="Data Protection Bill"/>
    <s v="http://www.justice.gouv.ml/documentation/Code_des_Personnes_et_de_la_Famille.pdf"/>
    <n v="2011"/>
    <s v="-"/>
    <s v="Both"/>
    <s v="-"/>
    <s v="-"/>
    <s v="-"/>
    <s v="-"/>
    <s v="-"/>
    <s v="-"/>
    <s v="-"/>
    <s v="-"/>
    <s v="-"/>
    <s v="-"/>
    <s v="-"/>
    <s v="-"/>
    <s v="-"/>
    <s v="-"/>
    <m/>
    <m/>
    <m/>
    <n v="1"/>
    <m/>
    <s v="IDA"/>
    <s v="HIPC"/>
    <n v="0"/>
    <n v="13"/>
    <n v="52"/>
    <s v="B"/>
    <n v="1"/>
    <n v="3"/>
    <n v="0"/>
    <n v="0"/>
  </r>
  <r>
    <n v="111"/>
    <m/>
    <s v="Malta"/>
    <x v="2"/>
    <x v="2"/>
    <s v="MLT"/>
    <s v="MT"/>
    <s v="https://secure2.gov.mt/certifikati/Birth.aspx"/>
    <s v="Min of Home Affairs and Natil Security"/>
    <n v="2"/>
    <n v="1889"/>
    <n v="2"/>
    <s v="5 d"/>
    <s v="free"/>
    <s v="http://homeaffairs.gov.mt/en/MHAS-Departments/Land%20Public%20Registry/Pages/ID-MO.aspx"/>
    <s v="Identity Management Office"/>
    <n v="2"/>
    <n v="1959"/>
    <s v="Karta ta' l-Identità (Identity Card)"/>
    <x v="1"/>
    <n v="2"/>
    <n v="14"/>
    <s v="0 / €20+JO162"/>
    <n v="0"/>
    <n v="0"/>
    <m/>
    <m/>
    <m/>
    <m/>
    <s v="https://mygov.mt/portal/(ew0zyiaaeqnoy2eiezhzkj45)/webforms/howdoigetaccesstomygov.aspx"/>
    <n v="2014"/>
    <n v="3"/>
    <s v="4B"/>
    <s v="C, E, F, R, S, O"/>
    <n v="1"/>
    <n v="1"/>
    <s v="-"/>
    <n v="9"/>
    <s v="http://www.identitymalta.com/id-cards/"/>
    <s v="-"/>
    <n v="0"/>
    <n v="0"/>
    <s v="https://homeaffairs.gov.mt/mt/MHAS-Departments/The%20Passport%20Office/Pages/The-Passport-Office.aspx"/>
    <s v="Ministry of Home Affairs"/>
    <n v="2"/>
    <n v="2"/>
    <n v="2008"/>
    <n v="10"/>
    <n v="40"/>
    <n v="1"/>
    <s v="http://rocsupport.mfsa.com.mt/pages/SearchCompanyInformation.aspx"/>
    <n v="2002"/>
    <n v="1"/>
    <n v="1"/>
    <s v="http://www.doingbusiness.org/data/exploreeconomies/malta/starting-a-business"/>
    <n v="2003"/>
    <n v="0"/>
    <s v="-"/>
    <n v="0"/>
    <s v="-"/>
    <n v="3"/>
    <n v="1"/>
    <n v="418.67"/>
    <n v="50.200396493658495"/>
    <n v="208.49600000000001"/>
    <n v="210.17400000000001"/>
    <n v="18.631"/>
    <n v="48.574955718963018"/>
    <n v="9.5809999999999995"/>
    <n v="9.0500000000000007"/>
    <n v="19.716999999999999"/>
    <n v="48.455647410863726"/>
    <n v="10.163"/>
    <n v="9.5540000000000003"/>
    <n v="22.074999999999999"/>
    <n v="51.687429218573044"/>
    <n v="10.664999999999999"/>
    <n v="11.41"/>
    <n v="358.24700000000001"/>
    <n v="50.289325521218601"/>
    <n v="178.08700000000002"/>
    <n v="180.16"/>
    <n v="2015"/>
    <s v="http://esa.un.org/unpd/wpp/Download/Standard/Population/"/>
    <n v="100"/>
    <n v="100"/>
    <n v="100"/>
    <s v="–"/>
    <s v="–"/>
    <n v="2011"/>
    <s v="UNSD "/>
    <n v="338.45"/>
    <n v="80.839324527670954"/>
    <n v="168.54675806721281"/>
    <n v="169.90324193278718"/>
    <n v="2015"/>
    <s v="http://www.electionguide.org/countries/id/134/"/>
    <n v="14"/>
    <n v="18"/>
    <s v="MT2015"/>
    <n v="338.45"/>
    <n v="337.54"/>
    <n v="412.65499999999997"/>
    <n v="1"/>
    <n v="4"/>
    <s v="CD"/>
    <x v="1"/>
    <n v="19.797000000000025"/>
    <n v="4.7285451548952695"/>
    <n v="51.80965836850433"/>
    <n v="9.540241932787211"/>
    <n v="10.256758067212814"/>
    <n v="4.5757433873010562"/>
    <n v="4.8801269744177747"/>
    <n v="19.797000000000025"/>
    <n v="51.80965836850433"/>
    <n v="9.540241932787211"/>
    <n v="10.256758067212814"/>
    <n v="0"/>
    <n v="0"/>
    <n v="0"/>
    <n v="0"/>
    <n v="0"/>
    <n v="0"/>
    <n v="0"/>
    <n v="0"/>
    <n v="0"/>
    <n v="0"/>
    <n v="423.28199999999998"/>
    <n v="50.01417494719832"/>
    <n v="62.104461049314295"/>
    <n v="48.463805021743283"/>
    <n v="20.462"/>
    <n v="48.624433159979183"/>
    <n v="93.790900628895159"/>
    <n v="397"/>
    <n v="22.425872299558971"/>
    <n v="50.01417494719832"/>
    <n v="0"/>
    <n v="48.463805021743283"/>
    <n v="0"/>
    <n v="48.624433159979183"/>
    <n v="402.65800000000002"/>
    <n v="95.127600000000001"/>
    <n v="50.01417494719832"/>
    <n v="20.623999999999999"/>
    <n v="4.872399999999999"/>
    <n v="50.01417494719832"/>
    <n v="4.6759000000000004"/>
    <n v="4.7532800000000002"/>
    <n v="5.2428999999999997"/>
    <n v="14.672124269237599"/>
    <n v="69.027794612637607"/>
    <n v="16.300081118124801"/>
    <n v="100"/>
    <n v="100"/>
    <n v="100"/>
    <n v="100"/>
    <n v="100"/>
    <n v="2011"/>
    <s v="-"/>
    <s v="-"/>
    <m/>
    <s v="-"/>
    <s v="-"/>
    <m/>
    <n v="15.1"/>
    <n v="2012"/>
    <n v="92.363090515136705"/>
    <s v="mlt"/>
    <n v="0"/>
    <s v="-"/>
    <s v="-"/>
    <s v="-"/>
    <s v="-"/>
    <s v="-"/>
    <s v="-"/>
    <s v="-"/>
    <s v="-"/>
    <s v="-"/>
    <m/>
    <m/>
    <m/>
    <m/>
    <m/>
    <m/>
    <m/>
    <m/>
    <m/>
    <m/>
    <m/>
    <m/>
    <m/>
    <m/>
    <m/>
    <m/>
    <m/>
    <m/>
    <m/>
    <m/>
    <m/>
    <m/>
    <m/>
    <m/>
    <m/>
    <m/>
    <m/>
    <m/>
    <m/>
    <m/>
    <m/>
    <m/>
    <m/>
    <m/>
    <m/>
    <m/>
    <m/>
    <n v="1"/>
    <s v="civil + common"/>
    <s v="F"/>
    <n v="1"/>
    <n v="1"/>
    <s v="-"/>
    <s v="-"/>
    <s v="-"/>
    <s v="-"/>
    <s v="-"/>
    <s v="F"/>
    <n v="23"/>
    <n v="5"/>
    <n v="9"/>
    <n v="9"/>
    <m/>
    <n v="1.1348001956939697"/>
    <n v="1.0066624879837036"/>
    <n v="1.2482212781906128"/>
    <n v="1.2872507572174072"/>
    <n v="1.3218344449996948"/>
    <n v="0.99050706624984741"/>
    <n v="40"/>
    <n v="0.65180000000000005"/>
    <n v="0.47058"/>
    <n v="0.40156999999999998"/>
    <n v="0.76834000000000002"/>
    <n v="0.78549999999999998"/>
    <n v="30"/>
    <n v="7.25"/>
    <n v="8.98"/>
    <n v="5.48"/>
    <n v="7.32"/>
    <s v="Data Protection Act"/>
    <s v="http://ec.europa.eu/justice/policies/privacy/docs/implementation/malta_en.pdf"/>
    <n v="2001"/>
    <n v="2001"/>
    <s v="Both"/>
    <s v="Data Protection Commissioner"/>
    <s v="http://idpc.gov.mt/"/>
    <s v="ICDPPC; EDPA; A29WP; BIIDPA"/>
    <n v="59"/>
    <n v="78"/>
    <n v="2008"/>
    <s v="http://www.rti-rating.org/files/pdf/Malta.pdf"/>
    <n v="0"/>
    <n v="19"/>
    <n v="21"/>
    <n v="12"/>
    <n v="10"/>
    <n v="2"/>
    <n v="14"/>
    <s v="EU"/>
    <m/>
    <m/>
    <m/>
    <m/>
    <s v=".."/>
    <s v="EMU"/>
    <n v="1"/>
    <n v="20"/>
    <n v="80"/>
    <s v="A"/>
    <m/>
    <n v="3"/>
    <n v="0"/>
    <n v="0"/>
  </r>
  <r>
    <n v="112"/>
    <m/>
    <s v="Marshall Islands"/>
    <x v="6"/>
    <x v="1"/>
    <s v="MHL"/>
    <s v="MH"/>
    <s v="http://adoption.com/wiki/Adopting_from_Marshall_Islands"/>
    <s v="Vital Records Office, Ministry of Internal Affairs"/>
    <n v="2"/>
    <n v="1952"/>
    <n v="2"/>
    <s v="-"/>
    <s v="free"/>
    <s v="http://www.rmimissa.org/ssidcard.html"/>
    <s v="Ministry of Internal Affairs"/>
    <n v="2"/>
    <n v="1979"/>
    <s v="National ID Card"/>
    <x v="1"/>
    <n v="2"/>
    <n v="18"/>
    <s v="free"/>
    <n v="0"/>
    <n v="0"/>
    <m/>
    <m/>
    <m/>
    <m/>
    <s v="-"/>
    <s v="-"/>
    <n v="0"/>
    <n v="1"/>
    <s v="-"/>
    <s v="-"/>
    <s v="-"/>
    <s v="-"/>
    <n v="0"/>
    <s v="-"/>
    <s v="-"/>
    <n v="0"/>
    <n v="0"/>
    <s v="http://www.rmiembassyus.org/Official%20Forms.htm"/>
    <s v="Office of the Attorney General"/>
    <n v="0"/>
    <n v="1"/>
    <n v="2003"/>
    <n v="5"/>
    <s v="-"/>
    <n v="0"/>
    <s v="https://www.register-iri.com/miCorporate/index.cfm/Corporate/search"/>
    <n v="2004"/>
    <n v="1"/>
    <n v="1"/>
    <s v="http://www.doingbusiness.org/data/exploreeconomies/marshall-islands/starting-a-business"/>
    <n v="2008"/>
    <n v="0"/>
    <s v="-"/>
    <n v="0"/>
    <s v="-"/>
    <n v="0"/>
    <n v="0"/>
    <n v="70.972999999999999"/>
    <n v="49.104589069082607"/>
    <n v="36.122"/>
    <n v="34.850999999999999"/>
    <n v="9.1939999999999991"/>
    <n v="48.94496410702633"/>
    <n v="4.694"/>
    <n v="4.5"/>
    <n v="8.8410000000000011"/>
    <n v="49.100780454699688"/>
    <n v="4.5"/>
    <n v="4.3410000000000002"/>
    <n v="7.9499999999999993"/>
    <n v="49.056603773584911"/>
    <n v="4.05"/>
    <n v="3.9"/>
    <n v="44.988"/>
    <n v="49.146439050413441"/>
    <n v="22.878"/>
    <n v="22.11"/>
    <n v="2014"/>
    <s v="http://www.indexmundi.com/marshall_islands/population.html"/>
    <n v="95.9"/>
    <n v="95.8"/>
    <n v="96"/>
    <n v="96.1"/>
    <n v="95.5"/>
    <n v="2007"/>
    <s v="DHS"/>
    <n v="44.588000000000001"/>
    <n v="62.823890775365285"/>
    <n v="22.693245825877447"/>
    <n v="21.894754174122554"/>
    <n v="2015"/>
    <s v="http://www.idea.int/vt/countryview.cfm?id=143"/>
    <n v="18"/>
    <n v="18"/>
    <s v="MH2015"/>
    <n v="44.588000000000001"/>
    <n v="41.606000000000002"/>
    <n v="72.191000000000003"/>
    <n v="1"/>
    <n v="4"/>
    <s v="CD"/>
    <x v="1"/>
    <n v="1.4653849999999966"/>
    <n v="2.0647077057472512"/>
    <n v="49.467261223326844"/>
    <n v="0.7410021741225532"/>
    <n v="0.72488582587744632"/>
    <n v="2.0513874484318508"/>
    <n v="2.0799570338797921"/>
    <n v="0.39999999999999858"/>
    <n v="53.811456469361666"/>
    <n v="0.18475417412255268"/>
    <n v="0.2152458258774459"/>
    <n v="0.68843099999999868"/>
    <n v="47.88279435411841"/>
    <n v="0.35910000000000031"/>
    <n v="0.32964000000000027"/>
    <n v="0.37695399999999929"/>
    <n v="47.75118449465996"/>
    <n v="0.19714800000000018"/>
    <n v="0.18000000000000016"/>
    <n v="4.2000000000000037"/>
    <n v="4.0000000000000036"/>
    <n v="70.983000000000004"/>
    <n v="48.780487804878057"/>
    <n v="26.2"/>
    <n v="49.42748091603054"/>
    <n v="5.0078081151348517"/>
    <n v="49.462365591397848"/>
    <n v="50.716368708000502"/>
    <n v="36"/>
    <n v="22.070688601496137"/>
    <n v="48.780487804878057"/>
    <n v="1.074199999999998"/>
    <n v="49.42748091603054"/>
    <n v="0.38129999999999942"/>
    <n v="49.462365591397848"/>
    <n v="38.134999999999998"/>
    <n v="72.453000000000003"/>
    <n v="48.780487804878057"/>
    <n v="14.499000000000001"/>
    <n v="27.546999999999997"/>
    <n v="48.780487804878057"/>
    <n v="13.101728582900133"/>
    <n v="12.538213375033457"/>
    <n v="11.270304157333447"/>
    <n v="36.910246115267036"/>
    <n v="59.69"/>
    <n v="3.4"/>
    <n v="95.9"/>
    <n v="96"/>
    <n v="95.8"/>
    <n v="96.1"/>
    <n v="95.5"/>
    <n v="2007"/>
    <s v="-"/>
    <s v="-"/>
    <m/>
    <s v="-"/>
    <s v="-"/>
    <m/>
    <s v="-"/>
    <s v="-"/>
    <s v="-"/>
    <s v="eng"/>
    <n v="0"/>
    <s v="-"/>
    <s v="-"/>
    <s v="-"/>
    <s v="-"/>
    <s v="-"/>
    <s v="-"/>
    <s v="-"/>
    <s v="-"/>
    <s v="-"/>
    <m/>
    <m/>
    <m/>
    <m/>
    <m/>
    <m/>
    <m/>
    <m/>
    <m/>
    <m/>
    <m/>
    <m/>
    <m/>
    <m/>
    <m/>
    <m/>
    <m/>
    <m/>
    <m/>
    <m/>
    <m/>
    <m/>
    <m/>
    <m/>
    <m/>
    <m/>
    <m/>
    <m/>
    <m/>
    <m/>
    <m/>
    <m/>
    <m/>
    <m/>
    <m/>
    <m/>
    <m/>
    <n v="2"/>
    <s v="common"/>
    <s v="F"/>
    <n v="1"/>
    <n v="1"/>
    <s v="-"/>
    <s v="-"/>
    <s v="-"/>
    <s v="-"/>
    <s v="-"/>
    <s v="F"/>
    <n v="17"/>
    <n v="2"/>
    <n v="6"/>
    <n v="9"/>
    <m/>
    <n v="1.1968603134155273"/>
    <n v="1.0969746112823486"/>
    <n v="-1.5806890726089478"/>
    <n v="-1.1039924621582031"/>
    <n v="0.12508969008922577"/>
    <n v="-2.007962204515934E-2"/>
    <n v="142"/>
    <n v="0.28505999999999998"/>
    <n v="0.25490000000000002"/>
    <n v="0.11022999999999999"/>
    <n v="4.48E-2"/>
    <n v="0.70020000000000004"/>
    <s v="-"/>
    <s v="-"/>
    <s v="-"/>
    <s v="-"/>
    <s v="-"/>
    <s v="-"/>
    <s v="-"/>
    <s v="-"/>
    <s v="-"/>
    <s v="-"/>
    <s v="-"/>
    <s v="-"/>
    <s v="-"/>
    <s v="-"/>
    <s v="-"/>
    <s v="-"/>
    <s v="-"/>
    <s v="-"/>
    <s v="-"/>
    <s v="-"/>
    <s v="-"/>
    <s v="-"/>
    <s v="-"/>
    <s v="-"/>
    <m/>
    <m/>
    <m/>
    <n v="1"/>
    <m/>
    <s v="IDA"/>
    <s v=""/>
    <n v="1"/>
    <n v="8"/>
    <n v="32"/>
    <s v="C"/>
    <m/>
    <n v="4"/>
    <n v="0"/>
    <n v="0"/>
  </r>
  <r>
    <n v="113"/>
    <m/>
    <s v="Mauritania"/>
    <x v="4"/>
    <x v="3"/>
    <s v="MRT"/>
    <s v="MR"/>
    <s v="http://www.justice.gov.mr"/>
    <s v="Agence Nationale du Registre des populations et des Titres Sécurisés"/>
    <n v="1"/>
    <n v="1960"/>
    <n v="2"/>
    <s v="5 d"/>
    <s v="free"/>
    <s v="http://www.anrpts.mr"/>
    <s v="National Agency for Population Registry"/>
    <n v="2"/>
    <n v="2001"/>
    <s v="National ID Card"/>
    <x v="1"/>
    <n v="1"/>
    <n v="18"/>
    <s v="free"/>
    <n v="1"/>
    <n v="1"/>
    <m/>
    <m/>
    <m/>
    <m/>
    <s v="http://www.anrpts.mr"/>
    <n v="2012"/>
    <n v="2"/>
    <s v="4B"/>
    <s v="C, H, R, V"/>
    <n v="0"/>
    <n v="0"/>
    <n v="2000"/>
    <n v="2"/>
    <s v="http://www.morpho.com/references/identity/mauritania-a-single-integrated-system?lang=en"/>
    <s v="3, 4"/>
    <n v="1"/>
    <n v="1"/>
    <s v="http://www.justice.gov.mr/"/>
    <s v="Ministry of Justice"/>
    <n v="2"/>
    <n v="1"/>
    <n v="2014"/>
    <n v="5"/>
    <s v="-"/>
    <n v="0"/>
    <s v="http://www.commerce.gov.mr/Commerce/Home"/>
    <n v="2005"/>
    <n v="1"/>
    <n v="1"/>
    <s v="http://www.doingbusiness.org/data/exploreeconomies/mauritania/starting-a-business"/>
    <n v="2000"/>
    <n v="0"/>
    <s v="-"/>
    <n v="0"/>
    <s v="-"/>
    <n v="0"/>
    <n v="0"/>
    <n v="4067.5639999999999"/>
    <n v="49.680422975520486"/>
    <n v="2046.7809999999999"/>
    <n v="2020.7829999999999"/>
    <n v="601.08199999999999"/>
    <n v="49.17997877161519"/>
    <n v="305.47000000000003"/>
    <n v="295.61200000000002"/>
    <n v="542.44100000000003"/>
    <n v="49.248858401190176"/>
    <n v="275.29500000000002"/>
    <n v="267.14600000000002"/>
    <n v="484.17"/>
    <n v="49.274221864221239"/>
    <n v="245.59899999999999"/>
    <n v="238.571"/>
    <n v="2439.8710000000001"/>
    <n v="49.980265350094328"/>
    <n v="1220.4169999999999"/>
    <n v="1219.454"/>
    <n v="2015"/>
    <s v="http://esa.un.org/unpd/wpp/Download/Standard/Population/"/>
    <n v="58.8"/>
    <n v="60.1"/>
    <n v="57.6"/>
    <n v="75.2"/>
    <n v="48.6"/>
    <n v="2011"/>
    <s v="MICS"/>
    <n v="1328.1679999999999"/>
    <n v="32.652663854828099"/>
    <n v="668.328519774489"/>
    <n v="659.8394802255109"/>
    <n v="2014"/>
    <s v="http://www.idea.int/vt/countryview.cfm?id=151"/>
    <n v="18"/>
    <n v="18"/>
    <s v="MR2014"/>
    <n v="1328.1679999999999"/>
    <n v="1859.595"/>
    <n v="3516.806"/>
    <n v="1"/>
    <n v="4"/>
    <s v="CD"/>
    <x v="0"/>
    <n v="1782.3125160000002"/>
    <n v="43.81768832647748"/>
    <n v="50.461297202408737"/>
    <n v="881.80771622551094"/>
    <n v="899.37801577448897"/>
    <n v="43.082660833059862"/>
    <n v="44.506412404225934"/>
    <n v="1111.7030000000002"/>
    <n v="50.338491465300436"/>
    <n v="552.08848022551092"/>
    <n v="559.61451977448905"/>
    <n v="422.96373200000005"/>
    <n v="50.695601484810041"/>
    <n v="207.83670599999999"/>
    <n v="214.42400799999996"/>
    <n v="247.64578400000002"/>
    <n v="50.612405337778732"/>
    <n v="121.88253000000002"/>
    <n v="125.33948799999999"/>
    <n v="39.900000000000006"/>
    <n v="42.399999999999991"/>
    <n v="3889.88"/>
    <n v="49.642405421246927"/>
    <n v="1560.0219999999995"/>
    <n v="49.11261528579174"/>
    <n v="584.26199999999994"/>
    <n v="49.099346010783428"/>
    <n v="95"/>
    <n v="2213.3651000000009"/>
    <n v="116.49290000000013"/>
    <n v="49.642405421246927"/>
    <n v="642.72906399999988"/>
    <n v="49.11261528579174"/>
    <n v="240.34172443677738"/>
    <n v="49.099346010783428"/>
    <n v="1636.473"/>
    <n v="42.07"/>
    <n v="49.642405421246927"/>
    <n v="2253.4070000000002"/>
    <n v="57.93"/>
    <n v="49.642405421246927"/>
    <n v="14.996701700033558"/>
    <n v="13.272382041802953"/>
    <n v="11.8355467351962"/>
    <n v="40.1046304770327"/>
    <n v="56.724063467253501"/>
    <n v="3.1713060557138002"/>
    <n v="58.8"/>
    <n v="57.6"/>
    <n v="60.1"/>
    <n v="75.2"/>
    <n v="48.6"/>
    <n v="2011"/>
    <n v="23.43"/>
    <n v="2008"/>
    <n v="828.72035999999991"/>
    <n v="42"/>
    <n v="2008"/>
    <n v="1487.4467999999999"/>
    <n v="40"/>
    <n v="2004"/>
    <n v="45.5037841796875"/>
    <s v="fre"/>
    <n v="2"/>
    <n v="3"/>
    <s v="-"/>
    <s v="-"/>
    <s v="-"/>
    <s v="-"/>
    <s v="CR Minister"/>
    <n v="0.56000000000000005"/>
    <s v="-"/>
    <n v="4"/>
    <s v="P146804 (P)"/>
    <s v="P150430 (P)"/>
    <s v="P082888 (C); P146804 (P)"/>
    <s v="P082888 (C)"/>
    <s v="P082888 (C); P146804 (P)"/>
    <s v="P082888 (C); P146804 (P); P150430 (P)"/>
    <m/>
    <m/>
    <m/>
    <m/>
    <m/>
    <m/>
    <m/>
    <m/>
    <m/>
    <m/>
    <m/>
    <m/>
    <m/>
    <m/>
    <m/>
    <m/>
    <m/>
    <m/>
    <m/>
    <m/>
    <m/>
    <m/>
    <m/>
    <m/>
    <m/>
    <m/>
    <m/>
    <m/>
    <m/>
    <m/>
    <m/>
    <n v="3"/>
    <s v="civil + religious"/>
    <s v="NF"/>
    <n v="6"/>
    <n v="5"/>
    <s v="-"/>
    <s v="-"/>
    <s v="-"/>
    <s v="-"/>
    <s v="-"/>
    <s v="PF"/>
    <n v="48"/>
    <n v="14"/>
    <n v="19"/>
    <n v="15"/>
    <n v="4"/>
    <n v="-0.93083661794662476"/>
    <n v="-1.0169016122817993"/>
    <n v="-0.90269047021865845"/>
    <n v="-0.69623476266860962"/>
    <n v="-0.94676613807678223"/>
    <n v="-0.67925357818603516"/>
    <n v="174"/>
    <n v="0.1893"/>
    <n v="7.843E-2"/>
    <n v="4.7239999999999997E-2"/>
    <n v="0.16256000000000001"/>
    <n v="0.35809999999999997"/>
    <n v="147"/>
    <n v="1.91"/>
    <n v="3.08"/>
    <n v="0.4"/>
    <n v="2.58"/>
    <s v="-"/>
    <s v="-"/>
    <s v="-"/>
    <s v="-"/>
    <s v="-"/>
    <s v="-"/>
    <s v="-"/>
    <s v="-"/>
    <s v="-"/>
    <s v="-"/>
    <s v="-"/>
    <s v="-"/>
    <s v="-"/>
    <s v="-"/>
    <s v="-"/>
    <s v="-"/>
    <s v="-"/>
    <s v="-"/>
    <s v="-"/>
    <m/>
    <m/>
    <m/>
    <m/>
    <n v="21.2"/>
    <s v="IDA"/>
    <s v="HIPC"/>
    <n v="0"/>
    <n v="14"/>
    <n v="56.000000000000007"/>
    <s v="B"/>
    <n v="1"/>
    <n v="3"/>
    <n v="0"/>
    <n v="0"/>
  </r>
  <r>
    <n v="114"/>
    <m/>
    <s v="Mauritius"/>
    <x v="4"/>
    <x v="1"/>
    <s v="MUS"/>
    <s v="MU"/>
    <s v="http://csd.pmo.gov.mu/English/registration/Pages/birth.aspx"/>
    <s v="Registrar of Civil Status"/>
    <n v="6"/>
    <n v="1793"/>
    <n v="2"/>
    <s v="45 d"/>
    <s v="free"/>
    <s v="http://unstats.un.org/unsd/demographic/CRVS/Technical%20report%20SADC%20final%20v2.pdf"/>
    <s v="Central Civil Status Office (under the Office of the Prime Minister) "/>
    <n v="6"/>
    <n v="2001"/>
    <s v="National ID Card"/>
    <x v="1"/>
    <n v="2"/>
    <n v="18"/>
    <s v="various"/>
    <n v="1"/>
    <n v="1"/>
    <m/>
    <n v="1"/>
    <n v="1"/>
    <m/>
    <s v="http://www.maurice-info.mu/wp-content/uploads/2013/09/new-id-card.pdf"/>
    <n v="2013"/>
    <n v="2"/>
    <s v="4B"/>
    <s v="C, H, R, S"/>
    <n v="0"/>
    <n v="0"/>
    <s v="-"/>
    <n v="9"/>
    <s v="http://www.humanipo.com/news/7303/mauritius-government-to-issue-smart-id-cards/"/>
    <n v="3"/>
    <n v="0"/>
    <n v="0"/>
    <s v="http://passport.gov.mu/English/Mauritius%20Passport/Pages/How-to-apply.aspx"/>
    <s v="Passport and Immigration Office"/>
    <n v="0"/>
    <n v="5"/>
    <n v="2007"/>
    <n v="5"/>
    <s v="-"/>
    <n v="0"/>
    <s v="https://portalmns.mu/cbris-name-search/MASTActionServlet?do=ViewList&amp;id=ViewListCBRIS.xml"/>
    <n v="2009"/>
    <n v="1"/>
    <n v="2"/>
    <s v="http://companies.govmu.org/English/About%20CBRD/Pages/What-we-do.aspx"/>
    <n v="2002"/>
    <n v="2"/>
    <s v="C, F, P"/>
    <n v="0"/>
    <s v="-"/>
    <n v="3"/>
    <n v="0"/>
    <n v="1273.212"/>
    <n v="50.609874867657545"/>
    <n v="628.84100000000001"/>
    <n v="644.37099999999998"/>
    <n v="70.623999999999995"/>
    <n v="49.038570457634805"/>
    <n v="35.991"/>
    <n v="34.633000000000003"/>
    <n v="80.641000000000005"/>
    <n v="49.040810505822094"/>
    <n v="41.094000000000001"/>
    <n v="39.546999999999997"/>
    <n v="94.747"/>
    <n v="49.041130589886755"/>
    <n v="48.281999999999996"/>
    <n v="46.465000000000003"/>
    <n v="1027.1999999999998"/>
    <n v="50.985786604361373"/>
    <n v="503.47399999999999"/>
    <n v="523.72599999999989"/>
    <n v="2015"/>
    <s v="http://esa.un.org/unpd/wpp/Download/Standard/Population/"/>
    <n v="100"/>
    <n v="100"/>
    <n v="100"/>
    <s v="–"/>
    <s v="–"/>
    <n v="2013"/>
    <s v="http://www.unicef.org/esaro/Technical_paper_low_res_.pdf"/>
    <n v="936.97500000000002"/>
    <n v="73.591436461484818"/>
    <n v="462.77312495876572"/>
    <n v="474.2018750412343"/>
    <n v="2014"/>
    <s v="http://www.electionguide.org/countries/id/138/"/>
    <n v="18"/>
    <n v="18"/>
    <s v="MU2014"/>
    <n v="936.97500000000002"/>
    <n v="978.88699999999994"/>
    <n v="1331.155"/>
    <n v="1"/>
    <n v="4"/>
    <s v="CD"/>
    <x v="1"/>
    <n v="90.224999999999795"/>
    <n v="7.0864082336641347"/>
    <n v="54.889581555850029"/>
    <n v="40.700875041234269"/>
    <n v="49.524124958765583"/>
    <n v="6.472363449780512"/>
    <n v="7.6856539103661694"/>
    <n v="90.224999999999795"/>
    <n v="54.889581555850029"/>
    <n v="40.700875041234269"/>
    <n v="49.524124958765583"/>
    <n v="0"/>
    <n v="0"/>
    <n v="0"/>
    <n v="0"/>
    <n v="0"/>
    <n v="0"/>
    <n v="0"/>
    <n v="0"/>
    <n v="0"/>
    <n v="0"/>
    <n v="1296.3030000000001"/>
    <n v="50.64888378720098"/>
    <n v="255.90359583993333"/>
    <n v="49.506649541865691"/>
    <n v="70.141999999999996"/>
    <n v="49.32146664077915"/>
    <n v="99"/>
    <n v="1029.995410118466"/>
    <n v="10.403994041600678"/>
    <n v="50.64888378720098"/>
    <n v="25.590359583993326"/>
    <n v="49.506649541865691"/>
    <n v="7.475495559375342"/>
    <n v="49.32146664077915"/>
    <n v="542.298"/>
    <n v="41.834200000000003"/>
    <n v="50.208925719807198"/>
    <n v="754.005"/>
    <n v="58.165799999999997"/>
    <n v="49.993037181451051"/>
    <n v="5.7667810375933275"/>
    <n v="6.5362263588846403"/>
    <n v="7.4380562283072864"/>
    <n v="19.741032446884201"/>
    <n v="71.519756863331295"/>
    <n v="8.7392106897845796"/>
    <n v="90"/>
    <n v="90"/>
    <n v="90"/>
    <n v="90"/>
    <n v="90"/>
    <n v="2012"/>
    <s v="-"/>
    <s v="-"/>
    <m/>
    <s v="-"/>
    <s v="-"/>
    <m/>
    <n v="8"/>
    <n v="2006"/>
    <n v="89.249832153320298"/>
    <s v="eng"/>
    <n v="0"/>
    <s v="-"/>
    <s v="-"/>
    <s v="-"/>
    <s v="-"/>
    <s v="-"/>
    <s v="-"/>
    <s v="-"/>
    <s v="-"/>
    <s v="-"/>
    <m/>
    <m/>
    <m/>
    <m/>
    <m/>
    <m/>
    <m/>
    <m/>
    <m/>
    <m/>
    <m/>
    <m/>
    <m/>
    <m/>
    <m/>
    <m/>
    <m/>
    <m/>
    <m/>
    <m/>
    <m/>
    <m/>
    <m/>
    <m/>
    <m/>
    <m/>
    <m/>
    <m/>
    <m/>
    <m/>
    <m/>
    <m/>
    <m/>
    <m/>
    <m/>
    <m/>
    <m/>
    <n v="1"/>
    <s v="civil"/>
    <s v="F"/>
    <n v="1"/>
    <n v="2"/>
    <s v="-"/>
    <s v="-"/>
    <s v="-"/>
    <s v="-"/>
    <s v="-"/>
    <s v="F"/>
    <n v="30"/>
    <n v="7"/>
    <n v="10"/>
    <n v="13"/>
    <n v="10"/>
    <n v="0.89152544736862183"/>
    <n v="0.93599307537078857"/>
    <n v="0.87730324268341064"/>
    <n v="0.93892079591751099"/>
    <n v="0.90168052911758423"/>
    <n v="0.30249342322349548"/>
    <n v="76"/>
    <n v="0.53374999999999995"/>
    <n v="0.52941000000000005"/>
    <n v="0.47244000000000003"/>
    <n v="0.44061"/>
    <n v="0.68820000000000003"/>
    <n v="70"/>
    <n v="5.22"/>
    <n v="6.32"/>
    <n v="2.97"/>
    <n v="7.51"/>
    <s v="Data Protection Act"/>
    <s v="https://www.icta.mu/documents/laws/dpa.pdf"/>
    <n v="2004"/>
    <n v="2004"/>
    <s v="Both"/>
    <s v="Commissariat à la protection des données personnelles"/>
    <s v="http://dataprotection.govmu.org/English/Pages/default.aspx"/>
    <s v="AFAPDP"/>
    <s v="-"/>
    <s v="-"/>
    <s v="-"/>
    <s v="-"/>
    <s v="-"/>
    <s v="-"/>
    <s v="-"/>
    <s v="-"/>
    <s v="-"/>
    <s v="-"/>
    <s v="-"/>
    <m/>
    <m/>
    <m/>
    <m/>
    <m/>
    <s v="IBRD"/>
    <s v=""/>
    <n v="0"/>
    <n v="19"/>
    <n v="76"/>
    <s v="A"/>
    <n v="1"/>
    <n v="3"/>
    <n v="0"/>
    <n v="0"/>
  </r>
  <r>
    <n v="115"/>
    <m/>
    <s v="Mexico"/>
    <x v="5"/>
    <x v="1"/>
    <s v="MEX"/>
    <s v="MX"/>
    <s v="http://www.renapo.gob.mx"/>
    <s v="Registro Civil de México, Secretaria del Interior : CRs are maintained by individual states"/>
    <n v="2"/>
    <n v="1859"/>
    <n v="2"/>
    <s v="6 m"/>
    <s v="free"/>
    <s v="http://www.ine.mx/es/web/portal/inicio?"/>
    <s v="National Electorate Institute / Insituto Nacional Electoral (INE)"/>
    <n v="4"/>
    <n v="1960"/>
    <s v="CURP (Clave Única de Registro de Población)"/>
    <x v="1"/>
    <n v="1"/>
    <n v="18"/>
    <s v="free"/>
    <n v="1"/>
    <n v="0"/>
    <m/>
    <n v="1"/>
    <n v="1"/>
    <m/>
    <s v="http://renapo.gob.mx/swb/swb/RENAPO/home"/>
    <n v="2015"/>
    <n v="2"/>
    <s v="2B"/>
    <s v="C, F, R, S"/>
    <n v="0"/>
    <n v="0"/>
    <s v="-"/>
    <n v="10"/>
    <s v="http://www.prnewswire.com/news-releases/unisys-awarded-contract-to-provide-advanced-biometric-citizen-identification-solution-to-government-of-mexico-83495832.html"/>
    <s v="-"/>
    <n v="1"/>
    <n v="1"/>
    <s v="http://www.sre.gob.mx/index.php/primera-vez/252"/>
    <s v="Ministry of Foreign Affairs"/>
    <n v="1"/>
    <n v="3"/>
    <n v="2008"/>
    <n v="5"/>
    <s v="-"/>
    <n v="0"/>
    <s v="http://www.siem.gob.mx/siem/portal/consultas/ligas.asp?Tem=1"/>
    <n v="1996"/>
    <n v="1"/>
    <n v="2"/>
    <s v="http://www.siem.gob.mx/siem/ayuda/preguntasfrecuentes.asp"/>
    <n v="2005"/>
    <n v="1"/>
    <s v="C"/>
    <n v="0"/>
    <s v="-"/>
    <n v="3"/>
    <n v="1"/>
    <n v="127017.224"/>
    <n v="50.257575303330512"/>
    <n v="63181.447"/>
    <n v="63835.777000000002"/>
    <n v="11616.909"/>
    <n v="48.912804602325799"/>
    <n v="5934.7529999999997"/>
    <n v="5682.1559999999999"/>
    <n v="11606.866"/>
    <n v="48.887942705636476"/>
    <n v="5932.5079999999998"/>
    <n v="5674.3580000000002"/>
    <n v="11839.884"/>
    <n v="49.0865028745214"/>
    <n v="6028.0990000000002"/>
    <n v="5811.7849999999999"/>
    <n v="91953.565000000002"/>
    <n v="50.751135097372249"/>
    <n v="45286.087"/>
    <n v="46667.478000000003"/>
    <n v="2015"/>
    <s v="http://esa.un.org/unpd/wpp/Download/Standard/Population/"/>
    <n v="93.4"/>
    <n v="93.4"/>
    <n v="93.4"/>
    <n v="97.7"/>
    <n v="82.4"/>
    <n v="2009"/>
    <s v="Vital registration"/>
    <n v="80086.543999999994"/>
    <n v="63.051719662838792"/>
    <n v="38529.932999999997"/>
    <n v="41556.610999999997"/>
    <n v="2016"/>
    <s v="http://www.ine.mx/archivos3/portal/historico/contenido/Estadisticas_Lista_Nominal_y_Padron_Electoral/"/>
    <n v="18"/>
    <n v="18"/>
    <s v="MX2015"/>
    <n v="83563.19"/>
    <n v="81488.135999999999"/>
    <n v="121736.80899999999"/>
    <n v="10"/>
    <n v="4"/>
    <s v="CD"/>
    <x v="1"/>
    <n v="14181.222494000007"/>
    <n v="11.164802731005999"/>
    <n v="44.02987638507043"/>
    <n v="7937.247760000002"/>
    <n v="6243.9747340000049"/>
    <n v="12.562624214668592"/>
    <n v="9.7813092084709883"/>
    <n v="11867.021000000008"/>
    <n v="43.067817946896717"/>
    <n v="6756.1540000000023"/>
    <n v="5110.8670000000056"/>
    <n v="1547.4854999999989"/>
    <n v="48.988209453335749"/>
    <n v="789.40006199999937"/>
    <n v="758.08543799999939"/>
    <n v="766.71599399999934"/>
    <n v="48.912804602325807"/>
    <n v="391.69369799999964"/>
    <n v="375.0222959999997"/>
    <n v="6.5999999999999943"/>
    <n v="6.5999999999999943"/>
    <n v="122332.399"/>
    <n v="51.55092805790558"/>
    <n v="34839.486000000012"/>
    <n v="48.800382042370551"/>
    <n v="11291.502"/>
    <n v="48.819401098635147"/>
    <n v="67.400000000000006"/>
    <n v="58970.223361999997"/>
    <n v="28522.689637999996"/>
    <n v="51.55092805790558"/>
    <n v="2299.4060759999988"/>
    <n v="48.800382042370551"/>
    <n v="743.99055618405691"/>
    <n v="48.819401098635147"/>
    <n v="96235.717999999993"/>
    <n v="78.667400000000001"/>
    <n v="46.075273216125431"/>
    <n v="26096.681"/>
    <n v="21.332599999999999"/>
    <n v="50.352905030337006"/>
    <n v="9.2147168507722412"/>
    <n v="9.5354250275407253"/>
    <n v="9.7292195049294232"/>
    <n v="28.479361383242399"/>
    <n v="65.113296764498202"/>
    <n v="6.4073418522594299"/>
    <n v="93.4"/>
    <n v="93.4"/>
    <n v="93.4"/>
    <n v="97.7"/>
    <n v="82.4"/>
    <n v="2009"/>
    <n v="0.72"/>
    <n v="2010"/>
    <n v="880.79327279999995"/>
    <n v="51.3"/>
    <n v="2010"/>
    <n v="58888.983932999996"/>
    <n v="52.3"/>
    <s v="-"/>
    <n v="94.228401184082003"/>
    <s v="spa"/>
    <n v="3"/>
    <n v="3"/>
    <s v="-"/>
    <s v="-"/>
    <s v="-"/>
    <s v="-"/>
    <s v="PAHO RC"/>
    <n v="0"/>
    <n v="0.93"/>
    <n v="1"/>
    <s v="-"/>
    <s v="P147212 (A)"/>
    <s v="-"/>
    <s v="-"/>
    <s v="-"/>
    <s v="-"/>
    <n v="103263388"/>
    <n v="2005"/>
    <n v="76.5"/>
    <n v="23.5"/>
    <n v="47"/>
    <s v="9.2 %"/>
    <n v="91.6"/>
    <s v="esp"/>
    <n v="14.2"/>
    <s v="?"/>
    <n v="4"/>
    <s v="6 m"/>
    <s v="-"/>
    <s v="CURP (Clave Única de Registro de Población)"/>
    <s v="free"/>
    <s v="CURP (Clave Única de Registro de Población)"/>
    <s v="http://dgcnesyp.inegi.org.mx/cgiwin/ehm.exe/I"/>
    <n v="1"/>
    <s v="CEDI (ID) &amp; Registro de Menores de Edad"/>
    <n v="1"/>
    <s v="Voter Registration"/>
    <n v="1"/>
    <s v="Diconsa/Oportunidades payments"/>
    <m/>
    <m/>
    <n v="1"/>
    <s v="SINOS (Sistema Nominal en Salud)"/>
    <m/>
    <m/>
    <n v="1"/>
    <s v="Drivers’ license / Vehicle registration"/>
    <n v="1"/>
    <s v="civil"/>
    <s v="PF"/>
    <n v="3"/>
    <n v="3"/>
    <s v="PF"/>
    <n v="39"/>
    <n v="10"/>
    <n v="10"/>
    <n v="19"/>
    <s v="NF"/>
    <n v="61"/>
    <n v="16"/>
    <n v="31"/>
    <n v="14"/>
    <n v="8"/>
    <n v="7.9359062016010284E-2"/>
    <n v="-0.73759126663208008"/>
    <n v="0.30737176537513733"/>
    <n v="0.45819807052612305"/>
    <n v="-0.57790684700012207"/>
    <n v="-0.47636392712593079"/>
    <n v="63"/>
    <n v="0.57330000000000003"/>
    <n v="0.60784000000000005"/>
    <n v="0.66141000000000005"/>
    <n v="0.31392999999999999"/>
    <n v="0.74450000000000005"/>
    <n v="95"/>
    <n v="4.29"/>
    <n v="4.8"/>
    <n v="2.4500000000000002"/>
    <n v="6.96"/>
    <s v="Federal Law on the Protection of Personal Data Held by Private Parties"/>
    <s v="http://inicio.ifai.org.mx/English/1%20Data%20Protection%20Law.pdf"/>
    <n v="2010"/>
    <n v="2010"/>
    <s v="Both"/>
    <s v="Federal Institute for Access to Information and Data Protection"/>
    <s v="http://inicio.ifai.org.mx/SitePages/English_Section.aspx"/>
    <s v="ICDPPC; APPA; GPEN; APEC CPEA; RedIPD"/>
    <n v="7"/>
    <n v="117"/>
    <n v="2002"/>
    <s v="http://www.rti-rating.org/files/pdf/Mexico.pdf"/>
    <n v="6"/>
    <n v="22"/>
    <n v="23"/>
    <n v="22"/>
    <n v="26"/>
    <n v="2"/>
    <n v="16"/>
    <m/>
    <s v="OECD"/>
    <s v="APEC"/>
    <m/>
    <m/>
    <s v="IBRD"/>
    <s v=""/>
    <n v="0"/>
    <n v="17"/>
    <n v="68"/>
    <s v="B"/>
    <m/>
    <n v="3"/>
    <n v="2"/>
    <n v="1"/>
  </r>
  <r>
    <n v="116"/>
    <m/>
    <s v="Micronesia, Fed. Sts."/>
    <x v="6"/>
    <x v="3"/>
    <s v="FSM"/>
    <s v="FM"/>
    <s v="http://www.fsmgov.org/birth.html"/>
    <s v="State Supreme Court, Min of Justice of each island"/>
    <n v="1"/>
    <n v="1979"/>
    <n v="2"/>
    <s v="2 w"/>
    <s v="free"/>
    <s v="-"/>
    <s v="-"/>
    <n v="0"/>
    <s v="-"/>
    <s v="-"/>
    <x v="2"/>
    <n v="0"/>
    <s v="-"/>
    <s v="-"/>
    <n v="0"/>
    <n v="0"/>
    <m/>
    <m/>
    <m/>
    <m/>
    <s v="-"/>
    <s v="-"/>
    <n v="0"/>
    <n v="0"/>
    <s v="-"/>
    <s v="-"/>
    <s v="-"/>
    <s v="-"/>
    <n v="0"/>
    <s v="-"/>
    <s v="-"/>
    <n v="0"/>
    <n v="0"/>
    <s v="http://www.fsmgov.org/forms.html"/>
    <s v="Division of Immigration and Labor"/>
    <n v="1"/>
    <n v="1"/>
    <n v="2007"/>
    <n v="5"/>
    <s v="-"/>
    <n v="0"/>
    <s v="http://www.fsmroc.fm/corps.php"/>
    <n v="2010"/>
    <n v="1"/>
    <n v="0"/>
    <s v="-"/>
    <s v="-"/>
    <n v="0"/>
    <s v="-"/>
    <n v="0"/>
    <s v="-"/>
    <n v="0"/>
    <n v="0"/>
    <n v="104.46"/>
    <n v="48.774650583955584"/>
    <n v="53.51"/>
    <n v="50.95"/>
    <n v="11.57"/>
    <n v="48.28867761452031"/>
    <n v="5.9829999999999997"/>
    <n v="5.5869999999999997"/>
    <n v="11.557"/>
    <n v="48.169940295924548"/>
    <n v="5.99"/>
    <n v="5.5670000000000002"/>
    <n v="12.461"/>
    <n v="48.238504132894633"/>
    <n v="6.45"/>
    <n v="6.0110000000000001"/>
    <n v="68.871999999999986"/>
    <n v="49.054768265768388"/>
    <n v="35.086999999999996"/>
    <n v="33.784999999999997"/>
    <n v="2015"/>
    <s v="http://esa.un.org/unpd/wpp/Download/Standard/Population/"/>
    <n v="20"/>
    <n v="20"/>
    <n v="20"/>
    <s v="–"/>
    <s v="–"/>
    <n v="2014"/>
    <s v="http://www.spc.int/prism/images/CRVS_Posters/FSM_FINAL_print.pdf"/>
    <n v="63.353999999999999"/>
    <n v="60.649052268811033"/>
    <n v="32.453307869040778"/>
    <n v="30.900692130959218"/>
    <n v="2013"/>
    <s v="http://www.idea.int/vt/countryview.cfm?id=51"/>
    <s v="-"/>
    <n v="18"/>
    <s v="FM2013"/>
    <n v="92"/>
    <n v="63.353999999999999"/>
    <n v="106.104"/>
    <n v="1"/>
    <n v="4"/>
    <s v="CD"/>
    <x v="1"/>
    <n v="33.988399999999992"/>
    <n v="32.537239134596966"/>
    <n v="48.888173226867949"/>
    <n v="17.372092130959221"/>
    <n v="16.616307869040781"/>
    <n v="32.465131995812413"/>
    <n v="32.612969320982884"/>
    <n v="5.5179999999999865"/>
    <n v="52.270892878593436"/>
    <n v="2.6336921309592185"/>
    <n v="2.8843078690407786"/>
    <n v="19.214400000000005"/>
    <n v="48.205512532267456"/>
    <n v="9.9520000000000017"/>
    <n v="9.2624000000000013"/>
    <n v="9.2560000000000002"/>
    <n v="48.28867761452031"/>
    <n v="4.7863999999999995"/>
    <n v="4.4695999999999998"/>
    <n v="80"/>
    <n v="80"/>
    <n v="103.54900000000001"/>
    <n v="48.831953954166622"/>
    <n v="36.336000000000006"/>
    <n v="48.455241079239073"/>
    <n v="11.57"/>
    <n v="48.241456830151222"/>
    <n v="88.846826140281408"/>
    <n v="92"/>
    <n v="7.4963827463326567"/>
    <n v="48.831953954166622"/>
    <n v="36.336000000000006"/>
    <n v="48.455241079239073"/>
    <n v="11.594221228961892"/>
    <n v="48.241456830151222"/>
    <n v="23.620999999999999"/>
    <n v="22.811599999999999"/>
    <n v="48.831953954166622"/>
    <n v="79.927999999999997"/>
    <n v="77.188400000000001"/>
    <n v="48.831953954166622"/>
    <n v="11.196845193060186"/>
    <n v="11.530992552889003"/>
    <n v="12.36279567397761"/>
    <n v="35.090633419926803"/>
    <n v="60.830138388588999"/>
    <n v="4.0792281914842299"/>
    <n v="0"/>
    <n v="0"/>
    <n v="0"/>
    <n v="0"/>
    <n v="0"/>
    <n v="2014"/>
    <n v="31.2"/>
    <n v="2000"/>
    <n v="34.801104000000002"/>
    <s v="-"/>
    <s v="-"/>
    <m/>
    <n v="26.7"/>
    <n v="2000"/>
    <s v="-"/>
    <s v="eng"/>
    <n v="0"/>
    <s v="-"/>
    <s v="-"/>
    <s v="-"/>
    <s v="-"/>
    <s v="-"/>
    <s v="-"/>
    <s v="-"/>
    <s v="-"/>
    <s v="-"/>
    <m/>
    <m/>
    <m/>
    <m/>
    <m/>
    <m/>
    <m/>
    <m/>
    <m/>
    <m/>
    <m/>
    <m/>
    <m/>
    <m/>
    <m/>
    <m/>
    <m/>
    <m/>
    <m/>
    <m/>
    <m/>
    <m/>
    <m/>
    <m/>
    <m/>
    <m/>
    <m/>
    <m/>
    <m/>
    <m/>
    <m/>
    <m/>
    <m/>
    <m/>
    <m/>
    <m/>
    <m/>
    <n v="2"/>
    <s v="common + customary"/>
    <s v="F"/>
    <n v="1"/>
    <n v="1"/>
    <s v="-"/>
    <s v="-"/>
    <s v="-"/>
    <s v="-"/>
    <s v="-"/>
    <s v="F"/>
    <n v="21"/>
    <n v="2"/>
    <n v="8"/>
    <n v="11"/>
    <m/>
    <n v="1.0192474126815796"/>
    <n v="1.1106219291687012"/>
    <n v="-0.55926614999771118"/>
    <n v="-0.96833431720733643"/>
    <n v="7.4277207255363464E-2"/>
    <n v="-0.16874107718467712"/>
    <n v="130"/>
    <n v="0.33371000000000001"/>
    <n v="0.25490000000000002"/>
    <n v="0.18897"/>
    <n v="0.10985"/>
    <n v="0.70230000000000004"/>
    <s v="-"/>
    <s v="-"/>
    <s v="-"/>
    <s v="-"/>
    <s v="-"/>
    <s v="-"/>
    <s v="-"/>
    <s v="-"/>
    <s v="-"/>
    <s v="-"/>
    <s v="-"/>
    <s v="-"/>
    <s v="-"/>
    <s v="-"/>
    <s v="-"/>
    <s v="-"/>
    <s v="-"/>
    <s v="-"/>
    <s v="-"/>
    <s v="-"/>
    <s v="-"/>
    <s v="-"/>
    <s v="-"/>
    <s v="-"/>
    <m/>
    <m/>
    <m/>
    <n v="1"/>
    <m/>
    <s v="IDA"/>
    <s v=""/>
    <n v="1"/>
    <n v="4"/>
    <n v="16"/>
    <s v="D"/>
    <m/>
    <n v="1"/>
    <n v="0"/>
    <n v="0"/>
  </r>
  <r>
    <n v="117"/>
    <m/>
    <s v="Moldova"/>
    <x v="1"/>
    <x v="3"/>
    <s v="MDA"/>
    <s v="MD"/>
    <s v="http://www.registru.md/rsp_en/"/>
    <s v="Registru, under Ministry of Information Technology and Communication"/>
    <n v="6"/>
    <n v="1993"/>
    <n v="2"/>
    <s v="5 d"/>
    <s v="free"/>
    <s v="http://www.registru.md"/>
    <s v="Registru"/>
    <n v="5"/>
    <n v="1996"/>
    <s v="Buletin de identitate (Identity Card)"/>
    <x v="0"/>
    <n v="2"/>
    <n v="0"/>
    <s v="130 Lei ($10)"/>
    <n v="0"/>
    <n v="0"/>
    <s v="http://en.wikipedia.org/wiki/Moldovan_Identity_Card"/>
    <m/>
    <m/>
    <m/>
    <s v="http://www.registru.md"/>
    <n v="2010"/>
    <n v="2"/>
    <s v="2B"/>
    <s v="C, F, O"/>
    <n v="0"/>
    <n v="0"/>
    <s v="-"/>
    <n v="9"/>
    <s v="http://registru.md/id_kart/"/>
    <s v="-"/>
    <n v="0"/>
    <n v="0"/>
    <s v="http://www.registru.md/pa/"/>
    <s v="State Information Resources Center"/>
    <n v="2"/>
    <n v="5"/>
    <n v="2008"/>
    <n v="5"/>
    <s v="-"/>
    <n v="1"/>
    <s v="http://www.mtic.gov.md/WebPublic/index.php?action=company&amp;lang=en"/>
    <n v="2007"/>
    <n v="1"/>
    <n v="2"/>
    <s v="http://www.doingbusiness.org/data/exploreeconomies/moldova/starting-a-business/"/>
    <n v="2006"/>
    <n v="2"/>
    <s v="C, R"/>
    <n v="1"/>
    <s v="https://servicii.gov.md/CategoryDetails.aspx?cid=59d2ed3d-abaa-45ea-8b3e-cec1dc20ff7c"/>
    <n v="3"/>
    <n v="1"/>
    <n v="4068.8969999999999"/>
    <n v="51.931469388387072"/>
    <n v="1955.8589999999999"/>
    <n v="2113.038"/>
    <n v="222.93100000000001"/>
    <n v="48.364292090377738"/>
    <n v="115.11199999999999"/>
    <n v="107.819"/>
    <n v="216.04300000000001"/>
    <n v="48.677809510143817"/>
    <n v="110.878"/>
    <n v="105.16500000000001"/>
    <n v="201.202"/>
    <n v="48.331527519607157"/>
    <n v="103.958"/>
    <n v="97.244"/>
    <n v="3428.7209999999995"/>
    <n v="52.579664545467551"/>
    <n v="1625.9109999999998"/>
    <n v="1802.8100000000002"/>
    <n v="2015"/>
    <s v="http://esa.un.org/unpd/wpp/Download/Standard/Population/"/>
    <n v="99.6"/>
    <n v="99.2"/>
    <n v="99.9"/>
    <n v="99.7"/>
    <n v="99.5"/>
    <n v="2012"/>
    <s v="MICS"/>
    <n v="3938.404"/>
    <n v="96.792914640011773"/>
    <n v="1895.443"/>
    <n v="2042.961"/>
    <n v="2016"/>
    <s v="http://www.registru.md/date-statistice/referitor-la-persoanele-domiciliate-in-rm-prin-prisma-cetateniei"/>
    <n v="0"/>
    <n v="18"/>
    <s v="MD2014"/>
    <n v="2956.27"/>
    <n v="2804.0889999999999"/>
    <n v="3583.288"/>
    <n v="20"/>
    <n v="6"/>
    <s v="CD"/>
    <x v="1"/>
    <n v="130.49299999999994"/>
    <n v="3.2070853599882216"/>
    <n v="53.701731127340189"/>
    <n v="60.41599999999994"/>
    <n v="70.076999999999998"/>
    <n v="3.0889752277643705"/>
    <n v="3.3164098326674676"/>
    <n v="127.93229599999994"/>
    <n v="54.534135774441253"/>
    <n v="57.776415999999941"/>
    <n v="69.766772000000032"/>
    <n v="1.6689800000000017"/>
    <n v="12.127706743039312"/>
    <n v="1.7186880000000015"/>
    <n v="0.20240899999997769"/>
    <n v="0.89172400000000085"/>
    <n v="12.091073022593092"/>
    <n v="0.92089600000000083"/>
    <n v="0.10781899999998813"/>
    <n v="0.80000000000000071"/>
    <n v="9.9999999999988987E-2"/>
    <n v="3559"/>
    <n v="52.607389716212417"/>
    <n v="589.1887532246468"/>
    <n v="48.975500813991964"/>
    <n v="214.94800000000001"/>
    <n v="48.508802170261461"/>
    <n v="76.8"/>
    <n v="2733.3119999999999"/>
    <n v="825.68799999999999"/>
    <n v="52.607389716212417"/>
    <n v="2.3567550128985895"/>
    <n v="48.975500813991964"/>
    <n v="0.85933567195969518"/>
    <n v="48.508802170261461"/>
    <n v="1747.2840000000001"/>
    <n v="49.094799999999999"/>
    <n v="61.644243294163971"/>
    <n v="1811.7159999999999"/>
    <n v="50.905200000000001"/>
    <n v="72.08022670219836"/>
    <n v="6.0363562233752068"/>
    <n v="5.6177686255300854"/>
    <n v="4.9007782137527576"/>
    <n v="16.554896128818399"/>
    <n v="72.040207570305597"/>
    <n v="11.404896300876"/>
    <n v="99.6"/>
    <n v="99.9"/>
    <n v="99.2"/>
    <n v="99.7"/>
    <n v="99.5"/>
    <n v="2012"/>
    <n v="0.39"/>
    <n v="2010"/>
    <n v="14"/>
    <n v="21.9"/>
    <n v="2010"/>
    <n v="779.42099999999994"/>
    <n v="21.9"/>
    <n v="2010"/>
    <n v="99.068099975585895"/>
    <s v="rom"/>
    <n v="3"/>
    <s v="-"/>
    <s v="-"/>
    <s v="-"/>
    <s v="-"/>
    <s v="-"/>
    <s v="-"/>
    <s v="-"/>
    <s v="-"/>
    <n v="3"/>
    <s v="-"/>
    <s v="-"/>
    <s v="P127734 (P)"/>
    <s v="-"/>
    <s v="P105602 (C)"/>
    <s v="P121231 (A)"/>
    <m/>
    <m/>
    <m/>
    <m/>
    <m/>
    <m/>
    <m/>
    <m/>
    <m/>
    <m/>
    <m/>
    <m/>
    <m/>
    <m/>
    <m/>
    <m/>
    <m/>
    <m/>
    <m/>
    <m/>
    <m/>
    <m/>
    <m/>
    <m/>
    <m/>
    <m/>
    <m/>
    <m/>
    <m/>
    <m/>
    <m/>
    <n v="1"/>
    <s v="civil"/>
    <s v="PF"/>
    <n v="3"/>
    <n v="3"/>
    <s v="-"/>
    <s v="-"/>
    <s v="-"/>
    <s v="-"/>
    <s v="-"/>
    <s v="PF"/>
    <n v="53"/>
    <n v="16"/>
    <n v="18"/>
    <n v="19"/>
    <n v="9"/>
    <n v="-0.10569439828395844"/>
    <n v="-3.3760715276002884E-2"/>
    <n v="-0.39882823824882507"/>
    <n v="-8.6876533925533295E-2"/>
    <n v="-0.41016432642936707"/>
    <n v="-0.73916435241699219"/>
    <n v="66"/>
    <n v="0.55708000000000002"/>
    <n v="0.62744999999999995"/>
    <n v="0.52754999999999996"/>
    <n v="0.42354999999999998"/>
    <n v="0.72009999999999996"/>
    <n v="61"/>
    <n v="5.72"/>
    <n v="6.56"/>
    <n v="3.94"/>
    <n v="7.57"/>
    <s v="Law on Personal Data Protection"/>
    <s v="http://datepersonale.md/en/legi/"/>
    <n v="2007"/>
    <n v="2007"/>
    <s v="Both"/>
    <s v="National Center for Personal Data Protection"/>
    <s v="http://www.datepersonale.md/"/>
    <s v="ICDPPC; EDPA; AFAPDP; CEEDPA"/>
    <n v="16"/>
    <n v="110"/>
    <n v="2000"/>
    <s v="http://www.rti-rating.org/files/pdf/Moldova.pdf"/>
    <n v="5"/>
    <n v="28"/>
    <n v="23"/>
    <n v="23"/>
    <n v="17"/>
    <n v="4"/>
    <n v="10"/>
    <m/>
    <m/>
    <m/>
    <m/>
    <m/>
    <s v="Blend"/>
    <s v=""/>
    <n v="0"/>
    <n v="22"/>
    <n v="88"/>
    <s v="A"/>
    <m/>
    <n v="6"/>
    <n v="0"/>
    <n v="0"/>
  </r>
  <r>
    <n v="118"/>
    <m/>
    <s v="Monaco"/>
    <x v="3"/>
    <x v="2"/>
    <s v="MCO"/>
    <s v="MC"/>
    <s v="http://www.mairie.mc/poles/pratique/declaration-de-naissance-ou-de-reconnaissance"/>
    <s v="City Council, Monaco Municipality"/>
    <n v="5"/>
    <n v="1861"/>
    <n v="2"/>
    <s v="4 d"/>
    <s v="free"/>
    <s v="http://en.service-public-particuliers.gouv.mc/Nationality-and-residency/Monegasque-nationality/Identity-documents/Monaco-national-identity-card"/>
    <s v="Town Hall Nationality Office"/>
    <n v="6"/>
    <n v="2009"/>
    <s v="CIME / Carte d'Identité Monégasque Électronique"/>
    <x v="1"/>
    <n v="1"/>
    <n v="18"/>
    <s v="free"/>
    <n v="0"/>
    <n v="0"/>
    <s v="http://en.wikipedia.org/wiki/Mon%C3%A9gasque_identity_card"/>
    <n v="1"/>
    <n v="1"/>
    <m/>
    <s v="http://www.mairie.mc/poles/pratique/documents-de-la-nationalite"/>
    <n v="2009"/>
    <n v="2"/>
    <n v="4"/>
    <s v="C, R, T"/>
    <n v="0"/>
    <n v="0"/>
    <s v="-"/>
    <n v="3"/>
    <s v="http://www.secureidnews.com/news-item/monaco-deploying-e-ids/?tag=government"/>
    <s v="-"/>
    <n v="0"/>
    <n v="0"/>
    <s v="http://en.service-public-particuliers.gouv.mc/Nationality-and-residency/Monegasque-nationality/Identity-documents/How-to-obtain-a-passport"/>
    <s v="General Secretariat of the State Department"/>
    <n v="2"/>
    <n v="2"/>
    <n v="2005"/>
    <n v="5"/>
    <n v="18"/>
    <n v="1"/>
    <s v="http://www.rci.gouv.mc/rc/"/>
    <n v="2011"/>
    <n v="1"/>
    <n v="2"/>
    <s v="http://www.monacostatistics.mc/Procedures-and-services/NIS-registration"/>
    <n v="2008"/>
    <n v="2"/>
    <s v="C, F, P, R"/>
    <n v="1"/>
    <s v="https://en.service-public-entreprises.gouv.mc/user/login"/>
    <n v="3"/>
    <n v="0"/>
    <n v="37.799999999999997"/>
    <n v="55.7"/>
    <n v="16.745399999999997"/>
    <n v="21.054600000000001"/>
    <n v="1.028"/>
    <n v="48.638132295719842"/>
    <n v="0.52800000000000002"/>
    <n v="0.5"/>
    <n v="1.18"/>
    <n v="49.152542372881349"/>
    <n v="0.6"/>
    <n v="0.57999999999999996"/>
    <n v="1.3599999999999999"/>
    <n v="48.529411764705884"/>
    <n v="0.7"/>
    <n v="0.66"/>
    <n v="34.231999999999999"/>
    <n v="56.42264547791541"/>
    <n v="14.917399999999999"/>
    <n v="19.314600000000002"/>
    <n v="2014"/>
    <s v="http://www.monacostatistics.mc/Population-and-employment"/>
    <n v="100"/>
    <n v="100"/>
    <n v="100"/>
    <s v="–"/>
    <s v="–"/>
    <n v="2006"/>
    <s v="UNSD "/>
    <n v="6.8250000000000002"/>
    <n v="18.055555555555557"/>
    <n v="3.0234749999999999"/>
    <n v="3.8015250000000003"/>
    <n v="2013"/>
    <s v="http://www.idea.int/vt/countryview.cfm?id=139"/>
    <n v="18"/>
    <n v="18"/>
    <s v="MC2013"/>
    <n v="6.8250000000000002"/>
    <n v="25.597000000000001"/>
    <n v="30.51"/>
    <n v="1"/>
    <n v="4"/>
    <s v="CD"/>
    <x v="2"/>
    <n v="27.407"/>
    <n v="72.505291005290999"/>
    <n v="56.602601525157816"/>
    <n v="11.893924999999999"/>
    <n v="15.513075000000002"/>
    <n v="71.028013663453862"/>
    <n v="73.680217149696517"/>
    <n v="27.407"/>
    <n v="56.602601525157816"/>
    <n v="11.893924999999999"/>
    <n v="15.513075000000002"/>
    <n v="0"/>
    <n v="0"/>
    <n v="0"/>
    <n v="0"/>
    <n v="0"/>
    <n v="0"/>
    <n v="0"/>
    <n v="0"/>
    <n v="0"/>
    <n v="0"/>
    <n v="37.831000000000003"/>
    <n v="51.283339060558795"/>
    <n v="4.4754073000000005"/>
    <n v="48.75346260387812"/>
    <n v="1.9321360968469572"/>
    <n v="49.019607843137258"/>
    <n v="20.985985957311438"/>
    <n v="7"/>
    <n v="26.355592700000003"/>
    <n v="51.283339060558795"/>
    <n v="0"/>
    <n v="48.75346260387812"/>
    <n v="0"/>
    <n v="49.019607843137258"/>
    <n v="37.831000000000003"/>
    <n v="100"/>
    <n v="51.283339060558795"/>
    <n v="0"/>
    <n v="0"/>
    <n v="51.283339060558795"/>
    <n v="3.34"/>
    <n v="4.03"/>
    <n v="4.46"/>
    <n v="11.83"/>
    <n v="58.67"/>
    <n v="29.5"/>
    <n v="100"/>
    <n v="100"/>
    <n v="100"/>
    <n v="100"/>
    <n v="100"/>
    <n v="2006"/>
    <s v="-"/>
    <s v="-"/>
    <m/>
    <s v="-"/>
    <s v="-"/>
    <m/>
    <s v="-"/>
    <s v="-"/>
    <s v="-"/>
    <s v="fre"/>
    <n v="0"/>
    <s v="-"/>
    <s v="-"/>
    <s v="-"/>
    <s v="-"/>
    <s v="-"/>
    <s v="-"/>
    <s v="-"/>
    <s v="-"/>
    <s v="-"/>
    <m/>
    <m/>
    <m/>
    <m/>
    <m/>
    <m/>
    <m/>
    <m/>
    <m/>
    <m/>
    <m/>
    <m/>
    <m/>
    <m/>
    <m/>
    <m/>
    <m/>
    <m/>
    <m/>
    <m/>
    <m/>
    <m/>
    <m/>
    <m/>
    <m/>
    <m/>
    <m/>
    <m/>
    <m/>
    <m/>
    <m/>
    <m/>
    <m/>
    <m/>
    <m/>
    <m/>
    <m/>
    <n v="1"/>
    <s v="civil"/>
    <s v="F"/>
    <n v="2"/>
    <n v="1"/>
    <s v="-"/>
    <s v="-"/>
    <s v="-"/>
    <s v="-"/>
    <s v="-"/>
    <s v="F"/>
    <n v="15"/>
    <n v="3"/>
    <n v="6"/>
    <n v="6"/>
    <m/>
    <n v="0.83401262760162354"/>
    <n v="1.0605484247207642"/>
    <e v="#N/A"/>
    <e v="#N/A"/>
    <n v="0.94137513637542725"/>
    <e v="#N/A"/>
    <n v="38"/>
    <n v="0.67147999999999997"/>
    <n v="9.8030000000000006E-2"/>
    <n v="0.22047"/>
    <n v="1"/>
    <n v="0.79400000000000004"/>
    <n v="15"/>
    <n v="7.93"/>
    <n v="8.31"/>
    <n v="7.29"/>
    <n v="8.4499999999999993"/>
    <s v="Act controlling personal data processing"/>
    <s v="http://www.ccin.mc/legislation/lois/act-1-165-on-the-protection-of-personal-data.pdf"/>
    <n v="1993"/>
    <n v="2009"/>
    <s v="Both"/>
    <s v="Supervisory Commission for Personal Information"/>
    <s v="http://www.cndp.ma/"/>
    <s v="AFAPDP"/>
    <s v="-"/>
    <s v="-"/>
    <s v="-"/>
    <s v="-"/>
    <s v="-"/>
    <s v="-"/>
    <s v="-"/>
    <s v="-"/>
    <s v="-"/>
    <s v="-"/>
    <s v="-"/>
    <s v="EUR"/>
    <m/>
    <m/>
    <m/>
    <m/>
    <s v=".."/>
    <s v=""/>
    <n v="1"/>
    <n v="21"/>
    <n v="84"/>
    <s v="A"/>
    <m/>
    <n v="4"/>
    <n v="0"/>
    <n v="0"/>
  </r>
  <r>
    <n v="119"/>
    <m/>
    <s v="Mongolia"/>
    <x v="6"/>
    <x v="3"/>
    <s v="MNG"/>
    <s v="MN"/>
    <s v="https://burtgel.gov.mn"/>
    <s v="General Authority for State Registration, Min of Justice"/>
    <n v="1"/>
    <n v="1918"/>
    <n v="2"/>
    <s v="15-30 d"/>
    <s v="free"/>
    <s v="https://burtgel.gov.mn/index.php?option=com_content&amp;view=article&amp;id=112&amp;Itemid=141"/>
    <s v="General Authority for State Registration, Min of Justice"/>
    <n v="1"/>
    <n v="1999"/>
    <s v="National ID Card"/>
    <x v="1"/>
    <n v="2"/>
    <n v="16"/>
    <s v="free"/>
    <n v="1"/>
    <n v="1"/>
    <m/>
    <m/>
    <m/>
    <m/>
    <s v="https://burtgel.gov.mn/"/>
    <n v="2012"/>
    <n v="2"/>
    <s v="4B"/>
    <s v="C, R, V"/>
    <n v="0"/>
    <n v="0"/>
    <s v="-"/>
    <n v="1"/>
    <s v="http://www.gemalto.com/govt/customer-cases/mongolia"/>
    <s v="-"/>
    <n v="0"/>
    <n v="0"/>
    <s v="http://mongolianembassy.us/%D0%B3%D0%B0%D0%B4%D0%B0%D0%B0%D0%B4-%D0%BF%D0%B0%D1%81%D0%BF%D0%BE%D1%80%D1%82-%D1%88%D0%B8%D0%BD%D1%8D%D1%8D%D1%80-%D0%BE%D0%BB%D0%B3%D0%BE%D1%85/#.VNPop9JdVKA"/>
    <s v="Ministry of Foreign Affairs"/>
    <n v="1"/>
    <n v="3"/>
    <n v="2002"/>
    <n v="5"/>
    <s v="-"/>
    <n v="0"/>
    <s v="https://www.burtgel.gov.mn/index.php?option=com_content&amp;view=category&amp;id=191&amp;Itemid=412"/>
    <n v="2007"/>
    <n v="1"/>
    <n v="0"/>
    <s v="-"/>
    <s v="-"/>
    <n v="0"/>
    <s v="-"/>
    <n v="0"/>
    <s v="-"/>
    <n v="0"/>
    <n v="1"/>
    <n v="2959.134"/>
    <n v="50.500416675959926"/>
    <n v="1464.759"/>
    <n v="1494.375"/>
    <n v="337.86399999999998"/>
    <n v="49.408637795089149"/>
    <n v="170.93"/>
    <n v="166.934"/>
    <n v="278.39299999999997"/>
    <n v="49.440179889580563"/>
    <n v="140.755"/>
    <n v="137.63800000000001"/>
    <n v="219.04400000000001"/>
    <n v="49.506035317105237"/>
    <n v="110.604"/>
    <n v="108.44"/>
    <n v="2123.8330000000001"/>
    <n v="50.915632255455115"/>
    <n v="1042.47"/>
    <n v="1081.3630000000001"/>
    <n v="2015"/>
    <s v="http://esa.un.org/unpd/wpp/Download/Standard/Population/"/>
    <n v="99"/>
    <n v="98.8"/>
    <n v="99.2"/>
    <n v="98.9"/>
    <n v="99.1"/>
    <n v="2010"/>
    <s v="MICS"/>
    <n v="1856.19"/>
    <n v="62.72747364600589"/>
    <n v="918.80631570249955"/>
    <n v="937.38368429750062"/>
    <n v="2013"/>
    <s v="http://www.idea.int/vt/countryview.cfm?id=147"/>
    <n v="16"/>
    <n v="18"/>
    <s v="MN2013"/>
    <n v="1856.19"/>
    <n v="2120.4070000000002"/>
    <n v="3226.5160000000001"/>
    <n v="1"/>
    <n v="4"/>
    <s v="CD"/>
    <x v="1"/>
    <n v="275.99601000000007"/>
    <n v="9.3269182808213493"/>
    <n v="53.364326427218792"/>
    <n v="128.7311522975005"/>
    <n v="147.28341170249945"/>
    <n v="8.7885551341552084"/>
    <n v="9.8558535643663383"/>
    <n v="267.64300000000003"/>
    <n v="53.79528539976738"/>
    <n v="123.66368429750048"/>
    <n v="143.97931570249943"/>
    <n v="4.974370000000004"/>
    <n v="39.575343209290828"/>
    <n v="3.0163080000000022"/>
    <n v="1.9686240000000017"/>
    <n v="3.378640000000003"/>
    <n v="39.526910236071316"/>
    <n v="2.0511600000000021"/>
    <n v="1.3354720000000011"/>
    <n v="1.2000000000000013"/>
    <n v="0.80000000000000071"/>
    <n v="2839.0729999999999"/>
    <n v="50.458758897710624"/>
    <n v="774.22899999999879"/>
    <n v="49.368916221223323"/>
    <n v="309.31299999999999"/>
    <n v="49.397721721323883"/>
    <n v="89.885725023294697"/>
    <n v="1856"/>
    <n v="208.84400000000102"/>
    <n v="50.458758897710624"/>
    <n v="7.7422899999999952"/>
    <n v="49.368916221223323"/>
    <n v="3.0436179009928352"/>
    <n v="49.397721721323883"/>
    <n v="1994.182"/>
    <n v="70.240600000000001"/>
    <n v="51.373796373650947"/>
    <n v="844.89099999999996"/>
    <n v="29.759399999999999"/>
    <n v="60.392405647592405"/>
    <n v="10.720463690059512"/>
    <n v="8.9084298079846178"/>
    <n v="7.6415923260259104"/>
    <n v="27.270485824070001"/>
    <n v="68.9230252268963"/>
    <n v="3.8064889490337199"/>
    <n v="99"/>
    <n v="99.2"/>
    <n v="98.8"/>
    <n v="98.9"/>
    <n v="99.1"/>
    <n v="2010"/>
    <s v="-"/>
    <s v="-"/>
    <m/>
    <n v="27.4"/>
    <n v="2012"/>
    <n v="777.90600199999983"/>
    <n v="29.8"/>
    <n v="2011"/>
    <n v="98.257003784179702"/>
    <s v="rus"/>
    <n v="3"/>
    <s v="-"/>
    <s v="-"/>
    <s v="-"/>
    <s v="-"/>
    <s v="-"/>
    <s v="-"/>
    <s v="-"/>
    <s v="-"/>
    <n v="1"/>
    <s v="-"/>
    <s v="-"/>
    <s v="-"/>
    <s v="-"/>
    <s v="P077778 (C)"/>
    <s v="-"/>
    <m/>
    <m/>
    <m/>
    <m/>
    <m/>
    <m/>
    <m/>
    <m/>
    <m/>
    <m/>
    <m/>
    <m/>
    <m/>
    <m/>
    <m/>
    <m/>
    <m/>
    <m/>
    <m/>
    <m/>
    <m/>
    <m/>
    <m/>
    <m/>
    <m/>
    <m/>
    <m/>
    <m/>
    <m/>
    <m/>
    <m/>
    <n v="1"/>
    <s v="civil"/>
    <s v="F"/>
    <n v="1"/>
    <n v="2"/>
    <s v="-"/>
    <s v="-"/>
    <s v="-"/>
    <s v="-"/>
    <s v="-"/>
    <s v="PF"/>
    <n v="37"/>
    <n v="13"/>
    <n v="12"/>
    <n v="12"/>
    <n v="10"/>
    <n v="7.2999700903892517E-2"/>
    <n v="0.49927636981010437"/>
    <n v="-0.54106253385543823"/>
    <n v="-0.28594869375228882"/>
    <n v="-0.36965698003768921"/>
    <n v="-0.46223738789558411"/>
    <n v="65"/>
    <n v="0.55808000000000002"/>
    <n v="0.68627000000000005"/>
    <n v="0.61416999999999999"/>
    <n v="0.27138000000000001"/>
    <n v="0.78869999999999996"/>
    <n v="92"/>
    <n v="4.32"/>
    <n v="4.79"/>
    <n v="1.69"/>
    <n v="8.64"/>
    <s v="-"/>
    <s v="-"/>
    <s v="-"/>
    <s v="-"/>
    <s v="-"/>
    <s v="-"/>
    <s v="-"/>
    <s v="-"/>
    <n v="56"/>
    <n v="80"/>
    <n v="2011"/>
    <s v="http://www.rti-rating.org/files/pdf/Mongolia.pdf"/>
    <n v="4"/>
    <n v="23"/>
    <n v="18"/>
    <n v="6"/>
    <n v="23"/>
    <n v="2"/>
    <n v="4"/>
    <m/>
    <m/>
    <m/>
    <m/>
    <m/>
    <s v="Blend"/>
    <s v=""/>
    <n v="0"/>
    <n v="14"/>
    <n v="56.000000000000007"/>
    <s v="B"/>
    <m/>
    <n v="4"/>
    <n v="0"/>
    <n v="0"/>
  </r>
  <r>
    <n v="120"/>
    <m/>
    <s v="Montenegro"/>
    <x v="1"/>
    <x v="1"/>
    <s v="MNE"/>
    <s v="ME"/>
    <s v="http://www.mup.gov.me/rubrike/izdavanje-dokumenata/85194/159611.html"/>
    <s v="Registrar, Min of Interior"/>
    <n v="2"/>
    <n v="1878"/>
    <n v="2"/>
    <s v="5 d"/>
    <s v="free"/>
    <s v="http://www.mup.gov.me/rubrike/izdavanje-dokumenata/85194/159611.html"/>
    <s v="Department of Interior"/>
    <n v="2"/>
    <n v="2008"/>
    <s v="Lična Karta (Identity Card)"/>
    <x v="1"/>
    <n v="2"/>
    <n v="16"/>
    <n v="5"/>
    <n v="0"/>
    <n v="0"/>
    <s v="http://en.wikipedia.org/wiki/Montenegrin_identity_card"/>
    <m/>
    <n v="1"/>
    <m/>
    <s v="http://www.mup.gov.me/rubrike/izdavanje-dokumenata/85194/159611.html"/>
    <n v="2012"/>
    <n v="2"/>
    <n v="2"/>
    <s v="C, R, S, T"/>
    <n v="0"/>
    <n v="0"/>
    <s v="-"/>
    <n v="5"/>
    <s v="http://www.trueb.ee/services-and-products/documents/id-cards"/>
    <s v="-"/>
    <n v="0"/>
    <n v="0"/>
    <s v="http://www.mup.gov.me/rubrike/izdavanje-dokumenata/85195/159612.html"/>
    <s v="Ministry of Interior"/>
    <n v="2"/>
    <n v="2"/>
    <n v="2008"/>
    <n v="5"/>
    <n v="70"/>
    <n v="0"/>
    <s v="http://www.privrednakomora.me/centralni-registar-preduzeca/spisak?title="/>
    <n v="2006"/>
    <n v="1"/>
    <n v="1"/>
    <s v="http://www.crps.me/images/documents/propisiObrasci/zakon_o_privrednim_drustvima.pdf"/>
    <n v="2002"/>
    <n v="1"/>
    <s v="C"/>
    <n v="0"/>
    <s v="-"/>
    <n v="3"/>
    <n v="1"/>
    <n v="625.78099999999995"/>
    <n v="50.587985253627068"/>
    <n v="309.21100000000001"/>
    <n v="316.57"/>
    <n v="36.773000000000003"/>
    <n v="48.334375764827456"/>
    <n v="18.998999999999999"/>
    <n v="17.774000000000001"/>
    <n v="39.744"/>
    <n v="48.115438808373597"/>
    <n v="20.620999999999999"/>
    <n v="19.123000000000001"/>
    <n v="40.222000000000001"/>
    <n v="48.18507284570633"/>
    <n v="20.841000000000001"/>
    <n v="19.381"/>
    <n v="509.04199999999992"/>
    <n v="51.133698201720115"/>
    <n v="248.75"/>
    <n v="260.29200000000003"/>
    <n v="2015"/>
    <s v="http://esa.un.org/unpd/wpp/Download/Standard/Population/"/>
    <n v="98.9"/>
    <n v="98.5"/>
    <n v="99.3"/>
    <n v="99"/>
    <n v="98.8"/>
    <s v="2005-2006"/>
    <s v="MICS"/>
    <n v="501"/>
    <n v="80.059957077635787"/>
    <n v="247.55419387932841"/>
    <n v="253.44580612067162"/>
    <n v="2013"/>
    <s v="http://www.idea.int/vt/countryview.cfm?id=141"/>
    <n v="16"/>
    <n v="18"/>
    <s v="ME2013"/>
    <n v="511.40499999999997"/>
    <n v="507.74900000000002"/>
    <n v="653.47400000000005"/>
    <n v="1"/>
    <n v="4"/>
    <s v="CD"/>
    <x v="1"/>
    <n v="9.326128999999904"/>
    <n v="1.4903183382045644"/>
    <n v="77.632851522089013"/>
    <n v="2.1027211206715917"/>
    <n v="7.2401398793284111"/>
    <n v="0.68002791642974914"/>
    <n v="2.2870581164761066"/>
    <n v="8.0419999999999163"/>
    <n v="85.130488427362366"/>
    <n v="1.1958061206715911"/>
    <n v="6.8461938793284105"/>
    <n v="0.87962599999999191"/>
    <n v="30.641204330022383"/>
    <n v="0.62193000000000054"/>
    <n v="0.26952800000000021"/>
    <n v="0.40450299999999634"/>
    <n v="30.758239123072322"/>
    <n v="0.28498500000000021"/>
    <n v="0.12441800000000011"/>
    <n v="1.5000000000000011"/>
    <n v="0.70000000000000062"/>
    <n v="621.38300000000004"/>
    <n v="50.595365499217074"/>
    <n v="116.47399999999995"/>
    <n v="48.016877492417194"/>
    <n v="38.503"/>
    <n v="48.055361775857534"/>
    <n v="82.718709716873491"/>
    <n v="514"/>
    <n v="87.25478995563121"/>
    <n v="50.595365499217074"/>
    <n v="1.2812139999999876"/>
    <n v="48.016877492417194"/>
    <n v="0.41406333352161701"/>
    <n v="48.055361775857534"/>
    <n v="395.65800000000002"/>
    <n v="63.6738"/>
    <n v="52.024728427075907"/>
    <n v="225.72499999999999"/>
    <n v="36.3262"/>
    <n v="52.076198914608483"/>
    <n v="6.0577970799391441"/>
    <n v="6.3778905512895694"/>
    <n v="6.3086294807617973"/>
    <n v="18.744317111990501"/>
    <n v="68.180655087120201"/>
    <n v="13.0750278008893"/>
    <n v="98.9"/>
    <n v="99.3"/>
    <n v="98.5"/>
    <n v="99"/>
    <n v="98.8"/>
    <n v="2006"/>
    <n v="0"/>
    <n v="2010"/>
    <n v="1"/>
    <n v="9.3000000000000007"/>
    <n v="2011"/>
    <n v="58.800272999999997"/>
    <n v="6.6"/>
    <n v="2010"/>
    <n v="98.442207336425795"/>
    <s v="mnt"/>
    <n v="0"/>
    <s v="-"/>
    <s v="-"/>
    <s v="-"/>
    <s v="-"/>
    <s v="-"/>
    <s v="-"/>
    <s v="-"/>
    <s v="-"/>
    <n v="1"/>
    <s v="-"/>
    <s v="-"/>
    <s v="P149743 (P)"/>
    <s v="-"/>
    <s v="-"/>
    <s v="-"/>
    <m/>
    <m/>
    <m/>
    <m/>
    <m/>
    <m/>
    <m/>
    <m/>
    <m/>
    <m/>
    <m/>
    <m/>
    <m/>
    <m/>
    <m/>
    <m/>
    <m/>
    <m/>
    <m/>
    <m/>
    <m/>
    <m/>
    <m/>
    <m/>
    <m/>
    <m/>
    <m/>
    <m/>
    <m/>
    <m/>
    <m/>
    <n v="1"/>
    <s v="civil"/>
    <s v="F"/>
    <n v="3"/>
    <n v="2"/>
    <s v="-"/>
    <s v="-"/>
    <s v="-"/>
    <s v="-"/>
    <s v="-"/>
    <s v="PF"/>
    <n v="39"/>
    <n v="10"/>
    <n v="18"/>
    <n v="11"/>
    <n v="9"/>
    <n v="0.18188983201980591"/>
    <n v="0.4850037693977356"/>
    <n v="0.15703344345092773"/>
    <n v="4.9160495400428772E-2"/>
    <n v="2.008335292339325E-2"/>
    <n v="-0.2474798709154129"/>
    <n v="45"/>
    <n v="0.63454999999999995"/>
    <n v="0.58823000000000003"/>
    <n v="0.52754999999999996"/>
    <n v="0.54813999999999996"/>
    <n v="0.82789999999999997"/>
    <n v="63"/>
    <n v="5.67"/>
    <n v="6.74"/>
    <n v="3.37"/>
    <n v="8.15"/>
    <s v="Law on Personal Data Protection"/>
    <s v="http://www.afapdp.org/wp-content/uploads/2012/01/Mont%C3%A9n%C3%A9gro-Personal-Data-Protection-Law-79-08-and-70-09.pdf"/>
    <n v="2008"/>
    <n v="2008"/>
    <s v="Both"/>
    <s v="Agencija za zaštitu ličnih podataka i slobodan pristup informacija"/>
    <s v="http://www.azlp.me/index.php/me/"/>
    <s v="EDPA; CEEDPA"/>
    <n v="46"/>
    <n v="89"/>
    <n v="2005"/>
    <s v="http://www.rti-rating.org/files/pdf/Montenegro.pdf"/>
    <n v="5"/>
    <n v="30"/>
    <n v="22"/>
    <n v="21"/>
    <n v="4"/>
    <n v="2"/>
    <n v="5"/>
    <m/>
    <m/>
    <m/>
    <m/>
    <m/>
    <s v="IBRD"/>
    <s v=""/>
    <n v="0"/>
    <n v="18"/>
    <n v="72"/>
    <s v="B"/>
    <m/>
    <n v="4"/>
    <n v="0"/>
    <n v="0"/>
  </r>
  <r>
    <n v="121"/>
    <m/>
    <s v="Morocco"/>
    <x v="2"/>
    <x v="3"/>
    <s v="MAR"/>
    <s v="MA"/>
    <s v="http://www.service-public.ma/en/web/guest/home?p_p_id=mmspservicepublicdiffusion_WAR_mmspservicepublicdiffusionportlet&amp;p_p_lifecycle=0&amp;p_p_state=normal&amp;p_p_mode=view&amp;p_p_col_id=column-1&amp;p_p_col_count=1&amp;_mmspservicepublicdiffusion_WAR_mmspservicepublicdiffusionportlet__spage=%2Fportlet_action%2Fprocedure%2Fprocedure%2Fview%3FrubriqueSelected.idRubrique%3D20313%26procedureSelected.idProcedure%3D5463&amp;_mmspservicepublicdiffusion_WAR_mmspservicepublicdiffusionportlet_rubriqueSelected.idRubrique=20313&amp;_mmspservicepublicdiffusion_WAR_mmspservicepublicdiffusionportlet_procedureSelected.idProcedure=5465"/>
    <s v="Min of Interior"/>
    <n v="2"/>
    <n v="1912"/>
    <n v="2"/>
    <s v="30 d"/>
    <s v="free"/>
    <s v="http://www.service-public.ma/web/guest/home?p_p_id=mmspservicepublicdiffusion_WAR_mmspservicepublicdiffusionportlet&amp;p_p_lifecycle=0&amp;p_p_state=normal&amp;p_p_mode=view&amp;p_p_col_id=column-1&amp;p_p_col_count=1&amp;_mmspservicepublicdiffusion_WAR_mmspservicepublicdiffusionportlet__spage=%2Fportlet_action%2Fprocedure%2Fprocedure%2Fview%3FrubriqueSelected.idRubrique%3D20308%26procedureSelected.idProcedure%3D5327&amp;_mmspservicepublicdiffusion_WAR_mmspservicepublicdiffusionportlet_rubriqueSelected.idRubrique=20308&amp;_mmspservicepublicdiffusion_WAR_mmspservicepublicdiffusionportlet_procedureSelected.idProcedure=5327"/>
    <s v="Ministry of Interior"/>
    <n v="2"/>
    <n v="2009"/>
    <s v="NIEC / National Identification Card"/>
    <x v="1"/>
    <n v="2"/>
    <n v="16"/>
    <s v="75 Dhs"/>
    <n v="1"/>
    <n v="1"/>
    <m/>
    <n v="1"/>
    <n v="1"/>
    <n v="1"/>
    <s v="http://www.cnie.ma/sinformer/Pages/ProceduresObtentionCNIE.aspx"/>
    <n v="2009"/>
    <n v="1"/>
    <s v="4B"/>
    <s v="C"/>
    <n v="0"/>
    <n v="0"/>
    <n v="20000"/>
    <n v="2"/>
    <s v="https://www.thalesgroup.com/en/content/morocco-more-2-million-biometric-national-id-cards-issued"/>
    <s v="-"/>
    <n v="0"/>
    <n v="0"/>
    <s v="https://www.passeport.ma/"/>
    <s v="Passport Authority"/>
    <n v="2"/>
    <n v="5"/>
    <n v="2010"/>
    <n v="5"/>
    <n v="150"/>
    <n v="0"/>
    <s v="http://www.ompic.org.ma/index_en.htm"/>
    <n v="2004"/>
    <n v="1"/>
    <n v="1"/>
    <s v="http://www.doingbusiness.org/data/exploreeconomies/morocco/starting-a-business"/>
    <n v="1951"/>
    <n v="0"/>
    <s v="-"/>
    <n v="0"/>
    <s v="-"/>
    <n v="3"/>
    <n v="1"/>
    <n v="34377.510999999999"/>
    <n v="50.580296520012745"/>
    <n v="16989.263999999999"/>
    <n v="17388.246999999999"/>
    <n v="3420.7339999999999"/>
    <n v="48.667712835900126"/>
    <n v="1755.941"/>
    <n v="1664.7929999999999"/>
    <n v="3085.7310000000002"/>
    <n v="48.733087880959161"/>
    <n v="1581.9590000000001"/>
    <n v="1503.7719999999999"/>
    <n v="2851.8020000000001"/>
    <n v="48.727190737645884"/>
    <n v="1462.1990000000001"/>
    <n v="1389.6030000000001"/>
    <n v="25019.243999999999"/>
    <n v="51.280842059016663"/>
    <n v="12189.164999999997"/>
    <n v="12830.079000000002"/>
    <n v="2015"/>
    <s v="http://esa.un.org/unpd/wpp/Download/Standard/Population/"/>
    <n v="94"/>
    <n v="93.9"/>
    <n v="94.2"/>
    <n v="96.8"/>
    <n v="91.3"/>
    <s v="2010-2011"/>
    <s v="ENPSF"/>
    <n v="13475.434999999999"/>
    <n v="39.198402118175458"/>
    <n v="6659.5200196384203"/>
    <n v="6815.9149803615792"/>
    <n v="2011"/>
    <s v="http://www.electionguide.org/countries/id/146/"/>
    <n v="16"/>
    <n v="18"/>
    <s v="MA2011"/>
    <n v="13475.434999999999"/>
    <n v="21356.830999999998"/>
    <n v="31968.361000000001"/>
    <n v="1"/>
    <n v="4"/>
    <s v="CD"/>
    <x v="0"/>
    <n v="12105.30502"/>
    <n v="35.212860582024099"/>
    <n v="51.86600216405305"/>
    <n v="5822.451019361577"/>
    <n v="6278.5377636384219"/>
    <n v="34.271355247417297"/>
    <n v="36.107939826472574"/>
    <n v="11543.808999999999"/>
    <n v="52.098609909765678"/>
    <n v="5529.6449803615769"/>
    <n v="6014.1640196384224"/>
    <n v="356.25198000000034"/>
    <n v="47.10591362888696"/>
    <n v="185.69363799999985"/>
    <n v="167.81574999999981"/>
    <n v="205.24404000000018"/>
    <n v="47.045455741370034"/>
    <n v="107.11240099999991"/>
    <n v="96.557993999999894"/>
    <n v="6.0999999999999943"/>
    <n v="5.7999999999999936"/>
    <n v="33008.15"/>
    <n v="50.641717272855338"/>
    <n v="9193.8150000000023"/>
    <n v="48.749338549883724"/>
    <n v="3422.4920000000002"/>
    <n v="48.695116441927638"/>
    <n v="60.6"/>
    <n v="14431.487009999999"/>
    <n v="9382.8479900000002"/>
    <n v="50.641717272855338"/>
    <n v="551.62890000000061"/>
    <n v="48.749338549883724"/>
    <n v="206.65752000000026"/>
    <n v="48.695116441927638"/>
    <n v="19069.137999999999"/>
    <n v="57.771000000000001"/>
    <n v="52.331479304711884"/>
    <n v="13939.012000000001"/>
    <n v="42.228999999999999"/>
    <n v="48.382195237366894"/>
    <n v="10.434671437205663"/>
    <n v="8.6050081570763588"/>
    <n v="8.8134869721568734"/>
    <n v="27.853166566438901"/>
    <n v="67.166433138482503"/>
    <n v="4.9804002950786401"/>
    <n v="94"/>
    <n v="94.2"/>
    <n v="93.9"/>
    <n v="96.8"/>
    <n v="91.3"/>
    <n v="2011"/>
    <n v="2.52"/>
    <n v="2007"/>
    <n v="806.82434999999998"/>
    <n v="9"/>
    <n v="2007"/>
    <n v="2904.5676600000002"/>
    <n v="15"/>
    <n v="2007"/>
    <n v="67.084159851074205"/>
    <s v="ara"/>
    <n v="3"/>
    <n v="1"/>
    <s v="Yes"/>
    <s v="Completed"/>
    <s v="Plan"/>
    <s v="-"/>
    <s v="Health Minister"/>
    <n v="0.85"/>
    <n v="0.27"/>
    <n v="1"/>
    <s v="-"/>
    <s v="-"/>
    <s v="-"/>
    <s v="P125799 (A)"/>
    <s v="-"/>
    <s v="P125799 (A)"/>
    <m/>
    <m/>
    <m/>
    <m/>
    <m/>
    <m/>
    <m/>
    <m/>
    <m/>
    <m/>
    <m/>
    <m/>
    <m/>
    <m/>
    <m/>
    <m/>
    <m/>
    <n v="1"/>
    <s v="National ID"/>
    <m/>
    <m/>
    <n v="1"/>
    <s v="J-PAL Education CCT"/>
    <m/>
    <m/>
    <m/>
    <m/>
    <m/>
    <m/>
    <m/>
    <m/>
    <n v="3"/>
    <s v="civil + religious"/>
    <s v="PF"/>
    <n v="5"/>
    <n v="4"/>
    <s v="PF"/>
    <n v="44"/>
    <n v="11"/>
    <n v="10"/>
    <n v="23"/>
    <s v="NF"/>
    <n v="66"/>
    <n v="24"/>
    <n v="24"/>
    <n v="18"/>
    <n v="-3"/>
    <n v="-0.7224433422088623"/>
    <n v="-0.49997618794441223"/>
    <n v="-7.3494531214237213E-2"/>
    <n v="-0.16925565898418427"/>
    <n v="-0.24764178693294525"/>
    <n v="-0.35616001486778259"/>
    <n v="82"/>
    <n v="0.50597999999999999"/>
    <n v="0.80391999999999997"/>
    <n v="0.69291000000000003"/>
    <n v="0.33499000000000001"/>
    <n v="0.49009999999999998"/>
    <n v="96"/>
    <n v="4.2699999999999996"/>
    <n v="5.63"/>
    <n v="2.5"/>
    <n v="5.07"/>
    <s v="Loi relative à la protection des personnes physiques à l'égard du traitement des données à caractère personnel"/>
    <s v="http://www.adk-media.org/wp-content/uploads/2013/11/loi-09-08.pdf"/>
    <n v="2009"/>
    <n v="2009"/>
    <s v="Both"/>
    <s v="National Commission for the Control and the Protection of Personal Data"/>
    <s v="http://www.cndp.ma/"/>
    <s v="AFAPDP"/>
    <s v="-"/>
    <s v="-"/>
    <n v="2014"/>
    <s v="http://dai-transparencymaroc.com/wp-content/uploads/2013/06/Le-droit-dacc%C3%A8s-%C3%A0-linformation-%C3%A9tat-des-lieux-et-perspectives-%C3%A0-la-lumi%C3%A8re-de-la-nouvelle-constitution.pdf"/>
    <s v="-"/>
    <s v="-"/>
    <s v="-"/>
    <s v="-"/>
    <s v="-"/>
    <s v="-"/>
    <s v="-"/>
    <m/>
    <m/>
    <m/>
    <m/>
    <m/>
    <s v="IBRD"/>
    <s v=""/>
    <n v="0"/>
    <n v="18"/>
    <n v="72"/>
    <s v="B"/>
    <m/>
    <n v="3"/>
    <n v="0"/>
    <n v="0"/>
  </r>
  <r>
    <n v="122"/>
    <m/>
    <s v="Mozambique"/>
    <x v="4"/>
    <x v="0"/>
    <s v="MOZ"/>
    <s v="MZ"/>
    <s v="http://www.portaldogoverno.gov.mz/"/>
    <s v="Min of Justice"/>
    <n v="1"/>
    <n v="1930"/>
    <n v="2"/>
    <s v="30 d"/>
    <s v="free"/>
    <s v="http://www.portaldogoverno.gov.mz/Servicos/IdentCivil/bi/"/>
    <s v="Directory of Civil National Identity, Min of interior"/>
    <n v="2"/>
    <n v="1980"/>
    <s v="Bilhete de identidade"/>
    <x v="0"/>
    <n v="2"/>
    <n v="0"/>
    <s v="various"/>
    <n v="0"/>
    <n v="0"/>
    <s v="http://en.wikipedia.org/wiki/Bilhete_de_identidade_(Mozambique)"/>
    <n v="1"/>
    <n v="1"/>
    <m/>
    <s v="http://www.jornalnoticias.co.mz/index.php/primeiro-plano/5760-domingos-jofane-director-nacional-de-identificacao-civil-bi-nao-esta-a-venda"/>
    <n v="2009"/>
    <n v="1"/>
    <n v="2"/>
    <s v="C"/>
    <n v="0"/>
    <n v="0"/>
    <s v="-"/>
    <n v="8"/>
    <s v="http://www.semlex.com/en/references/references-clients.html"/>
    <s v="-"/>
    <n v="0"/>
    <n v="0"/>
    <s v="http://www.portaldogoverno.gov.mz/Servicos/migracao/passaporte-biometrico-1/?searchterm=passaporte"/>
    <s v="National Migration Service"/>
    <n v="2"/>
    <n v="3"/>
    <n v="2011"/>
    <n v="5"/>
    <n v="20"/>
    <n v="1"/>
    <s v="http://www.portaldogoverno.gov.mz/Servicos/NegInvestiment/reg/sociedades/"/>
    <n v="2005"/>
    <n v="1"/>
    <n v="1"/>
    <s v="http://www.at.gov.mz/eng/Internacional-Trade/FAQ-s/NUIT"/>
    <n v="2005"/>
    <n v="0"/>
    <s v="-"/>
    <n v="0"/>
    <s v="-"/>
    <n v="0"/>
    <n v="1"/>
    <n v="27977.863000000001"/>
    <n v="51.153524484697066"/>
    <n v="13666.2"/>
    <n v="14311.663"/>
    <n v="4816.0630000000001"/>
    <n v="49.631369024865322"/>
    <n v="2425.7849999999999"/>
    <n v="2390.2779999999998"/>
    <n v="4203.5240000000003"/>
    <n v="49.805948532707319"/>
    <n v="2109.9189999999999"/>
    <n v="2093.605"/>
    <n v="3655.3690000000001"/>
    <n v="49.936791607085354"/>
    <n v="1829.9949999999999"/>
    <n v="1825.374"/>
    <n v="15302.907000000001"/>
    <n v="52.293371448967186"/>
    <n v="7300.5010000000011"/>
    <n v="8002.4060000000009"/>
    <n v="2015"/>
    <s v="http://esa.un.org/unpd/wpp/Download/Standard/Population/"/>
    <n v="47.9"/>
    <n v="47.8"/>
    <n v="47.9"/>
    <n v="50.6"/>
    <n v="46.8"/>
    <n v="2011"/>
    <s v="DHS"/>
    <n v="10886.195"/>
    <n v="38.910030405109922"/>
    <n v="5317.5225752231318"/>
    <n v="5568.672424776867"/>
    <n v="2014"/>
    <s v="http://www.electionguide.org/countries/id/147/"/>
    <n v="0"/>
    <n v="18"/>
    <s v="MZ2014"/>
    <n v="10886.195"/>
    <n v="11850.615"/>
    <n v="24692.144"/>
    <n v="1"/>
    <n v="6"/>
    <s v="LH"/>
    <x v="0"/>
    <n v="11020.364076000002"/>
    <n v="39.389584815680891"/>
    <n v="51.911683069363711"/>
    <n v="5305.8733027768694"/>
    <n v="5720.856472223134"/>
    <n v="38.824788915549817"/>
    <n v="39.97338724523582"/>
    <n v="4416.7120000000014"/>
    <n v="55.102836119337937"/>
    <n v="1982.9784247768694"/>
    <n v="2433.7335752231338"/>
    <n v="4094.4832530000003"/>
    <n v="49.866806940875762"/>
    <n v="2056.6351079999999"/>
    <n v="2041.788059"/>
    <n v="2509.168823"/>
    <n v="49.631369024865329"/>
    <n v="1266.2597699999999"/>
    <n v="1245.334838"/>
    <n v="52.2"/>
    <n v="52.1"/>
    <n v="25833.752"/>
    <n v="51.108960092208058"/>
    <n v="11723.216999999997"/>
    <n v="49.841626236211454"/>
    <n v="4398.9660000000003"/>
    <n v="49.719450161942326"/>
    <n v="58.6"/>
    <n v="15138.578672"/>
    <n v="10695.173328000001"/>
    <n v="51.108960092208058"/>
    <n v="6107.7960569999987"/>
    <n v="49.841626236211454"/>
    <n v="2301.3270888418501"/>
    <n v="49.719450161942326"/>
    <n v="8197.2559999999994"/>
    <n v="31.730799999999999"/>
    <n v="49.29377586841256"/>
    <n v="17636.495999999999"/>
    <n v="68.269199999999998"/>
    <n v="50.567884913193637"/>
    <n v="17.098308164944616"/>
    <n v="15.280910297187662"/>
    <n v="13.000240936564438"/>
    <n v="45.379459398696703"/>
    <n v="51.339213134816802"/>
    <n v="3.2813274664864802"/>
    <n v="47.9"/>
    <n v="47.9"/>
    <n v="47.8"/>
    <n v="50.6"/>
    <n v="46.8"/>
    <n v="2011"/>
    <n v="59.58"/>
    <n v="2008"/>
    <n v="14262.105968"/>
    <n v="54.7"/>
    <n v="2009"/>
    <n v="13089.550276"/>
    <n v="52"/>
    <n v="2009"/>
    <n v="50.583812713622997"/>
    <s v="por"/>
    <n v="1"/>
    <n v="1"/>
    <s v="-"/>
    <s v="Underway"/>
    <s v="Underway"/>
    <s v="Yes"/>
    <s v="CR Minister"/>
    <n v="0.31"/>
    <s v="-"/>
    <n v="1"/>
    <s v="-"/>
    <s v="P129524 (A)"/>
    <s v="-"/>
    <s v="-"/>
    <s v="-"/>
    <s v="-"/>
    <m/>
    <m/>
    <m/>
    <m/>
    <m/>
    <m/>
    <m/>
    <m/>
    <m/>
    <m/>
    <m/>
    <m/>
    <m/>
    <m/>
    <m/>
    <m/>
    <m/>
    <m/>
    <m/>
    <n v="1"/>
    <s v="Voter Registration"/>
    <m/>
    <m/>
    <m/>
    <m/>
    <m/>
    <m/>
    <n v="1"/>
    <s v="BOM (Banco Oportunidade de Moçambique)"/>
    <m/>
    <m/>
    <n v="1"/>
    <s v="civil"/>
    <s v="PF"/>
    <n v="4"/>
    <n v="3"/>
    <s v="-"/>
    <s v="-"/>
    <s v="-"/>
    <s v="-"/>
    <s v="-"/>
    <s v="PF"/>
    <n v="45"/>
    <n v="13"/>
    <n v="17"/>
    <n v="15"/>
    <n v="5"/>
    <n v="-0.28672105073928833"/>
    <n v="-0.27105963230133057"/>
    <n v="-0.6487811803817749"/>
    <n v="-0.41240876913070679"/>
    <n v="-0.84657299518585205"/>
    <n v="-0.64969909191131592"/>
    <n v="164"/>
    <n v="0.23837"/>
    <n v="0.33333000000000002"/>
    <n v="0.31496000000000002"/>
    <n v="5.4489999999999997E-2"/>
    <n v="0.34570000000000001"/>
    <n v="159"/>
    <n v="1.52"/>
    <n v="2.21"/>
    <n v="0.24"/>
    <n v="2.71"/>
    <s v="-"/>
    <s v="-"/>
    <s v="-"/>
    <s v="-"/>
    <s v="-"/>
    <s v="-"/>
    <s v="-"/>
    <s v="-"/>
    <s v="-"/>
    <s v="-"/>
    <n v="2014"/>
    <s v="http://www.article19.org/resources.php/resource/37655/en/mozambique:-draft-right-to-information-law"/>
    <s v="-"/>
    <s v="-"/>
    <s v="-"/>
    <s v="-"/>
    <s v="-"/>
    <s v="-"/>
    <s v="-"/>
    <m/>
    <m/>
    <m/>
    <m/>
    <m/>
    <s v="IDA"/>
    <s v="HIPC"/>
    <n v="0"/>
    <n v="14"/>
    <n v="56.000000000000007"/>
    <s v="B"/>
    <n v="1"/>
    <n v="6"/>
    <n v="0"/>
    <n v="0"/>
  </r>
  <r>
    <n v="123"/>
    <m/>
    <s v="Myanmar"/>
    <x v="6"/>
    <x v="0"/>
    <s v="MMR"/>
    <s v="MM"/>
    <s v="http://www.mip.gov.mm"/>
    <s v="Min of Immigration and Population"/>
    <n v="6"/>
    <n v="1948"/>
    <n v="2"/>
    <s v="-"/>
    <s v="free"/>
    <s v="http://www.mip.gov.mm"/>
    <s v="Ministry of Immigration and Population (MIP)"/>
    <n v="6"/>
    <n v="1982"/>
    <s v="NRC (National Registration Card)"/>
    <x v="1"/>
    <n v="2"/>
    <n v="12"/>
    <s v="free"/>
    <n v="1"/>
    <n v="1"/>
    <s v="http://en.wikipedia.org/wiki/Burmese_nationality_law"/>
    <m/>
    <m/>
    <m/>
    <s v="-"/>
    <s v="-"/>
    <n v="0"/>
    <n v="1"/>
    <s v="-"/>
    <s v="-"/>
    <s v="-"/>
    <s v="-"/>
    <n v="0"/>
    <s v="-"/>
    <n v="3"/>
    <n v="0"/>
    <n v="0"/>
    <s v="http://www.mip.gov.mm/"/>
    <s v="Ministry of Home Affairs"/>
    <n v="1"/>
    <n v="2"/>
    <n v="2010"/>
    <n v="5"/>
    <s v="-"/>
    <n v="0"/>
    <s v="http://dica.gov.mm.x-aas.net/"/>
    <n v="2014"/>
    <n v="1"/>
    <n v="2"/>
    <s v="http://dica.gov.mm.x-aas.net/UploadFiles/CLEAN-CONSULTATION-DRAFT-PART-II.pdf"/>
    <n v="1957"/>
    <n v="1"/>
    <s v="C"/>
    <n v="0"/>
    <s v="-"/>
    <n v="0"/>
    <n v="0"/>
    <n v="53897.154000000002"/>
    <n v="51.138451577610198"/>
    <n v="26334.984"/>
    <n v="27562.17"/>
    <n v="4564.9129999999996"/>
    <n v="49.5921389958582"/>
    <n v="2301.0749999999998"/>
    <n v="2263.8380000000002"/>
    <n v="4988.2730000000001"/>
    <n v="49.657466622215743"/>
    <n v="2511.223"/>
    <n v="2477.0500000000002"/>
    <n v="5295.8040000000001"/>
    <n v="49.738415545590428"/>
    <n v="2661.7550000000001"/>
    <n v="2634.049"/>
    <n v="39048.164000000004"/>
    <n v="51.698289835086733"/>
    <n v="18860.931"/>
    <n v="20187.233"/>
    <n v="2015"/>
    <s v="http://esa.un.org/unpd/wpp/Download/Standard/Population/"/>
    <n v="72.400000000000006"/>
    <n v="72.7"/>
    <n v="72.099999999999994"/>
    <n v="93.5"/>
    <n v="63.5"/>
    <s v="2009-2010"/>
    <s v="MICS"/>
    <n v="34295.334000000003"/>
    <n v="63.631066679327816"/>
    <n v="16757.231229030313"/>
    <n v="17538.10277096969"/>
    <n v="2015"/>
    <s v="http://www.idea.int/vt/countryview.cfm?id=146"/>
    <n v="12"/>
    <n v="18"/>
    <s v="MM2015"/>
    <n v="34295.334000000003"/>
    <n v="38646.398000000001"/>
    <n v="56320.205999999998"/>
    <n v="1"/>
    <n v="4"/>
    <s v="CD"/>
    <x v="0"/>
    <n v="8851.1512399999992"/>
    <n v="16.422297993693689"/>
    <n v="53.176558895069917"/>
    <n v="4144.1162399696877"/>
    <n v="4706.7376520303105"/>
    <n v="15.736163879840168"/>
    <n v="17.076803648008525"/>
    <n v="4752.8300000000017"/>
    <n v="55.737954629774457"/>
    <n v="2103.699770969688"/>
    <n v="2649.1302290303101"/>
    <n v="2838.4052519999991"/>
    <n v="50.239359583879484"/>
    <n v="1412.2229940000002"/>
    <n v="1425.9966210000002"/>
    <n v="1259.9159879999995"/>
    <n v="50.13118398494364"/>
    <n v="628.19347500000003"/>
    <n v="631.61080200000015"/>
    <n v="27.3"/>
    <n v="27.900000000000002"/>
    <n v="53259.017999999996"/>
    <n v="51.463051759609989"/>
    <n v="13267.064999999995"/>
    <n v="49.661013946942958"/>
    <n v="4406.1390000000001"/>
    <n v="49.614850574834392"/>
    <n v="8.7517606354458355"/>
    <n v="3500"/>
    <n v="36491.953000000001"/>
    <n v="51.463051759609989"/>
    <n v="3661.7099399999975"/>
    <n v="49.661013946942958"/>
    <n v="1208.9515075638249"/>
    <n v="49.614850574834392"/>
    <n v="17996.861000000001"/>
    <n v="33.791200000000003"/>
    <n v="52.668562589887202"/>
    <n v="35262.156999999999"/>
    <n v="66.208799999999997"/>
    <n v="60.568779158915319"/>
    <n v="8.224445830706415"/>
    <n v="8.1949278240847452"/>
    <n v="8.4910837629554461"/>
    <n v="24.910457417746599"/>
    <n v="69.865109041251998"/>
    <n v="5.2244335410014502"/>
    <n v="72.400000000000006"/>
    <n v="72.099999999999994"/>
    <n v="72.7"/>
    <n v="93.5"/>
    <n v="63.5"/>
    <n v="2010"/>
    <n v="25"/>
    <n v="2012"/>
    <n v="13314.754499999999"/>
    <n v="35"/>
    <n v="2013"/>
    <n v="18640.656299999999"/>
    <n v="32.700000000000003"/>
    <n v="2007"/>
    <n v="92.625183105468807"/>
    <s v="bur"/>
    <n v="1"/>
    <n v="2"/>
    <s v="-"/>
    <s v="Planned"/>
    <s v="-"/>
    <s v="-"/>
    <s v="Through UNESCAP in 2-14"/>
    <n v="0.72"/>
    <s v="-"/>
    <n v="3"/>
    <s v="-"/>
    <s v="P153113 (P)"/>
    <s v="P144952 (A)"/>
    <s v="P144952 (A)"/>
    <s v="-"/>
    <s v="P144952 (A); P145534 (A)"/>
    <m/>
    <m/>
    <m/>
    <m/>
    <m/>
    <m/>
    <m/>
    <m/>
    <m/>
    <m/>
    <m/>
    <m/>
    <m/>
    <m/>
    <m/>
    <m/>
    <m/>
    <m/>
    <m/>
    <m/>
    <m/>
    <m/>
    <m/>
    <m/>
    <m/>
    <m/>
    <m/>
    <m/>
    <m/>
    <m/>
    <m/>
    <n v="2"/>
    <s v="common"/>
    <s v="NF"/>
    <n v="6"/>
    <n v="5"/>
    <s v="PF"/>
    <n v="60"/>
    <n v="19"/>
    <n v="16"/>
    <n v="25"/>
    <s v="NF"/>
    <n v="70"/>
    <n v="22"/>
    <n v="24"/>
    <n v="24"/>
    <n v="8"/>
    <n v="-1.4973899126052856"/>
    <n v="-1.1548423767089844"/>
    <n v="-1.5096619129180908"/>
    <n v="-1.509480357170105"/>
    <n v="-1.2201098203659058"/>
    <n v="-1.06778883934021"/>
    <n v="175"/>
    <n v="0.18694"/>
    <n v="7.843E-2"/>
    <n v="2.3619999999999999E-2"/>
    <n v="8.3599999999999994E-3"/>
    <n v="0.52880000000000005"/>
    <n v="150"/>
    <n v="1.82"/>
    <n v="1.85"/>
    <n v="0.08"/>
    <n v="5.22"/>
    <s v="-"/>
    <s v="-"/>
    <s v="-"/>
    <s v="-"/>
    <s v="-"/>
    <s v="-"/>
    <s v="-"/>
    <s v="-"/>
    <s v="-"/>
    <s v="-"/>
    <s v="-"/>
    <s v="-"/>
    <s v="-"/>
    <s v="-"/>
    <s v="-"/>
    <s v="-"/>
    <s v="-"/>
    <s v="-"/>
    <s v="-"/>
    <m/>
    <m/>
    <m/>
    <n v="1"/>
    <m/>
    <s v="IDA"/>
    <m/>
    <n v="0"/>
    <n v="11"/>
    <n v="44"/>
    <s v="C"/>
    <m/>
    <n v="3"/>
    <n v="0"/>
    <n v="0"/>
  </r>
  <r>
    <n v="124"/>
    <m/>
    <s v="Namibia"/>
    <x v="4"/>
    <x v="1"/>
    <s v="NAM"/>
    <s v="NA"/>
    <s v="http://www.mha.gov.na"/>
    <s v="Ministry of Home Affairs and Immigration"/>
    <n v="2"/>
    <n v="1986"/>
    <n v="2"/>
    <s v="14d"/>
    <s v="free"/>
    <s v="http://www.gov.na/identity-documents"/>
    <s v="Department of Civil Affairs under the Ministry of Home Affairs and Immigration (MHAI)"/>
    <n v="2"/>
    <n v="1986"/>
    <s v="ID Card"/>
    <x v="1"/>
    <n v="2"/>
    <n v="16"/>
    <s v="various"/>
    <n v="0"/>
    <n v="0"/>
    <m/>
    <n v="1"/>
    <n v="1"/>
    <m/>
    <s v="http://www.mha.gov.na/web/guest/iddocs"/>
    <n v="2002"/>
    <n v="1"/>
    <n v="2"/>
    <s v="C"/>
    <n v="0"/>
    <n v="0"/>
    <s v="-"/>
    <n v="4"/>
    <s v="https://www.gi-de.com/en/products_and_solutions/products/national_id_cards/National-ID-cards-for-secure-identification-6530.jsp"/>
    <s v="-"/>
    <n v="0"/>
    <n v="0"/>
    <s v="http://209.88.21.36/opencms/opencms/grnnet/MHAI/services/Passports.html"/>
    <s v="Ministry of Home Affairs"/>
    <n v="1"/>
    <n v="2"/>
    <n v="2004"/>
    <n v="5"/>
    <s v="-"/>
    <n v="0"/>
    <s v="http://www.ncci.org.na/directory/"/>
    <n v="2010"/>
    <n v="1"/>
    <n v="1"/>
    <s v="http://www.doingbusiness.org/data/exploreeconomies/namibia/starting-a-business"/>
    <n v="1949"/>
    <n v="0"/>
    <s v="-"/>
    <n v="0"/>
    <s v="-"/>
    <n v="0"/>
    <n v="0"/>
    <n v="2458.83"/>
    <n v="51.326931914772466"/>
    <n v="1196.788"/>
    <n v="1262.0419999999999"/>
    <n v="338.24099999999999"/>
    <n v="49.640640844841407"/>
    <n v="170.33600000000001"/>
    <n v="167.905"/>
    <n v="292.26900000000001"/>
    <n v="49.766140096965458"/>
    <n v="146.81800000000001"/>
    <n v="145.45099999999999"/>
    <n v="271.63799999999998"/>
    <n v="49.89324026829825"/>
    <n v="136.10900000000001"/>
    <n v="135.529"/>
    <n v="1556.682"/>
    <n v="52.236551845527856"/>
    <n v="743.52499999999998"/>
    <n v="813.15699999999993"/>
    <n v="2015"/>
    <s v="http://esa.un.org/unpd/wpp/Download/Standard/Population/"/>
    <n v="78"/>
    <n v="78"/>
    <n v="78"/>
    <s v="–"/>
    <s v="–"/>
    <n v="2011"/>
    <s v="Census"/>
    <n v="1162.366"/>
    <n v="47.273133970221608"/>
    <n v="546.31201999999996"/>
    <n v="616.05398000000002"/>
    <n v="2014"/>
    <s v="http://www.electionwatch.org.na/?q=node/488"/>
    <n v="16"/>
    <n v="18"/>
    <s v="NA2014"/>
    <n v="1241.194"/>
    <n v="1207.703"/>
    <n v="2198.4059999999999"/>
    <n v="10"/>
    <n v="4"/>
    <s v="CD"/>
    <x v="1"/>
    <n v="592.78855999999996"/>
    <n v="24.108562202348271"/>
    <n v="49.909485432714817"/>
    <n v="296.93084000000005"/>
    <n v="295.85771999999992"/>
    <n v="24.810646497123972"/>
    <n v="23.442779241895273"/>
    <n v="394.31600000000003"/>
    <n v="49.986056868095609"/>
    <n v="197.21298000000002"/>
    <n v="197.1030199999999"/>
    <n v="124.05953999999997"/>
    <n v="49.827365150636545"/>
    <n v="62.243939999999995"/>
    <n v="61.815599999999989"/>
    <n v="74.413019999999989"/>
    <n v="49.640640844841407"/>
    <n v="37.47392"/>
    <n v="36.939099999999996"/>
    <n v="21.999999999999996"/>
    <n v="21.999999999999996"/>
    <n v="2303.3150000000001"/>
    <n v="51.451581741967559"/>
    <n v="829.50500000000011"/>
    <n v="49.813442956944179"/>
    <n v="284.29700000000003"/>
    <n v="49.655386368797529"/>
    <n v="84.203526913238477"/>
    <n v="1241"/>
    <n v="232.80999999999995"/>
    <n v="51.451581741967559"/>
    <n v="182.49109999999999"/>
    <n v="49.813442956944179"/>
    <n v="62.558731834820186"/>
    <n v="49.655386368797529"/>
    <n v="910.64800000000002"/>
    <n v="39.5364"/>
    <n v="50.853897444457132"/>
    <n v="1392.6669999999999"/>
    <n v="60.4636"/>
    <n v="45.907313090638326"/>
    <n v="12.345591982705598"/>
    <n v="11.956153473574677"/>
    <n v="11.711782871369222"/>
    <n v="36.013528327649503"/>
    <n v="60.438194515296402"/>
    <n v="3.5482771570540699"/>
    <n v="78"/>
    <n v="78"/>
    <n v="78"/>
    <n v="78"/>
    <n v="78"/>
    <n v="2011"/>
    <n v="31.9"/>
    <n v="2004"/>
    <n v="741.35727599999996"/>
    <n v="28.7"/>
    <n v="2009"/>
    <n v="666.989148"/>
    <n v="28.7"/>
    <n v="2009"/>
    <n v="76.486595153808594"/>
    <s v="eng"/>
    <n v="1"/>
    <s v="-"/>
    <s v="-"/>
    <s v="-"/>
    <s v="-"/>
    <s v="-"/>
    <s v="-"/>
    <s v="-"/>
    <s v="-"/>
    <s v="-"/>
    <m/>
    <m/>
    <m/>
    <m/>
    <m/>
    <m/>
    <m/>
    <m/>
    <m/>
    <m/>
    <m/>
    <m/>
    <m/>
    <m/>
    <m/>
    <m/>
    <m/>
    <m/>
    <m/>
    <m/>
    <m/>
    <m/>
    <m/>
    <m/>
    <m/>
    <m/>
    <m/>
    <n v="1"/>
    <s v="Basic Income Grant + Universal Pension Scheme"/>
    <m/>
    <m/>
    <m/>
    <m/>
    <m/>
    <m/>
    <m/>
    <m/>
    <n v="2"/>
    <s v="civil + common"/>
    <s v="F"/>
    <n v="2"/>
    <n v="2"/>
    <s v="-"/>
    <s v="-"/>
    <s v="-"/>
    <s v="-"/>
    <s v="-"/>
    <s v="PF"/>
    <n v="31"/>
    <n v="9"/>
    <n v="12"/>
    <n v="10"/>
    <n v="6"/>
    <n v="0.38683396577835083"/>
    <n v="0.92943793535232544"/>
    <n v="0.19342300295829773"/>
    <n v="5.2132133394479752E-2"/>
    <n v="0.24934184551239014"/>
    <n v="0.29580089449882507"/>
    <n v="117"/>
    <n v="0.38799"/>
    <n v="0.33333000000000002"/>
    <n v="0.32283000000000001"/>
    <n v="0.27187"/>
    <n v="0.56930000000000003"/>
    <n v="117"/>
    <n v="3.24"/>
    <n v="3.93"/>
    <n v="1.67"/>
    <n v="5.0199999999999996"/>
    <s v="-"/>
    <s v="-"/>
    <s v="-"/>
    <s v="-"/>
    <s v="-"/>
    <s v="-"/>
    <s v="-"/>
    <s v="-"/>
    <s v="-"/>
    <s v="-"/>
    <s v="-"/>
    <s v="-"/>
    <s v="-"/>
    <s v="-"/>
    <s v="-"/>
    <s v="-"/>
    <s v="-"/>
    <s v="-"/>
    <s v="-"/>
    <m/>
    <m/>
    <m/>
    <m/>
    <m/>
    <s v="IBRD"/>
    <s v=""/>
    <n v="0"/>
    <n v="11"/>
    <n v="44"/>
    <s v="C"/>
    <n v="1"/>
    <n v="4"/>
    <n v="0"/>
    <n v="0"/>
  </r>
  <r>
    <n v="125"/>
    <m/>
    <s v="Nauru"/>
    <x v="6"/>
    <x v="1"/>
    <s v="NRU"/>
    <s v="NR"/>
    <s v="http://www.refworld.org/docid/53284a9913.html"/>
    <s v="Registrar of Births, Deaths &amp; Marriages"/>
    <n v="1"/>
    <n v="1919"/>
    <n v="2"/>
    <s v="21 d"/>
    <s v="free"/>
    <s v="-"/>
    <s v="-"/>
    <n v="0"/>
    <s v="-"/>
    <s v="-"/>
    <x v="2"/>
    <n v="0"/>
    <s v="-"/>
    <s v="-"/>
    <n v="0"/>
    <n v="0"/>
    <m/>
    <m/>
    <m/>
    <m/>
    <s v="-"/>
    <s v="-"/>
    <n v="0"/>
    <n v="0"/>
    <s v="-"/>
    <s v="-"/>
    <s v="-"/>
    <s v="-"/>
    <n v="0"/>
    <s v="-"/>
    <s v="-"/>
    <n v="0"/>
    <n v="0"/>
    <s v="http://www.gov.na/passports"/>
    <s v="Ministry of Home Affairs"/>
    <n v="1"/>
    <n v="2"/>
    <n v="2012"/>
    <n v="5"/>
    <s v="-"/>
    <n v="0"/>
    <s v="http://www.naurugov.nr/government/departments/department-of-justice-and-border-control/secretariat.aspx "/>
    <n v="1972"/>
    <n v="0"/>
    <n v="0"/>
    <s v="-"/>
    <s v="-"/>
    <n v="0"/>
    <s v="-"/>
    <n v="0"/>
    <s v="-"/>
    <n v="0"/>
    <n v="0"/>
    <n v="9.4879999999999995"/>
    <n v="52.571669477234394"/>
    <n v="4.5"/>
    <n v="4.9879999999999995"/>
    <n v="1.1800000000000002"/>
    <n v="55.084745762711862"/>
    <n v="0.53"/>
    <n v="0.65"/>
    <n v="0.98"/>
    <n v="57.142857142857153"/>
    <n v="0.42"/>
    <n v="0.56000000000000005"/>
    <n v="0.91999999999999993"/>
    <n v="55.434782608695656"/>
    <n v="0.41"/>
    <n v="0.51"/>
    <n v="6.4079999999999995"/>
    <n v="50.998751560549302"/>
    <n v="3.1399999999999997"/>
    <n v="3.2679999999999989"/>
    <n v="2014"/>
    <s v="http://www.indexmundi.com/nauru/age_structure.html"/>
    <n v="82.6"/>
    <n v="79.3"/>
    <n v="85.5"/>
    <s v="–"/>
    <s v="–"/>
    <n v="2007"/>
    <s v="DHS"/>
    <n v="5.7039999999999997"/>
    <n v="60.118043844856658"/>
    <n v="2.7053119730185502"/>
    <n v="2.9986880269814495"/>
    <n v="2013"/>
    <s v="http://www.idea.int/vt/countryview.cfm?id=167"/>
    <s v="-"/>
    <n v="20"/>
    <s v="NR2013"/>
    <n v="5.7039999999999997"/>
    <n v="5.71"/>
    <n v="9.4339999999999993"/>
    <n v="1"/>
    <n v="4"/>
    <s v="CD"/>
    <x v="1"/>
    <n v="1.2399199999999999"/>
    <n v="13.068296795952783"/>
    <n v="41.834309715025924"/>
    <n v="0.71620802698144959"/>
    <n v="0.51871197301854943"/>
    <n v="15.915733932921103"/>
    <n v="10.399197534453679"/>
    <n v="0.70399999999999974"/>
    <n v="38.254541621953045"/>
    <n v="0.43468802698144948"/>
    <n v="0.26931197301854937"/>
    <n v="0.33060000000000006"/>
    <n v="46.929824561403507"/>
    <n v="0.17181000000000007"/>
    <n v="0.15515000000000004"/>
    <n v="0.20532000000000009"/>
    <n v="45.903954802259875"/>
    <n v="0.10971000000000004"/>
    <n v="9.4250000000000014E-2"/>
    <n v="20.700000000000006"/>
    <n v="14.500000000000002"/>
    <n v="9.3219999999999992"/>
    <n v="52.360008581849392"/>
    <n v="3.0799999999999996"/>
    <n v="55.844155844155843"/>
    <n v="0.95629211850173645"/>
    <n v="53.448275862068954"/>
    <n v="64.363870414074242"/>
    <n v="6"/>
    <n v="2.2244072087534859"/>
    <n v="52.360008581849392"/>
    <n v="0.53592000000000006"/>
    <n v="55.844155844155843"/>
    <n v="0.20184000000000005"/>
    <n v="53.448275862068954"/>
    <n v="9.3219999999999992"/>
    <n v="100"/>
    <n v="52.360008581849392"/>
    <n v="9.3219999999999992"/>
    <n v="0"/>
    <n v="52.360008581849392"/>
    <n v="12.443681613387685"/>
    <n v="10.512765500965457"/>
    <n v="10.083673031538297"/>
    <n v="33.040120145891436"/>
    <n v="65.06"/>
    <n v="1.9"/>
    <n v="82.6"/>
    <n v="85.5"/>
    <n v="79.3"/>
    <n v="82.6"/>
    <n v="82.6"/>
    <n v="2007"/>
    <s v="-"/>
    <s v="-"/>
    <m/>
    <s v="-"/>
    <s v="-"/>
    <m/>
    <s v="-"/>
    <s v="-"/>
    <s v="-"/>
    <s v="eng"/>
    <n v="0"/>
    <s v="-"/>
    <s v="-"/>
    <s v="-"/>
    <s v="-"/>
    <s v="-"/>
    <s v="-"/>
    <s v="-"/>
    <s v="-"/>
    <s v="-"/>
    <m/>
    <m/>
    <m/>
    <m/>
    <m/>
    <m/>
    <m/>
    <m/>
    <m/>
    <m/>
    <m/>
    <m/>
    <m/>
    <m/>
    <m/>
    <m/>
    <m/>
    <m/>
    <m/>
    <m/>
    <m/>
    <m/>
    <m/>
    <m/>
    <m/>
    <m/>
    <m/>
    <m/>
    <m/>
    <m/>
    <m/>
    <m/>
    <m/>
    <m/>
    <m/>
    <m/>
    <m/>
    <n v="2"/>
    <s v="common"/>
    <s v="F"/>
    <n v="1"/>
    <n v="1"/>
    <s v="-"/>
    <s v="-"/>
    <s v="-"/>
    <s v="-"/>
    <s v="-"/>
    <s v="PF"/>
    <n v="31"/>
    <n v="5"/>
    <n v="12"/>
    <n v="14"/>
    <m/>
    <n v="1.0658317804336548"/>
    <n v="1.0969746112823486"/>
    <n v="-0.58807927370071411"/>
    <n v="-1.3881545066833496"/>
    <n v="0.58017295598983765"/>
    <n v="-0.57633638381958008"/>
    <n v="145"/>
    <n v="0.27755000000000002"/>
    <n v="7.843E-2"/>
    <n v="5.5109999999999999E-2"/>
    <n v="0.21584999999999999"/>
    <n v="0.56169999999999998"/>
    <s v="-"/>
    <s v="-"/>
    <s v="-"/>
    <s v="-"/>
    <s v="-"/>
    <s v="-"/>
    <s v="-"/>
    <s v="-"/>
    <s v="-"/>
    <s v="-"/>
    <s v="-"/>
    <s v="-"/>
    <s v="-"/>
    <s v="-"/>
    <s v="-"/>
    <s v="-"/>
    <s v="-"/>
    <s v="-"/>
    <s v="-"/>
    <s v="-"/>
    <s v="-"/>
    <s v="-"/>
    <s v="-"/>
    <s v="-"/>
    <m/>
    <m/>
    <m/>
    <m/>
    <m/>
    <s v=".."/>
    <m/>
    <n v="1"/>
    <n v="3"/>
    <n v="12"/>
    <s v="D"/>
    <m/>
    <n v="1"/>
    <n v="0"/>
    <n v="0"/>
  </r>
  <r>
    <n v="126"/>
    <m/>
    <s v="Nepal"/>
    <x v="0"/>
    <x v="0"/>
    <s v="NPL"/>
    <s v="NP"/>
    <s v="http://www.refworld.org/docid/4f4f3d4a2.html"/>
    <s v="Municipality or Village Development Committee"/>
    <n v="5"/>
    <n v="1964"/>
    <n v="2"/>
    <s v="35 d"/>
    <s v="8 NR"/>
    <s v="http://www.nidmc.gov.np"/>
    <s v="National ID Card Management Center"/>
    <n v="2"/>
    <n v="2011"/>
    <s v="National ID"/>
    <x v="1"/>
    <n v="1"/>
    <n v="16"/>
    <s v="free"/>
    <n v="0"/>
    <n v="0"/>
    <m/>
    <m/>
    <n v="1"/>
    <n v="1"/>
    <s v="http://www.nidmc.gov.np"/>
    <n v="2016"/>
    <n v="2"/>
    <n v="4"/>
    <s v="C, H, R, S, V"/>
    <n v="0"/>
    <n v="0"/>
    <n v="100"/>
    <n v="10"/>
    <s v="http://www.karobardaily.com/news/2013/12/bidding-process-of-electronic-id-to-be-revoked"/>
    <n v="1"/>
    <n v="0"/>
    <n v="0"/>
    <s v="http://dopmofa.gov.np/"/>
    <s v="Department of passport and visa and registration work"/>
    <n v="1"/>
    <n v="3"/>
    <n v="2010"/>
    <n v="5"/>
    <s v="-"/>
    <n v="0"/>
    <s v="http://www.ocr.gov.np/index.php/en/"/>
    <n v="2006"/>
    <n v="1"/>
    <n v="2"/>
    <s v="http://www.ocr.gov.np/images/pdf/the-companies-act%202006-english.pdf"/>
    <n v="2000"/>
    <n v="2"/>
    <s v="C, P"/>
    <n v="0"/>
    <s v="-"/>
    <n v="3"/>
    <n v="1"/>
    <n v="28513.7"/>
    <n v="51.544443548189115"/>
    <n v="13816.472"/>
    <n v="14697.227999999999"/>
    <n v="2807.13"/>
    <n v="48.536868616701042"/>
    <n v="1444.6369999999999"/>
    <n v="1362.4929999999999"/>
    <n v="3139.1689999999999"/>
    <n v="48.839071741597863"/>
    <n v="1606.028"/>
    <n v="1533.1410000000001"/>
    <n v="3367.4470000000001"/>
    <n v="48.687715055352015"/>
    <n v="1727.914"/>
    <n v="1639.5329999999999"/>
    <n v="19199.953999999998"/>
    <n v="52.927527847202136"/>
    <n v="9037.8929999999982"/>
    <n v="10162.061"/>
    <n v="2015"/>
    <s v="http://esa.un.org/unpd/wpp/Download/Standard/Population/"/>
    <n v="42.3"/>
    <n v="44"/>
    <n v="40.4"/>
    <n v="44.2"/>
    <n v="42.1"/>
    <n v="2011"/>
    <s v="DHS"/>
    <n v="12100"/>
    <n v="42.435741415530075"/>
    <n v="5863.1223306691172"/>
    <n v="6236.8776693308828"/>
    <n v="2013"/>
    <s v="http://www.biometricupdate.com/201307/nepalese-biometric-voter-registry-reaches-12-1-million"/>
    <n v="16"/>
    <n v="18"/>
    <s v="NP2013"/>
    <n v="12200"/>
    <n v="14978.157999999999"/>
    <n v="30430.267"/>
    <n v="1"/>
    <n v="4"/>
    <s v="CD"/>
    <x v="0"/>
    <n v="12473.985441999997"/>
    <n v="43.747340548578393"/>
    <n v="53.135727097709392"/>
    <n v="5850.7749093308812"/>
    <n v="6628.1428626691177"/>
    <n v="42.346374018858654"/>
    <n v="45.097911406621158"/>
    <n v="7099.9539999999979"/>
    <n v="55.28463044505807"/>
    <n v="3174.770669330881"/>
    <n v="3925.1833306691169"/>
    <n v="3754.3174319999998"/>
    <n v="50.366377863596711"/>
    <n v="1867.0075200000001"/>
    <n v="1890.9137040000003"/>
    <n v="1619.7140099999999"/>
    <n v="50.135136387441634"/>
    <n v="808.9967200000001"/>
    <n v="812.04582800000003"/>
    <n v="56.000000000000007"/>
    <n v="59.600000000000009"/>
    <n v="27797.456999999999"/>
    <n v="51.594187194893401"/>
    <n v="9633.2210000000086"/>
    <n v="48.744402313618636"/>
    <n v="2911.107"/>
    <n v="48.628349088738595"/>
    <n v="66.614417473985725"/>
    <n v="12100"/>
    <n v="6064.2359999999908"/>
    <n v="51.594187194893401"/>
    <n v="5558.3685170000044"/>
    <n v="48.744402313618636"/>
    <n v="1688.3251444580269"/>
    <n v="48.628349088738595"/>
    <n v="4913.3119999999999"/>
    <n v="17.6754"/>
    <n v="45.138004669762473"/>
    <n v="22884.145"/>
    <n v="82.324600000000004"/>
    <n v="49.937159548674423"/>
    <n v="10.526287033063319"/>
    <n v="11.893973345333404"/>
    <n v="12.234783786254743"/>
    <n v="34.6550441646515"/>
    <n v="60.2035178973386"/>
    <n v="5.1414379380099398"/>
    <n v="42.3"/>
    <n v="40.4"/>
    <n v="44"/>
    <n v="44.2"/>
    <n v="42.1"/>
    <n v="2011"/>
    <n v="24.82"/>
    <n v="2010"/>
    <n v="7560.4779039999994"/>
    <n v="25.2"/>
    <n v="2011"/>
    <n v="7682.421096"/>
    <n v="25.2"/>
    <n v="2011"/>
    <n v="57.369102478027301"/>
    <s v="nep"/>
    <n v="1"/>
    <n v="1"/>
    <s v="Yes"/>
    <s v="Completed"/>
    <s v="Plan and Committee"/>
    <s v="-"/>
    <s v="Through UNESCAP in 2-14"/>
    <n v="0.35"/>
    <s v="-"/>
    <n v="1"/>
    <s v="P144075 (P)"/>
    <s v="-"/>
    <s v="-"/>
    <s v="-"/>
    <s v="-"/>
    <s v="-"/>
    <m/>
    <m/>
    <m/>
    <m/>
    <m/>
    <m/>
    <m/>
    <m/>
    <m/>
    <m/>
    <m/>
    <m/>
    <m/>
    <m/>
    <m/>
    <m/>
    <m/>
    <m/>
    <m/>
    <n v="1"/>
    <s v="Voter Registration"/>
    <m/>
    <m/>
    <m/>
    <m/>
    <m/>
    <m/>
    <n v="1"/>
    <s v="Sajilo Banking Sewa (banking, transfers)"/>
    <m/>
    <m/>
    <n v="2"/>
    <s v="common"/>
    <s v="PF"/>
    <n v="4"/>
    <n v="4"/>
    <s v="-"/>
    <s v="-"/>
    <s v="-"/>
    <s v="-"/>
    <s v="-"/>
    <s v="PF"/>
    <n v="55"/>
    <n v="16"/>
    <n v="24"/>
    <n v="15"/>
    <n v="6"/>
    <n v="-0.56845968961715698"/>
    <n v="-1.1414562463760376"/>
    <n v="-0.92736291885375977"/>
    <n v="-0.86582499742507935"/>
    <n v="-0.75577330589294434"/>
    <n v="-0.67726731300354004"/>
    <n v="165"/>
    <n v="0.23441999999999999"/>
    <n v="0.29410999999999998"/>
    <n v="0.15748000000000001"/>
    <n v="0.16843"/>
    <n v="0.37740000000000001"/>
    <n v="131"/>
    <n v="2.37"/>
    <n v="2.7"/>
    <n v="0.92"/>
    <n v="4.6100000000000003"/>
    <s v="Right to Information Act"/>
    <s v="http://www.right2info.org/resources/publications/nepal-rti"/>
    <n v="2007"/>
    <n v="2007"/>
    <s v="Pub"/>
    <s v="National Information Commission"/>
    <s v="http://nic.gov.np/"/>
    <s v="-"/>
    <n v="22"/>
    <n v="104"/>
    <n v="2007"/>
    <s v="http://www.rti-rating.org/files/pdf/Nepal.pdf"/>
    <n v="4"/>
    <n v="27"/>
    <n v="18"/>
    <n v="15"/>
    <n v="24"/>
    <n v="6"/>
    <n v="10"/>
    <m/>
    <m/>
    <m/>
    <s v="prev"/>
    <m/>
    <s v="IDA"/>
    <m/>
    <n v="0"/>
    <n v="20"/>
    <n v="80"/>
    <s v="A"/>
    <m/>
    <n v="3"/>
    <n v="0"/>
    <n v="0"/>
  </r>
  <r>
    <n v="127"/>
    <m/>
    <s v="Netherlands"/>
    <x v="3"/>
    <x v="2"/>
    <s v="NLD"/>
    <s v="NL"/>
    <s v="http://www.government.nl/issues/family-law/birth-of-a-child"/>
    <s v="Municipalities &gt; CR (Gemeentelijke Basisadministratie) maintained by municipalities"/>
    <n v="5"/>
    <n v="1811"/>
    <n v="2"/>
    <s v="3 d"/>
    <s v="free"/>
    <s v="http://www.rijksoverheid.nl/onderwerpen/paspoort-en-identificatie/paspoort-en-identiteitskaart"/>
    <s v="Town hall in town of residence (EU part) / Consular section of Embassy abroad (only in countries in which the Dutch ID card is a valid travel document) / Dutch nationals, residing on the Dutch Caribbean islands, although all also EU citizens, can only apply for a specific ID card issued by the island's authorities. These cards are not valid for travel in the EU."/>
    <n v="5"/>
    <n v="1850"/>
    <s v="Identiteitskaart (Identity Card)"/>
    <x v="1"/>
    <n v="2"/>
    <n v="14"/>
    <s v="various"/>
    <n v="1"/>
    <n v="1"/>
    <s v="http://en.wikipedia.org/wiki/Dutch_identity_card"/>
    <n v="1"/>
    <n v="1"/>
    <m/>
    <s v="www.digid.nl"/>
    <n v="2001"/>
    <n v="3"/>
    <s v="4B"/>
    <s v="C, E, F, H, R, S, T"/>
    <n v="0"/>
    <n v="1"/>
    <s v="-"/>
    <n v="2"/>
    <s v="http://www.rijksoverheid.nl/onderwerpen/paspoort-en-identificatie/biometrie-gezichtsopname-en-vingerafdrukken"/>
    <s v="-"/>
    <n v="1"/>
    <n v="1"/>
    <s v="http://www.government.nl/issues/identification-documents/passports-identity-cards-and-dutch-nationality-certificates"/>
    <s v="Ministry of Foreign Affairs"/>
    <n v="2"/>
    <n v="3"/>
    <n v="2006"/>
    <n v="5"/>
    <n v="10000"/>
    <n v="1"/>
    <s v="http://www.kvk.nl"/>
    <n v="2014"/>
    <n v="1"/>
    <n v="1"/>
    <s v="http://stevenschuit.com/docs/corporate_law_and_practice_of_the_netherlands.pdf"/>
    <n v="2007"/>
    <n v="1"/>
    <s v="C"/>
    <n v="0"/>
    <s v="-"/>
    <n v="3"/>
    <n v="1"/>
    <n v="16900.725999999999"/>
    <n v="50.458589767090487"/>
    <n v="8372.8580000000002"/>
    <n v="8527.8680000000004"/>
    <n v="884.548"/>
    <n v="48.651627723990103"/>
    <n v="454.20100000000002"/>
    <n v="430.34699999999998"/>
    <n v="920.11199999999997"/>
    <n v="48.661032569948013"/>
    <n v="472.37599999999998"/>
    <n v="447.73599999999999"/>
    <n v="991.89200000000005"/>
    <n v="48.788880240993976"/>
    <n v="507.959"/>
    <n v="483.93299999999999"/>
    <n v="14104.173999999999"/>
    <n v="50.806605193611489"/>
    <n v="6938.3220000000001"/>
    <n v="7165.8520000000008"/>
    <n v="2015"/>
    <s v="http://esa.un.org/unpd/wpp/Download/Standard/Population/"/>
    <n v="100"/>
    <n v="100"/>
    <n v="100"/>
    <s v="–"/>
    <s v="–"/>
    <n v="2011"/>
    <s v="UNSD "/>
    <n v="16900.725999999999"/>
    <n v="100"/>
    <n v="8372.8580000000002"/>
    <n v="8527.8680000000004"/>
    <n v="2015"/>
    <s v="http://www.cbs.nl/en-GB/menu/themas/bevolking/cijfers/extra/bevolkingsteller.htm"/>
    <n v="14"/>
    <n v="18"/>
    <s v="NL2014"/>
    <n v="12815.495999999999"/>
    <n v="13156.909"/>
    <n v="16877.350999999999"/>
    <n v="20"/>
    <n v="5"/>
    <s v="CD"/>
    <x v="2"/>
    <n v="0"/>
    <n v="0"/>
    <n v="0"/>
    <n v="0"/>
    <n v="0"/>
    <n v="0"/>
    <n v="0"/>
    <n v="0"/>
    <n v="0"/>
    <n v="0"/>
    <n v="0"/>
    <n v="0"/>
    <n v="0"/>
    <n v="0"/>
    <n v="0"/>
    <n v="0"/>
    <n v="0"/>
    <n v="0"/>
    <n v="0"/>
    <n v="0"/>
    <n v="0"/>
    <n v="16804.223999999998"/>
    <n v="50.422280731320889"/>
    <n v="2871.2079480792368"/>
    <n v="48.780593693360778"/>
    <n v="887.94500000000005"/>
    <n v="48.680655745010178"/>
    <n v="99"/>
    <n v="13793.685891401554"/>
    <n v="139.33016051920774"/>
    <n v="50.422280731320889"/>
    <n v="0"/>
    <n v="48.780593693360778"/>
    <n v="0"/>
    <n v="48.680655745010178"/>
    <n v="14099.08"/>
    <n v="83.902000000000001"/>
    <n v="40.048769139546692"/>
    <n v="2705.1439999999998"/>
    <n v="16.097999999999999"/>
    <n v="111.78842974717797"/>
    <n v="5.3735109064245261"/>
    <n v="5.7120228990977875"/>
    <n v="6.0006940381436609"/>
    <n v="17.086227534691499"/>
    <n v="65.907232367312403"/>
    <n v="17.006540097996201"/>
    <n v="100"/>
    <n v="100"/>
    <n v="100"/>
    <n v="100"/>
    <n v="100"/>
    <n v="2011"/>
    <s v="-"/>
    <s v="-"/>
    <m/>
    <s v="-"/>
    <s v="-"/>
    <m/>
    <n v="9.1"/>
    <n v="2013"/>
    <s v="-"/>
    <s v="dut"/>
    <n v="0"/>
    <s v="-"/>
    <s v="-"/>
    <s v="-"/>
    <s v="-"/>
    <s v="-"/>
    <s v="-"/>
    <s v="-"/>
    <s v="-"/>
    <s v="-"/>
    <m/>
    <m/>
    <m/>
    <m/>
    <m/>
    <m/>
    <m/>
    <m/>
    <m/>
    <m/>
    <m/>
    <m/>
    <m/>
    <m/>
    <m/>
    <m/>
    <m/>
    <m/>
    <m/>
    <m/>
    <m/>
    <m/>
    <m/>
    <n v="2"/>
    <m/>
    <m/>
    <m/>
    <m/>
    <m/>
    <m/>
    <m/>
    <m/>
    <m/>
    <m/>
    <m/>
    <m/>
    <m/>
    <n v="1"/>
    <s v="civil"/>
    <s v="F"/>
    <n v="1"/>
    <n v="1"/>
    <s v="-"/>
    <s v="-"/>
    <s v="-"/>
    <s v="-"/>
    <s v="-"/>
    <s v="F"/>
    <n v="10"/>
    <n v="1"/>
    <n v="5"/>
    <n v="4"/>
    <n v="10"/>
    <n v="1.5838433504104614"/>
    <n v="1.1170803308486938"/>
    <n v="1.7673083543777466"/>
    <n v="1.7661480903625488"/>
    <n v="1.8088915348052979"/>
    <n v="2.0462131500244141"/>
    <n v="5"/>
    <n v="0.88966000000000001"/>
    <n v="1"/>
    <n v="0.92913000000000001"/>
    <n v="0.81750999999999996"/>
    <n v="0.9224"/>
    <n v="7"/>
    <n v="8.3800000000000008"/>
    <n v="8.93"/>
    <n v="7.43"/>
    <n v="9.1999999999999993"/>
    <s v="Personal Data Protection Act"/>
    <s v="http://www.legislationline.org/documents/action/popup/id/5342"/>
    <n v="1988"/>
    <n v="2000"/>
    <s v="Both"/>
    <s v="Data Protection Authority"/>
    <s v="https://cbpweb.nl/en"/>
    <s v="ICDPPC; EDPA; A29WP; GPEN"/>
    <n v="54"/>
    <n v="83"/>
    <n v="1978"/>
    <s v="http://www.legislationline.org/documents/action/popup/id/6395"/>
    <n v="4"/>
    <n v="21"/>
    <n v="22"/>
    <n v="16"/>
    <n v="14"/>
    <n v="4"/>
    <n v="2"/>
    <s v="EU"/>
    <s v="OECD"/>
    <m/>
    <m/>
    <m/>
    <s v=".."/>
    <s v="EMU"/>
    <n v="0"/>
    <n v="21"/>
    <n v="84"/>
    <s v="A"/>
    <m/>
    <n v="3"/>
    <n v="0"/>
    <n v="0"/>
  </r>
  <r>
    <n v="128"/>
    <m/>
    <s v="New Zealand"/>
    <x v="3"/>
    <x v="2"/>
    <s v="NZL"/>
    <s v="NZ"/>
    <s v="http://www.dia.govt.nz/Births-deaths-and-marriages"/>
    <s v="Births, Deaths and Marriages, Dept of Internal Affairs"/>
    <n v="2"/>
    <n v="1848"/>
    <n v="2"/>
    <s v="2 m"/>
    <s v="free"/>
    <s v="http://www.hanz18plus.org.nz"/>
    <s v="Hospitality Association of New Zealand"/>
    <n v="5"/>
    <n v="1902"/>
    <s v="18+ Card"/>
    <x v="2"/>
    <n v="0"/>
    <s v="-"/>
    <n v="35"/>
    <n v="0"/>
    <n v="0"/>
    <s v="http://en.wikipedia.org/wiki/NHI_Number"/>
    <n v="1"/>
    <n v="1"/>
    <m/>
    <s v="-"/>
    <s v="-"/>
    <n v="0"/>
    <n v="0"/>
    <s v="-"/>
    <s v="-"/>
    <s v="-"/>
    <s v="-"/>
    <n v="0"/>
    <s v="-"/>
    <s v="-"/>
    <n v="0"/>
    <n v="0"/>
    <s v="http://www.passports.govt.nz/New-adult-passport---form"/>
    <s v="Department of Internal Affairs"/>
    <n v="2"/>
    <n v="2"/>
    <n v="2005"/>
    <n v="5"/>
    <n v="2600"/>
    <n v="0"/>
    <s v="http://www.companies.govt.nz"/>
    <n v="2014"/>
    <n v="1"/>
    <n v="2"/>
    <s v="http://www.business.govt.nz/companies/learn-about/nzbn"/>
    <n v="2013"/>
    <n v="2"/>
    <s v="C, F, P, R"/>
    <n v="1"/>
    <s v="http://www.business.govt.nz/companies/"/>
    <n v="3"/>
    <n v="1"/>
    <n v="4528.5259999999998"/>
    <n v="51.129285776431445"/>
    <n v="2213.123"/>
    <n v="2315.4029999999998"/>
    <n v="308.78500000000003"/>
    <n v="48.708648412325722"/>
    <n v="158.38"/>
    <n v="150.405"/>
    <n v="310.70699999999999"/>
    <n v="48.747212003591812"/>
    <n v="159.24600000000001"/>
    <n v="151.46100000000001"/>
    <n v="295.58300000000003"/>
    <n v="48.778853993632914"/>
    <n v="151.40100000000001"/>
    <n v="144.18199999999999"/>
    <n v="3613.451"/>
    <n v="51.73323230341299"/>
    <n v="1744.0959999999998"/>
    <n v="1869.3549999999996"/>
    <n v="2015"/>
    <s v="http://esa.un.org/unpd/wpp/Download/Standard/Population/"/>
    <n v="100"/>
    <n v="100"/>
    <n v="100"/>
    <s v="–"/>
    <s v="–"/>
    <n v="2012"/>
    <s v="UNSD "/>
    <n v="4442.1000000000004"/>
    <n v="98.091520287175129"/>
    <n v="2172.1999999999998"/>
    <n v="2269.9"/>
    <n v="2014"/>
    <s v="http://www.stats.govt.nz/browse_for_stats/population/census_counts/2013CensusUsuallyResidentPopulationCounts_HOTP2013Census.aspx"/>
    <s v="-"/>
    <n v="18"/>
    <s v="NZ2014"/>
    <n v="3140.4169999999999"/>
    <n v="3340.1729999999998"/>
    <n v="4401.9160000000002"/>
    <n v="20"/>
    <n v="5"/>
    <s v="CD"/>
    <x v="2"/>
    <n v="86.425999999999476"/>
    <n v="1.9084797128248681"/>
    <n v="52.649665609885886"/>
    <n v="40.923000000000229"/>
    <n v="45.502999999999702"/>
    <n v="1.8491064436997051"/>
    <n v="1.9652302428561985"/>
    <n v="86.425999999999476"/>
    <n v="52.649665609885886"/>
    <n v="40.923000000000229"/>
    <n v="45.502999999999702"/>
    <n v="0"/>
    <n v="0"/>
    <n v="0"/>
    <n v="0"/>
    <n v="0"/>
    <n v="0"/>
    <n v="0"/>
    <n v="0"/>
    <n v="0"/>
    <n v="0"/>
    <n v="4470.8"/>
    <n v="50.88576988458442"/>
    <n v="903.90162194577022"/>
    <n v="48.671378291948102"/>
    <n v="318.04500000000002"/>
    <n v="48.646493137675201"/>
    <n v="94.882347678267863"/>
    <n v="4242"/>
    <n v="182.54145765831819"/>
    <n v="50.88576988458442"/>
    <n v="0"/>
    <n v="48.671378291948102"/>
    <n v="0"/>
    <n v="48.646493137675201"/>
    <n v="3859.7310000000002"/>
    <n v="86.331999999999994"/>
    <n v="51.184914181843247"/>
    <n v="611.06899999999996"/>
    <n v="13.668000000000006"/>
    <n v="76.331641762223256"/>
    <n v="6.9780698774033896"/>
    <n v="6.7761726877717923"/>
    <n v="6.4636602710062618"/>
    <n v="20.2178943801058"/>
    <n v="65.829678937697807"/>
    <n v="13.9524266821964"/>
    <n v="100"/>
    <n v="100"/>
    <n v="100"/>
    <n v="100"/>
    <n v="100"/>
    <n v="2012"/>
    <s v="-"/>
    <s v="-"/>
    <m/>
    <s v="-"/>
    <s v="-"/>
    <m/>
    <s v="-"/>
    <s v="-"/>
    <s v="-"/>
    <s v="eng"/>
    <n v="0"/>
    <s v="-"/>
    <s v="-"/>
    <s v="-"/>
    <s v="-"/>
    <s v="-"/>
    <s v="-"/>
    <s v="-"/>
    <s v="-"/>
    <s v="-"/>
    <m/>
    <m/>
    <m/>
    <m/>
    <m/>
    <m/>
    <m/>
    <m/>
    <m/>
    <m/>
    <m/>
    <m/>
    <m/>
    <m/>
    <m/>
    <m/>
    <m/>
    <m/>
    <m/>
    <m/>
    <m/>
    <m/>
    <m/>
    <n v="2"/>
    <m/>
    <m/>
    <m/>
    <m/>
    <m/>
    <m/>
    <m/>
    <m/>
    <m/>
    <m/>
    <m/>
    <m/>
    <m/>
    <n v="2"/>
    <s v="common"/>
    <s v="F"/>
    <n v="1"/>
    <n v="1"/>
    <s v="-"/>
    <s v="-"/>
    <s v="-"/>
    <s v="-"/>
    <s v="-"/>
    <s v="F"/>
    <n v="18"/>
    <n v="3"/>
    <n v="8"/>
    <n v="7"/>
    <n v="10"/>
    <n v="1.6220579147338867"/>
    <n v="1.4497004747390747"/>
    <n v="1.7459114789962769"/>
    <n v="1.8140907287597656"/>
    <n v="1.8600655794143677"/>
    <n v="2.3476817607879639"/>
    <n v="9"/>
    <n v="0.86436000000000002"/>
    <n v="0.78430999999999995"/>
    <n v="0.84250999999999998"/>
    <n v="0.75056999999999996"/>
    <n v="1"/>
    <n v="19"/>
    <n v="7.82"/>
    <n v="7.79"/>
    <n v="7.1"/>
    <n v="9.2799999999999994"/>
    <s v="Privacy Act 1993"/>
    <s v="http://www.legislation.govt.nz/act/public/1993/0028/latest/DLM296639.html"/>
    <n v="1993"/>
    <n v="2010"/>
    <s v="Both"/>
    <s v="Privacy Commissioner"/>
    <s v="https://www.privacy.org.nz/"/>
    <s v="ICDPPC; GPEN; APPA; APEC CPEA"/>
    <n v="34"/>
    <n v="94"/>
    <n v="1982"/>
    <s v="http://www.rti-rating.org/files/pdf/New%20Zealand.pdf"/>
    <n v="4"/>
    <n v="16"/>
    <n v="22"/>
    <n v="18"/>
    <n v="23"/>
    <n v="6"/>
    <n v="5"/>
    <s v="PAC"/>
    <s v="OECD"/>
    <s v="APEC"/>
    <m/>
    <m/>
    <s v=".."/>
    <s v=""/>
    <n v="0"/>
    <n v="14"/>
    <n v="56.000000000000007"/>
    <s v="B"/>
    <m/>
    <n v="1"/>
    <n v="0"/>
    <n v="0"/>
  </r>
  <r>
    <n v="129"/>
    <m/>
    <s v="Nicaragua"/>
    <x v="5"/>
    <x v="3"/>
    <s v="NIC"/>
    <s v="NI"/>
    <s v="http://www.managua.gob.ni/index.php?s=3050"/>
    <s v="Municipalities"/>
    <n v="5"/>
    <n v="1879"/>
    <n v="2"/>
    <s v="1 y"/>
    <s v="free"/>
    <s v="http://www.cse.gob.ni"/>
    <s v="Consejo Supremo Electoral (CSE)"/>
    <n v="4"/>
    <n v="2006"/>
    <s v="Cédula de Identidad"/>
    <x v="1"/>
    <n v="2"/>
    <n v="16"/>
    <s v="free"/>
    <n v="0"/>
    <n v="0"/>
    <m/>
    <m/>
    <m/>
    <m/>
    <s v="http://www.cse.gob.ni"/>
    <n v="2008"/>
    <n v="2"/>
    <n v="2"/>
    <s v="C, S, V"/>
    <n v="0"/>
    <n v="0"/>
    <s v="-"/>
    <n v="4"/>
    <s v="https://www.gi-de.com/en/products_and_solutions/products/national_id_cards/National-ID-cards-for-secure-identification-6530.jsp"/>
    <s v="-"/>
    <n v="0"/>
    <n v="0"/>
    <s v="http://www.migob.gob.ni/migracion/requisitos-para-tramite-de-pasaportes/"/>
    <s v="Office of Migration and Immigration"/>
    <n v="1"/>
    <n v="2"/>
    <n v="2011"/>
    <n v="5"/>
    <s v="-"/>
    <n v="0"/>
    <s v="http://www.mific.gob.ni/PORTAL/DIRECTORIOEMPRESARIAL/tabid/590/language/es-NI/Default.aspx"/>
    <n v="2012"/>
    <n v="1"/>
    <n v="2"/>
    <s v="http://www.dgi.gob.ni/interna.php?sec=32"/>
    <n v="1981"/>
    <n v="1"/>
    <s v="C"/>
    <n v="0"/>
    <s v="-"/>
    <n v="2"/>
    <n v="1"/>
    <n v="6082.0320000000002"/>
    <n v="50.707707555632723"/>
    <n v="2997.973"/>
    <n v="3084.0590000000002"/>
    <n v="605.548"/>
    <n v="48.896536690733015"/>
    <n v="309.45600000000002"/>
    <n v="296.09199999999998"/>
    <n v="617.26300000000003"/>
    <n v="48.622386243789109"/>
    <n v="317.13499999999999"/>
    <n v="300.12799999999999"/>
    <n v="603.88400000000001"/>
    <n v="48.424863053169155"/>
    <n v="311.45400000000001"/>
    <n v="292.43"/>
    <n v="4255.3370000000004"/>
    <n v="51.59189507200017"/>
    <n v="2059.9279999999994"/>
    <n v="2195.4090000000001"/>
    <n v="2015"/>
    <s v="http://esa.un.org/unpd/wpp/Download/Standard/Population/"/>
    <n v="84.7"/>
    <n v="84.7"/>
    <n v="84.7"/>
    <s v="–"/>
    <s v="–"/>
    <s v="2011/2012"/>
    <s v="ENDESA"/>
    <n v="3303.8310000000001"/>
    <n v="54.321170950761186"/>
    <n v="1628.5340383876639"/>
    <n v="1675.2969616123362"/>
    <n v="2011"/>
    <s v="http://www.idea.int/vt/countryview.cfm?id=169"/>
    <n v="16"/>
    <n v="16"/>
    <s v="NI2011"/>
    <n v="3303.8310000000001"/>
    <n v="3637.2979999999998"/>
    <n v="5666.3010000000004"/>
    <n v="1"/>
    <n v="4"/>
    <s v="CD"/>
    <x v="1"/>
    <n v="1230.9903350000004"/>
    <n v="20.239787212563176"/>
    <n v="53.296558854596022"/>
    <n v="574.91484661233551"/>
    <n v="656.075488387664"/>
    <n v="19.176785335035891"/>
    <n v="21.273117290806173"/>
    <n v="951.50600000000031"/>
    <n v="54.661981993562179"/>
    <n v="431.39396161233549"/>
    <n v="520.11203838766392"/>
    <n v="186.83549100000005"/>
    <n v="48.524706689694199"/>
    <n v="96.174117000000024"/>
    <n v="90.661374000000023"/>
    <n v="92.648844000000011"/>
    <n v="48.896536690733022"/>
    <n v="47.346768000000012"/>
    <n v="45.302076000000007"/>
    <n v="15.300000000000002"/>
    <n v="15.300000000000002"/>
    <n v="6080.4780000000001"/>
    <n v="50.546881347157246"/>
    <n v="1996.3460000000032"/>
    <n v="48.998670571133459"/>
    <n v="685.82500000000005"/>
    <n v="48.915958643961091"/>
    <n v="80.873977628539009"/>
    <n v="3303"/>
    <n v="781.13199999999665"/>
    <n v="50.546881347157246"/>
    <n v="305.44093800000053"/>
    <n v="48.998670571133459"/>
    <n v="104.32008983289057"/>
    <n v="48.915958643961091"/>
    <n v="3536.7220000000002"/>
    <n v="58.165199999999999"/>
    <n v="47.795670680364474"/>
    <n v="2543.7559999999999"/>
    <n v="41.834800000000001"/>
    <n v="47.475937157494663"/>
    <n v="11.213438359657788"/>
    <n v="10.945548378736222"/>
    <n v="10.673070215023142"/>
    <n v="32.832056953417201"/>
    <n v="62.5286202828133"/>
    <n v="4.6393227637695604"/>
    <n v="84.7"/>
    <n v="84.7"/>
    <n v="84.7"/>
    <n v="84.7"/>
    <n v="84.7"/>
    <n v="2012"/>
    <n v="11.9"/>
    <n v="2005"/>
    <n v="698.51322100000004"/>
    <n v="42.5"/>
    <n v="2009"/>
    <n v="2494.690075"/>
    <n v="42.5"/>
    <n v="2009"/>
    <n v="78.002983093261705"/>
    <s v="spa"/>
    <n v="3"/>
    <s v="-"/>
    <s v="-"/>
    <s v="-"/>
    <s v="-"/>
    <s v="-"/>
    <s v="-"/>
    <s v="-"/>
    <s v="-"/>
    <n v="1"/>
    <s v="-"/>
    <s v="-"/>
    <s v="-"/>
    <s v="-"/>
    <s v="P111795 (A)"/>
    <s v="-"/>
    <n v="5142098"/>
    <n v="2005"/>
    <n v="55.9"/>
    <n v="44.1"/>
    <n v="67.8"/>
    <s v="3.2 %"/>
    <n v="78"/>
    <s v="esp"/>
    <n v="31.7"/>
    <s v="?"/>
    <n v="2"/>
    <s v="1 y"/>
    <s v="-"/>
    <s v="Cédula de Identidad"/>
    <s v="free"/>
    <s v="-"/>
    <s v="http://idbdocs.iadb.org/wsdocs/getdocument.aspx?docnum=1959542"/>
    <n v="1"/>
    <s v="National ID"/>
    <m/>
    <m/>
    <m/>
    <m/>
    <m/>
    <m/>
    <m/>
    <m/>
    <m/>
    <m/>
    <m/>
    <m/>
    <n v="1"/>
    <s v="civil"/>
    <s v="PF"/>
    <n v="4"/>
    <n v="3"/>
    <s v="-"/>
    <s v="-"/>
    <s v="-"/>
    <s v="-"/>
    <s v="-"/>
    <s v="PF"/>
    <n v="52"/>
    <n v="14"/>
    <n v="21"/>
    <n v="17"/>
    <n v="9"/>
    <n v="-0.44775918126106262"/>
    <n v="-0.24700011312961578"/>
    <n v="-0.81650745868682861"/>
    <n v="-0.30476102232933044"/>
    <n v="-0.64647763967514038"/>
    <n v="-0.73106354475021362"/>
    <n v="147"/>
    <n v="0.27584999999999998"/>
    <n v="9.8030000000000006E-2"/>
    <n v="9.4479999999999995E-2"/>
    <n v="0.16924"/>
    <n v="0.56389999999999996"/>
    <n v="120"/>
    <n v="2.96"/>
    <n v="3.98"/>
    <n v="0.68"/>
    <n v="5.49"/>
    <s v="Law on Protection of Personal Data"/>
    <s v="http://legislacion.asamblea.gob.ni/normaweb.nsf/9e314815a08d4a6206257265005d21f9/e5d37e9b4827fc06062579ed0076ce1d?OpenDocument"/>
    <n v="2012"/>
    <s v="-"/>
    <s v="-"/>
    <s v="Directorate for the Protection of Personal Information RedIPD"/>
    <s v="http://www.inide.gob.ni"/>
    <s v="-"/>
    <n v="15"/>
    <n v="111"/>
    <n v="2007"/>
    <s v="http://www.rti-rating.org/files/pdf/Nicaragua.pdf"/>
    <n v="4"/>
    <n v="30"/>
    <n v="18"/>
    <n v="27"/>
    <n v="14"/>
    <n v="3"/>
    <n v="15"/>
    <m/>
    <m/>
    <m/>
    <m/>
    <m/>
    <s v="IDA"/>
    <s v="HIPC"/>
    <n v="0"/>
    <n v="17"/>
    <n v="68"/>
    <s v="B"/>
    <m/>
    <n v="4"/>
    <n v="0"/>
    <n v="1"/>
  </r>
  <r>
    <n v="130"/>
    <m/>
    <s v="Niger"/>
    <x v="4"/>
    <x v="0"/>
    <s v="NER"/>
    <s v="NE"/>
    <s v="http://www.planusa.org/docs/reports/2014-Birth-Registration-in-Emergencies.pdf"/>
    <s v="Department of Civil Status and Refugees (Direction de l’État civil et des Réfugiés), Ministry of Interior and Decentralisation"/>
    <n v="2"/>
    <n v="1960"/>
    <n v="2"/>
    <s v="45 d"/>
    <s v="free"/>
    <s v="http://www.refworld.org/docid/3ae6ad5624.html"/>
    <s v="Ministry of Interior"/>
    <n v="2"/>
    <n v="1999"/>
    <s v="National ID Card"/>
    <x v="1"/>
    <n v="2"/>
    <n v="18"/>
    <s v="free"/>
    <n v="0"/>
    <n v="0"/>
    <m/>
    <m/>
    <m/>
    <m/>
    <s v="-"/>
    <s v="-"/>
    <n v="0"/>
    <n v="1"/>
    <s v="-"/>
    <s v="-"/>
    <s v="-"/>
    <s v="-"/>
    <n v="0"/>
    <s v="-"/>
    <s v="-"/>
    <n v="0"/>
    <n v="0"/>
    <s v="http://www.gouv.ne/"/>
    <s v="Directorate of Territorial Supervision"/>
    <n v="1"/>
    <n v="2"/>
    <n v="2006"/>
    <n v="3"/>
    <s v="-"/>
    <n v="0"/>
    <s v="http://www.stat-niger.org/statistique/pages/repentreprise/entreprise_list.php?pagesize=500"/>
    <n v="2008"/>
    <n v="1"/>
    <n v="1"/>
    <s v="http://www.doingbusiness.org/data/exploreeconomies/niger/starting-a-business"/>
    <n v="2008"/>
    <n v="0"/>
    <s v="-"/>
    <n v="0"/>
    <s v="-"/>
    <n v="1"/>
    <n v="1"/>
    <n v="19899.12"/>
    <n v="49.600007437514826"/>
    <n v="10029.155000000001"/>
    <n v="9869.9650000000001"/>
    <n v="4144.7550000000001"/>
    <n v="49.007818314954683"/>
    <n v="2113.5010000000002"/>
    <n v="2031.2539999999999"/>
    <n v="3280.3890000000001"/>
    <n v="48.876794794763669"/>
    <n v="1677.04"/>
    <n v="1603.3489999999999"/>
    <n v="2617.0619999999999"/>
    <n v="48.885582382075782"/>
    <n v="1337.6959999999999"/>
    <n v="1279.366"/>
    <n v="9856.9139999999989"/>
    <n v="50.279387646072607"/>
    <n v="4900.9180000000006"/>
    <n v="4955.9960000000001"/>
    <n v="2015"/>
    <s v="http://esa.un.org/unpd/wpp/Download/Standard/Population/"/>
    <n v="63.9"/>
    <n v="65.400000000000006"/>
    <n v="62.3"/>
    <n v="91.7"/>
    <n v="59.7"/>
    <n v="2012"/>
    <s v="DHS"/>
    <n v="6740.4930000000004"/>
    <n v="33.873322036351361"/>
    <n v="3397.2079706748341"/>
    <n v="3343.2850293251663"/>
    <n v="2011"/>
    <s v="http://www.idea.int/vt/countryview.cfm?id=162"/>
    <n v="18"/>
    <n v="18"/>
    <s v="NE2011"/>
    <n v="6740.4930000000004"/>
    <n v="7270.2709999999997"/>
    <n v="16468.885999999999"/>
    <n v="1"/>
    <n v="4"/>
    <s v="CD"/>
    <x v="0"/>
    <n v="6741.6573659999985"/>
    <n v="33.879173380531398"/>
    <n v="51.400970051536056"/>
    <n v="3278.0800313251661"/>
    <n v="3465.2772836748336"/>
    <n v="32.685505721321142"/>
    <n v="35.109316838254578"/>
    <n v="3116.4209999999985"/>
    <n v="51.748816051324084"/>
    <n v="1503.7100293251665"/>
    <n v="1612.7109706748338"/>
    <n v="2128.9798110000002"/>
    <n v="51.04715175713801"/>
    <n v="1043.0986559999999"/>
    <n v="1086.783555"/>
    <n v="1496.2565549999999"/>
    <n v="51.179909985423592"/>
    <n v="731.27134599999999"/>
    <n v="765.78275799999994"/>
    <n v="34.599999999999994"/>
    <n v="37.700000000000003"/>
    <n v="17831.27"/>
    <n v="49.60748729619371"/>
    <n v="8932.3010000000013"/>
    <n v="48.856627200538824"/>
    <n v="3695.3679999999999"/>
    <n v="48.934836247232539"/>
    <n v="75.739110901498819"/>
    <n v="6740"/>
    <n v="2158.9689999999996"/>
    <n v="49.60748729619371"/>
    <n v="3224.5606610000004"/>
    <n v="48.856627200538824"/>
    <n v="1332.2785177131766"/>
    <n v="48.934836247232539"/>
    <n v="3276.1750000000002"/>
    <n v="18.373200000000001"/>
    <n v="53.739406472486969"/>
    <n v="14555.094999999999"/>
    <n v="81.626800000000003"/>
    <n v="43.864303187303136"/>
    <n v="20.696911715945028"/>
    <n v="16.190182550781373"/>
    <n v="13.206370752871194"/>
    <n v="50.093465019597602"/>
    <n v="47.289458350414698"/>
    <n v="2.6170766299876602"/>
    <n v="63.9"/>
    <n v="62.3"/>
    <n v="65.400000000000006"/>
    <n v="91.7"/>
    <n v="59.7"/>
    <n v="2012"/>
    <n v="43.62"/>
    <n v="2008"/>
    <n v="7006.081384000001"/>
    <n v="59.5"/>
    <n v="2007"/>
    <n v="9561.0514299999995"/>
    <n v="63"/>
    <n v="1993"/>
    <n v="15.4566974639893"/>
    <s v="fre"/>
    <n v="1"/>
    <n v="3"/>
    <s v="-"/>
    <s v="-"/>
    <s v="-"/>
    <s v="-"/>
    <s v="CR Minister"/>
    <n v="0.32"/>
    <s v="-"/>
    <s v="-"/>
    <m/>
    <m/>
    <m/>
    <m/>
    <m/>
    <m/>
    <m/>
    <m/>
    <m/>
    <m/>
    <m/>
    <m/>
    <m/>
    <m/>
    <m/>
    <m/>
    <m/>
    <m/>
    <m/>
    <m/>
    <m/>
    <m/>
    <m/>
    <m/>
    <m/>
    <m/>
    <m/>
    <m/>
    <m/>
    <m/>
    <m/>
    <m/>
    <m/>
    <m/>
    <m/>
    <m/>
    <m/>
    <n v="3"/>
    <s v="civil + customary + religious"/>
    <s v="PF"/>
    <n v="3"/>
    <n v="4"/>
    <s v="-"/>
    <s v="-"/>
    <s v="-"/>
    <s v="-"/>
    <s v="-"/>
    <s v="PF"/>
    <n v="52"/>
    <n v="15"/>
    <n v="20"/>
    <n v="17"/>
    <n v="8"/>
    <n v="-0.35532829165458679"/>
    <n v="-1.2963707447052002"/>
    <n v="-0.7070775032043457"/>
    <n v="-0.60919606685638428"/>
    <n v="-0.7452852725982666"/>
    <n v="-0.57010990381240845"/>
    <n v="191"/>
    <n v="9.4560000000000005E-2"/>
    <n v="0.23529"/>
    <n v="0.12598000000000001"/>
    <n v="3.8510000000000003E-2"/>
    <n v="0.1192"/>
    <n v="165"/>
    <n v="1.03"/>
    <n v="1.95"/>
    <n v="0.09"/>
    <n v="1.1000000000000001"/>
    <s v="Law to establish a DPA (to complement ECOWAS treaty on data protection)"/>
    <s v="http://www.right2info.org/resources/publications/laws-1/niger-law-on-access-to-public-documents"/>
    <n v="2011"/>
    <n v="2013"/>
    <s v="Both"/>
    <s v="-"/>
    <s v="-"/>
    <s v="-"/>
    <n v="66"/>
    <n v="74"/>
    <n v="2011"/>
    <s v="http://www.rti-rating.org/files/pdf/Niger.pdf"/>
    <n v="0"/>
    <n v="19"/>
    <n v="13"/>
    <n v="13"/>
    <n v="17"/>
    <n v="6"/>
    <n v="6"/>
    <m/>
    <m/>
    <m/>
    <m/>
    <m/>
    <s v="IDA"/>
    <s v="HIPC"/>
    <n v="0"/>
    <n v="11"/>
    <n v="44"/>
    <s v="C"/>
    <n v="1"/>
    <n v="4"/>
    <n v="0"/>
    <n v="0"/>
  </r>
  <r>
    <n v="131"/>
    <m/>
    <s v="Nigeria"/>
    <x v="4"/>
    <x v="3"/>
    <s v="NGA"/>
    <s v="NG"/>
    <s v="http://www.population.gov.ng"/>
    <s v="National Popularion Commission (NPC)"/>
    <n v="6"/>
    <n v="1867"/>
    <n v="2"/>
    <s v="60 d"/>
    <s v="free"/>
    <s v="https://www.nimc.gov.ng/"/>
    <s v="NIMC / National Identity Management Commission"/>
    <n v="6"/>
    <n v="2007"/>
    <s v="National ID Card"/>
    <x v="1"/>
    <n v="2"/>
    <n v="16"/>
    <s v="free"/>
    <n v="1"/>
    <n v="1"/>
    <m/>
    <n v="1"/>
    <n v="1"/>
    <m/>
    <s v="https://www.nimc.gov.ng/"/>
    <n v="2014"/>
    <n v="3"/>
    <s v="4B"/>
    <s v="C, H, F, R, S"/>
    <n v="1"/>
    <n v="1"/>
    <n v="100000"/>
    <n v="9"/>
    <s v="http://newsroom.mastercard.com/press-releases/mastercard-to-power-nigerian-identity-card-program/"/>
    <s v="-"/>
    <n v="1"/>
    <n v="1"/>
    <s v="https://portal.immigration.gov.ng/pages/passportguidelines"/>
    <s v="Nigeria Immigration Service"/>
    <n v="2"/>
    <n v="2"/>
    <n v="2007"/>
    <n v="5"/>
    <n v="5000"/>
    <n v="1"/>
    <s v="http://www.cac.gov.ng"/>
    <n v="1990"/>
    <n v="1"/>
    <n v="2"/>
    <s v="http://www.doingbusiness.org/data/exploreeconomies/lagos/starting-a-business"/>
    <n v="2011"/>
    <n v="1"/>
    <s v="C"/>
    <n v="0"/>
    <s v="-"/>
    <n v="1"/>
    <n v="1"/>
    <n v="182201.962"/>
    <n v="49.073572544734731"/>
    <n v="92788.95"/>
    <n v="89413.012000000002"/>
    <n v="31109.162"/>
    <n v="48.776517991709326"/>
    <n v="15935.196"/>
    <n v="15173.966"/>
    <n v="26487.539000000001"/>
    <n v="48.791516644864593"/>
    <n v="13563.867"/>
    <n v="12923.672"/>
    <n v="22552.423999999999"/>
    <n v="48.720541082413135"/>
    <n v="11564.761"/>
    <n v="10987.663"/>
    <n v="102052.83699999998"/>
    <n v="49.315347303867711"/>
    <n v="51725.126000000004"/>
    <n v="50327.711000000003"/>
    <n v="2015"/>
    <s v="http://esa.un.org/unpd/wpp/Download/Standard/Population/"/>
    <n v="29.8"/>
    <n v="29.9"/>
    <n v="29.8"/>
    <n v="49.8"/>
    <n v="18.600000000000001"/>
    <n v="2013"/>
    <s v="DHS"/>
    <n v="67422.005000000005"/>
    <n v="37.00399505028382"/>
    <n v="34335.618465210333"/>
    <n v="33086.386534789679"/>
    <n v="2015"/>
    <s v="http://www.idea.int/vt/countryview.cfm?id=168"/>
    <n v="16"/>
    <n v="18"/>
    <s v="NG2015"/>
    <n v="67422.005000000005"/>
    <n v="91669.312000000005"/>
    <n v="181562.05600000001"/>
    <n v="1"/>
    <n v="4"/>
    <s v="CD"/>
    <x v="0"/>
    <n v="90895.51774999997"/>
    <n v="49.88723323956301"/>
    <n v="49.154465339090208"/>
    <n v="46175.248158789676"/>
    <n v="44679.205767210326"/>
    <n v="49.763736047007406"/>
    <n v="49.969467270837853"/>
    <n v="34630.83199999998"/>
    <n v="49.786053263780481"/>
    <n v="17389.507534789671"/>
    <n v="17241.324465210324"/>
    <n v="34426.054025999998"/>
    <n v="48.758876510571596"/>
    <n v="17615.168228000002"/>
    <n v="16785.757170000001"/>
    <n v="21838.631723999999"/>
    <n v="48.776517991709326"/>
    <n v="11170.572396000001"/>
    <n v="10652.124131999999"/>
    <n v="70.100000000000009"/>
    <n v="70.199999999999989"/>
    <n v="173615.345"/>
    <n v="49.104950947740242"/>
    <n v="77008.656999999977"/>
    <n v="48.742078439311058"/>
    <n v="30546.274000000001"/>
    <n v="48.813014517775208"/>
    <n v="15"/>
    <n v="14491.003200000003"/>
    <n v="82115.684800000032"/>
    <n v="49.104950947740242"/>
    <n v="54060.077213999983"/>
    <n v="48.742078439311058"/>
    <n v="21442.972136433898"/>
    <n v="48.813014517775208"/>
    <n v="88272.292000000001"/>
    <n v="50.843600000000002"/>
    <n v="17.923422674920459"/>
    <n v="85343.053"/>
    <n v="49.156399999999998"/>
    <n v="52.21109209674043"/>
    <n v="17.593804484214481"/>
    <n v="14.532887223917509"/>
    <n v="12.229213007548527"/>
    <n v="44.355904715680502"/>
    <n v="52.899754339110999"/>
    <n v="2.7443409452085001"/>
    <n v="29.8"/>
    <n v="29.8"/>
    <n v="29.9"/>
    <n v="49.8"/>
    <n v="18.600000000000001"/>
    <n v="2013"/>
    <n v="67.98"/>
    <n v="2010"/>
    <n v="110480.10116000001"/>
    <n v="62.6"/>
    <n v="2010"/>
    <n v="101706.681362"/>
    <n v="70"/>
    <n v="2010"/>
    <n v="51.077659606933601"/>
    <s v="eng"/>
    <n v="1"/>
    <n v="1"/>
    <s v="-"/>
    <s v="Completed"/>
    <s v="Strategic Plan"/>
    <s v="-"/>
    <s v="CR Minister"/>
    <n v="0.3"/>
    <s v="-"/>
    <n v="3"/>
    <s v="-"/>
    <s v="P151488 (P)"/>
    <s v="P088150 (C)"/>
    <s v="-"/>
    <s v="P074447 (C); P088150 (C)"/>
    <s v="P151488 (P)"/>
    <m/>
    <m/>
    <m/>
    <m/>
    <m/>
    <m/>
    <m/>
    <m/>
    <m/>
    <m/>
    <m/>
    <m/>
    <m/>
    <m/>
    <m/>
    <m/>
    <m/>
    <n v="1"/>
    <s v="NIN/GMPC (ID) + MySmartCity Card (Cross River State)"/>
    <n v="1"/>
    <s v="Voter Registration"/>
    <n v="1"/>
    <s v="National Pension + Project Comfort (Cross River State)"/>
    <n v="1"/>
    <s v="IPPIS (payroll &amp; pensions)"/>
    <n v="1"/>
    <s v="Project HOPE (Cross River State)"/>
    <m/>
    <m/>
    <n v="1"/>
    <s v="Standardized testing (exams) + National SIM Card Registration Project"/>
    <n v="2"/>
    <s v="common + religious"/>
    <s v="PF"/>
    <n v="4"/>
    <n v="4"/>
    <s v="PF"/>
    <n v="33"/>
    <n v="10"/>
    <n v="8"/>
    <n v="15"/>
    <s v="PF"/>
    <n v="51"/>
    <n v="14"/>
    <n v="22"/>
    <n v="15"/>
    <n v="8"/>
    <n v="-0.74442768096923828"/>
    <n v="-2.0793542861938477"/>
    <n v="-1.0093042850494385"/>
    <n v="-0.70594626665115356"/>
    <n v="-1.1576594114303589"/>
    <n v="-1.1967065334320068"/>
    <n v="141"/>
    <n v="0.29287000000000002"/>
    <n v="0.33333000000000002"/>
    <n v="0.30708000000000002"/>
    <n v="0.19045000000000001"/>
    <n v="0.38109999999999999"/>
    <n v="133"/>
    <n v="2.35"/>
    <n v="2.5299999999999998"/>
    <n v="1.6"/>
    <n v="3.51"/>
    <s v="Data Protection Bill"/>
    <s v="https://www.google.com/url?sa=t&amp;rct=j&amp;q=&amp;esrc=s&amp;source=web&amp;cd=2&amp;ved=0CCYQFjAB&amp;url=http%3A%2F%2Fwww.nassnig.org%2Fnass2%2Flegislation.php%3Fid%3D410&amp;ei=trbCVPKsI8GkgwTy-IGwDA&amp;usg=AFQjCNGUeDUXsvsvqBpCu-dF0cMNYY0o4Q&amp;sig2=bnCBHGsBK0xh7S9E3pKmKg&amp;bvm=bv.84349003,d.eXY&amp;cad=rja"/>
    <n v="2010"/>
    <s v="-"/>
    <s v="Both"/>
    <s v="Cyber Security and Information Protection Agency"/>
    <s v="http://fmi.gov.ng"/>
    <s v="-"/>
    <n v="48"/>
    <n v="88"/>
    <n v="2011"/>
    <s v="http://www.rti-rating.org/files/pdf/Nigeria.pdf"/>
    <n v="3"/>
    <n v="29"/>
    <n v="12"/>
    <n v="22"/>
    <n v="4"/>
    <n v="7"/>
    <n v="11"/>
    <m/>
    <m/>
    <m/>
    <m/>
    <n v="39.9"/>
    <s v="Blend"/>
    <s v=""/>
    <n v="0"/>
    <n v="20"/>
    <n v="80"/>
    <s v="A"/>
    <n v="1"/>
    <n v="3"/>
    <n v="1"/>
    <n v="0"/>
  </r>
  <r>
    <n v="132"/>
    <m/>
    <s v="Norway"/>
    <x v="3"/>
    <x v="2"/>
    <s v="NOR"/>
    <s v="NO"/>
    <s v="http://www.fhi.no"/>
    <s v="Department of Medical Birth Registry (MBRN) at the Norwegian Institute of Public Health. Min of Health"/>
    <n v="3"/>
    <n v="1876"/>
    <n v="2"/>
    <s v="6 m"/>
    <s v="NOK 197.50"/>
    <s v="http://www.skatteetaten.no"/>
    <s v="Norwegian Tax Administration is responsible for the National Population Register (National ID Numbers)."/>
    <n v="0"/>
    <s v="-"/>
    <s v="-"/>
    <x v="1"/>
    <n v="1"/>
    <s v="-"/>
    <s v="-"/>
    <n v="1"/>
    <n v="0"/>
    <m/>
    <n v="1"/>
    <m/>
    <m/>
    <s v="http://www.nrk.no/norge/lover-nasjonalt-id-kort-i-2015-1.8264549"/>
    <n v="2016"/>
    <n v="2"/>
    <s v="4B"/>
    <s v="C, R, S, V, T"/>
    <n v="0"/>
    <n v="0"/>
    <s v="-"/>
    <n v="10"/>
    <s v="http://www.securitydocumentworld.com/article-details/i/11853/"/>
    <s v="-"/>
    <n v="1"/>
    <n v="1"/>
    <s v="https://www.politi.no/tjenester/pass/soknad_om_%20pass/"/>
    <s v="Police"/>
    <n v="2"/>
    <n v="2"/>
    <n v="2005"/>
    <n v="10"/>
    <n v="3600"/>
    <n v="1"/>
    <s v="http://www.brreg.no/english/"/>
    <n v="2005"/>
    <n v="1"/>
    <n v="2"/>
    <s v="http://www.brreg.no/english/number/"/>
    <n v="1985"/>
    <n v="2"/>
    <s v="C, F, P, O"/>
    <n v="1"/>
    <s v="http://www.norge.no/en/sok/Business/alle/#nationalservices"/>
    <n v="3"/>
    <n v="1"/>
    <n v="5210.9669999999996"/>
    <n v="49.629233883077752"/>
    <n v="2624.8040000000001"/>
    <n v="2586.163"/>
    <n v="314.73700000000002"/>
    <n v="48.697801656621245"/>
    <n v="161.46700000000001"/>
    <n v="153.27000000000001"/>
    <n v="316.34699999999998"/>
    <n v="48.706325648733831"/>
    <n v="162.26599999999999"/>
    <n v="154.08099999999999"/>
    <n v="305.25099999999998"/>
    <n v="49.003606867790772"/>
    <n v="155.667"/>
    <n v="149.584"/>
    <n v="4274.6319999999996"/>
    <n v="49.810790730055828"/>
    <n v="2145.404"/>
    <n v="2129.2280000000001"/>
    <n v="2015"/>
    <s v="http://esa.un.org/unpd/wpp/Download/Standard/Population/"/>
    <n v="100"/>
    <n v="100"/>
    <n v="100"/>
    <s v="–"/>
    <s v="–"/>
    <n v="2011"/>
    <s v="UNSD"/>
    <n v="3641.7530000000002"/>
    <n v="69.886318604589135"/>
    <n v="1834.3788861859996"/>
    <n v="1807.3741138140008"/>
    <n v="2013"/>
    <s v="http://www.ssb.no/196608/storting-elections.persons-entitled-to-vote-and-votes-cast-by-county-sy-3"/>
    <s v="-"/>
    <n v="18"/>
    <s v="NO2013"/>
    <n v="3641.7530000000002"/>
    <n v="3655.788"/>
    <n v="4722.701"/>
    <n v="1"/>
    <n v="3"/>
    <s v="CD"/>
    <x v="2"/>
    <n v="632.87899999999945"/>
    <n v="12.145135442231728"/>
    <n v="50.855516802737888"/>
    <n v="311.02511381400041"/>
    <n v="321.85388618599927"/>
    <n v="11.849460524062003"/>
    <n v="12.445228169531436"/>
    <n v="632.87899999999945"/>
    <n v="50.855516802737888"/>
    <n v="311.02511381400041"/>
    <n v="321.85388618599927"/>
    <n v="0"/>
    <n v="0"/>
    <n v="0"/>
    <n v="0"/>
    <n v="0"/>
    <n v="0"/>
    <n v="0"/>
    <n v="0"/>
    <n v="0"/>
    <n v="0"/>
    <n v="5084.1899999999996"/>
    <n v="49.936430385174432"/>
    <n v="947.99157976001368"/>
    <n v="48.656803632962934"/>
    <n v="322.05500000000001"/>
    <n v="48.678523125938597"/>
    <n v="99"/>
    <n v="4094.8364360375867"/>
    <n v="41.361984202399888"/>
    <n v="49.936430385174432"/>
    <n v="0"/>
    <n v="48.656803632962934"/>
    <n v="0"/>
    <n v="48.678523125938597"/>
    <n v="4063.183"/>
    <n v="79.918000000000006"/>
    <n v="49.936430385174432"/>
    <n v="1021.0069999999999"/>
    <n v="20.081999999999994"/>
    <n v="49.936430385174432"/>
    <n v="6.3373558086265724"/>
    <n v="6.1160643446638305"/>
    <n v="6.192460508132557"/>
    <n v="18.645872395799799"/>
    <n v="65.536914861191605"/>
    <n v="15.8172127430086"/>
    <n v="100"/>
    <n v="100"/>
    <n v="100"/>
    <n v="100"/>
    <n v="100"/>
    <n v="2011"/>
    <s v="-"/>
    <s v="-"/>
    <m/>
    <s v="-"/>
    <s v="-"/>
    <m/>
    <s v="-"/>
    <s v="-"/>
    <s v="-"/>
    <s v="nor"/>
    <n v="0"/>
    <s v="-"/>
    <s v="-"/>
    <s v="-"/>
    <s v="-"/>
    <s v="-"/>
    <s v="-"/>
    <s v="-"/>
    <s v="-"/>
    <s v="-"/>
    <m/>
    <m/>
    <m/>
    <m/>
    <m/>
    <m/>
    <m/>
    <m/>
    <m/>
    <m/>
    <m/>
    <m/>
    <m/>
    <m/>
    <m/>
    <m/>
    <m/>
    <m/>
    <m/>
    <m/>
    <m/>
    <m/>
    <m/>
    <n v="2"/>
    <m/>
    <m/>
    <m/>
    <m/>
    <m/>
    <m/>
    <m/>
    <m/>
    <m/>
    <m/>
    <m/>
    <m/>
    <m/>
    <n v="1"/>
    <s v="civil"/>
    <s v="F"/>
    <n v="1"/>
    <n v="1"/>
    <s v="-"/>
    <s v="-"/>
    <s v="-"/>
    <s v="-"/>
    <s v="-"/>
    <s v="F"/>
    <n v="10"/>
    <n v="3"/>
    <n v="3"/>
    <n v="4"/>
    <n v="10"/>
    <n v="1.7594175338745117"/>
    <n v="1.331531286239624"/>
    <n v="1.8645974397659302"/>
    <n v="1.6546535491943359"/>
    <n v="1.9680243730545044"/>
    <n v="2.2855260372161865"/>
    <n v="13"/>
    <n v="0.83572000000000002"/>
    <n v="0.68627000000000005"/>
    <n v="0.75590000000000002"/>
    <n v="0.81328"/>
    <n v="0.93799999999999994"/>
    <n v="6"/>
    <n v="8.39"/>
    <n v="8.36"/>
    <n v="8.07"/>
    <n v="9.09"/>
    <s v="Personal Data Act"/>
    <s v="http://www.coe.int/t/dghl/standardsetting/dataprotection/National%20laws/NORWAY_DPACT2000.pdf"/>
    <n v="1978"/>
    <n v="2000"/>
    <s v="Both"/>
    <s v="Data Inspectorate"/>
    <s v="http://www.datatilsynet.no/English/"/>
    <s v="ICDPPC; EDPA; GPEN, NPDA"/>
    <n v="58"/>
    <n v="78"/>
    <n v="1970"/>
    <s v="http://www.rti-rating.org/files/pdf/Norway.pdf"/>
    <n v="5"/>
    <n v="16"/>
    <n v="15"/>
    <n v="16"/>
    <n v="22"/>
    <n v="2"/>
    <n v="2"/>
    <s v="EUR"/>
    <s v="OECD"/>
    <m/>
    <m/>
    <m/>
    <s v=".."/>
    <s v=""/>
    <n v="0"/>
    <n v="22"/>
    <n v="88"/>
    <s v="A"/>
    <m/>
    <n v="3"/>
    <n v="0"/>
    <n v="0"/>
  </r>
  <r>
    <n v="133"/>
    <m/>
    <s v="Oman"/>
    <x v="2"/>
    <x v="2"/>
    <s v="OMN"/>
    <s v="OM"/>
    <s v="http://www.civilstatus.gov.om/english/services_BirthEntry.asp"/>
    <s v="Directorate General of Civil Status, Royal Oman Police"/>
    <n v="2"/>
    <n v="1970"/>
    <n v="2"/>
    <s v="2 w"/>
    <s v="2 RO"/>
    <s v="http://www.civilstatus.gov.om/english/services_IDCard.asp"/>
    <s v="Directorate General of Civil Status, Royal Oman Police"/>
    <n v="2"/>
    <n v="1999"/>
    <s v="National ID Card"/>
    <x v="1"/>
    <n v="2"/>
    <n v="15"/>
    <s v="free"/>
    <n v="1"/>
    <n v="1"/>
    <m/>
    <n v="1"/>
    <n v="1"/>
    <m/>
    <s v="http://www.civilstatus.gov.om/english/services_IDCard.asp"/>
    <n v="2004"/>
    <n v="3"/>
    <s v="4B"/>
    <s v="C, E, H, R, S, T"/>
    <n v="0"/>
    <n v="1"/>
    <n v="2500"/>
    <n v="1"/>
    <s v="http://www.gemalto.com/govt/customer-cases/oman-new-infrastructure"/>
    <s v="-"/>
    <n v="1"/>
    <n v="1"/>
    <s v="http://www.rop.gov.om/english/dg_pr.asp"/>
    <s v="Police"/>
    <n v="1"/>
    <n v="2"/>
    <n v="2014"/>
    <n v="5"/>
    <s v="-"/>
    <n v="0"/>
    <s v="https://www.business.gov.om/wps/portal/ecr/services/findbusinessinformation/searchcompanylisting"/>
    <n v="1986"/>
    <n v="1"/>
    <n v="2"/>
    <s v="http://omanlawblog.curtis.com/2008/06/oman-law-digest-2008-commercial.html"/>
    <n v="1973"/>
    <n v="2"/>
    <s v="C, F, P"/>
    <n v="1"/>
    <s v="https://www.business.gov.om/wps/portal/ecr/services/browseallservices/!ut/p/a1/04_Sj9CPykssy0xPLMnMz0vMAfGjzOK9HU2dDZ1NDL39LcPMDRyNjF283Rz9DQxczIEKIvEo8DcgpD9cPwqvEpAJeBUYmEEVGOAAjgb6BbkRBpmejooAPqPgCg!!/dl5/d5/L2dBISEvZ0FBIS9nQSEh/"/>
    <n v="0"/>
    <n v="0"/>
    <n v="4490.5410000000002"/>
    <n v="33.668860834362718"/>
    <n v="2978.627"/>
    <n v="1511.914"/>
    <n v="385.29300000000001"/>
    <n v="48.704492425245206"/>
    <n v="197.63800000000001"/>
    <n v="187.655"/>
    <n v="306.30599999999998"/>
    <n v="49.587993705640763"/>
    <n v="154.41499999999999"/>
    <n v="151.89099999999999"/>
    <n v="229.89599999999999"/>
    <n v="49.678115321710685"/>
    <n v="115.688"/>
    <n v="114.208"/>
    <n v="3569.0460000000003"/>
    <n v="29.648258946508388"/>
    <n v="2510.886"/>
    <n v="1058.1599999999999"/>
    <n v="2015"/>
    <s v="http://esa.un.org/unpd/wpp/Download/Standard/Population/"/>
    <n v="98"/>
    <n v="97"/>
    <n v="98"/>
    <s v="–"/>
    <s v="–"/>
    <n v="2014"/>
    <s v="http://unstats.un.org/unsd/demographic/meetings/wshops/Civil_Registration_Dec07_Cairo/docs/Oman_Ministry_of_Health.pdf"/>
    <n v="3800"/>
    <n v="84.622320562266324"/>
    <n v="2673.3661600326814"/>
    <n v="1126.6338399673189"/>
    <n v="2015"/>
    <s v="https://www.secureidentityalliance.org/index.php/resources/preview?path=15-12-17-Civil-Registry-Consolidation-Digital-Identity-SIA-Final.pdf"/>
    <n v="15"/>
    <n v="21"/>
    <s v="OM2015"/>
    <n v="525.78499999999997"/>
    <n v="1919.71"/>
    <n v="3286.9360000000001"/>
    <n v="2"/>
    <n v="3"/>
    <s v="CD"/>
    <x v="1"/>
    <n v="690.54100000000017"/>
    <n v="15.377679437733674"/>
    <n v="55.793958654544916"/>
    <n v="305.26083996731859"/>
    <n v="385.28016003268112"/>
    <n v="10.248374165926737"/>
    <n v="25.482941492219869"/>
    <n v="672.11110000000008"/>
    <n v="55.97364483828359"/>
    <n v="291.22860996731856"/>
    <n v="376.20508003268111"/>
    <n v="10.724040000000009"/>
    <n v="49.626633246425797"/>
    <n v="8.103090000000007"/>
    <n v="5.3219800000000053"/>
    <n v="7.7058600000000066"/>
    <n v="48.704492425245206"/>
    <n v="5.9291400000000056"/>
    <n v="3.7531000000000034"/>
    <n v="3.0000000000000027"/>
    <n v="2.0000000000000018"/>
    <n v="3632.444"/>
    <n v="36.421070772185338"/>
    <n v="852.93199999999842"/>
    <n v="48.018364887236082"/>
    <n v="352.50599999999997"/>
    <n v="48.70991719522312"/>
    <n v="99"/>
    <n v="2751.7168800000018"/>
    <n v="27.79512000000004"/>
    <n v="36.421070772185338"/>
    <n v="17.058639999999983"/>
    <n v="48.018364887236082"/>
    <n v="6.9150599999999924"/>
    <n v="48.70991719522312"/>
    <n v="2686.018"/>
    <n v="73.9452"/>
    <n v="32.15317246570946"/>
    <n v="946.42600000000004"/>
    <n v="26.0548"/>
    <n v="36.466876438305796"/>
    <n v="9.51846745607088"/>
    <n v="7.1887412441871117"/>
    <n v="6.7737314050815538"/>
    <n v="23.480940105339499"/>
    <n v="73.708087447459604"/>
    <n v="2.8109724472008399"/>
    <n v="98"/>
    <n v="98"/>
    <n v="98"/>
    <n v="98"/>
    <n v="98"/>
    <n v="2007"/>
    <s v="-"/>
    <s v="-"/>
    <m/>
    <s v="-"/>
    <s v="-"/>
    <m/>
    <s v="-"/>
    <s v="-"/>
    <n v="86.938995361328097"/>
    <s v="ara"/>
    <n v="0"/>
    <s v="-"/>
    <s v="-"/>
    <s v="-"/>
    <s v="-"/>
    <s v="-"/>
    <s v="-"/>
    <s v="-"/>
    <s v="-"/>
    <s v="-"/>
    <m/>
    <m/>
    <m/>
    <m/>
    <m/>
    <m/>
    <m/>
    <m/>
    <m/>
    <m/>
    <m/>
    <m/>
    <m/>
    <m/>
    <m/>
    <m/>
    <m/>
    <m/>
    <m/>
    <m/>
    <m/>
    <m/>
    <m/>
    <m/>
    <m/>
    <m/>
    <m/>
    <m/>
    <m/>
    <m/>
    <m/>
    <m/>
    <m/>
    <m/>
    <m/>
    <m/>
    <m/>
    <n v="3"/>
    <s v="religious"/>
    <s v="NF"/>
    <n v="6"/>
    <n v="5"/>
    <s v="-"/>
    <s v="-"/>
    <s v="-"/>
    <s v="-"/>
    <s v="-"/>
    <s v="NF"/>
    <n v="71"/>
    <n v="25"/>
    <n v="27"/>
    <n v="19"/>
    <n v="-6"/>
    <n v="-1.0018036365509033"/>
    <n v="0.47659611701965332"/>
    <n v="0.2115543931722641"/>
    <n v="0.47115674614906311"/>
    <n v="0.55621421337127686"/>
    <n v="7.8189000487327576E-2"/>
    <n v="48"/>
    <n v="0.62731999999999999"/>
    <n v="0.70587999999999995"/>
    <n v="0.73228000000000004"/>
    <n v="0.48725000000000002"/>
    <n v="0.66239999999999999"/>
    <n v="52"/>
    <n v="6.1"/>
    <n v="7.12"/>
    <n v="4.6500000000000004"/>
    <n v="6.95"/>
    <s v="-"/>
    <s v="-"/>
    <s v="-"/>
    <s v="-"/>
    <s v="-"/>
    <s v="-"/>
    <s v="-"/>
    <s v="-"/>
    <s v="-"/>
    <s v="-"/>
    <s v="-"/>
    <s v="-"/>
    <s v="-"/>
    <s v="-"/>
    <s v="-"/>
    <s v="-"/>
    <s v="-"/>
    <s v="-"/>
    <s v="-"/>
    <m/>
    <m/>
    <m/>
    <m/>
    <n v="40.799999999999997"/>
    <s v=".."/>
    <s v=""/>
    <n v="0"/>
    <n v="19"/>
    <n v="76"/>
    <s v="A"/>
    <m/>
    <n v="3"/>
    <n v="0"/>
    <n v="0"/>
  </r>
  <r>
    <n v="134"/>
    <m/>
    <s v="Pakistan"/>
    <x v="0"/>
    <x v="3"/>
    <s v="PAK"/>
    <s v="PK"/>
    <s v="http://www.nadra.gov.pk"/>
    <s v="NADRA + High Commission / Consulate General"/>
    <n v="2"/>
    <n v="1959"/>
    <n v="2"/>
    <s v="6 m"/>
    <s v="RS 40"/>
    <s v="http://www.nadra.gov.pk"/>
    <s v="NADRA"/>
    <n v="2"/>
    <n v="2000"/>
    <s v="CNIC (Computerized National ID Card) &gt; SNIC (Smart National ID Card)"/>
    <x v="1"/>
    <n v="2"/>
    <n v="18"/>
    <s v="200 PKR"/>
    <n v="1"/>
    <n v="1"/>
    <s v="http://en.wikipedia.org/wiki/Computerised_National_Identity_Card"/>
    <n v="1"/>
    <n v="1"/>
    <n v="1"/>
    <s v="http://www.nadra.gov.pk"/>
    <n v="2012"/>
    <n v="2"/>
    <s v="4B"/>
    <s v="C, H, F, S"/>
    <n v="0"/>
    <n v="0"/>
    <n v="68000"/>
    <n v="9"/>
    <s v="http://www.worldbank.org/content/dam/Worldbank/Event/social-protection/Building_Robust_Identification_Systems_Session_Packet.pdf"/>
    <s v="-"/>
    <n v="1"/>
    <n v="1"/>
    <s v="http://www.dgip.gov.pk/"/>
    <s v="Directorate General of Immigration and Passports"/>
    <n v="2"/>
    <n v="2"/>
    <n v="2004"/>
    <n v="5"/>
    <s v="-"/>
    <n v="0"/>
    <s v="http://www.secp.gov.pk/ns/index.asp"/>
    <n v="1999"/>
    <n v="1"/>
    <n v="2"/>
    <s v="http://www.secp.gov.pk/notification/pdf/2009/Cos_85.pdf"/>
    <n v="2003"/>
    <n v="2"/>
    <s v="C, P, S, O"/>
    <n v="0"/>
    <s v="-"/>
    <n v="0"/>
    <n v="1"/>
    <n v="188924.87400000001"/>
    <n v="48.629155629342904"/>
    <n v="97052.303"/>
    <n v="91872.570999999996"/>
    <n v="24663.725999999999"/>
    <n v="48.132601700164848"/>
    <n v="12792.433000000001"/>
    <n v="11871.293"/>
    <n v="21989.725999999999"/>
    <n v="48.188326675830339"/>
    <n v="11393.245000000001"/>
    <n v="10596.481"/>
    <n v="19488.84"/>
    <n v="47.962680180041502"/>
    <n v="10141.469999999999"/>
    <n v="9347.3700000000008"/>
    <n v="122782.58200000002"/>
    <n v="48.913637440854579"/>
    <n v="62725.154999999999"/>
    <n v="60057.426999999989"/>
    <n v="2015"/>
    <s v="http://esa.un.org/unpd/wpp/Download/Standard/Population/"/>
    <n v="33.6"/>
    <n v="34.1"/>
    <n v="33.1"/>
    <n v="59.3"/>
    <n v="22.8"/>
    <s v="2012-2013"/>
    <s v="DHS"/>
    <n v="93072.570999999996"/>
    <n v="49.264328740534182"/>
    <n v="52363.911999999997"/>
    <n v="40708.659"/>
    <n v="2012"/>
    <s v="http://ecp.gov.pk/ER/VoterStatFER2012.aspx"/>
    <n v="18"/>
    <n v="18"/>
    <s v="PK2013"/>
    <n v="86189.801999999996"/>
    <n v="110782.605"/>
    <n v="193238.86799999999"/>
    <n v="10"/>
    <n v="3"/>
    <s v="CD"/>
    <x v="0"/>
    <n v="73628.492888000023"/>
    <n v="38.972365749996484"/>
    <n v="55.186650904031175"/>
    <n v="32982.833532000004"/>
    <n v="40633.099335999992"/>
    <n v="33.984596462383799"/>
    <n v="44.227671974043261"/>
    <n v="29710.011000000028"/>
    <n v="65.125415133639535"/>
    <n v="10361.243000000002"/>
    <n v="19348.767999999989"/>
    <n v="27541.767823999995"/>
    <n v="48.444371487923711"/>
    <n v="14191.377185000001"/>
    <n v="13342.436319"/>
    <n v="16376.714063999998"/>
    <n v="48.495045990075738"/>
    <n v="8430.2133470000008"/>
    <n v="7941.8950169999998"/>
    <n v="65.900000000000006"/>
    <n v="66.900000000000006"/>
    <n v="182142.59400000001"/>
    <n v="48.626755035672765"/>
    <n v="61609.988000000034"/>
    <n v="47.936094387812545"/>
    <n v="21761.417000000001"/>
    <n v="48.06642589667814"/>
    <n v="80.061323821373293"/>
    <n v="96500"/>
    <n v="24032.605999999974"/>
    <n v="48.626755035672765"/>
    <n v="40909.032032000017"/>
    <n v="47.936094387812545"/>
    <n v="14227.771023999976"/>
    <n v="48.06642589667814"/>
    <n v="67179.289000000004"/>
    <n v="36.882800000000003"/>
    <n v="38.150719121108892"/>
    <n v="114963.30499999999"/>
    <n v="63.117199999999997"/>
    <n v="41.207295846865136"/>
    <n v="11.764061074039587"/>
    <n v="11.189303145644196"/>
    <n v="10.871776098675799"/>
    <n v="33.825140318359601"/>
    <n v="61.794706843803901"/>
    <n v="4.3801528378364898"/>
    <n v="33.6"/>
    <n v="33.1"/>
    <n v="34.1"/>
    <n v="59.3"/>
    <n v="22.8"/>
    <n v="2013"/>
    <n v="21.04"/>
    <n v="2008"/>
    <n v="37116.526440000001"/>
    <n v="22.3"/>
    <n v="2006"/>
    <n v="39414.216172"/>
    <n v="22.3"/>
    <s v="FY05/06"/>
    <n v="54.7380180358887"/>
    <s v="eng"/>
    <n v="3"/>
    <n v="1"/>
    <s v="Yes"/>
    <s v="Completed"/>
    <s v="Plan and Committee"/>
    <s v="-"/>
    <s v="Health Minister "/>
    <n v="0.27"/>
    <s v="-"/>
    <n v="6"/>
    <s v="P103160 (A)"/>
    <s v="P103160 (A)"/>
    <s v="P077306 (C); P128182 (P)"/>
    <s v="-"/>
    <s v="P036015 (C); P036015 (C)"/>
    <s v="P132234 (A)"/>
    <m/>
    <m/>
    <m/>
    <m/>
    <m/>
    <m/>
    <m/>
    <m/>
    <m/>
    <m/>
    <m/>
    <m/>
    <m/>
    <m/>
    <m/>
    <m/>
    <m/>
    <n v="1"/>
    <s v="NADRA, CNIC (civil registry, ID)"/>
    <m/>
    <m/>
    <n v="1"/>
    <s v="BISP*+ Watan Card* + IDP assistance* + Repatriation grants (UNHCR) [*draw from NADRA]"/>
    <m/>
    <m/>
    <m/>
    <m/>
    <m/>
    <m/>
    <n v="1"/>
    <s v="Refugee Proof of Registration, ID + UNHCR ProGres (refugee tracking)"/>
    <n v="2"/>
    <s v="common"/>
    <s v="PF"/>
    <n v="4"/>
    <n v="5"/>
    <s v="NF"/>
    <n v="69"/>
    <n v="20"/>
    <n v="20"/>
    <n v="29"/>
    <s v="NF"/>
    <n v="64"/>
    <n v="19"/>
    <n v="29"/>
    <n v="16"/>
    <n v="8"/>
    <n v="-0.83105254173278809"/>
    <n v="-2.5947163105010986"/>
    <n v="-0.80031144618988037"/>
    <n v="-0.71327441930770874"/>
    <n v="-0.87924885749816895"/>
    <n v="-0.93354696035385132"/>
    <n v="158"/>
    <n v="0.25799"/>
    <n v="0.33333000000000002"/>
    <n v="0.32283000000000001"/>
    <n v="0.11743000000000001"/>
    <n v="0.3337"/>
    <n v="142"/>
    <n v="2.0499999999999998"/>
    <n v="3.03"/>
    <n v="0.42"/>
    <n v="3.36"/>
    <s v="-"/>
    <s v="-"/>
    <s v="-"/>
    <s v="-"/>
    <s v="-"/>
    <s v="-"/>
    <s v="-"/>
    <s v="-"/>
    <n v="81"/>
    <n v="66"/>
    <n v="2002"/>
    <s v="http://www.rti-rating.org/files/pdf/Pakistan.pdf"/>
    <n v="5"/>
    <n v="16"/>
    <n v="8"/>
    <n v="11"/>
    <n v="18"/>
    <n v="5"/>
    <n v="3"/>
    <m/>
    <m/>
    <m/>
    <m/>
    <m/>
    <s v="Blend"/>
    <s v=""/>
    <n v="0"/>
    <n v="19"/>
    <n v="76"/>
    <s v="A"/>
    <m/>
    <n v="3"/>
    <n v="1"/>
    <n v="0"/>
  </r>
  <r>
    <n v="135"/>
    <m/>
    <s v="Palau"/>
    <x v="6"/>
    <x v="1"/>
    <s v="PLW"/>
    <s v="PW"/>
    <s v="http://www.palausupremecourt.net/faq_main.cshtml"/>
    <s v="Palau Supreme Court"/>
    <n v="1"/>
    <n v="1947"/>
    <n v="2"/>
    <s v="-"/>
    <n v="5"/>
    <s v="-"/>
    <s v="-"/>
    <n v="0"/>
    <s v="-"/>
    <s v="-"/>
    <x v="2"/>
    <n v="0"/>
    <s v="-"/>
    <s v="-"/>
    <n v="0"/>
    <n v="0"/>
    <m/>
    <m/>
    <m/>
    <m/>
    <s v="-"/>
    <s v="-"/>
    <n v="0"/>
    <n v="0"/>
    <s v="-"/>
    <s v="-"/>
    <s v="-"/>
    <s v="-"/>
    <n v="0"/>
    <s v="-"/>
    <s v="-"/>
    <n v="0"/>
    <n v="0"/>
    <s v="http://palaugov.org/passport-office/"/>
    <s v="Passport Office"/>
    <n v="1"/>
    <n v="2"/>
    <n v="2006"/>
    <n v="5"/>
    <s v="-"/>
    <n v="0"/>
    <s v="http://palaugov.org/office-of-the-attorney-general/ "/>
    <n v="1996"/>
    <n v="0"/>
    <n v="2"/>
    <s v="http://www.doingbusiness.org/data/exploreeconomies/palau/starting-a-business"/>
    <n v="1996"/>
    <n v="1"/>
    <s v="C"/>
    <n v="0"/>
    <s v="-"/>
    <n v="0"/>
    <n v="0"/>
    <n v="21.186"/>
    <n v="47.554989143774186"/>
    <n v="11.111000000000001"/>
    <n v="10.074999999999999"/>
    <n v="1.1299999999999999"/>
    <n v="48.672566371681427"/>
    <n v="0.57999999999999996"/>
    <n v="0.55000000000000004"/>
    <n v="1.43"/>
    <n v="48.251748251748253"/>
    <n v="0.74"/>
    <n v="0.69"/>
    <n v="1.78"/>
    <n v="48.31460674157303"/>
    <n v="0.92"/>
    <n v="0.86"/>
    <n v="16.846"/>
    <n v="47.340614982785226"/>
    <n v="8.8710000000000004"/>
    <n v="7.9749999999999988"/>
    <n v="2014"/>
    <s v="http://www.indexmundi.com/palau/population.html"/>
    <n v="90"/>
    <n v="90"/>
    <n v="90"/>
    <s v="–"/>
    <s v="–"/>
    <n v="2014"/>
    <s v="http://unstats.un.org/unsd/demographic/CRVS/CR_coverage.htm"/>
    <n v="15.305"/>
    <n v="72.241102614934391"/>
    <n v="8.0267089115453611"/>
    <n v="7.2782910884546395"/>
    <n v="2012"/>
    <s v="http://www.idea.int/vt/countryview.cfm?id=185"/>
    <s v="-"/>
    <n v="18"/>
    <s v="PW2012"/>
    <n v="15.305"/>
    <n v="14.722"/>
    <n v="21.032"/>
    <n v="1"/>
    <n v="4"/>
    <s v="CD"/>
    <x v="1"/>
    <n v="1.9750000000000003"/>
    <n v="9.3221939016331543"/>
    <n v="45.909311976980213"/>
    <n v="1.0682910884546393"/>
    <n v="0.90670891154535926"/>
    <n v="9.6147159432511859"/>
    <n v="8.9995921741474874"/>
    <n v="1.5410000000000004"/>
    <n v="45.211480307940242"/>
    <n v="0.84429108845463929"/>
    <n v="0.6967089115453593"/>
    <n v="0.32099999999999995"/>
    <n v="48.286604361370713"/>
    <n v="0.16599999999999998"/>
    <n v="0.15499999999999997"/>
    <n v="0.11299999999999996"/>
    <n v="48.672566371681427"/>
    <n v="5.7999999999999982E-2"/>
    <n v="5.4999999999999993E-2"/>
    <n v="9.9999999999999982"/>
    <n v="9.9999999999999982"/>
    <n v="20.917999999999999"/>
    <n v="47.169901520221821"/>
    <n v="4.3404850000000001"/>
    <n v="48.387096774193559"/>
    <n v="1.9902217226961816"/>
    <n v="49.122807017543856"/>
    <n v="90.484008007231481"/>
    <n v="15"/>
    <n v="1.5775150000000009"/>
    <n v="47.169901520221821"/>
    <n v="0.43404849999999989"/>
    <n v="48.387096774193559"/>
    <n v="0.11410768999999996"/>
    <n v="49.122807017543856"/>
    <n v="17.908000000000001"/>
    <n v="85.610200000000006"/>
    <n v="47.169901520221821"/>
    <n v="3.01"/>
    <n v="14.389799999999994"/>
    <n v="47.169901520221821"/>
    <n v="5.4550000000000001"/>
    <n v="6.69"/>
    <n v="8.6050000000000004"/>
    <n v="20.75"/>
    <n v="72.150000000000006"/>
    <n v="7.1"/>
    <n v="90"/>
    <n v="90"/>
    <n v="90"/>
    <n v="90"/>
    <n v="90"/>
    <n v="1999"/>
    <s v="-"/>
    <s v="-"/>
    <m/>
    <s v="-"/>
    <s v="-"/>
    <m/>
    <s v="-"/>
    <s v="-"/>
    <n v="99.523963928222699"/>
    <s v="eng"/>
    <n v="0"/>
    <s v="-"/>
    <s v="-"/>
    <s v="-"/>
    <s v="-"/>
    <s v="-"/>
    <s v="-"/>
    <s v="-"/>
    <s v="-"/>
    <s v="-"/>
    <m/>
    <m/>
    <m/>
    <m/>
    <m/>
    <m/>
    <m/>
    <m/>
    <m/>
    <m/>
    <m/>
    <m/>
    <m/>
    <m/>
    <m/>
    <m/>
    <m/>
    <m/>
    <m/>
    <m/>
    <m/>
    <m/>
    <m/>
    <m/>
    <m/>
    <m/>
    <m/>
    <m/>
    <m/>
    <m/>
    <m/>
    <m/>
    <m/>
    <m/>
    <m/>
    <m/>
    <m/>
    <n v="2"/>
    <s v="common"/>
    <s v="F"/>
    <n v="1"/>
    <n v="1"/>
    <s v="-"/>
    <s v="-"/>
    <s v="-"/>
    <s v="-"/>
    <s v="-"/>
    <s v="F"/>
    <n v="15"/>
    <n v="1"/>
    <n v="6"/>
    <n v="8"/>
    <m/>
    <n v="1.2155786752700806"/>
    <n v="1.0969746112823486"/>
    <n v="-0.58807927370071411"/>
    <n v="-1.0062103271484375"/>
    <n v="0.90055704116821289"/>
    <n v="-0.57633638381958008"/>
    <n v="108"/>
    <n v="0.4415"/>
    <n v="0.23529"/>
    <n v="0.16535"/>
    <n v="0.35921999999999998"/>
    <n v="0.79990000000000006"/>
    <s v="-"/>
    <s v="-"/>
    <s v="-"/>
    <s v="-"/>
    <s v="-"/>
    <s v="-"/>
    <s v="-"/>
    <s v="-"/>
    <s v="-"/>
    <s v="-"/>
    <s v="-"/>
    <s v="-"/>
    <s v="-"/>
    <s v="-"/>
    <s v="-"/>
    <s v="-"/>
    <s v="-"/>
    <s v="-"/>
    <s v="-"/>
    <s v="-"/>
    <s v="-"/>
    <s v="-"/>
    <s v="-"/>
    <s v="-"/>
    <m/>
    <m/>
    <m/>
    <m/>
    <m/>
    <s v="IBRD"/>
    <s v=""/>
    <n v="1"/>
    <n v="6"/>
    <n v="24"/>
    <s v="D"/>
    <m/>
    <n v="1"/>
    <n v="0"/>
    <n v="0"/>
  </r>
  <r>
    <n v="136"/>
    <m/>
    <s v="Panama"/>
    <x v="5"/>
    <x v="1"/>
    <s v="PAN"/>
    <s v="PA"/>
    <s v="http://www.tribunal-electoral.gob.pa"/>
    <s v="Panamá el Tribunal Electoral"/>
    <n v="4"/>
    <n v="1914"/>
    <n v="2"/>
    <s v="15 d"/>
    <s v="free"/>
    <s v="http://www.tribunal-electoral.gob.pa/html/index.php?id=8"/>
    <s v="National Identity Document Office, Electoral Tribunal"/>
    <n v="4"/>
    <n v="1973"/>
    <s v="Cédula de Identidad"/>
    <x v="1"/>
    <n v="2"/>
    <n v="18"/>
    <s v="free"/>
    <n v="1"/>
    <n v="1"/>
    <m/>
    <m/>
    <n v="1"/>
    <m/>
    <s v="http://www.panamatramita.gob.pa/tramite/c%C3%A9dula-de-identidad-personal"/>
    <n v="2010"/>
    <n v="2"/>
    <s v="4B"/>
    <s v="C, E, H, R, S, T, V"/>
    <n v="0"/>
    <n v="0"/>
    <s v="-"/>
    <n v="9"/>
    <s v="http://www.prosecurityzone.com/News_Detail_Multi-biometric_national_id_system_for_panama_2455.asp#axzz3NJqOloEG"/>
    <s v="-"/>
    <n v="1"/>
    <n v="1"/>
    <s v="http://apap.gob.pa/"/>
    <s v="National Directorate of Passports"/>
    <n v="2"/>
    <n v="5"/>
    <n v="2012"/>
    <n v="5"/>
    <s v="-"/>
    <n v="0"/>
    <s v="http://www.panadata.net/sociedades"/>
    <n v="2009"/>
    <n v="1"/>
    <n v="1"/>
    <s v="https://www.dgi.gob.pa/noticias/reso_201-1194.pdf"/>
    <n v="1976"/>
    <n v="0"/>
    <s v="-"/>
    <n v="0"/>
    <s v="-"/>
    <n v="0"/>
    <n v="1"/>
    <n v="3929.1410000000001"/>
    <n v="49.868431802269249"/>
    <n v="1969.74"/>
    <n v="1959.4010000000001"/>
    <n v="368.40699999999998"/>
    <n v="48.93908096208812"/>
    <n v="188.11199999999999"/>
    <n v="180.29499999999999"/>
    <n v="356.02"/>
    <n v="48.960170776922645"/>
    <n v="181.71199999999999"/>
    <n v="174.30799999999999"/>
    <n v="342.90699999999998"/>
    <n v="49.060240823313613"/>
    <n v="174.67599999999999"/>
    <n v="168.23099999999999"/>
    <n v="2861.8069999999998"/>
    <n v="50.197899439060713"/>
    <n v="1425.24"/>
    <n v="1436.567"/>
    <n v="2015"/>
    <s v="http://esa.un.org/unpd/wpp/Download/Standard/Population/"/>
    <n v="90"/>
    <n v="90"/>
    <n v="90"/>
    <s v="–"/>
    <s v="–"/>
    <n v="2014"/>
    <s v="http://unstats.un.org/unsd/demographic/CRVS/CR_coverage.htm"/>
    <n v="2457.4009999999998"/>
    <n v="62.54295786280003"/>
    <n v="1231.9336582067174"/>
    <n v="1225.4673417932825"/>
    <n v="2014"/>
    <s v="http://www.idea.int/vt/countryview.cfm?id=173"/>
    <n v="18"/>
    <n v="18"/>
    <s v="PA2014"/>
    <n v="2457.4009999999998"/>
    <n v="2338.2069999999999"/>
    <n v="3608.431"/>
    <n v="1"/>
    <n v="4"/>
    <s v="CD"/>
    <x v="1"/>
    <n v="511.13939999999991"/>
    <n v="13.008935031855561"/>
    <n v="51.528615913137898"/>
    <n v="247.75634179328262"/>
    <n v="263.38305820671752"/>
    <n v="12.578124107409232"/>
    <n v="13.442019178652941"/>
    <n v="404.40599999999995"/>
    <n v="52.199932297423281"/>
    <n v="193.30634179328263"/>
    <n v="211.09965820671755"/>
    <n v="69.892699999999991"/>
    <n v="49.009267062225369"/>
    <n v="35.638799999999989"/>
    <n v="34.253899999999987"/>
    <n v="36.840699999999991"/>
    <n v="48.93908096208812"/>
    <n v="18.811199999999996"/>
    <n v="18.029499999999995"/>
    <n v="9.9999999999999982"/>
    <n v="9.9999999999999982"/>
    <n v="3864.17"/>
    <n v="49.504524904442611"/>
    <n v="1094.0709999999997"/>
    <n v="48.925526771114534"/>
    <n v="369.07400000000001"/>
    <n v="48.907067548563475"/>
    <n v="88.69719096682104"/>
    <n v="2457"/>
    <n v="313.0990000000001"/>
    <n v="49.504524904442611"/>
    <n v="109.40709999999994"/>
    <n v="48.925526771114534"/>
    <n v="36.905300000000004"/>
    <n v="48.907067548563475"/>
    <n v="2951.0509999999999"/>
    <n v="76.369600000000005"/>
    <n v="45.546179988078819"/>
    <n v="913.11900000000003"/>
    <n v="23.630399999999995"/>
    <n v="66.428800627300504"/>
    <n v="9.550640887952655"/>
    <n v="9.4730821884130378"/>
    <n v="9.2894981328461164"/>
    <n v="28.3132212092118"/>
    <n v="64.4641669491767"/>
    <n v="7.2226118416115197"/>
    <n v="90"/>
    <n v="90"/>
    <n v="90"/>
    <n v="90"/>
    <n v="90"/>
    <n v="2011"/>
    <n v="6.56"/>
    <n v="2010"/>
    <n v="235.69820999999999"/>
    <n v="32.700000000000003"/>
    <n v="2008"/>
    <n v="1167.777495"/>
    <n v="26"/>
    <n v="2012"/>
    <n v="94.094123840332003"/>
    <s v="spa"/>
    <n v="0"/>
    <s v="-"/>
    <s v="-"/>
    <s v="-"/>
    <s v="-"/>
    <s v="-"/>
    <s v="-"/>
    <s v="-"/>
    <s v="-"/>
    <s v="-"/>
    <m/>
    <m/>
    <m/>
    <m/>
    <m/>
    <m/>
    <n v="3322576"/>
    <n v="2010"/>
    <n v="75"/>
    <n v="25"/>
    <n v="36.799999999999997"/>
    <s v="?"/>
    <n v="94"/>
    <s v="esp"/>
    <s v="&lt; 6"/>
    <s v="?"/>
    <n v="2"/>
    <s v="15 d"/>
    <s v="-"/>
    <s v="Cédula de Identidad"/>
    <s v="free"/>
    <s v="-"/>
    <s v="http://idbdocs.iadb.org/wsdocs/getdocument.aspx?docnum=1959549"/>
    <n v="1"/>
    <s v="Cédula de Identidad (ID + voter card)"/>
    <n v="1"/>
    <s v="Cédula de Identidad (ID + voter card)"/>
    <m/>
    <m/>
    <m/>
    <m/>
    <m/>
    <m/>
    <m/>
    <m/>
    <m/>
    <m/>
    <n v="1"/>
    <s v="civil"/>
    <s v="F"/>
    <n v="2"/>
    <n v="2"/>
    <s v="-"/>
    <s v="-"/>
    <s v="-"/>
    <s v="-"/>
    <s v="-"/>
    <s v="PF"/>
    <n v="50"/>
    <n v="17"/>
    <n v="20"/>
    <n v="13"/>
    <n v="9"/>
    <n v="0.40841978788375854"/>
    <n v="-0.13366411626338959"/>
    <n v="0.32130077481269836"/>
    <n v="0.37016358971595764"/>
    <n v="-0.23974256217479706"/>
    <n v="-0.36137080192565918"/>
    <n v="77"/>
    <n v="0.52422000000000002"/>
    <n v="0.49019000000000001"/>
    <n v="0.37007000000000001"/>
    <n v="0.45712999999999998"/>
    <n v="0.74550000000000005"/>
    <n v="82"/>
    <n v="4.75"/>
    <n v="5.53"/>
    <n v="2.7"/>
    <n v="7.32"/>
    <s v="-"/>
    <s v="-"/>
    <s v="-"/>
    <s v="-"/>
    <s v="-"/>
    <s v="-"/>
    <s v="-"/>
    <s v="-"/>
    <n v="28"/>
    <n v="100"/>
    <n v="2002"/>
    <s v="http://www.rti-rating.org/files/pdf/Panama.pdf"/>
    <n v="5"/>
    <n v="28"/>
    <n v="15"/>
    <n v="16"/>
    <n v="20"/>
    <n v="5"/>
    <n v="11"/>
    <m/>
    <m/>
    <m/>
    <m/>
    <m/>
    <s v="IBRD"/>
    <s v=""/>
    <n v="0"/>
    <n v="16"/>
    <n v="64"/>
    <s v="B"/>
    <m/>
    <n v="4"/>
    <n v="0"/>
    <n v="1"/>
  </r>
  <r>
    <n v="137"/>
    <m/>
    <s v="Papua New Guinea"/>
    <x v="6"/>
    <x v="3"/>
    <s v="PNG"/>
    <s v="PG"/>
    <s v="http://www.slq.qld.gov.au/resources/family-history/atsi/finding/birth,-death-and-marriage"/>
    <s v="Registrar General, Office of Civil Registry, Dept for Community Development"/>
    <n v="6"/>
    <n v="1975"/>
    <n v="2"/>
    <s v="-"/>
    <s v="free"/>
    <s v="http://www.nri.org.pg/news/drspeachcompletetext_020914.htm"/>
    <s v="National Registration Service"/>
    <n v="6"/>
    <n v="2016"/>
    <s v="National ID Card"/>
    <x v="1"/>
    <n v="2"/>
    <n v="16"/>
    <s v="free"/>
    <n v="0"/>
    <n v="0"/>
    <m/>
    <m/>
    <m/>
    <m/>
    <s v="http://www.nri.org.pg/news/drspeachcompletetext_020914.htm"/>
    <n v="2016"/>
    <n v="1"/>
    <s v="2B"/>
    <s v="C"/>
    <n v="0"/>
    <n v="0"/>
    <n v="7000"/>
    <n v="10"/>
    <s v="http://www.nri.org.pg/news/drspeachcompletetext_020914.htm"/>
    <n v="5"/>
    <n v="0"/>
    <n v="0"/>
    <s v="http://www.immigration.gov.pg/passport.html"/>
    <s v="Immigration and Citizenship Service Authority"/>
    <n v="1"/>
    <n v="3"/>
    <n v="2013"/>
    <n v="5"/>
    <s v="-"/>
    <n v="0"/>
    <s v="http://www.ipa.gov.pg/business-registration-regulation-and-certification/"/>
    <n v="2007"/>
    <n v="1"/>
    <n v="1"/>
    <s v="http://www.irc.gov.pg/PDF_files/2014-11-08%20-%20TIN1%20-%20Registration.pdf"/>
    <n v="1959"/>
    <n v="0"/>
    <s v="-"/>
    <n v="0"/>
    <s v="-"/>
    <n v="0"/>
    <n v="0"/>
    <n v="7619.3209999999999"/>
    <n v="48.987737883730063"/>
    <n v="3886.788"/>
    <n v="3732.5329999999999"/>
    <n v="995.73099999999999"/>
    <n v="48.101143782808812"/>
    <n v="516.77300000000002"/>
    <n v="478.95800000000003"/>
    <n v="948.25"/>
    <n v="48.130661745320324"/>
    <n v="491.851"/>
    <n v="456.399"/>
    <n v="886.00199999999995"/>
    <n v="48.215353915679657"/>
    <n v="458.81299999999999"/>
    <n v="427.18900000000002"/>
    <n v="4789.3379999999997"/>
    <n v="49.484646938679212"/>
    <n v="2419.3509999999997"/>
    <n v="2369.9870000000001"/>
    <n v="2015"/>
    <s v="http://esa.un.org/unpd/wpp/Download/Standard/Population/"/>
    <n v="50"/>
    <n v="50"/>
    <n v="50"/>
    <s v="–"/>
    <s v="–"/>
    <n v="2014"/>
    <s v="http://unstats.un.org/unsd/demographic/CRVS/CR_coverage.htm"/>
    <n v="3637.3939999999998"/>
    <n v="47.739083312016902"/>
    <n v="1855.5169614814756"/>
    <n v="1781.8770385185242"/>
    <n v="2012"/>
    <s v="http://www.idea.int/vt/countryview.cfm?id=176"/>
    <n v="16"/>
    <n v="18"/>
    <s v="PG2012"/>
    <n v="4776.0959999999995"/>
    <n v="3637.3939999999998"/>
    <n v="6310.1289999999999"/>
    <n v="1"/>
    <n v="4"/>
    <s v="CD"/>
    <x v="1"/>
    <n v="2566.9354999999996"/>
    <n v="33.6898196046603"/>
    <n v="49.451299476807122"/>
    <n v="1297.5525385185242"/>
    <n v="1269.3829614814761"/>
    <n v="33.383671517935227"/>
    <n v="34.008619923292741"/>
    <n v="1151.944"/>
    <n v="51.053693710933516"/>
    <n v="563.83403851852404"/>
    <n v="588.10996148147592"/>
    <n v="917.12599999999998"/>
    <n v="48.17157075472727"/>
    <n v="475.33199999999999"/>
    <n v="441.79399999999998"/>
    <n v="497.8655"/>
    <n v="48.101143782808812"/>
    <n v="258.38650000000001"/>
    <n v="239.47900000000001"/>
    <n v="50"/>
    <n v="50"/>
    <n v="7321.2619999999997"/>
    <n v="48.986131079587096"/>
    <n v="2782.9939999999983"/>
    <n v="48.114395745040682"/>
    <n v="986.71299999999997"/>
    <n v="48.093277355787187"/>
    <n v="86.773191887301465"/>
    <n v="3938"/>
    <n v="600.26800000000196"/>
    <n v="48.986131079587096"/>
    <n v="1057.5377199999994"/>
    <n v="48.114395745040682"/>
    <n v="373.73227635226237"/>
    <n v="48.093277355787187"/>
    <n v="925.59799999999996"/>
    <n v="12.6426"/>
    <n v="33.90759271303525"/>
    <n v="6395.6639999999998"/>
    <n v="87.357399999999998"/>
    <n v="34.166804259886078"/>
    <n v="13.43355818164533"/>
    <n v="12.704694784089455"/>
    <n v="11.874237230627536"/>
    <n v="38.0124901963623"/>
    <n v="59.072998616905103"/>
    <n v="2.9145111867325602"/>
    <n v="62"/>
    <n v="62"/>
    <n v="62"/>
    <n v="62"/>
    <n v="62"/>
    <n v="2004"/>
    <n v="35.799999999999997"/>
    <n v="1996"/>
    <n v="2510.9507819999994"/>
    <s v="-"/>
    <s v="-"/>
    <m/>
    <n v="37"/>
    <n v="2002"/>
    <n v="62.881839752197301"/>
    <s v="eng"/>
    <n v="2"/>
    <n v="3"/>
    <s v="Yes"/>
    <s v="-"/>
    <s v="-"/>
    <s v="-"/>
    <s v="Health / Finance Ministers"/>
    <n v="0"/>
    <s v="-"/>
    <n v="1"/>
    <s v="-"/>
    <s v="P114042 (A)"/>
    <s v="-"/>
    <s v="-"/>
    <s v="-"/>
    <s v="-"/>
    <m/>
    <m/>
    <m/>
    <m/>
    <m/>
    <m/>
    <m/>
    <m/>
    <m/>
    <m/>
    <m/>
    <m/>
    <m/>
    <m/>
    <m/>
    <m/>
    <m/>
    <m/>
    <m/>
    <m/>
    <m/>
    <m/>
    <m/>
    <m/>
    <m/>
    <m/>
    <m/>
    <m/>
    <m/>
    <m/>
    <m/>
    <n v="2"/>
    <s v="common + customary"/>
    <s v="PF"/>
    <n v="3"/>
    <n v="3"/>
    <s v="-"/>
    <s v="-"/>
    <s v="-"/>
    <s v="-"/>
    <s v="-"/>
    <s v="F"/>
    <n v="29"/>
    <n v="6"/>
    <n v="13"/>
    <n v="10"/>
    <n v="5"/>
    <n v="1.7488224431872368E-2"/>
    <n v="-0.52454143762588501"/>
    <n v="-0.71252423524856567"/>
    <n v="-0.51984000205993652"/>
    <n v="-0.97733235359191895"/>
    <n v="-1.0388617515563965"/>
    <n v="188"/>
    <n v="0.12028"/>
    <n v="0"/>
    <n v="7.8700000000000003E-3"/>
    <n v="5.296E-2"/>
    <n v="0.3"/>
    <s v="-"/>
    <s v="-"/>
    <s v="-"/>
    <s v="-"/>
    <s v="-"/>
    <s v="-"/>
    <s v="-"/>
    <s v="-"/>
    <s v="-"/>
    <s v="-"/>
    <s v="-"/>
    <s v="-"/>
    <s v="-"/>
    <s v="-"/>
    <s v="-"/>
    <s v="-"/>
    <s v="-"/>
    <s v="-"/>
    <s v="-"/>
    <s v="-"/>
    <s v="-"/>
    <s v="-"/>
    <s v="-"/>
    <s v="-"/>
    <m/>
    <m/>
    <s v="APEC"/>
    <m/>
    <n v="38.200000000000003"/>
    <s v="Blend"/>
    <s v=""/>
    <n v="0"/>
    <n v="11"/>
    <n v="44"/>
    <s v="C"/>
    <m/>
    <n v="4"/>
    <n v="0"/>
    <n v="0"/>
  </r>
  <r>
    <n v="138"/>
    <m/>
    <s v="Paraguay"/>
    <x v="5"/>
    <x v="3"/>
    <s v="PRY"/>
    <s v="PY"/>
    <s v="http://www.mjt.gov.py"/>
    <s v="Registro del Estado Civil (REC)"/>
    <n v="1"/>
    <n v="1880"/>
    <n v="2"/>
    <s v="30/60 d"/>
    <s v="free"/>
    <s v="http://www.policianacional.gov.py"/>
    <s v="National Police, Ministry of Interior /  Departamento de Identificaciones - Policia Nacional del Parguay"/>
    <n v="2"/>
    <n v="2009"/>
    <s v="Cédula de Identidad"/>
    <x v="1"/>
    <n v="2"/>
    <n v="18"/>
    <s v="GS 12.90"/>
    <n v="1"/>
    <n v="1"/>
    <m/>
    <m/>
    <n v="1"/>
    <m/>
    <s v="http://www.tramitesparaguay.gov.py/cedula-de-identidad-connacionales-naturalizados/"/>
    <n v="2009"/>
    <n v="2"/>
    <s v="2B"/>
    <s v="C, S, V"/>
    <n v="0"/>
    <n v="0"/>
    <s v="-"/>
    <n v="9"/>
    <s v="http://www.prosecurityzone.com/News_Detail_Paraguay_national_id_card_system_to_be_supplied_by_l-1_6584.asp#axzz3NJqOloEG"/>
    <s v="-"/>
    <n v="1"/>
    <n v="1"/>
    <s v="http://www.tramitesparaguay.gov.py/pasaporte-policial-a-mayores-de-edad-por-primera-vez/#institucion"/>
    <s v="Police"/>
    <n v="1"/>
    <n v="2"/>
    <n v="2010"/>
    <n v="5"/>
    <s v="-"/>
    <n v="0"/>
    <s v="http://www.mic.gov.py/mic/site/inicio.php"/>
    <n v="2012"/>
    <n v="1"/>
    <n v="1"/>
    <s v="http://www.pol.una.py/cie/sites/default/files/files/reg_unico_contribuyente.pdf"/>
    <n v="2004"/>
    <n v="0"/>
    <s v="-"/>
    <n v="0"/>
    <s v="-"/>
    <n v="2"/>
    <n v="1"/>
    <n v="6639.1229999999996"/>
    <n v="49.253448083429092"/>
    <n v="3369.1260000000002"/>
    <n v="3269.9969999999998"/>
    <n v="673.78899999999999"/>
    <n v="49.020093827592909"/>
    <n v="343.49700000000001"/>
    <n v="330.29199999999997"/>
    <n v="669.63400000000001"/>
    <n v="49.066355650997409"/>
    <n v="341.06900000000002"/>
    <n v="328.565"/>
    <n v="657.19899999999996"/>
    <n v="49.027463523225087"/>
    <n v="334.99099999999999"/>
    <n v="322.20800000000003"/>
    <n v="4638.5010000000002"/>
    <n v="49.346372890724822"/>
    <n v="2349.5690000000004"/>
    <n v="2288.9319999999998"/>
    <n v="2015"/>
    <s v="http://esa.un.org/unpd/wpp/Download/Standard/Population/"/>
    <n v="76.099999999999994"/>
    <n v="76.2"/>
    <n v="76"/>
    <n v="81.900000000000006"/>
    <n v="68.7"/>
    <n v="2011"/>
    <s v="EPH"/>
    <n v="3516.2750000000001"/>
    <n v="52.962944051495967"/>
    <n v="1784.3883184044039"/>
    <n v="1731.8866815955962"/>
    <n v="2013"/>
    <s v="http://www.idea.int/vt/countryview.cfm?id=186"/>
    <n v="18"/>
    <n v="18"/>
    <s v="PY2013"/>
    <n v="3516.2750000000001"/>
    <n v="4126.9480000000003"/>
    <n v="6623.2520000000004"/>
    <n v="1"/>
    <n v="4"/>
    <s v="CD"/>
    <x v="1"/>
    <n v="1600.3746580000004"/>
    <n v="24.105211757637274"/>
    <n v="49.519711802659863"/>
    <n v="807.83524759559657"/>
    <n v="792.50091840440359"/>
    <n v="23.977590852808607"/>
    <n v="24.235524326303775"/>
    <n v="1122.2260000000001"/>
    <n v="49.637534543345417"/>
    <n v="565.18068159559652"/>
    <n v="557.04531840440359"/>
    <n v="317.11308700000012"/>
    <n v="49.252309791932348"/>
    <n v="160.90228000000002"/>
    <n v="156.18552"/>
    <n v="161.03557100000006"/>
    <n v="49.225198822687425"/>
    <n v="81.752285999999998"/>
    <n v="79.270079999999993"/>
    <n v="23.799999999999997"/>
    <n v="24"/>
    <n v="6802.2950000000001"/>
    <n v="49.597334429041965"/>
    <n v="2206.6279999999983"/>
    <n v="49.078760851268548"/>
    <n v="762.178"/>
    <n v="49.053054405178365"/>
    <n v="76.50684873381816"/>
    <n v="3516"/>
    <n v="1079.6670000000015"/>
    <n v="49.597334429041965"/>
    <n v="527.38409199999978"/>
    <n v="49.078760851268548"/>
    <n v="182.44181847370118"/>
    <n v="49.053054405178365"/>
    <n v="4283.16"/>
    <n v="62.9664"/>
    <n v="48.915263497044236"/>
    <n v="2519.1350000000002"/>
    <n v="37.0336"/>
    <n v="52.278279330008118"/>
    <n v="11.222019759673783"/>
    <n v="10.711148133824173"/>
    <n v="10.50629555229497"/>
    <n v="32.439463445792903"/>
    <n v="62.101011496855101"/>
    <n v="5.4595250573519696"/>
    <n v="76.099999999999994"/>
    <n v="76"/>
    <n v="76.2"/>
    <n v="81.900000000000006"/>
    <n v="68.7"/>
    <n v="2011"/>
    <n v="7.16"/>
    <n v="2010"/>
    <n v="472.91687999999999"/>
    <n v="32.4"/>
    <n v="2010"/>
    <n v="2128.1259599999998"/>
    <n v="34.700000000000003"/>
    <n v="2010"/>
    <n v="93.870918273925795"/>
    <s v="spa"/>
    <n v="2"/>
    <s v="-"/>
    <s v="-"/>
    <s v="-"/>
    <s v="-"/>
    <s v="-"/>
    <s v="-"/>
    <s v="-"/>
    <s v="-"/>
    <s v="-"/>
    <m/>
    <m/>
    <m/>
    <m/>
    <m/>
    <m/>
    <n v="6230143"/>
    <n v="2008"/>
    <n v="61"/>
    <n v="39"/>
    <n v="39.4"/>
    <s v="1.7 %"/>
    <n v="95"/>
    <s v="esp"/>
    <s v="25 - 33"/>
    <s v="?"/>
    <n v="1"/>
    <s v="30/60 d"/>
    <s v="-"/>
    <s v="Cédula de Identidad"/>
    <s v="free"/>
    <s v="-"/>
    <s v="http://idbdocs.iadb.org/wsdocs/getdocument.aspx?docnum=1959599"/>
    <n v="1"/>
    <s v="NIS (New Identification System)"/>
    <m/>
    <m/>
    <m/>
    <m/>
    <m/>
    <m/>
    <m/>
    <m/>
    <m/>
    <m/>
    <m/>
    <m/>
    <n v="1"/>
    <s v="civil"/>
    <s v="PF"/>
    <n v="3"/>
    <n v="3"/>
    <s v="-"/>
    <s v="-"/>
    <s v="-"/>
    <s v="-"/>
    <s v="-"/>
    <s v="PF"/>
    <n v="59"/>
    <n v="17"/>
    <n v="24"/>
    <n v="18"/>
    <n v="9"/>
    <n v="-0.13334745168685913"/>
    <n v="-0.67003297805786133"/>
    <n v="-0.88065069913864136"/>
    <n v="-0.31971809267997742"/>
    <n v="-0.82271867990493774"/>
    <n v="-1.037989616394043"/>
    <n v="122"/>
    <n v="0.374"/>
    <n v="0.25490000000000002"/>
    <n v="0.22833999999999999"/>
    <n v="0.22361"/>
    <n v="0.67"/>
    <n v="109"/>
    <n v="3.71"/>
    <n v="4.49"/>
    <n v="1.5"/>
    <n v="6.59"/>
    <s v="Law 1682 on Information of a Private Nature"/>
    <s v="http://www.redipd.org/legislacion/common/legislacion/paraguay/Ley_1682_de_2001.pdf"/>
    <n v="2002"/>
    <s v="-"/>
    <s v="Both"/>
    <s v="-"/>
    <s v="-"/>
    <s v="-"/>
    <n v="90"/>
    <n v="61"/>
    <n v="2014"/>
    <s v="http://www.rti-rating.org/files/pdf/Paraguay.pdf"/>
    <n v="2"/>
    <n v="24"/>
    <n v="18"/>
    <n v="2"/>
    <n v="7"/>
    <n v="2"/>
    <n v="6"/>
    <m/>
    <m/>
    <m/>
    <m/>
    <m/>
    <s v="IBRD"/>
    <s v=""/>
    <n v="0"/>
    <n v="15"/>
    <n v="60"/>
    <s v="B"/>
    <m/>
    <n v="4"/>
    <n v="0"/>
    <n v="0"/>
  </r>
  <r>
    <n v="139"/>
    <m/>
    <s v="Peru"/>
    <x v="5"/>
    <x v="1"/>
    <s v="PER"/>
    <s v="PE"/>
    <s v="http://www.reniec.gob.pe/portal/intro.htm"/>
    <s v="Registro Nacional de Identificación y Estado Civil (RENIEC)"/>
    <n v="6"/>
    <n v="1886"/>
    <n v="2"/>
    <s v="3/30 d"/>
    <s v="free"/>
    <s v="http://www.reniec.gob.pe/portal/homeDepartamento.htm"/>
    <s v="RENIEC (National Registry of Identification and Civil Status)"/>
    <n v="6"/>
    <n v="1995"/>
    <s v="CUI (Código Único de Identificación) / DNI (Documento Nacional de Identidad)"/>
    <x v="1"/>
    <n v="2"/>
    <n v="17"/>
    <s v="PEN 24 ($795)"/>
    <n v="1"/>
    <n v="1"/>
    <s v="http://en.wikipedia.org/wiki/National_Registry_of_Identification_and_Civil_Status"/>
    <n v="1"/>
    <n v="1"/>
    <n v="1"/>
    <s v="http://www.reniec.gob.pe/portal/homeDepartamento.htm"/>
    <n v="2001"/>
    <n v="2"/>
    <n v="2"/>
    <s v="C, H, F, R, S, V"/>
    <n v="0"/>
    <n v="0"/>
    <s v="-"/>
    <n v="9"/>
    <s v="http://www.reniec.gob.pe/portal/pdf/01_dnie.pdf"/>
    <s v="-"/>
    <n v="1"/>
    <n v="1"/>
    <s v="http://www.migraciones.gob.pe/"/>
    <s v="Migration Department"/>
    <n v="1"/>
    <n v="2"/>
    <n v="2010"/>
    <n v="5"/>
    <s v="-"/>
    <n v="0"/>
    <s v="https://www.sunarp.gob.pe/qsomos.asp"/>
    <n v="2014"/>
    <n v="1"/>
    <n v="1"/>
    <s v="http://www.sunat.gob.pe/legislacion/ruc/"/>
    <n v="2004"/>
    <n v="0"/>
    <s v="-"/>
    <n v="0"/>
    <s v="-"/>
    <n v="3"/>
    <n v="1"/>
    <n v="31376.67"/>
    <n v="50.048529687822196"/>
    <n v="15673.108"/>
    <n v="15703.562"/>
    <n v="3020.0320000000002"/>
    <n v="48.96928244468932"/>
    <n v="1541.144"/>
    <n v="1478.8879999999999"/>
    <n v="2903.953"/>
    <n v="48.998244806303681"/>
    <n v="1481.067"/>
    <n v="1422.886"/>
    <n v="2828.7310000000002"/>
    <n v="48.858693173723481"/>
    <n v="1446.65"/>
    <n v="1382.0809999999999"/>
    <n v="22623.953999999998"/>
    <n v="50.47617671075534"/>
    <n v="11204.247000000001"/>
    <n v="11419.706999999999"/>
    <n v="2015"/>
    <s v="http://esa.un.org/unpd/wpp/Download/Standard/Population/"/>
    <n v="95.6"/>
    <n v="95.6"/>
    <n v="95.6"/>
    <n v="96.4"/>
    <n v="94.2"/>
    <n v="2012"/>
    <s v="ENDES (prelim)"/>
    <n v="19949.915000000001"/>
    <n v="63.582002169127584"/>
    <n v="9965.2758685297067"/>
    <n v="9984.6391314702942"/>
    <n v="2011"/>
    <s v="http://www.idea.int/vt/countryview.cfm?id=174"/>
    <n v="17"/>
    <n v="18"/>
    <s v="PE2011"/>
    <n v="19949.915000000001"/>
    <n v="19106.921999999999"/>
    <n v="29248.942999999999"/>
    <n v="1"/>
    <n v="4"/>
    <s v="CD"/>
    <x v="1"/>
    <n v="3059.1585039999973"/>
    <n v="9.7497870360366399"/>
    <n v="53.072029004277631"/>
    <n v="1435.6010154702947"/>
    <n v="1623.5574885297044"/>
    <n v="9.159644758846138"/>
    <n v="10.338784847219404"/>
    <n v="2674.038999999997"/>
    <n v="53.666676833423367"/>
    <n v="1238.9711314702945"/>
    <n v="1435.0678685297044"/>
    <n v="252.23809600000024"/>
    <n v="48.929384560530451"/>
    <n v="128.81954800000011"/>
    <n v="123.4185480000001"/>
    <n v="132.88140800000014"/>
    <n v="48.96928244468932"/>
    <n v="67.810336000000063"/>
    <n v="65.071072000000058"/>
    <n v="4.4000000000000039"/>
    <n v="4.4000000000000039"/>
    <n v="30375.602999999999"/>
    <n v="49.885926544404732"/>
    <n v="8739.0119999999988"/>
    <n v="49.059344465941948"/>
    <n v="2924.395"/>
    <n v="48.962079220432912"/>
    <n v="99"/>
    <n v="21420.225089999996"/>
    <n v="216.36591000000018"/>
    <n v="49.885926544404732"/>
    <n v="384.51652800000028"/>
    <n v="49.059344465941948"/>
    <n v="128.74818431667634"/>
    <n v="48.962079220432912"/>
    <n v="23665.632000000001"/>
    <n v="77.91"/>
    <n v="50.164508600488681"/>
    <n v="6709.9709999999995"/>
    <n v="22.090000000000003"/>
    <n v="60.706178908969953"/>
    <n v="9.633043657129301"/>
    <n v="9.5664276927962142"/>
    <n v="9.5703673920411862"/>
    <n v="28.769838741966701"/>
    <n v="64.838258519509907"/>
    <n v="6.3919027385234104"/>
    <n v="95.6"/>
    <n v="95.6"/>
    <n v="95.6"/>
    <n v="96.4"/>
    <n v="94.2"/>
    <n v="2012"/>
    <n v="4.91"/>
    <n v="2010"/>
    <n v="1440.5910330000002"/>
    <n v="27.8"/>
    <n v="2011"/>
    <n v="8173.1491260000003"/>
    <n v="25.8"/>
    <n v="2012"/>
    <n v="93.841728210449205"/>
    <s v="spa"/>
    <n v="3"/>
    <n v="1"/>
    <s v="-"/>
    <s v="-"/>
    <s v="Works within PAHO regional plan, &amp; with other partners"/>
    <s v="-"/>
    <s v="PAHO RC commitment "/>
    <n v="0.93"/>
    <n v="0.66"/>
    <n v="1"/>
    <s v="-"/>
    <s v="P131029 (A)"/>
    <s v="-"/>
    <s v="-"/>
    <s v="-"/>
    <s v="P131029 (A)"/>
    <n v="28220764"/>
    <n v="2007"/>
    <n v="75.900000000000006"/>
    <n v="24.1"/>
    <n v="34.799999999999997"/>
    <s v="15.7 %"/>
    <n v="90"/>
    <s v="esp"/>
    <n v="7"/>
    <n v="5.2"/>
    <n v="3"/>
    <s v="3/30 d"/>
    <s v="-"/>
    <s v="DNI (Documento Nacional de Identidad)"/>
    <s v="PEN 24 ($795)"/>
    <s v="CUI (Código Único de Identificación)"/>
    <s v="http://idbdocs.iadb.org/wsdocs/getdocument.aspx?docnum=1959542"/>
    <n v="1"/>
    <s v="RENIEC (civil registry + ID)"/>
    <m/>
    <m/>
    <m/>
    <m/>
    <m/>
    <m/>
    <m/>
    <m/>
    <m/>
    <m/>
    <m/>
    <m/>
    <n v="1"/>
    <s v="civil"/>
    <s v="F"/>
    <n v="2"/>
    <n v="3"/>
    <s v="-"/>
    <s v="-"/>
    <s v="-"/>
    <s v="-"/>
    <s v="-"/>
    <s v="PF"/>
    <n v="44"/>
    <n v="14"/>
    <n v="18"/>
    <n v="12"/>
    <n v="9"/>
    <n v="3.7614025175571442E-2"/>
    <n v="-0.77206969261169434"/>
    <n v="-0.14240473508834839"/>
    <n v="0.45202887058258057"/>
    <n v="-0.60944223403930664"/>
    <n v="-0.43786224722862244"/>
    <n v="72"/>
    <n v="0.54354000000000002"/>
    <n v="0.70587999999999995"/>
    <n v="0.62992000000000004"/>
    <n v="0.27179999999999999"/>
    <n v="0.72889999999999999"/>
    <n v="105"/>
    <n v="4"/>
    <n v="4.54"/>
    <n v="1.69"/>
    <n v="7.53"/>
    <s v="Law on Protection of Personal Data"/>
    <s v="https://www.huntonprivacyblog.com/uploads/file/Peru%20Data%20Protection%20Law%20July%2028_EN%20_2_.pdf"/>
    <n v="2011"/>
    <n v="2011"/>
    <s v="Both"/>
    <s v="National Authority for Data Protection"/>
    <s v="http://www.minjus.gob.pe/proteccion-de-datos-personales/"/>
    <s v="ICDPPC; RedIPD; APPA"/>
    <n v="38"/>
    <n v="93"/>
    <n v="2003"/>
    <s v="http://www.rti-rating.org/files/pdf/Peru.pdf"/>
    <n v="4"/>
    <n v="29"/>
    <n v="17"/>
    <n v="17"/>
    <n v="14"/>
    <n v="4"/>
    <n v="8"/>
    <m/>
    <m/>
    <s v="APEC"/>
    <m/>
    <m/>
    <s v="IBRD"/>
    <s v=""/>
    <n v="0"/>
    <n v="16"/>
    <n v="64"/>
    <s v="B"/>
    <m/>
    <n v="3"/>
    <n v="0"/>
    <n v="0"/>
  </r>
  <r>
    <n v="140"/>
    <m/>
    <s v="Philippines"/>
    <x v="6"/>
    <x v="3"/>
    <s v="PHL"/>
    <s v="PH"/>
    <s v="https://www.ecensus.com.ph/Default.aspx"/>
    <s v="Civil Registrar General, National Statistics Office"/>
    <n v="6"/>
    <n v="1889"/>
    <n v="2"/>
    <s v="30 d"/>
    <s v="free"/>
    <s v="https://www.ecensus.com.ph/Default.aspx"/>
    <s v="Civil Registrar General, National Statistics Office"/>
    <n v="6"/>
    <n v="2010"/>
    <s v="UMID (Unified Multi-Purpose ID Card)"/>
    <x v="1"/>
    <n v="2"/>
    <n v="18"/>
    <s v="free"/>
    <n v="0"/>
    <n v="0"/>
    <m/>
    <n v="1"/>
    <n v="1"/>
    <m/>
    <s v="-"/>
    <s v="-"/>
    <n v="0"/>
    <n v="1"/>
    <s v="-"/>
    <s v="-"/>
    <s v="-"/>
    <s v="-"/>
    <n v="0"/>
    <s v="-"/>
    <s v="-"/>
    <n v="0"/>
    <n v="0"/>
    <s v="http://passport.com.ph/"/>
    <s v="Department of Foreign Affairs and Trade"/>
    <n v="2"/>
    <n v="3"/>
    <n v="2008"/>
    <n v="5"/>
    <n v="12000"/>
    <n v="0"/>
    <s v="http://iregister.sec.gov.ph/MainServlet?param=search"/>
    <n v="2010"/>
    <n v="1"/>
    <n v="1"/>
    <s v="http://www.bir.gov.ph/index.php/tax-code.html"/>
    <n v="2005"/>
    <n v="0"/>
    <s v="-"/>
    <n v="0"/>
    <s v="-"/>
    <n v="3"/>
    <n v="1"/>
    <n v="100699.395"/>
    <n v="49.540356225576133"/>
    <n v="50812.555999999997"/>
    <n v="49886.839"/>
    <n v="11254.960999999999"/>
    <n v="48.691070542136934"/>
    <n v="5774.8"/>
    <n v="5480.1610000000001"/>
    <n v="10651.592000000001"/>
    <n v="48.768672326164953"/>
    <n v="5456.9520000000002"/>
    <n v="5194.6400000000003"/>
    <n v="10265.429"/>
    <n v="47.872855581583593"/>
    <n v="5351.0749999999998"/>
    <n v="4914.3540000000003"/>
    <n v="68527.413"/>
    <n v="50.049582347432263"/>
    <n v="34229.728999999999"/>
    <n v="34297.684000000001"/>
    <n v="2015"/>
    <s v="http://esa.un.org/unpd/wpp/Download/Standard/Population/"/>
    <n v="90.2"/>
    <n v="90.2"/>
    <n v="90.2"/>
    <s v="–"/>
    <s v="–"/>
    <n v="2010"/>
    <s v="Census"/>
    <n v="54363.843999999997"/>
    <n v="53.986266749666164"/>
    <n v="26311.705999999998"/>
    <n v="28052.137999999999"/>
    <n v="2016"/>
    <s v="http://www.comelec.gov.ph/?r=Archives/RegularElections/2016NLE/Statistics/Philippine2016VotersProfile/ByAgeGroup"/>
    <n v="18"/>
    <n v="18"/>
    <s v="PH2013"/>
    <n v="52014.648000000001"/>
    <n v="62422.906999999999"/>
    <n v="105720.644"/>
    <n v="10"/>
    <n v="4"/>
    <s v="CD"/>
    <x v="0"/>
    <n v="17316.423236000002"/>
    <n v="17.196154193379218"/>
    <n v="44.889658124315901"/>
    <n v="9543.1400460000004"/>
    <n v="7773.2831900000019"/>
    <n v="18.781066722957217"/>
    <n v="15.581831492670847"/>
    <n v="14163.569000000003"/>
    <n v="44.095849005289558"/>
    <n v="7918.023000000001"/>
    <n v="6245.5460000000021"/>
    <n v="2049.8680579999996"/>
    <n v="48.329033087455429"/>
    <n v="1059.1866459999997"/>
    <n v="990.6814119999998"/>
    <n v="1102.9861779999997"/>
    <n v="48.691070542136941"/>
    <n v="565.93039999999985"/>
    <n v="537.05577799999992"/>
    <n v="9.7999999999999972"/>
    <n v="9.7999999999999989"/>
    <n v="98393.573999999993"/>
    <n v="49.907046775229446"/>
    <n v="33592.525000000016"/>
    <n v="48.828291413045072"/>
    <n v="11334.353999999999"/>
    <n v="48.751000939941648"/>
    <n v="52.86"/>
    <n v="34253.834501399986"/>
    <n v="30547.214498599991"/>
    <n v="49.907046775229446"/>
    <n v="3292.0674500000009"/>
    <n v="48.828291413045072"/>
    <n v="1119.5002676403531"/>
    <n v="48.751000939941648"/>
    <n v="48567.855000000003"/>
    <n v="49.360799999999998"/>
    <n v="30.665735598164673"/>
    <n v="49825.718999999997"/>
    <n v="50.639200000000002"/>
    <n v="30.550967061809985"/>
    <n v="11.609977821091361"/>
    <n v="11.347483033739811"/>
    <n v="11.183513636043608"/>
    <n v="34.140974490874797"/>
    <n v="61.959104158570398"/>
    <n v="3.89992135055487"/>
    <n v="90.2"/>
    <n v="90.2"/>
    <n v="90.2"/>
    <n v="90.2"/>
    <n v="90.2"/>
    <n v="2010"/>
    <n v="18.420000000000002"/>
    <n v="2009"/>
    <n v="17452.773519999999"/>
    <n v="26.5"/>
    <n v="2009"/>
    <n v="25135.787949999998"/>
    <n v="26.5"/>
    <n v="2009"/>
    <n v="95.420097351074205"/>
    <s v="spa"/>
    <n v="3"/>
    <n v="1"/>
    <s v="Yes"/>
    <s v="Completed"/>
    <s v="Plan and Committee"/>
    <s v="Yes "/>
    <s v="Through UNESCAP in 2-14"/>
    <n v="0.83"/>
    <n v="0.92"/>
    <n v="3"/>
    <s v="-"/>
    <s v="P153446 (P); P153744 (P)"/>
    <s v="P101964 (C)"/>
    <s v="-"/>
    <s v="-"/>
    <s v="P153446 (P); P153744 (P)"/>
    <m/>
    <m/>
    <m/>
    <m/>
    <m/>
    <m/>
    <m/>
    <m/>
    <m/>
    <m/>
    <m/>
    <m/>
    <m/>
    <m/>
    <m/>
    <m/>
    <m/>
    <m/>
    <m/>
    <n v="1"/>
    <s v="Voter Registration"/>
    <n v="1"/>
    <s v="UMID (social transfers) + 4Ps (payments)"/>
    <n v="1"/>
    <s v="BEVS (Biometric Electronic Voting System) for parliamentarians"/>
    <m/>
    <m/>
    <m/>
    <m/>
    <m/>
    <m/>
    <n v="1"/>
    <s v="civil + common"/>
    <s v="PF"/>
    <n v="3"/>
    <n v="3"/>
    <s v="F"/>
    <n v="27"/>
    <n v="10"/>
    <n v="5"/>
    <n v="12"/>
    <s v="PF"/>
    <n v="44"/>
    <n v="13"/>
    <n v="21"/>
    <n v="10"/>
    <n v="8"/>
    <n v="-1.2128278613090515E-2"/>
    <n v="-1.0594942569732666"/>
    <n v="5.9292584657669067E-2"/>
    <n v="-7.1659818291664124E-2"/>
    <n v="-0.4270918071269989"/>
    <n v="-0.40074402093887329"/>
    <n v="95"/>
    <n v="0.47681000000000001"/>
    <n v="0.56862000000000001"/>
    <n v="0.48031000000000001"/>
    <n v="0.24507999999999999"/>
    <n v="0.70509999999999995"/>
    <n v="103"/>
    <n v="4.0199999999999996"/>
    <n v="4.3"/>
    <n v="2.2799999999999998"/>
    <n v="6.93"/>
    <s v="Data Privacy Act"/>
    <s v="http://www.gov.ph/2012/08/15/republic-act-no-10173/"/>
    <n v="2012"/>
    <s v="-"/>
    <s v="-"/>
    <s v="National Privacy Commission"/>
    <s v="http://www.edrm.net/resources/data-privacy-protection/data-protection-laws-2013/philippines"/>
    <s v="-"/>
    <s v="-"/>
    <s v="-"/>
    <n v="2013"/>
    <s v="http://www.congress.gov.ph/download/basic_16/HB00019.pdf"/>
    <s v="-"/>
    <s v="-"/>
    <s v="-"/>
    <s v="-"/>
    <s v="-"/>
    <s v="-"/>
    <s v="-"/>
    <m/>
    <m/>
    <s v="APEC"/>
    <m/>
    <m/>
    <s v="IBRD"/>
    <s v=""/>
    <n v="0"/>
    <n v="14"/>
    <n v="56.000000000000007"/>
    <s v="B"/>
    <m/>
    <n v="3"/>
    <n v="0"/>
    <n v="0"/>
  </r>
  <r>
    <n v="141"/>
    <m/>
    <s v="Poland"/>
    <x v="1"/>
    <x v="2"/>
    <s v="POL"/>
    <s v="PL"/>
    <s v="https://www.msw.gov.pl"/>
    <s v="Min of Interior"/>
    <n v="2"/>
    <n v="1808"/>
    <n v="2"/>
    <s v="14 d"/>
    <s v="free"/>
    <s v="https://msw.gov.pl/pl/sprawy-obywatelskie/ewidencja-ludnosci-dowo/dowody-osobiste/4532,Informacje-ogolne.html"/>
    <s v="Wójt/Mayor/President of the City"/>
    <n v="5"/>
    <n v="2002"/>
    <s v="Dowód Osobisty (Identity Card)"/>
    <x v="1"/>
    <n v="2"/>
    <n v="18"/>
    <s v="free"/>
    <n v="1"/>
    <n v="1"/>
    <s v="http://en.wikipedia.org/wiki/Polish_identity_card"/>
    <n v="1"/>
    <n v="1"/>
    <m/>
    <s v="https://msw.gov.pl/pl/sprawy-obywatelskie/ewidencja-ludnosci-dowo/dowody-osobiste/4532,Informacje-ogolne.html"/>
    <n v="2008"/>
    <n v="2"/>
    <n v="2"/>
    <s v="C, F, H, R, S, V"/>
    <n v="0"/>
    <n v="0"/>
    <s v="-"/>
    <n v="5"/>
    <s v="http://www.trueb.ee/services-and-products/documents/id-cards"/>
    <s v="-"/>
    <n v="0"/>
    <n v="0"/>
    <s v="http://www.paszporty.mswia.gov.pl/portal/"/>
    <s v="Ministry of Interior"/>
    <n v="2"/>
    <n v="2"/>
    <n v="2006"/>
    <n v="5"/>
    <n v="7500"/>
    <n v="1"/>
    <s v="http://ms.gov.pl/en/national-registers/national-court-register/general-information-on-the-national-court-register/"/>
    <n v="2001"/>
    <n v="1"/>
    <n v="1"/>
    <s v="http://pl.wikipedia.org/wiki/NIP"/>
    <n v="1995"/>
    <n v="0"/>
    <s v="-"/>
    <n v="0"/>
    <s v="-"/>
    <n v="3"/>
    <n v="1"/>
    <n v="38611.794000000002"/>
    <n v="51.6373494585618"/>
    <n v="18673.687000000002"/>
    <n v="19938.107"/>
    <n v="1994.4970000000001"/>
    <n v="48.659586853226649"/>
    <n v="1023.9829999999999"/>
    <n v="970.51400000000001"/>
    <n v="2010.9639999999999"/>
    <n v="48.665167551482774"/>
    <n v="1032.325"/>
    <n v="978.63900000000001"/>
    <n v="1765.566"/>
    <n v="48.707496632807832"/>
    <n v="905.60299999999995"/>
    <n v="859.96299999999997"/>
    <n v="32840.767"/>
    <n v="52.15770691348348"/>
    <n v="15711.776000000002"/>
    <n v="17128.991000000002"/>
    <n v="2015"/>
    <s v="http://esa.un.org/unpd/wpp/Download/Standard/Population/"/>
    <n v="100"/>
    <n v="100"/>
    <n v="100"/>
    <s v="–"/>
    <s v="–"/>
    <n v="2011"/>
    <s v="UNSD "/>
    <n v="30709.280999999999"/>
    <n v="79.533421834789635"/>
    <n v="14851.822253818278"/>
    <n v="15857.458746181721"/>
    <n v="2015"/>
    <s v="http://prezydent2015.pkw.gov.pl/aktualnosci/7_Statystyka"/>
    <n v="18"/>
    <n v="18"/>
    <s v="PL2015"/>
    <n v="30709.280999999999"/>
    <n v="31568.464"/>
    <n v="38301.885000000002"/>
    <n v="1"/>
    <n v="4"/>
    <s v="CD"/>
    <x v="1"/>
    <n v="2131.4860000000008"/>
    <n v="5.5202977618703777"/>
    <n v="59.654731666934737"/>
    <n v="859.95374618172355"/>
    <n v="1271.5322538182809"/>
    <n v="4.6051631163236451"/>
    <n v="6.3773970809680227"/>
    <n v="2131.4860000000008"/>
    <n v="59.654731666934737"/>
    <n v="859.95374618172355"/>
    <n v="1271.5322538182809"/>
    <n v="0"/>
    <n v="0"/>
    <n v="0"/>
    <n v="0"/>
    <n v="0"/>
    <n v="0"/>
    <n v="0"/>
    <n v="0"/>
    <n v="0"/>
    <n v="0"/>
    <n v="38530.724999999999"/>
    <n v="51.726151013249812"/>
    <n v="5766.2435512251486"/>
    <n v="48.545616481229622"/>
    <n v="2061.3429999999998"/>
    <n v="48.580552457321147"/>
    <n v="99.777515216752349"/>
    <n v="38445"/>
    <n v="72.895985533525248"/>
    <n v="51.726151013249812"/>
    <n v="0"/>
    <n v="48.545616481229622"/>
    <n v="0"/>
    <n v="48.580552457321147"/>
    <n v="23424.523000000001"/>
    <n v="60.794400000000003"/>
    <n v="52.964766881272254"/>
    <n v="15106.201999999999"/>
    <n v="39.205599999999997"/>
    <n v="53.95896334498903"/>
    <n v="5.3208869412408752"/>
    <n v="4.9045054483658967"/>
    <n v="4.7399216552236858"/>
    <n v="14.965312880111"/>
    <n v="70.601621519006102"/>
    <n v="14.433065600882999"/>
    <n v="100"/>
    <n v="100"/>
    <n v="100"/>
    <n v="100"/>
    <n v="100"/>
    <n v="2011"/>
    <n v="7.0000000000000007E-2"/>
    <n v="2011"/>
    <n v="27"/>
    <n v="10.6"/>
    <n v="2008"/>
    <n v="4050.8959999999997"/>
    <n v="10.6"/>
    <n v="2008"/>
    <n v="99.747627258300795"/>
    <s v="pol"/>
    <n v="0"/>
    <s v="-"/>
    <s v="-"/>
    <s v="-"/>
    <s v="-"/>
    <s v="-"/>
    <s v="-"/>
    <s v="-"/>
    <s v="-"/>
    <s v="-"/>
    <m/>
    <m/>
    <m/>
    <m/>
    <m/>
    <m/>
    <m/>
    <m/>
    <m/>
    <m/>
    <m/>
    <m/>
    <m/>
    <m/>
    <m/>
    <m/>
    <m/>
    <m/>
    <m/>
    <m/>
    <m/>
    <m/>
    <m/>
    <m/>
    <m/>
    <m/>
    <m/>
    <m/>
    <m/>
    <m/>
    <m/>
    <m/>
    <m/>
    <m/>
    <m/>
    <m/>
    <m/>
    <n v="1"/>
    <s v="civil"/>
    <s v="F"/>
    <n v="1"/>
    <n v="1"/>
    <s v="-"/>
    <s v="-"/>
    <s v="-"/>
    <s v="-"/>
    <s v="-"/>
    <s v="F"/>
    <n v="27"/>
    <n v="9"/>
    <n v="11"/>
    <n v="7"/>
    <n v="10"/>
    <n v="0.9729536771774292"/>
    <n v="0.94758880138397217"/>
    <n v="0.70816975831985474"/>
    <n v="1.0480937957763672"/>
    <n v="0.78531491756439209"/>
    <n v="0.54821187257766724"/>
    <n v="42"/>
    <n v="0.64822000000000002"/>
    <n v="0.49019000000000001"/>
    <n v="0.54330000000000001"/>
    <n v="0.56181999999999999"/>
    <n v="0.83960000000000001"/>
    <n v="44"/>
    <n v="6.6"/>
    <n v="7.04"/>
    <n v="4.9400000000000004"/>
    <n v="9.01"/>
    <s v="Act on the Protection of Personal Data"/>
    <s v="http://www.giodo.gov.pl/144/id_art/171/j/en/"/>
    <n v="1997"/>
    <n v="2004"/>
    <s v="Both"/>
    <s v="Inspector General for Personal Data Protection"/>
    <s v="http://www.cnpd.pt/"/>
    <s v="ICDPPC; EDPA; A29WP; CEEDPA; GPEN"/>
    <n v="89"/>
    <n v="62"/>
    <n v="2001"/>
    <s v="http://www.rti-rating.org/files/pdf/Poland.pdf"/>
    <n v="4"/>
    <n v="27"/>
    <n v="15"/>
    <n v="10"/>
    <n v="3"/>
    <n v="1"/>
    <n v="2"/>
    <s v="EU"/>
    <s v="OECD"/>
    <m/>
    <m/>
    <m/>
    <s v="IBRD"/>
    <s v=""/>
    <n v="0"/>
    <n v="17"/>
    <n v="68"/>
    <s v="B"/>
    <m/>
    <n v="5"/>
    <n v="0"/>
    <n v="0"/>
  </r>
  <r>
    <n v="142"/>
    <m/>
    <s v="Portugal"/>
    <x v="3"/>
    <x v="2"/>
    <s v="PRT"/>
    <s v="PT"/>
    <s v="http://www.irn.mj.pt/IRN/sections/irn/a_registral/registo-civil/docs-do-civil/registo-de-nascimento/"/>
    <s v="The Institute of Registries and Notaries, IP (IRN, IP)"/>
    <n v="6"/>
    <n v="1911"/>
    <n v="2"/>
    <s v="20 d"/>
    <s v="free"/>
    <s v="http://www.cartaodecidadao.pt"/>
    <s v="Civil Assistance Center (Loja do Cidadão), Director General of Registries and Notaries"/>
    <n v="6"/>
    <n v="2008"/>
    <s v="Citizen Card (Cartão de Cidadão) &lt; Previously: Bilhete de Identidade"/>
    <x v="1"/>
    <n v="2"/>
    <n v="10"/>
    <s v="free"/>
    <n v="1"/>
    <n v="1"/>
    <s v="http://en.wikipedia.org/wiki/Citizen_Card_(Portugal)"/>
    <n v="1"/>
    <n v="1"/>
    <m/>
    <s v="http://www.cartaodecidadao.pt/index.php%3Foption=com_content&amp;task=view&amp;id=17&amp;Itemid=26&amp;lang=pt.html"/>
    <n v="2008"/>
    <n v="3"/>
    <s v="4B"/>
    <s v="C, H, R, S, V"/>
    <n v="1"/>
    <n v="1"/>
    <n v="7000"/>
    <n v="1"/>
    <s v="http://www.gemalto.com/govt/customer-cases/portugal-id"/>
    <s v="-"/>
    <n v="0"/>
    <n v="0"/>
    <s v="http://www.pep.pt/"/>
    <s v="PEP"/>
    <n v="2"/>
    <n v="5"/>
    <n v="2006"/>
    <n v="10"/>
    <n v="2000"/>
    <n v="1"/>
    <s v="http://www.irn.mj.pt/sections/empresas"/>
    <n v="2012"/>
    <n v="1"/>
    <n v="1"/>
    <s v="http://pt.wikipedia.org/wiki/N%C3%BAmero_de_identifica%C3%A7%C3%A3o_fiscal"/>
    <n v="1979"/>
    <n v="0"/>
    <s v="-"/>
    <n v="0"/>
    <s v="-"/>
    <n v="3"/>
    <n v="1"/>
    <n v="10374.822"/>
    <n v="52.542164096887632"/>
    <n v="4923.6660000000002"/>
    <n v="5451.1559999999999"/>
    <n v="438.78100000000001"/>
    <n v="48.557025030710079"/>
    <n v="225.72200000000001"/>
    <n v="213.059"/>
    <n v="488.90499999999997"/>
    <n v="48.943046195068575"/>
    <n v="249.62"/>
    <n v="239.285"/>
    <n v="526.80499999999995"/>
    <n v="48.831920729681769"/>
    <n v="269.55599999999998"/>
    <n v="257.24900000000002"/>
    <n v="8920.3309999999983"/>
    <n v="53.154563434921876"/>
    <n v="4178.7680000000009"/>
    <n v="4741.5630000000001"/>
    <n v="2015"/>
    <s v="http://esa.un.org/unpd/wpp/Download/Standard/Population/"/>
    <n v="100"/>
    <n v="100"/>
    <n v="100"/>
    <s v="–"/>
    <s v="–"/>
    <n v="2011"/>
    <s v="UNSD "/>
    <n v="10374.822"/>
    <n v="100"/>
    <n v="4923.6660000000002"/>
    <n v="5451.1559999999999"/>
    <n v="2015"/>
    <s v="https://www.ine.pt/xportal/xmain?xpid=INE&amp;xpgid=ine_indicadores&amp;indOcorrCod=0006030&amp;contexto=bd&amp;selTab=tab2"/>
    <n v="10"/>
    <n v="18"/>
    <s v="PT2015"/>
    <n v="9684.9220000000005"/>
    <n v="8757.8780000000006"/>
    <n v="10825.308999999999"/>
    <n v="20"/>
    <n v="5"/>
    <s v="CD"/>
    <x v="2"/>
    <n v="0"/>
    <n v="0"/>
    <n v="0"/>
    <n v="0"/>
    <n v="0"/>
    <n v="0"/>
    <n v="0"/>
    <n v="0"/>
    <n v="0"/>
    <n v="0"/>
    <n v="0"/>
    <n v="0"/>
    <n v="0"/>
    <n v="0"/>
    <n v="0"/>
    <n v="0"/>
    <n v="0"/>
    <n v="0"/>
    <n v="0"/>
    <n v="0"/>
    <n v="0"/>
    <n v="10459.806"/>
    <n v="51.55498103884527"/>
    <n v="1545.0113155145934"/>
    <n v="48.583739148832578"/>
    <n v="479.21600000000001"/>
    <n v="48.513744167379087"/>
    <n v="99.686361295802229"/>
    <n v="10427"/>
    <n v="27.960246530311863"/>
    <n v="51.55498103884527"/>
    <n v="0"/>
    <n v="48.583739148832578"/>
    <n v="0"/>
    <n v="48.513744167379087"/>
    <n v="6496.8779999999997"/>
    <n v="62.1128"/>
    <n v="52.188528089953358"/>
    <n v="3962.9279999999999"/>
    <n v="37.8872"/>
    <n v="89.526128155747458"/>
    <n v="4.556824427451561"/>
    <n v="5.0286029772094043"/>
    <n v="5.1855062053887808"/>
    <n v="14.770936626497599"/>
    <n v="66.458638051702906"/>
    <n v="18.7704253217996"/>
    <n v="100"/>
    <n v="100"/>
    <n v="100"/>
    <n v="100"/>
    <n v="100"/>
    <n v="2011"/>
    <s v="-"/>
    <s v="-"/>
    <m/>
    <s v="-"/>
    <s v="-"/>
    <m/>
    <n v="18"/>
    <n v="2006"/>
    <n v="94.47705078125"/>
    <s v="por"/>
    <n v="0"/>
    <s v="-"/>
    <s v="-"/>
    <s v="-"/>
    <s v="-"/>
    <s v="-"/>
    <s v="-"/>
    <s v="-"/>
    <s v="-"/>
    <s v="-"/>
    <m/>
    <m/>
    <m/>
    <m/>
    <m/>
    <m/>
    <m/>
    <m/>
    <m/>
    <m/>
    <m/>
    <m/>
    <m/>
    <m/>
    <m/>
    <m/>
    <m/>
    <m/>
    <m/>
    <m/>
    <m/>
    <m/>
    <m/>
    <n v="2"/>
    <m/>
    <m/>
    <m/>
    <m/>
    <m/>
    <m/>
    <m/>
    <m/>
    <m/>
    <m/>
    <m/>
    <m/>
    <m/>
    <n v="1"/>
    <s v="civil"/>
    <s v="F"/>
    <n v="1"/>
    <n v="1"/>
    <s v="-"/>
    <s v="-"/>
    <s v="-"/>
    <s v="-"/>
    <s v="-"/>
    <s v="F"/>
    <n v="18"/>
    <n v="5"/>
    <n v="7"/>
    <n v="6"/>
    <n v="10"/>
    <n v="1.0409666299819946"/>
    <n v="0.74059635400772095"/>
    <n v="1.227469801902771"/>
    <n v="0.78678429126739502"/>
    <n v="1.03294837474823"/>
    <n v="0.91559857130050659"/>
    <n v="37"/>
    <n v="0.68996000000000002"/>
    <n v="0.64705000000000001"/>
    <n v="0.63778999999999997"/>
    <n v="0.60943000000000003"/>
    <n v="0.82269999999999999"/>
    <n v="43"/>
    <n v="6.67"/>
    <n v="7.67"/>
    <n v="4.6100000000000003"/>
    <n v="8.77"/>
    <s v="Lei da proteçao de dados pessoais"/>
    <s v="http://www.cnpd.pt/bin/legis/nacional/lei_6798.htm"/>
    <n v="1991"/>
    <n v="1998"/>
    <s v="Both"/>
    <s v="National Data Protection Commission"/>
    <s v="http://www.cnpd.pt/"/>
    <s v="ICDPPC; A29WP; EDPA; RedIPD"/>
    <n v="68"/>
    <n v="73"/>
    <n v="1993"/>
    <s v="http://www.rti-rating.org/files/pdf/Portugal.pdf"/>
    <n v="4"/>
    <n v="22"/>
    <n v="19"/>
    <n v="10"/>
    <n v="14"/>
    <n v="0"/>
    <n v="4"/>
    <s v="EU"/>
    <s v="OECD"/>
    <m/>
    <m/>
    <m/>
    <s v=".."/>
    <s v="EMU"/>
    <n v="0"/>
    <n v="20"/>
    <n v="80"/>
    <s v="A"/>
    <m/>
    <n v="5"/>
    <n v="0"/>
    <n v="0"/>
  </r>
  <r>
    <n v="143"/>
    <m/>
    <s v="Qatar"/>
    <x v="2"/>
    <x v="2"/>
    <s v="QAT"/>
    <s v="QA"/>
    <s v="http://www.sch.gov.qa/births-n-deaths"/>
    <s v="Supreme Council fo Health"/>
    <n v="3"/>
    <n v="2005"/>
    <n v="2"/>
    <s v="60 d"/>
    <s v="20 QR"/>
    <s v="http://www.moi.gov.qa/site/Arabic/index.html"/>
    <s v="Ministry of Interior"/>
    <n v="2"/>
    <n v="2007"/>
    <s v="Qatari ID Card"/>
    <x v="1"/>
    <n v="2"/>
    <n v="15"/>
    <s v="QR 100"/>
    <n v="0"/>
    <n v="0"/>
    <s v="http://en.wikipedia.org/w/index.php?title=Qatari_ID_Card&amp;action=edit&amp;redlink=1"/>
    <n v="1"/>
    <n v="1"/>
    <m/>
    <s v="http://portal.www.gov.qa"/>
    <n v="2007"/>
    <n v="2"/>
    <s v="4B"/>
    <s v="C, S, T"/>
    <n v="0"/>
    <n v="1"/>
    <s v="-"/>
    <n v="1"/>
    <s v="http://www.gemalto.com/govt/customer-cases/qatar-id"/>
    <s v="-"/>
    <n v="0"/>
    <n v="0"/>
    <s v="http://portal.www.gov.qa/wps/portal/services/inviduallandingpages/passport/apply%20for%20new%20passport/!ut/p/a1/vVE9b4MwEP0r7sAY2WBozEijtgoKzZBKCV4qAwbcgu2AQ5r--hqlVScSZelNvjvd-_CDFO4glWwQFTNCSdaMPb1_C9dk4RKCnterR4yWm2j58JI8uegVwy2kkObSaFPDtD58KNUKcOQZyJU0XBoH_Qwd1PNuEDnvHSRkIQZRHFgDGmbfsgKaVeNGs77XqrNnTOvmBErVAcmP4Hc-sulcFDAtMoIDHyHf9ZkXBCEjmJfEx2GOy2xeYis9tdLRREXomrMNl2d3l1FSSzOfxMEW5wbNl8Fi7yaw-JpD-0Pifb-nkU1wTOvTwN0_RGhpvS5ZJJV1wkw9E7JUcPe3njjTbUvwaRYThAM9fK34Nrr7Bv5UoUE!/dl5/d5/L2dBISEvZ0FBIS9nQSEh/"/>
    <s v="Nationality and Travel Documents Department"/>
    <n v="2"/>
    <n v="2"/>
    <n v="2008"/>
    <n v="5"/>
    <n v="45"/>
    <n v="0"/>
    <s v="http://qatarchamber.com/site/"/>
    <n v="1997"/>
    <n v="1"/>
    <n v="2"/>
    <s v="http://www.doingbusiness.org/data/exploreeconomies/qatar/starting-a-business/"/>
    <n v="2011"/>
    <n v="2"/>
    <s v="C, F, P, R, O"/>
    <n v="1"/>
    <s v="http://portal.www.gov.qa/"/>
    <n v="1"/>
    <n v="0"/>
    <n v="2421.0549999999998"/>
    <n v="24.260415397419717"/>
    <n v="1833.6969999999999"/>
    <n v="587.35799999999995"/>
    <n v="132.38"/>
    <n v="49.008158332074331"/>
    <n v="67.503"/>
    <n v="64.876999999999995"/>
    <n v="111.96599999999999"/>
    <n v="48.738902881231802"/>
    <n v="57.395000000000003"/>
    <n v="54.570999999999998"/>
    <n v="102.616"/>
    <n v="43.745614718952211"/>
    <n v="57.725999999999999"/>
    <n v="44.89"/>
    <n v="2074.0929999999998"/>
    <n v="20.395421034640201"/>
    <n v="1651.0729999999999"/>
    <n v="423.02"/>
    <n v="2015"/>
    <s v="http://esa.un.org/unpd/wpp/Download/Standard/Population/"/>
    <n v="90"/>
    <n v="90"/>
    <n v="90"/>
    <s v="–"/>
    <s v="–"/>
    <n v="2014"/>
    <s v="http://unstats.un.org/unsd/demographic/CRVS/CR_coverage.htm"/>
    <n v="2224.5830000000001"/>
    <n v="91.884860112636858"/>
    <n v="1693.4549999999999"/>
    <n v="531.12800000000004"/>
    <n v="2015"/>
    <s v="http://www.mdps.gov.qa/portal/page/portal/GSDP_AR/statistics_ar/monthly_preliminary_figures_on_population_ar"/>
    <n v="15"/>
    <n v="18"/>
    <s v="QA2015"/>
    <s v="-"/>
    <s v="-"/>
    <s v="-"/>
    <n v="20"/>
    <n v="5"/>
    <s v="CD"/>
    <x v="1"/>
    <n v="196.47199999999975"/>
    <n v="8.115139887363144"/>
    <n v="28.619854228592352"/>
    <n v="140.24199999999996"/>
    <n v="56.229999999999897"/>
    <n v="7.6480465420404782"/>
    <n v="9.5733777355547911"/>
    <n v="161.77579999999975"/>
    <n v="24.599600187419853"/>
    <n v="121.97959999999996"/>
    <n v="39.796199999999907"/>
    <n v="21.458199999999994"/>
    <n v="46.35104528804839"/>
    <n v="11.512099999999997"/>
    <n v="9.9460999999999977"/>
    <n v="13.237999999999996"/>
    <n v="49.008158332074338"/>
    <n v="6.7502999999999984"/>
    <n v="6.4876999999999985"/>
    <n v="9.9999999999999982"/>
    <n v="9.9999999999999982"/>
    <n v="2168.6729999999998"/>
    <n v="23.470112829366162"/>
    <n v="295.4820000000006"/>
    <n v="46.694891736214089"/>
    <n v="109.133"/>
    <n v="48.399970708845991"/>
    <n v="92.360627904714093"/>
    <n v="2003"/>
    <n v="143.10003054540707"/>
    <n v="23.470112829366162"/>
    <n v="29.548200000000055"/>
    <n v="46.694891736214089"/>
    <n v="10.924800000000017"/>
    <n v="48.399970708845991"/>
    <n v="2147.1680000000001"/>
    <n v="99.008399999999995"/>
    <n v="23.470112829366162"/>
    <n v="21.504999999999999"/>
    <n v="0.99160000000000537"/>
    <n v="23.470112829366162"/>
    <n v="5.0375506127479897"/>
    <n v="4.3376295089208918"/>
    <n v="4.2498338845920909"/>
    <n v="13.625014006261001"/>
    <n v="85.358189086137003"/>
    <n v="1.01679690760202"/>
    <n v="90"/>
    <n v="90"/>
    <n v="90"/>
    <n v="90"/>
    <n v="90"/>
    <n v="2008"/>
    <s v="-"/>
    <s v="-"/>
    <m/>
    <s v="-"/>
    <s v="-"/>
    <m/>
    <s v="-"/>
    <s v="-"/>
    <n v="96.678596496582003"/>
    <s v="ara"/>
    <n v="0"/>
    <s v="-"/>
    <s v="-"/>
    <s v="-"/>
    <s v="-"/>
    <s v="-"/>
    <s v="-"/>
    <s v="-"/>
    <s v="-"/>
    <s v="-"/>
    <m/>
    <m/>
    <m/>
    <m/>
    <m/>
    <m/>
    <m/>
    <m/>
    <m/>
    <m/>
    <m/>
    <m/>
    <m/>
    <m/>
    <m/>
    <m/>
    <m/>
    <m/>
    <m/>
    <m/>
    <m/>
    <m/>
    <m/>
    <m/>
    <m/>
    <m/>
    <m/>
    <m/>
    <m/>
    <m/>
    <m/>
    <m/>
    <m/>
    <m/>
    <m/>
    <m/>
    <m/>
    <n v="3"/>
    <s v="civil + religious"/>
    <s v="NF"/>
    <n v="6"/>
    <n v="5"/>
    <s v="-"/>
    <s v="-"/>
    <s v="-"/>
    <s v="-"/>
    <s v="-"/>
    <s v="NF"/>
    <n v="67"/>
    <n v="20"/>
    <n v="25"/>
    <n v="22"/>
    <n v="-10"/>
    <n v="-0.86297929286956787"/>
    <n v="1.2175445556640625"/>
    <n v="1.0707777738571167"/>
    <n v="0.74076825380325317"/>
    <n v="1.0435861349105835"/>
    <n v="1.2365845441818237"/>
    <n v="44"/>
    <n v="0.63614999999999999"/>
    <n v="0.60784000000000005"/>
    <n v="0.65354000000000001"/>
    <n v="0.58786000000000005"/>
    <n v="0.66710000000000003"/>
    <n v="34"/>
    <n v="7.01"/>
    <n v="8.09"/>
    <n v="5.95"/>
    <n v="6.95"/>
    <s v="Personal Information Privacy Protection Law"/>
    <s v="http://www.complinet.com/net_file_store/new_rulebooks/q/f/QFCRA_2845_VER1.pdf"/>
    <n v="2012"/>
    <s v="-"/>
    <s v="-"/>
    <s v="Qatar Financial Centre Regulatory Authority"/>
    <s v="http://www.qfcra.com/en-us/SitePages/Home.aspx"/>
    <s v="-"/>
    <s v="-"/>
    <s v="-"/>
    <s v="-"/>
    <s v="-"/>
    <s v="-"/>
    <s v="-"/>
    <s v="-"/>
    <s v="-"/>
    <s v="-"/>
    <s v="-"/>
    <s v="-"/>
    <m/>
    <m/>
    <m/>
    <m/>
    <n v="37.700000000000003"/>
    <s v=".."/>
    <s v=""/>
    <n v="0"/>
    <n v="20"/>
    <n v="80"/>
    <s v="A"/>
    <m/>
    <n v="3"/>
    <n v="0"/>
    <n v="0"/>
  </r>
  <r>
    <n v="144"/>
    <m/>
    <s v="Romania"/>
    <x v="1"/>
    <x v="1"/>
    <s v="ROU"/>
    <s v="RO"/>
    <s v="http://www.starecivila1.ro/inregistrare-nastere/"/>
    <s v="Municipalities, Office of Vital Records"/>
    <n v="5"/>
    <n v="1864"/>
    <n v="2"/>
    <s v="15 d"/>
    <s v="free"/>
    <s v="http://depabd.mai.gov.ro/documente_necesare.html"/>
    <s v="Ministry of Administration and Interior"/>
    <n v="2"/>
    <n v="1949"/>
    <s v="Carte de Identitate (identity Card)"/>
    <x v="1"/>
    <n v="2"/>
    <n v="14"/>
    <s v="various"/>
    <n v="1"/>
    <n v="1"/>
    <s v="http://en.wikipedia.org/wiki/Romanian_identity_card"/>
    <m/>
    <n v="1"/>
    <m/>
    <s v="http://www.antena3.ro/en/romania/identity-documents-will-be-changed-romanians-will-have-biometric-identity-cards-204963.html"/>
    <n v="2016"/>
    <n v="2"/>
    <s v="4B"/>
    <s v="C, H, S, R"/>
    <n v="1"/>
    <n v="0"/>
    <s v="-"/>
    <n v="10"/>
    <s v="http://www.riserid.eu/fileadmin/user_upload/Datei/5_konferenz/S5_13_Electronic_ID_Card_Romania_Balasa.pdf"/>
    <s v="-"/>
    <n v="0"/>
    <n v="0"/>
    <s v="http://www.pasapoarte.mai.gov.ro/indexActe1.html"/>
    <s v="General Directorate of Passports"/>
    <n v="2"/>
    <n v="2"/>
    <n v="2009"/>
    <n v="5"/>
    <n v="2000"/>
    <n v="1"/>
    <s v="https://portal.onrc.ro/ONRCPortalWeb/ONRCPortal.portal"/>
    <n v="2002"/>
    <n v="1"/>
    <n v="2"/>
    <s v="http://ro.wikipedia.org/wiki/Cod_de_Identificare_Fiscal%C4%83"/>
    <n v="2004"/>
    <n v="2"/>
    <s v="C, P, R"/>
    <n v="0"/>
    <s v="-"/>
    <n v="3"/>
    <n v="1"/>
    <n v="21729.870999999999"/>
    <n v="51.329757088755848"/>
    <n v="10575.981"/>
    <n v="11153.89"/>
    <n v="924.24400000000003"/>
    <n v="48.62547119591796"/>
    <n v="474.82600000000002"/>
    <n v="449.41800000000001"/>
    <n v="1050.2090000000001"/>
    <n v="48.669550537083566"/>
    <n v="539.077"/>
    <n v="511.13200000000001"/>
    <n v="1053.818"/>
    <n v="48.703476311848917"/>
    <n v="540.572"/>
    <n v="513.24599999999998"/>
    <n v="18701.600000000002"/>
    <n v="51.76077982632502"/>
    <n v="9021.5059999999994"/>
    <n v="9680.094000000001"/>
    <n v="2015"/>
    <s v="http://esa.un.org/unpd/wpp/Download/Standard/Population/"/>
    <n v="90"/>
    <n v="90"/>
    <n v="90"/>
    <s v="–"/>
    <s v="–"/>
    <n v="2013"/>
    <s v="http://www.unicef.org/protection/files/UNICEF_Birth_Registration_Handbook.pdf"/>
    <n v="17645.517"/>
    <n v="81.203965729939227"/>
    <n v="8588.1159868448813"/>
    <n v="9057.4010131551186"/>
    <n v="2014"/>
    <s v="http://www.idea.int/vt/countryview.cfm?id=189"/>
    <n v="14"/>
    <n v="18"/>
    <s v="RO2014"/>
    <n v="18280.993999999999"/>
    <n v="17645.517"/>
    <n v="21729.870999999999"/>
    <n v="1"/>
    <n v="4"/>
    <s v="CD"/>
    <x v="1"/>
    <n v="1358.9101000000021"/>
    <n v="6.2536501022026414"/>
    <n v="56.668398214486828"/>
    <n v="588.83751315511813"/>
    <n v="770.07258684488227"/>
    <n v="5.5676869422809867"/>
    <n v="6.9040719143265914"/>
    <n v="1056.0830000000024"/>
    <n v="58.962504542245355"/>
    <n v="433.39001315511814"/>
    <n v="622.6929868448824"/>
    <n v="210.40269999999995"/>
    <n v="48.686542520604533"/>
    <n v="107.96489999999997"/>
    <n v="102.43779999999998"/>
    <n v="92.424399999999977"/>
    <n v="48.625471195917967"/>
    <n v="47.482599999999991"/>
    <n v="44.941799999999994"/>
    <n v="9.9999999999999982"/>
    <n v="9.9999999999999982"/>
    <n v="19963.580999999998"/>
    <n v="51.292310733229677"/>
    <n v="3010.2029127482219"/>
    <n v="48.620594466749417"/>
    <n v="1110.9459999999999"/>
    <n v="48.635925871957163"/>
    <n v="90.170819770103378"/>
    <n v="15287"/>
    <n v="1666.3780872517766"/>
    <n v="51.292310733229677"/>
    <n v="301.02029127482211"/>
    <n v="48.620594466749417"/>
    <n v="101.85990752653747"/>
    <n v="48.635925871957163"/>
    <n v="10556.422"/>
    <n v="52.878399999999999"/>
    <n v="60.854492175473851"/>
    <n v="9407.1589999999997"/>
    <n v="47.121600000000001"/>
    <n v="68.700507772856824"/>
    <n v="5.1022863847191298"/>
    <n v="4.9979339628784967"/>
    <n v="4.9782517962527191"/>
    <n v="15.0784717067956"/>
    <n v="69.807399883448596"/>
    <n v="15.1141284097558"/>
    <n v="90"/>
    <n v="90"/>
    <n v="90"/>
    <n v="90"/>
    <n v="90"/>
    <n v="2011"/>
    <n v="0.4"/>
    <n v="2011"/>
    <n v="86"/>
    <n v="13.8"/>
    <n v="2006"/>
    <n v="2951.82"/>
    <n v="22.2"/>
    <n v="2011"/>
    <n v="98.604286193847699"/>
    <s v="rom"/>
    <n v="3"/>
    <s v="-"/>
    <s v="-"/>
    <s v="-"/>
    <s v="-"/>
    <s v="-"/>
    <s v="-"/>
    <s v="-"/>
    <s v="-"/>
    <n v="1"/>
    <s v="-"/>
    <s v="-"/>
    <s v="P130202 (A)"/>
    <s v="-"/>
    <s v="-"/>
    <s v="-"/>
    <m/>
    <m/>
    <m/>
    <m/>
    <m/>
    <m/>
    <m/>
    <m/>
    <m/>
    <m/>
    <m/>
    <m/>
    <m/>
    <m/>
    <m/>
    <m/>
    <m/>
    <m/>
    <m/>
    <m/>
    <m/>
    <m/>
    <m/>
    <m/>
    <m/>
    <m/>
    <m/>
    <m/>
    <m/>
    <m/>
    <m/>
    <n v="1"/>
    <s v="civil"/>
    <s v="F"/>
    <n v="2"/>
    <n v="2"/>
    <s v="-"/>
    <s v="-"/>
    <s v="-"/>
    <s v="-"/>
    <s v="-"/>
    <s v="PF"/>
    <n v="41"/>
    <n v="12"/>
    <n v="15"/>
    <n v="14"/>
    <n v="9"/>
    <n v="0.29095962643623352"/>
    <n v="0.15292498469352722"/>
    <n v="-7.3048219084739685E-2"/>
    <n v="0.58881789445877075"/>
    <n v="0.10646047443151474"/>
    <n v="-0.20338164269924164"/>
    <n v="64"/>
    <n v="0.56315000000000004"/>
    <n v="0.47058"/>
    <n v="0.44094"/>
    <n v="0.43853999999999999"/>
    <n v="0.81"/>
    <n v="58"/>
    <n v="5.83"/>
    <n v="6.62"/>
    <n v="3.87"/>
    <n v="8.17"/>
    <s v="Law on the protection of individuals with regard to the processing of personal data"/>
    <s v="http://ec.europa.eu/justice/policies/privacy/docs/implementation/ro_law_677_2001_en_unofficial.pdf"/>
    <n v="2001"/>
    <n v="2005"/>
    <s v="Both"/>
    <s v="National Supervisory Authority for Personal Data Protection"/>
    <s v="http://www.dataprotection.ro/"/>
    <s v="ICDPPC; EDPA; A29WP; CEEDPA"/>
    <n v="53"/>
    <n v="83"/>
    <n v="2001"/>
    <s v="http://www.rti-rating.org/files/pdf/Romania.pdf"/>
    <n v="5"/>
    <n v="29"/>
    <n v="17"/>
    <n v="13"/>
    <n v="4"/>
    <n v="6"/>
    <n v="9"/>
    <s v="EU"/>
    <m/>
    <m/>
    <m/>
    <m/>
    <s v="IBRD"/>
    <m/>
    <n v="0"/>
    <n v="22"/>
    <n v="88"/>
    <s v="A"/>
    <m/>
    <n v="5"/>
    <n v="0"/>
    <n v="0"/>
  </r>
  <r>
    <n v="145"/>
    <m/>
    <s v="Russian Federation"/>
    <x v="1"/>
    <x v="2"/>
    <s v="RUS"/>
    <s v="RU"/>
    <s v="http://www.mos.ru/authority/zags/"/>
    <s v="ZAGS (Zapis Aktov Grazhdanskogo Sostoyaniya / Управление записи актов гражданского состояния) + Offices of Vital Records (Civil Registry Offices):"/>
    <n v="6"/>
    <n v="1917"/>
    <n v="2"/>
    <s v="30 d"/>
    <s v="free"/>
    <s v="http://www.fms.gov.ru/government_services/passport/"/>
    <s v="Federal Migration Service"/>
    <n v="2"/>
    <n v="1992"/>
    <s v="UEC / Universal Electronic Card ( Универсальная электронная карта) &gt; replacing Internal Passport from 2013-2015"/>
    <x v="1"/>
    <n v="2"/>
    <n v="16"/>
    <s v="free"/>
    <n v="1"/>
    <n v="1"/>
    <s v="http://en.wikipedia.org/wiki/Internal_passport_of_Russia"/>
    <n v="1"/>
    <m/>
    <m/>
    <s v="http://www.uecard.ru/for-citizens/what-is-uec/"/>
    <n v="2013"/>
    <n v="2"/>
    <s v="4B"/>
    <s v="C, H, R, S, V"/>
    <n v="1"/>
    <n v="1"/>
    <n v="576"/>
    <n v="9"/>
    <s v="http://survincity.com/2012/02/started-the-production-of-the-passport-with-the/"/>
    <s v="-"/>
    <n v="1"/>
    <n v="1"/>
    <s v="http://www.gosuslugi.ru/pgu/service/10001970310_5.html#!_description"/>
    <s v="Federal Migration Service"/>
    <n v="2"/>
    <n v="5"/>
    <n v="2006"/>
    <n v="10"/>
    <n v="7500"/>
    <n v="0"/>
    <s v="http://egrul.nalog.ru/"/>
    <n v="2000"/>
    <n v="1"/>
    <n v="1"/>
    <s v="https://ru.wikipedia.org"/>
    <n v="1993"/>
    <n v="0"/>
    <s v="-"/>
    <n v="0"/>
    <s v="-"/>
    <n v="3"/>
    <n v="1"/>
    <n v="143456.91800000001"/>
    <n v="53.544208303708295"/>
    <n v="66644.047000000006"/>
    <n v="76812.870999999999"/>
    <n v="9165.5889999999999"/>
    <n v="48.627273162695815"/>
    <n v="4708.6130000000003"/>
    <n v="4456.9759999999997"/>
    <n v="7938.0240000000003"/>
    <n v="48.828826922166016"/>
    <n v="4061.98"/>
    <n v="3876.0439999999999"/>
    <n v="6928.1729999999998"/>
    <n v="48.773392350335364"/>
    <n v="3549.0680000000002"/>
    <n v="3379.105"/>
    <n v="119425.132"/>
    <n v="54.511763905774878"/>
    <n v="54324.386000000006"/>
    <n v="65100.746000000006"/>
    <n v="2015"/>
    <s v="http://esa.un.org/unpd/wpp/Download/Standard/Population/"/>
    <n v="100"/>
    <n v="100"/>
    <n v="100"/>
    <s v="–"/>
    <s v="–"/>
    <n v="2010"/>
    <s v="UNSD "/>
    <n v="109860.33100000001"/>
    <n v="76.580713242424451"/>
    <n v="51036.486526216584"/>
    <n v="58823.844473783422"/>
    <n v="2012"/>
    <s v="http://www.electionguide.org/countries/id/179/"/>
    <n v="16"/>
    <n v="18"/>
    <s v="RU2012"/>
    <n v="109860.33100000001"/>
    <n v="113140.98699999999"/>
    <n v="138082.17800000001"/>
    <n v="1"/>
    <n v="4"/>
    <s v="CD"/>
    <x v="1"/>
    <n v="9564.8009999999922"/>
    <n v="6.667368247796869"/>
    <n v="65.625009095501213"/>
    <n v="3287.8994737834219"/>
    <n v="6276.9015262165849"/>
    <n v="4.9335231304056633"/>
    <n v="8.1716793611536591"/>
    <n v="9564.8009999999922"/>
    <n v="65.625009095501213"/>
    <n v="3287.8994737834219"/>
    <n v="6276.9015262165849"/>
    <n v="0"/>
    <n v="0"/>
    <n v="0"/>
    <n v="0"/>
    <n v="0"/>
    <n v="0"/>
    <n v="0"/>
    <n v="0"/>
    <n v="0"/>
    <n v="0"/>
    <n v="143499.861"/>
    <n v="53.868907231903172"/>
    <n v="22656.326876009582"/>
    <n v="48.750833052093931"/>
    <n v="8321.4760000000006"/>
    <n v="48.686897024913279"/>
    <n v="0.66201307815043475"/>
    <n v="800"/>
    <n v="120043.53412399042"/>
    <n v="53.868907231903172"/>
    <n v="0"/>
    <n v="48.750833052093931"/>
    <n v="0"/>
    <n v="48.686897024913279"/>
    <n v="106432.69899999999"/>
    <n v="74.169200000000004"/>
    <n v="54.7631146702387"/>
    <n v="37067.161999999997"/>
    <n v="25.830799999999996"/>
    <n v="84.039517241703038"/>
    <n v="5.8444371095533603"/>
    <n v="5.3322925194455282"/>
    <n v="4.611666848960069"/>
    <n v="15.7883963915544"/>
    <n v="71.183272456121998"/>
    <n v="13.028331152323601"/>
    <n v="100"/>
    <n v="100"/>
    <n v="100"/>
    <n v="100"/>
    <n v="100"/>
    <n v="2010"/>
    <n v="0"/>
    <n v="2009"/>
    <n v="28"/>
    <n v="11.1"/>
    <n v="2006"/>
    <n v="15754.23"/>
    <n v="11"/>
    <n v="2013"/>
    <n v="99.684265136718807"/>
    <s v="rus"/>
    <n v="0"/>
    <s v="-"/>
    <s v="-"/>
    <s v="-"/>
    <s v="-"/>
    <s v="-"/>
    <s v="-"/>
    <s v="-"/>
    <s v="-"/>
    <n v="1"/>
    <s v="-"/>
    <s v="-"/>
    <s v="-"/>
    <s v="-"/>
    <s v="-"/>
    <s v="P093050 (A)"/>
    <m/>
    <m/>
    <m/>
    <m/>
    <m/>
    <m/>
    <m/>
    <m/>
    <m/>
    <m/>
    <m/>
    <m/>
    <m/>
    <m/>
    <m/>
    <m/>
    <m/>
    <m/>
    <m/>
    <m/>
    <m/>
    <m/>
    <m/>
    <m/>
    <m/>
    <m/>
    <m/>
    <m/>
    <m/>
    <m/>
    <m/>
    <n v="1"/>
    <s v="civil"/>
    <s v="NF"/>
    <n v="6"/>
    <n v="5"/>
    <s v="PF"/>
    <n v="60"/>
    <n v="10"/>
    <n v="22"/>
    <n v="28"/>
    <s v="NF"/>
    <n v="81"/>
    <n v="25"/>
    <n v="32"/>
    <n v="24"/>
    <n v="6"/>
    <n v="-1.0131485462188721"/>
    <n v="-0.75042343139648438"/>
    <n v="-0.36124679446220398"/>
    <n v="-0.36933249235153198"/>
    <n v="-0.7835966944694519"/>
    <n v="-0.99341022968292236"/>
    <n v="27"/>
    <n v="0.72958999999999996"/>
    <n v="0.68627000000000005"/>
    <n v="0.70865999999999996"/>
    <n v="0.64129999999999998"/>
    <n v="0.83879999999999999"/>
    <n v="42"/>
    <n v="6.7"/>
    <n v="7.25"/>
    <n v="4.97"/>
    <n v="9.0299999999999994"/>
    <s v="Federal Law Regarding Personal Data"/>
    <s v="http://www.consultant.ru/document/cons_doc_LAW_166051/"/>
    <n v="2006"/>
    <n v="2011"/>
    <s v="Both"/>
    <s v="Federal Service for Supervision of Communications, Information Technologies and Mass Media (Roskomnadzor)"/>
    <s v="http://rkn.gov.ru/eng/"/>
    <s v="CEEDPA"/>
    <n v="30"/>
    <n v="98"/>
    <n v="2009"/>
    <s v="http://www.rti-rating.org/files/pdf/Russia.pdf"/>
    <n v="1"/>
    <n v="30"/>
    <n v="20"/>
    <n v="12"/>
    <n v="26"/>
    <n v="1"/>
    <n v="8"/>
    <m/>
    <m/>
    <s v="APEC"/>
    <m/>
    <n v="24.5"/>
    <s v="IBRD"/>
    <s v=""/>
    <n v="0"/>
    <n v="19"/>
    <n v="76"/>
    <s v="A"/>
    <m/>
    <n v="5"/>
    <n v="2"/>
    <n v="0"/>
  </r>
  <r>
    <n v="146"/>
    <m/>
    <s v="Rwanda"/>
    <x v="4"/>
    <x v="0"/>
    <s v="RWA"/>
    <s v="RW"/>
    <s v="https://www.migration.gov.rw"/>
    <s v="Rwanda Directorate General of immigration and Emigration"/>
    <n v="6"/>
    <n v="1922"/>
    <n v="2"/>
    <s v="3 m"/>
    <s v="RWF 500"/>
    <s v="http://www.nid.gov.rw"/>
    <s v="NIDA (National Identification Agency)"/>
    <n v="6"/>
    <n v="2011"/>
    <s v="National ID Card"/>
    <x v="1"/>
    <n v="2"/>
    <n v="18"/>
    <s v="500 Rwf"/>
    <n v="1"/>
    <n v="1"/>
    <m/>
    <n v="1"/>
    <n v="1"/>
    <m/>
    <s v="http://www.gov.rw/National-ID"/>
    <n v="2008"/>
    <n v="2"/>
    <s v="4B"/>
    <s v="C, H, F, R, S"/>
    <n v="1"/>
    <n v="0"/>
    <n v="6100"/>
    <n v="9"/>
    <s v="http://www.worldbank.org/content/dam/Worldbank/Event/social-protection/Building_Robust_Identification_Systems_Session_Packet.pdf"/>
    <s v="-"/>
    <n v="1"/>
    <n v="1"/>
    <s v="https://www.migration.gov.rw/index.php?id=82"/>
    <s v="Directorate General of Immigration and Emigration"/>
    <n v="1"/>
    <n v="2"/>
    <n v="2011"/>
    <n v="5"/>
    <s v="-"/>
    <n v="0"/>
    <s v="http://org.rdb.rw/inf/Public/Products/NameSearch.aspx?AspxAutoDetectCookieSupport=1"/>
    <n v="2008"/>
    <n v="1"/>
    <n v="0"/>
    <s v="-"/>
    <s v="-"/>
    <n v="0"/>
    <s v="-"/>
    <n v="0"/>
    <s v="-"/>
    <n v="0"/>
    <n v="1"/>
    <n v="11609.665999999999"/>
    <n v="52.112610302484164"/>
    <n v="5559.5659999999998"/>
    <n v="6050.1"/>
    <n v="1694.8810000000001"/>
    <n v="49.820193866118032"/>
    <n v="850.48800000000006"/>
    <n v="844.39300000000003"/>
    <n v="1644.8409999999999"/>
    <n v="50.051767921641066"/>
    <n v="821.56899999999996"/>
    <n v="823.27200000000005"/>
    <n v="1426.28"/>
    <n v="50.201923885913004"/>
    <n v="710.26"/>
    <n v="716.02"/>
    <n v="6843.6639999999998"/>
    <n v="53.573860434995069"/>
    <n v="3177.2489999999998"/>
    <n v="3666.4150000000004"/>
    <n v="2015"/>
    <s v="http://esa.un.org/unpd/wpp/Download/Standard/Population/"/>
    <n v="63.2"/>
    <n v="63.6"/>
    <n v="62.9"/>
    <n v="60.4"/>
    <n v="63.6"/>
    <n v="2010"/>
    <s v="DHS"/>
    <n v="5953.5309999999999"/>
    <n v="51.280812040587563"/>
    <n v="2720.5479999999998"/>
    <n v="3232.9830000000002"/>
    <n v="2013"/>
    <s v="http://thecommonwealth.org/sites/default/files/project/documents/Rwanda_Elections_2013_Commonwealth_Expert_Team_Report.pdf"/>
    <n v="18"/>
    <n v="18"/>
    <s v="RW2013"/>
    <n v="5953.5309999999999"/>
    <n v="5918.5829999999996"/>
    <n v="12012.589"/>
    <n v="10"/>
    <n v="4"/>
    <s v="CD"/>
    <x v="1"/>
    <n v="2644.0217359999997"/>
    <n v="22.774313541836602"/>
    <n v="49.839950899707745"/>
    <n v="1323.864388"/>
    <n v="1317.7791350000002"/>
    <n v="23.812369310841891"/>
    <n v="21.781113287383683"/>
    <n v="890.13299999999981"/>
    <n v="48.692948132470129"/>
    <n v="456.70100000000002"/>
    <n v="433.43200000000024"/>
    <n v="1130.1725280000001"/>
    <n v="50.530102073052696"/>
    <n v="557.58575599999995"/>
    <n v="571.07733200000007"/>
    <n v="623.71620800000005"/>
    <n v="50.226336750896174"/>
    <n v="309.57763199999999"/>
    <n v="313.26980300000002"/>
    <n v="36.4"/>
    <n v="37.1"/>
    <n v="11776.522000000001"/>
    <n v="51.173224148861607"/>
    <n v="5054.3529999999982"/>
    <n v="49.88651205005479"/>
    <n v="1941.34"/>
    <n v="49.892904308232346"/>
    <n v="91.488327651387493"/>
    <n v="6150"/>
    <n v="572.16900000000214"/>
    <n v="51.173224148861607"/>
    <n v="1860.0019039999993"/>
    <n v="49.88651205005479"/>
    <n v="694.76860152003542"/>
    <n v="49.892904308232346"/>
    <n v="2324.4029999999998"/>
    <n v="19.7376"/>
    <n v="39.341929949324623"/>
    <n v="9452.1190000000006"/>
    <n v="80.2624"/>
    <n v="42.793875108851253"/>
    <n v="16.031542728018035"/>
    <n v="13.812899388064107"/>
    <n v="13.074451934300473"/>
    <n v="42.918894050382598"/>
    <n v="54.703561883550996"/>
    <n v="2.37754406606637"/>
    <n v="63.2"/>
    <n v="62.9"/>
    <n v="63.6"/>
    <n v="60.4"/>
    <n v="63.6"/>
    <n v="2010"/>
    <n v="63.17"/>
    <n v="2011"/>
    <n v="6915.9444000000003"/>
    <n v="44.9"/>
    <n v="2011"/>
    <n v="4913.3845499999998"/>
    <n v="44.9"/>
    <n v="2011"/>
    <n v="65.852272033691406"/>
    <s v="eng"/>
    <n v="1"/>
    <n v="3"/>
    <s v="Yes"/>
    <s v="-"/>
    <s v="-"/>
    <s v="-"/>
    <s v="CR Minister"/>
    <n v="0.82"/>
    <s v="-"/>
    <n v="1"/>
    <s v="P149095 (A)"/>
    <s v="-"/>
    <s v="-"/>
    <s v="-"/>
    <s v="-"/>
    <s v="-"/>
    <m/>
    <m/>
    <m/>
    <m/>
    <m/>
    <m/>
    <m/>
    <m/>
    <m/>
    <m/>
    <m/>
    <m/>
    <m/>
    <m/>
    <m/>
    <m/>
    <m/>
    <n v="1"/>
    <s v="e-Rwanda + Indangamuntu (joint distribution for ID and voter card)"/>
    <n v="1"/>
    <s v="e-Rwanda + Indangamuntu (joint distribution for ID and voter card)"/>
    <m/>
    <m/>
    <m/>
    <m/>
    <m/>
    <m/>
    <n v="1"/>
    <s v="Opportunity International Savings Card"/>
    <m/>
    <m/>
    <n v="1"/>
    <s v="civil + customary"/>
    <s v="NF"/>
    <n v="6"/>
    <n v="5"/>
    <s v="PF"/>
    <n v="50"/>
    <n v="12"/>
    <n v="19"/>
    <n v="19"/>
    <s v="NF"/>
    <n v="79"/>
    <n v="22"/>
    <n v="33"/>
    <n v="24"/>
    <n v="-3"/>
    <n v="-1.178788423538208"/>
    <n v="-8.4214046597480774E-2"/>
    <n v="-5.2136623708065599E-5"/>
    <n v="3.295367956161499E-2"/>
    <n v="-0.14770473539829254"/>
    <n v="0.64729511737823486"/>
    <n v="125"/>
    <n v="0.35887999999999998"/>
    <n v="0.50980000000000003"/>
    <n v="0.51180999999999999"/>
    <n v="8.2839999999999997E-2"/>
    <n v="0.48199999999999998"/>
    <n v="148"/>
    <n v="1.86"/>
    <n v="2.4300000000000002"/>
    <n v="0.49"/>
    <n v="3.49"/>
    <s v="-"/>
    <s v="-"/>
    <s v="-"/>
    <s v="-"/>
    <s v="-"/>
    <s v="-"/>
    <s v="-"/>
    <s v="-"/>
    <n v="61"/>
    <n v="77"/>
    <n v="2013"/>
    <s v="http://www.rti-rating.org/files/pdf/Rwanda.pdf"/>
    <n v="2"/>
    <n v="30"/>
    <n v="8"/>
    <n v="24"/>
    <n v="9"/>
    <n v="1"/>
    <n v="3"/>
    <m/>
    <m/>
    <m/>
    <m/>
    <m/>
    <s v="IDA"/>
    <s v="HIPC"/>
    <n v="0"/>
    <n v="14"/>
    <n v="56.000000000000007"/>
    <s v="B"/>
    <n v="1"/>
    <n v="3"/>
    <n v="0"/>
    <n v="0"/>
  </r>
  <r>
    <n v="147"/>
    <m/>
    <s v="St. Kitts and Nevis"/>
    <x v="5"/>
    <x v="2"/>
    <s v="KNA"/>
    <s v="KN"/>
    <s v="http://www.nia.gov.kn/index.php/ministries/health/registrar-general"/>
    <s v="Registrar General, Min of Health"/>
    <n v="3"/>
    <n v="1859"/>
    <n v="1"/>
    <s v="18 y"/>
    <s v="free"/>
    <s v="http://www.newelectoralframework.gov.kn/default.asp?ContentType=References"/>
    <s v="Electoral Office"/>
    <n v="2"/>
    <n v="2008"/>
    <s v="National ID Card"/>
    <x v="1"/>
    <n v="1"/>
    <n v="18"/>
    <s v="free"/>
    <n v="0"/>
    <n v="0"/>
    <m/>
    <m/>
    <m/>
    <m/>
    <s v="-"/>
    <s v="-"/>
    <n v="0"/>
    <n v="1"/>
    <s v="-"/>
    <s v="-"/>
    <s v="-"/>
    <s v="-"/>
    <n v="0"/>
    <s v="-"/>
    <s v="-"/>
    <n v="0"/>
    <n v="0"/>
    <s v="http://sknis.info/reissuance-of-st-kitts-nevis-e-passports/"/>
    <s v="Passport Office"/>
    <n v="2"/>
    <n v="3"/>
    <n v="2012"/>
    <n v="5"/>
    <s v="-"/>
    <n v="0"/>
    <s v="http://www.fsrc.kn/"/>
    <n v="2009"/>
    <n v="1"/>
    <n v="1"/>
    <s v="https://www.sknird.com/UserFiles/TaxLib/130325053859.pdf"/>
    <n v="2003"/>
    <n v="0"/>
    <s v="-"/>
    <n v="0"/>
    <s v="-"/>
    <n v="1"/>
    <n v="1"/>
    <n v="51.537999999999997"/>
    <n v="50.009701579417133"/>
    <n v="25.763999999999999"/>
    <n v="25.773999999999997"/>
    <n v="3.58"/>
    <n v="49.720670391061446"/>
    <n v="1.8"/>
    <n v="1.78"/>
    <n v="3.54"/>
    <n v="49.717514124293785"/>
    <n v="1.78"/>
    <n v="1.76"/>
    <n v="3.9180000000000001"/>
    <n v="50.48494129657989"/>
    <n v="1.94"/>
    <n v="1.978"/>
    <n v="40.5"/>
    <n v="50.014814814814798"/>
    <n v="20.243999999999996"/>
    <n v="20.255999999999993"/>
    <n v="2014"/>
    <s v="http://www.indexmundi.com/saint_kitts_and_nevis/population.html"/>
    <n v="100"/>
    <n v="100"/>
    <n v="100"/>
    <s v="–"/>
    <s v="–"/>
    <n v="2013"/>
    <s v="http://www.unicef.org/protection/files/UNICEF_Birth_Registration_Handbook.pdf"/>
    <n v="39.4"/>
    <n v="76.448445806977389"/>
    <n v="19.696177577709648"/>
    <n v="19.703822422290351"/>
    <n v="2015"/>
    <s v="http://www.idea.int/vt/countryview.cfm?id=120"/>
    <n v="18"/>
    <n v="18"/>
    <s v="KN2015"/>
    <n v="42.185000000000002"/>
    <n v="39.4"/>
    <n v="54.9"/>
    <n v="1"/>
    <n v="4"/>
    <s v="CD"/>
    <x v="1"/>
    <n v="1.1000000000000014"/>
    <n v="2.134347471768407"/>
    <n v="50.197961609967415"/>
    <n v="0.5478224222903485"/>
    <n v="0.55217757770964226"/>
    <n v="2.1263096657753007"/>
    <n v="2.1423821591900456"/>
    <n v="1.1000000000000014"/>
    <n v="50.197961609967415"/>
    <n v="0.5478224222903485"/>
    <n v="0.55217757770964226"/>
    <n v="0"/>
    <n v="0"/>
    <n v="0"/>
    <n v="0"/>
    <n v="0"/>
    <n v="0"/>
    <n v="0"/>
    <n v="0"/>
    <n v="0"/>
    <n v="0"/>
    <n v="54.191000000000003"/>
    <n v="50.000922662434718"/>
    <n v="11.060383100000001"/>
    <n v="49.909584086799285"/>
    <n v="4.5877382270195737"/>
    <n v="49.720670391061446"/>
    <n v="76.511773704771642"/>
    <n v="33"/>
    <n v="10.130616900000005"/>
    <n v="50.000922662434718"/>
    <n v="0.11060383100000011"/>
    <n v="49.909584086799285"/>
    <n v="3.5803993700000036E-2"/>
    <n v="49.720670391061446"/>
    <n v="17.446000000000002"/>
    <n v="32.193199999999997"/>
    <n v="49.037028545225262"/>
    <n v="36.744999999999997"/>
    <n v="67.80680000000001"/>
    <n v="59.842155395291876"/>
    <n v="6.6070000000000002"/>
    <n v="6.6063000000000001"/>
    <n v="7.1966999999999999"/>
    <n v="20.41"/>
    <n v="71.69"/>
    <n v="7.9"/>
    <n v="99"/>
    <n v="99"/>
    <n v="99"/>
    <n v="99"/>
    <n v="99"/>
    <n v="1994"/>
    <n v="31"/>
    <n v="2012"/>
    <n v="16.799210000000002"/>
    <s v="-"/>
    <s v="-"/>
    <m/>
    <s v="-"/>
    <s v="-"/>
    <s v="-"/>
    <s v="eng"/>
    <n v="0"/>
    <s v="-"/>
    <s v="-"/>
    <s v="-"/>
    <s v="-"/>
    <s v="-"/>
    <s v="-"/>
    <s v="-"/>
    <s v="-"/>
    <s v="-"/>
    <m/>
    <m/>
    <m/>
    <m/>
    <m/>
    <m/>
    <m/>
    <m/>
    <m/>
    <m/>
    <m/>
    <m/>
    <m/>
    <m/>
    <m/>
    <m/>
    <m/>
    <m/>
    <m/>
    <m/>
    <m/>
    <m/>
    <m/>
    <m/>
    <m/>
    <m/>
    <m/>
    <m/>
    <m/>
    <m/>
    <m/>
    <m/>
    <m/>
    <m/>
    <m/>
    <m/>
    <m/>
    <n v="2"/>
    <s v="common"/>
    <s v="F"/>
    <n v="1"/>
    <n v="1"/>
    <s v="-"/>
    <s v="-"/>
    <s v="-"/>
    <s v="-"/>
    <s v="-"/>
    <s v="F"/>
    <n v="20"/>
    <n v="4"/>
    <n v="9"/>
    <n v="7"/>
    <m/>
    <n v="1.1401336193084717"/>
    <n v="0.97778099775314331"/>
    <n v="0.9003409743309021"/>
    <n v="0.40207138657569885"/>
    <n v="0.72733807563781738"/>
    <n v="0.97651481628417969"/>
    <n v="90"/>
    <n v="0.49795"/>
    <n v="0.11763999999999999"/>
    <n v="0.13385"/>
    <n v="0.63209000000000004"/>
    <n v="0.72789999999999999"/>
    <n v="54"/>
    <n v="6.01"/>
    <n v="7.29"/>
    <n v="4.21"/>
    <n v="7.03"/>
    <s v="Privacy and Personal Data Protection Bil"/>
    <s v="http://www.thestkittsnevisobserver.com/2013/04/26/privacy-bill.html"/>
    <n v="2013"/>
    <s v="-"/>
    <s v="Both"/>
    <s v="-"/>
    <s v="-"/>
    <s v="-"/>
    <s v="-"/>
    <s v="-"/>
    <n v="2006"/>
    <s v="http://www.wipo.int/edocs/lexdocs/laws/en/kn/kn001en.pdf"/>
    <s v="-"/>
    <s v="-"/>
    <s v="-"/>
    <s v="-"/>
    <s v="-"/>
    <s v="-"/>
    <s v="-"/>
    <m/>
    <m/>
    <m/>
    <m/>
    <m/>
    <s v="IBRD"/>
    <s v=""/>
    <n v="1"/>
    <n v="10"/>
    <n v="40"/>
    <s v="C"/>
    <m/>
    <n v="6"/>
    <n v="0"/>
    <n v="1"/>
  </r>
  <r>
    <n v="148"/>
    <m/>
    <s v="St. Lucia"/>
    <x v="5"/>
    <x v="1"/>
    <s v="LCA"/>
    <s v="LC"/>
    <s v="http://archive.stlucia.gov.lc/Government%20How%20To/how_to_register_a_birth.htm"/>
    <s v="District Registrar of Births and Deaths"/>
    <n v="1"/>
    <n v="1868"/>
    <n v="2"/>
    <s v="6 m"/>
    <s v="free"/>
    <s v="http://stlucianic.org/news/10/96/National-Insurance-Registration-Card/d,nic_news/"/>
    <s v="Electoral Department"/>
    <n v="2"/>
    <n v="2011"/>
    <s v="National ID Card"/>
    <x v="1"/>
    <n v="1"/>
    <n v="18"/>
    <s v="EC$50"/>
    <n v="0"/>
    <n v="0"/>
    <m/>
    <n v="1"/>
    <m/>
    <m/>
    <s v="http://www.govt.lc/services/apply-for-certificate-of-identity"/>
    <n v="2014"/>
    <n v="2"/>
    <n v="2"/>
    <s v="C, T, V"/>
    <n v="0"/>
    <n v="0"/>
    <s v="-"/>
    <n v="9"/>
    <s v="http://www.stlucianewsonline.com/elections-commission-resumes-issuing-national-id-cards/"/>
    <s v="-"/>
    <n v="0"/>
    <n v="0"/>
    <s v="http://www.govt.lc/services/apply-for-a-saint-lucia-passport"/>
    <s v="Immigration Department"/>
    <n v="1"/>
    <n v="3"/>
    <n v="2007"/>
    <n v="5"/>
    <s v="-"/>
    <n v="0"/>
    <s v="http://www.rocip.gov.lc/stlucia/default.aspx"/>
    <n v="2000"/>
    <n v="1"/>
    <n v="1"/>
    <s v="http://www.doingbusiness.org/data/exploreeconomies/st-lucia/starting-a-business"/>
    <n v="2008"/>
    <n v="0"/>
    <s v="-"/>
    <n v="0"/>
    <s v="-"/>
    <n v="3"/>
    <n v="1"/>
    <n v="184.999"/>
    <n v="50.940815896302141"/>
    <n v="90.759"/>
    <n v="94.24"/>
    <n v="13.771000000000001"/>
    <n v="49.350083508822891"/>
    <n v="6.9749999999999996"/>
    <n v="6.7960000000000003"/>
    <n v="14.053000000000001"/>
    <n v="49.370241229630679"/>
    <n v="7.1150000000000002"/>
    <n v="6.9379999999999997"/>
    <n v="14.958"/>
    <n v="49.685786869902394"/>
    <n v="7.5259999999999998"/>
    <n v="7.4320000000000004"/>
    <n v="142.21700000000001"/>
    <n v="51.382042934388984"/>
    <n v="69.143000000000015"/>
    <n v="73.073999999999984"/>
    <n v="2015"/>
    <s v="http://esa.un.org/unpd/wpp/Download/Standard/Population/"/>
    <n v="92"/>
    <n v="91.4"/>
    <n v="92.5"/>
    <n v="91.1"/>
    <n v="92.2"/>
    <n v="2012"/>
    <s v="MICS"/>
    <n v="111.876"/>
    <n v="60.473840399137302"/>
    <n v="54.885452807853021"/>
    <n v="56.990547192146984"/>
    <n v="2011"/>
    <s v="http://www.idea.int/vt/countryview.cfm?id=129"/>
    <n v="18"/>
    <n v="18"/>
    <s v="LC2011"/>
    <n v="150.99600000000001"/>
    <n v="111.876"/>
    <n v="161.55699999999999"/>
    <n v="1"/>
    <n v="4"/>
    <s v="CD"/>
    <x v="1"/>
    <n v="33.763560000000012"/>
    <n v="18.250671625252036"/>
    <n v="52.337202616824143"/>
    <n v="16.116523192146992"/>
    <n v="17.670902807852997"/>
    <n v="17.757493132523489"/>
    <n v="18.750957987959463"/>
    <n v="30.341000000000008"/>
    <n v="53.008974021465995"/>
    <n v="14.257547192146994"/>
    <n v="16.083452807853"/>
    <n v="2.3208799999999989"/>
    <n v="46.437127296542684"/>
    <n v="1.2591259999999995"/>
    <n v="1.0777499999999993"/>
    <n v="1.1016799999999995"/>
    <n v="46.265703289521447"/>
    <n v="0.59984999999999977"/>
    <n v="0.50969999999999971"/>
    <n v="8.5999999999999961"/>
    <n v="7.4999999999999956"/>
    <n v="182.273"/>
    <n v="50.90112084620322"/>
    <n v="43.676000000000066"/>
    <n v="49.414398341885871"/>
    <n v="14"/>
    <n v="49.324631389187331"/>
    <n v="82.294141205773769"/>
    <n v="150"/>
    <n v="24.539789113033709"/>
    <n v="50.90112084620322"/>
    <n v="3.4940800000000034"/>
    <n v="49.414398341885871"/>
    <n v="1.1184796129225438"/>
    <n v="49.324631389187331"/>
    <n v="29.693999999999999"/>
    <n v="16.290800000000001"/>
    <n v="77.308547181248727"/>
    <n v="152.57900000000001"/>
    <n v="83.709199999999996"/>
    <n v="37.893812385714945"/>
    <n v="7.6703599334689203"/>
    <n v="7.8568934880663228"/>
    <n v="8.4346059871539207"/>
    <n v="23.9618594086892"/>
    <n v="67.277106318544199"/>
    <n v="8.7610342727666701"/>
    <n v="92"/>
    <n v="92.5"/>
    <n v="91.4"/>
    <n v="91.1"/>
    <n v="92.2"/>
    <n v="2012"/>
    <n v="19"/>
    <n v="2012"/>
    <n v="34.631869999999999"/>
    <s v="-"/>
    <s v="-"/>
    <m/>
    <s v="-"/>
    <s v="-"/>
    <s v="-"/>
    <s v="eng"/>
    <n v="0"/>
    <s v="-"/>
    <s v="-"/>
    <s v="-"/>
    <s v="-"/>
    <s v="-"/>
    <s v="-"/>
    <s v="-"/>
    <s v="-"/>
    <s v="-"/>
    <m/>
    <m/>
    <m/>
    <m/>
    <m/>
    <m/>
    <m/>
    <m/>
    <m/>
    <m/>
    <m/>
    <m/>
    <m/>
    <m/>
    <m/>
    <m/>
    <m/>
    <m/>
    <m/>
    <m/>
    <m/>
    <m/>
    <m/>
    <m/>
    <m/>
    <m/>
    <m/>
    <m/>
    <m/>
    <m/>
    <m/>
    <m/>
    <m/>
    <m/>
    <m/>
    <m/>
    <m/>
    <n v="2"/>
    <s v="civil + common"/>
    <s v="F"/>
    <n v="1"/>
    <n v="1"/>
    <s v="-"/>
    <s v="-"/>
    <s v="-"/>
    <s v="-"/>
    <s v="-"/>
    <s v="F"/>
    <n v="15"/>
    <n v="3"/>
    <n v="8"/>
    <n v="4"/>
    <m/>
    <n v="1.1772879362106323"/>
    <n v="0.86909371614456177"/>
    <n v="0.96504664421081543"/>
    <n v="0.41810289025306702"/>
    <n v="0.74519360065460205"/>
    <n v="1.1732051372528076"/>
    <n v="104"/>
    <n v="0.45247999999999999"/>
    <n v="0.27450000000000002"/>
    <n v="0.24409"/>
    <n v="0.40004000000000001"/>
    <n v="0.71330000000000005"/>
    <n v="79"/>
    <n v="4.8099999999999996"/>
    <n v="5.68"/>
    <n v="3.02"/>
    <n v="6.67"/>
    <s v="Freedom of Information Act"/>
    <s v="http://www.govt.lc/media.govt.lc/www/legislation/FreedomOfInformation.pdf"/>
    <n v="2009"/>
    <s v="-"/>
    <s v="Both"/>
    <s v="Information Commissioner"/>
    <s v="http://legalaffairs.govt.lc/"/>
    <s v="-"/>
    <s v="-"/>
    <s v="-"/>
    <n v="2008"/>
    <s v="http://www.govt.lc/media.govt.lc/www/legislation/FreedomOfInformation.pdf"/>
    <s v="-"/>
    <s v="-"/>
    <s v="-"/>
    <s v="-"/>
    <s v="-"/>
    <s v="-"/>
    <s v="-"/>
    <m/>
    <m/>
    <m/>
    <m/>
    <m/>
    <s v="Blend"/>
    <s v=""/>
    <n v="1"/>
    <n v="15"/>
    <n v="60"/>
    <s v="B"/>
    <m/>
    <n v="4"/>
    <n v="0"/>
    <n v="1"/>
  </r>
  <r>
    <n v="149"/>
    <m/>
    <s v="St. Vincent and the Grenadines"/>
    <x v="5"/>
    <x v="1"/>
    <s v="VCT"/>
    <s v="VC"/>
    <s v="http://www.judiciary.gov.vc/index.php?option=com_content&amp;view=article&amp;id=43&amp;Itemid=84"/>
    <s v="Registry Department, High Court"/>
    <n v="1"/>
    <n v="1864"/>
    <n v="2"/>
    <s v="3 m"/>
    <s v="free"/>
    <s v="http://www.oas.org/en/spa/depm/puica/proyectos.asp"/>
    <s v="High Court Office"/>
    <n v="6"/>
    <n v="2013"/>
    <s v="National ID Card"/>
    <x v="1"/>
    <n v="1"/>
    <n v="0"/>
    <s v="EC$15"/>
    <n v="0"/>
    <n v="0"/>
    <m/>
    <m/>
    <m/>
    <m/>
    <s v="http://www.gov.vc/index.php?option=com_content&amp;view=article&amp;id=289&amp;Itemid=209"/>
    <n v="2015"/>
    <n v="2"/>
    <n v="3"/>
    <s v="C, T, V"/>
    <n v="0"/>
    <n v="0"/>
    <s v="-"/>
    <n v="10"/>
    <s v="http://thenewtoday.gd/local-news/2014/11/27/mpid-to-serve-as-national-id/"/>
    <s v="-"/>
    <n v="0"/>
    <n v="0"/>
    <s v="http://www.security.gov.vc/index.php?option=com_content&amp;view=article&amp;id=55&amp;Itemid=107"/>
    <s v="Ministry of National Security Air and Sea Port Development"/>
    <n v="1"/>
    <n v="6"/>
    <n v="2014"/>
    <n v="5"/>
    <s v="-"/>
    <n v="0"/>
    <s v="http://www.cipo.gov.vc/index.php?option=com_content&amp;view=article&amp;id=27&amp;Itemid=30"/>
    <n v="2003"/>
    <n v="1"/>
    <n v="0"/>
    <s v="-"/>
    <s v="-"/>
    <n v="0"/>
    <s v="-"/>
    <n v="0"/>
    <s v="-"/>
    <n v="2"/>
    <n v="1"/>
    <n v="109.462"/>
    <n v="49.542306919296195"/>
    <n v="55.231999999999999"/>
    <n v="54.23"/>
    <n v="8.5120000000000005"/>
    <n v="49.412593984962413"/>
    <n v="4.306"/>
    <n v="4.2060000000000004"/>
    <n v="9.0909999999999993"/>
    <n v="49.49950500494996"/>
    <n v="4.5910000000000002"/>
    <n v="4.5"/>
    <n v="9.2469999999999999"/>
    <n v="49.432248296744888"/>
    <n v="4.6760000000000002"/>
    <n v="4.5709999999999997"/>
    <n v="82.612000000000009"/>
    <n v="49.572701302474208"/>
    <n v="41.658999999999999"/>
    <n v="40.952999999999996"/>
    <n v="2015"/>
    <s v="http://esa.un.org/unpd/wpp/Download/Standard/Population/"/>
    <n v="90"/>
    <n v="90"/>
    <n v="90"/>
    <s v="–"/>
    <s v="–"/>
    <n v="2013"/>
    <s v="http://www.unicef.org/protection/files/UNICEF_Birth_Registration_Handbook.pdf"/>
    <n v="72.19"/>
    <n v="65.949827337340807"/>
    <n v="36.425408634960071"/>
    <n v="35.764591365039927"/>
    <n v="2010"/>
    <s v="http://www.idea.int/vt/countryview.cfm?id=235"/>
    <n v="0"/>
    <n v="18"/>
    <s v="VC2010"/>
    <n v="101.06699999999999"/>
    <n v="72.19"/>
    <n v="104.217"/>
    <n v="1"/>
    <n v="4"/>
    <s v="CD"/>
    <x v="1"/>
    <n v="13.107000000000012"/>
    <n v="11.974018380807962"/>
    <n v="49.71472217105412"/>
    <n v="6.5908913650399281"/>
    <n v="6.5161086349600694"/>
    <n v="11.933102848058965"/>
    <n v="12.015689904038483"/>
    <n v="10.422000000000011"/>
    <n v="49.783233879870117"/>
    <n v="5.2335913650399277"/>
    <n v="5.1884086349600693"/>
    <n v="1.8337999999999994"/>
    <n v="49.465590576944059"/>
    <n v="0.92669999999999986"/>
    <n v="0.9070999999999998"/>
    <n v="0.85119999999999985"/>
    <n v="49.412593984962413"/>
    <n v="0.43059999999999993"/>
    <n v="0.42059999999999997"/>
    <n v="9.9999999999999982"/>
    <n v="9.9999999999999982"/>
    <n v="109.373"/>
    <n v="49.526848490943834"/>
    <n v="27.626000000000008"/>
    <n v="49.528514465769483"/>
    <n v="8.9440000000000008"/>
    <n v="49.439140038097754"/>
    <n v="92.344545728836181"/>
    <n v="101"/>
    <n v="6.2581042030482879"/>
    <n v="49.526848490943834"/>
    <n v="2.7626000000000004"/>
    <n v="49.528514465769483"/>
    <n v="0.88329193834225539"/>
    <n v="49.439140038097754"/>
    <n v="54.781999999999996"/>
    <n v="50.087400000000002"/>
    <n v="45.235661348618159"/>
    <n v="54.591000000000001"/>
    <n v="49.912599999999998"/>
    <n v="66.871828689710753"/>
    <n v="8.0759596823919573"/>
    <n v="8.4014483104149331"/>
    <n v="8.7811110201122045"/>
    <n v="25.258519012919098"/>
    <n v="67.736095745750802"/>
    <n v="7.0053852413301296"/>
    <n v="90"/>
    <n v="90"/>
    <n v="90"/>
    <n v="90"/>
    <n v="90"/>
    <n v="2001"/>
    <n v="33"/>
    <n v="2012"/>
    <n v="36.093090000000004"/>
    <s v="-"/>
    <s v="-"/>
    <m/>
    <s v="-"/>
    <s v="-"/>
    <s v="-"/>
    <s v="eng"/>
    <n v="0"/>
    <s v="-"/>
    <s v="-"/>
    <s v="-"/>
    <s v="-"/>
    <s v="-"/>
    <s v="-"/>
    <s v="-"/>
    <s v="-"/>
    <s v="-"/>
    <m/>
    <m/>
    <m/>
    <m/>
    <m/>
    <m/>
    <m/>
    <m/>
    <m/>
    <m/>
    <m/>
    <m/>
    <m/>
    <m/>
    <m/>
    <m/>
    <m/>
    <m/>
    <m/>
    <m/>
    <m/>
    <m/>
    <m/>
    <m/>
    <m/>
    <m/>
    <m/>
    <m/>
    <m/>
    <m/>
    <m/>
    <m/>
    <m/>
    <m/>
    <m/>
    <m/>
    <m/>
    <n v="2"/>
    <s v="common"/>
    <s v="F"/>
    <n v="1"/>
    <n v="1"/>
    <s v="-"/>
    <s v="-"/>
    <s v="-"/>
    <s v="-"/>
    <s v="-"/>
    <s v="F"/>
    <n v="17"/>
    <n v="4"/>
    <n v="7"/>
    <n v="6"/>
    <m/>
    <n v="1.0459977388381958"/>
    <n v="0.91567397117614746"/>
    <n v="0.9003409743309021"/>
    <n v="0.3129216730594635"/>
    <n v="0.85766142606735229"/>
    <n v="0.97651481628417969"/>
    <n v="113"/>
    <n v="0.41577999999999998"/>
    <n v="0.15686"/>
    <n v="0.15748000000000001"/>
    <n v="0.38103999999999999"/>
    <n v="0.70879999999999999"/>
    <n v="72"/>
    <n v="5.17"/>
    <n v="6.85"/>
    <n v="2.4700000000000002"/>
    <n v="7.23"/>
    <s v="Privacy Act"/>
    <s v="http://www.gov.vc/pmoffice/images/stories/HIPCAR/privacy%20act%202003.pdf"/>
    <n v="2003"/>
    <s v="-"/>
    <s v="Pub"/>
    <s v="-"/>
    <s v="-"/>
    <s v="-"/>
    <n v="74"/>
    <n v="70"/>
    <n v="2003"/>
    <s v="http://www.rti-rating.org/files/pdf/Saint%20Vincent%20and%20the%20Grenadines.pdf"/>
    <n v="2"/>
    <n v="21"/>
    <n v="17"/>
    <n v="18"/>
    <n v="2"/>
    <n v="2"/>
    <n v="8"/>
    <m/>
    <m/>
    <m/>
    <m/>
    <m/>
    <s v="Blend"/>
    <s v=""/>
    <n v="1"/>
    <n v="14"/>
    <n v="56.000000000000007"/>
    <s v="B"/>
    <m/>
    <n v="2"/>
    <n v="0"/>
    <n v="0"/>
  </r>
  <r>
    <n v="150"/>
    <m/>
    <s v="Samoa"/>
    <x v="6"/>
    <x v="3"/>
    <s v="WSM"/>
    <s v="WS"/>
    <s v="http://www.mjca.gov.ws/"/>
    <s v="Registrar of Births Deaths and Marriages, Justice Dept"/>
    <n v="1"/>
    <n v="1962"/>
    <n v="2"/>
    <s v="14-28 d"/>
    <s v="free"/>
    <s v="-"/>
    <s v="-"/>
    <n v="0"/>
    <s v="-"/>
    <s v="-"/>
    <x v="2"/>
    <n v="0"/>
    <s v="-"/>
    <s v="-"/>
    <n v="0"/>
    <n v="0"/>
    <m/>
    <m/>
    <m/>
    <m/>
    <s v="-"/>
    <s v="-"/>
    <n v="0"/>
    <n v="0"/>
    <s v="-"/>
    <s v="-"/>
    <s v="-"/>
    <s v="-"/>
    <n v="0"/>
    <s v="-"/>
    <s v="-"/>
    <n v="0"/>
    <n v="0"/>
    <s v="http://www.samoaimmigration.gov.ws/ApplicationForms/tabid/6851/language/en-US/Default.aspx"/>
    <s v="Immigration Office"/>
    <n v="1"/>
    <n v="6"/>
    <n v="2011"/>
    <n v="5"/>
    <s v="-"/>
    <n v="0"/>
    <s v="http://www.companies.gov.ws/"/>
    <n v="2008"/>
    <n v="1"/>
    <n v="1"/>
    <s v="http://www.revenue.gov.ws/images/VAGST_Register_Fact_Sheet_English.pdf"/>
    <n v="2008"/>
    <n v="0"/>
    <s v="-"/>
    <n v="0"/>
    <s v="-"/>
    <n v="0"/>
    <n v="0"/>
    <n v="193.22800000000001"/>
    <n v="48.431904278882975"/>
    <n v="99.644000000000005"/>
    <n v="93.584000000000003"/>
    <n v="24.175999999999998"/>
    <n v="48.122104566512249"/>
    <n v="12.542"/>
    <n v="11.634"/>
    <n v="25.209"/>
    <n v="48.117735729303028"/>
    <n v="13.079000000000001"/>
    <n v="12.13"/>
    <n v="22.670999999999999"/>
    <n v="48.52454677782189"/>
    <n v="11.67"/>
    <n v="11.000999999999999"/>
    <n v="121.17200000000003"/>
    <n v="48.541742316706824"/>
    <n v="62.352999999999994"/>
    <n v="58.81900000000001"/>
    <n v="2015"/>
    <s v="http://esa.un.org/unpd/wpp/Download/Standard/Population/"/>
    <n v="47.7"/>
    <n v="48.1"/>
    <n v="47.4"/>
    <n v="62.1"/>
    <n v="44.4"/>
    <n v="2009"/>
    <s v="DHS"/>
    <n v="79.284000000000006"/>
    <n v="41.031320512555119"/>
    <n v="40.885249011530426"/>
    <n v="38.39875098846958"/>
    <n v="2011"/>
    <s v="http://www.idea.int/vt/countryview.cfm?id=242"/>
    <s v="-"/>
    <n v="21"/>
    <s v="WS2011"/>
    <n v="79.284000000000006"/>
    <n v="100.59699999999999"/>
    <n v="193.161"/>
    <n v="1"/>
    <n v="4"/>
    <s v="CD"/>
    <x v="1"/>
    <n v="79.573288000000019"/>
    <n v="41.181033804624597"/>
    <n v="48.642754351850357"/>
    <n v="40.821779988469572"/>
    <n v="38.706639011530427"/>
    <n v="40.967624732517329"/>
    <n v="41.36031694683966"/>
    <n v="41.888000000000019"/>
    <n v="48.749639542423658"/>
    <n v="21.467750988469568"/>
    <n v="20.42024901153043"/>
    <n v="25.041239999999995"/>
    <n v="48.587474102720165"/>
    <n v="12.844730999999999"/>
    <n v="12.166906000000001"/>
    <n v="12.644047999999996"/>
    <n v="48.398139583146175"/>
    <n v="6.5092979999999985"/>
    <n v="6.1194840000000008"/>
    <n v="51.899999999999991"/>
    <n v="52.6"/>
    <n v="190.37200000000001"/>
    <n v="48.440421910785197"/>
    <n v="71.857000000000014"/>
    <n v="48.179544683078987"/>
    <n v="25.271000000000001"/>
    <n v="48.114449608086133"/>
    <n v="67.50200396574273"/>
    <n v="80"/>
    <n v="38.515000000000008"/>
    <n v="48.440421910785197"/>
    <n v="37.581211000000003"/>
    <n v="48.179544683078987"/>
    <n v="13.074476103635471"/>
    <n v="48.114449608086133"/>
    <n v="37.118000000000002"/>
    <n v="19.497800000000002"/>
    <n v="53.572390753812172"/>
    <n v="153.25399999999999"/>
    <n v="80.502200000000002"/>
    <n v="47.359285891395984"/>
    <n v="13.1316571166505"/>
    <n v="12.930472648714098"/>
    <n v="11.683442062425204"/>
    <n v="37.745571827789803"/>
    <n v="57.113966339587797"/>
    <n v="5.1404618326224396"/>
    <n v="47.7"/>
    <n v="47.4"/>
    <n v="48.1"/>
    <n v="62.1"/>
    <n v="44.4"/>
    <n v="2009"/>
    <s v="-"/>
    <s v="-"/>
    <m/>
    <n v="25"/>
    <n v="2012"/>
    <n v="47.593000000000004"/>
    <s v="-"/>
    <s v="-"/>
    <n v="98.864883422851605"/>
    <s v="eng"/>
    <n v="0"/>
    <s v="-"/>
    <s v="-"/>
    <s v="-"/>
    <s v="-"/>
    <s v="-"/>
    <s v="-"/>
    <s v="-"/>
    <s v="-"/>
    <s v="-"/>
    <m/>
    <m/>
    <m/>
    <m/>
    <m/>
    <m/>
    <m/>
    <m/>
    <m/>
    <m/>
    <m/>
    <m/>
    <m/>
    <m/>
    <m/>
    <m/>
    <m/>
    <m/>
    <m/>
    <m/>
    <m/>
    <m/>
    <m/>
    <m/>
    <m/>
    <m/>
    <m/>
    <m/>
    <m/>
    <m/>
    <m/>
    <m/>
    <m/>
    <m/>
    <m/>
    <m/>
    <m/>
    <n v="2"/>
    <s v="common + customary"/>
    <s v="F"/>
    <n v="2"/>
    <n v="2"/>
    <s v="-"/>
    <s v="-"/>
    <s v="-"/>
    <s v="-"/>
    <s v="-"/>
    <s v="F"/>
    <n v="29"/>
    <n v="7"/>
    <n v="13"/>
    <n v="9"/>
    <m/>
    <n v="0.47094151377677917"/>
    <n v="1.0088344812393188"/>
    <n v="0.13573737442493439"/>
    <n v="-0.23428522050380707"/>
    <n v="0.71896731853485107"/>
    <n v="0.19516046345233917"/>
    <n v="111"/>
    <n v="0.42038999999999999"/>
    <n v="0.39215"/>
    <n v="0.24409"/>
    <n v="0.26723000000000002"/>
    <n v="0.74990000000000001"/>
    <s v="-"/>
    <s v="-"/>
    <s v="-"/>
    <s v="-"/>
    <s v="-"/>
    <s v="-"/>
    <s v="-"/>
    <s v="-"/>
    <s v="-"/>
    <s v="-"/>
    <s v="-"/>
    <s v="-"/>
    <s v="-"/>
    <s v="-"/>
    <s v="-"/>
    <s v="-"/>
    <s v="-"/>
    <s v="-"/>
    <s v="-"/>
    <s v="-"/>
    <s v="-"/>
    <s v="-"/>
    <s v="-"/>
    <s v="-"/>
    <m/>
    <m/>
    <m/>
    <m/>
    <m/>
    <s v="IDA"/>
    <s v=""/>
    <n v="1"/>
    <n v="5"/>
    <n v="20"/>
    <s v="D"/>
    <m/>
    <n v="4"/>
    <n v="0"/>
    <n v="0"/>
  </r>
  <r>
    <n v="151"/>
    <m/>
    <s v="San Marino"/>
    <x v="3"/>
    <x v="2"/>
    <s v="SMR"/>
    <s v="SM"/>
    <s v="http://www.dipartimento.interni.sm/on-line/home.html"/>
    <s v="Office of Vital Statistics, Demographic and Electoral "/>
    <n v="2"/>
    <n v="1870"/>
    <n v="2"/>
    <s v="10 d"/>
    <s v="free"/>
    <s v="http://www.dipartimento.interni.sm/on-line/home/uffici/ufficio-di-stato-civile-servizi-demografici-ed-elettorali.html"/>
    <s v="Office of Vital Statistics, Demographic and Electoral"/>
    <n v="2"/>
    <n v="2011"/>
    <s v="National ID Card"/>
    <x v="1"/>
    <n v="2"/>
    <n v="0"/>
    <s v="free"/>
    <n v="0"/>
    <n v="0"/>
    <m/>
    <m/>
    <m/>
    <m/>
    <s v="https://www.pa.sm"/>
    <n v="2011"/>
    <n v="2"/>
    <s v="4B"/>
    <s v="C, T"/>
    <n v="0"/>
    <n v="0"/>
    <s v="-"/>
    <n v="9"/>
    <s v="http://www.sanmarino.sm/on-line/home/canali-tematici/pubblica-amministrazione.html"/>
    <s v="-"/>
    <n v="0"/>
    <n v="0"/>
    <s v="http://www.esteri.sm/on-line/home.html"/>
    <s v="Passport Office"/>
    <n v="2"/>
    <n v="3"/>
    <n v="2006"/>
    <n v="5"/>
    <n v="10"/>
    <n v="1"/>
    <s v="https://registroimprese.cc.sm/"/>
    <n v="1995"/>
    <n v="1"/>
    <n v="2"/>
    <s v="http://en.wikipedia.org/wiki/VAT_identification_number"/>
    <n v="2012"/>
    <n v="2"/>
    <s v="C, P"/>
    <n v="0"/>
    <s v="-"/>
    <n v="3"/>
    <n v="0"/>
    <n v="32.743000000000002"/>
    <n v="51.543841431756412"/>
    <n v="15.866"/>
    <n v="16.877000000000002"/>
    <n v="1.56"/>
    <n v="48.076923076923073"/>
    <n v="0.81"/>
    <n v="0.75"/>
    <n v="1.75"/>
    <n v="46.285714285714292"/>
    <n v="0.94"/>
    <n v="0.81"/>
    <n v="1.92"/>
    <n v="46.354166666666671"/>
    <n v="1.03"/>
    <n v="0.89"/>
    <n v="27.513000000000005"/>
    <n v="52.437029767746147"/>
    <n v="13.086"/>
    <n v="14.427000000000001"/>
    <n v="2014"/>
    <s v="http://www.indexmundi.com/san_marino/population.html"/>
    <n v="100"/>
    <n v="100"/>
    <n v="100"/>
    <s v="–"/>
    <s v="–"/>
    <n v="2009"/>
    <s v="UNSD "/>
    <n v="25.760999999999999"/>
    <n v="78.676358305592032"/>
    <n v="12.482791008765231"/>
    <n v="13.27820899123477"/>
    <n v="2012"/>
    <s v="http://www.idea.int/vt/countryview.cfm?id=204"/>
    <n v="0"/>
    <n v="18"/>
    <s v="SM2012"/>
    <n v="33.106000000000002"/>
    <n v="25.760999999999999"/>
    <n v="32.14"/>
    <n v="1"/>
    <n v="4"/>
    <s v="CD"/>
    <x v="2"/>
    <n v="1.752000000000006"/>
    <n v="5.3507619949302327"/>
    <n v="65.570263057375982"/>
    <n v="0.60320899123476934"/>
    <n v="1.1487910087652313"/>
    <n v="3.8018970832898611"/>
    <n v="6.8068436852831136"/>
    <n v="1.752000000000006"/>
    <n v="65.570263057375982"/>
    <n v="0.60320899123476934"/>
    <n v="1.1487910087652313"/>
    <n v="0"/>
    <n v="0"/>
    <n v="0"/>
    <n v="0"/>
    <n v="0"/>
    <n v="0"/>
    <n v="0"/>
    <n v="0"/>
    <n v="0"/>
    <n v="0"/>
    <n v="31.448"/>
    <n v="51.545408293055203"/>
    <n v="5.2250851999999997"/>
    <n v="46.794258373205736"/>
    <n v="1.5673394989469731"/>
    <n v="47.402597402597401"/>
    <n v="99"/>
    <n v="25.960685652000002"/>
    <n v="0.26222914800000019"/>
    <n v="51.545408293055203"/>
    <n v="0"/>
    <n v="46.794258373205736"/>
    <n v="0"/>
    <n v="47.402597402597401"/>
    <n v="29.613"/>
    <n v="94.166399999999996"/>
    <n v="51.545408293055203"/>
    <n v="1.835"/>
    <n v="5.8336000000000041"/>
    <n v="51.545408293055203"/>
    <n v="4.8970000000000002"/>
    <n v="5.6760000000000002"/>
    <n v="6.0419999999999998"/>
    <n v="16.614999999999998"/>
    <n v="64.584999999999994"/>
    <n v="18.8"/>
    <n v="100"/>
    <n v="100"/>
    <n v="100"/>
    <n v="100"/>
    <n v="100"/>
    <n v="2009"/>
    <s v="-"/>
    <s v="-"/>
    <m/>
    <s v="-"/>
    <s v="-"/>
    <m/>
    <s v="-"/>
    <s v="-"/>
    <s v="-"/>
    <s v="ita"/>
    <n v="0"/>
    <s v="-"/>
    <s v="-"/>
    <s v="-"/>
    <s v="-"/>
    <s v="-"/>
    <s v="-"/>
    <s v="-"/>
    <s v="-"/>
    <s v="-"/>
    <m/>
    <m/>
    <m/>
    <m/>
    <m/>
    <m/>
    <m/>
    <m/>
    <m/>
    <m/>
    <m/>
    <m/>
    <m/>
    <m/>
    <m/>
    <m/>
    <m/>
    <m/>
    <m/>
    <m/>
    <m/>
    <m/>
    <m/>
    <m/>
    <m/>
    <m/>
    <m/>
    <m/>
    <m/>
    <m/>
    <m/>
    <m/>
    <m/>
    <m/>
    <m/>
    <m/>
    <m/>
    <n v="1"/>
    <s v="civil"/>
    <s v="F"/>
    <n v="1"/>
    <n v="1"/>
    <s v="-"/>
    <s v="-"/>
    <s v="-"/>
    <s v="-"/>
    <s v="-"/>
    <s v="F"/>
    <n v="16"/>
    <n v="4"/>
    <n v="5"/>
    <n v="7"/>
    <m/>
    <n v="1.2062194347381592"/>
    <n v="1.0969746112823486"/>
    <e v="#N/A"/>
    <e v="#N/A"/>
    <n v="0.94137513637542725"/>
    <e v="#N/A"/>
    <n v="62"/>
    <n v="0.58225000000000005"/>
    <n v="0.19606999999999999"/>
    <n v="0.27559"/>
    <n v="0.63576999999999995"/>
    <n v="0.83540000000000003"/>
    <s v="-"/>
    <s v="-"/>
    <s v="-"/>
    <s v="-"/>
    <s v="-"/>
    <s v="Act on Collection, Elaboration and Use of Computerised Personal Data"/>
    <s v="http://www.culturalpolicies.net/web/sanmarino.php?aid=518"/>
    <n v="1983"/>
    <n v="1995"/>
    <s v="Both"/>
    <s v="Guarantor for the Protection of Confidential and Personal Data"/>
    <s v="http://www.coe.int/t/dghl/standardsetting/dataprotection/National%20laws/san_marino_en.asp"/>
    <s v="-"/>
    <s v="-"/>
    <s v="-"/>
    <s v="-"/>
    <s v="-"/>
    <s v="-"/>
    <s v="-"/>
    <s v="-"/>
    <s v="-"/>
    <s v="-"/>
    <s v="-"/>
    <s v="-"/>
    <s v="EUR"/>
    <m/>
    <m/>
    <m/>
    <m/>
    <s v=".."/>
    <s v=""/>
    <n v="1"/>
    <n v="21"/>
    <n v="84"/>
    <s v="A"/>
    <m/>
    <n v="4"/>
    <n v="0"/>
    <n v="0"/>
  </r>
  <r>
    <n v="152"/>
    <m/>
    <s v="São Tomé and Principe"/>
    <x v="4"/>
    <x v="3"/>
    <s v="STP"/>
    <s v="ST"/>
    <s v="http://www.gov.st/content.php?intMenuID=16"/>
    <s v="Hospitals / Registry Office"/>
    <n v="6"/>
    <n v="1875"/>
    <n v="1"/>
    <s v="0 - 18 y"/>
    <s v="free"/>
    <s v="-"/>
    <s v="-"/>
    <n v="0"/>
    <s v="-"/>
    <s v="-"/>
    <x v="2"/>
    <n v="0"/>
    <s v="-"/>
    <s v="-"/>
    <n v="0"/>
    <n v="0"/>
    <m/>
    <m/>
    <m/>
    <m/>
    <s v="-"/>
    <s v="-"/>
    <n v="0"/>
    <n v="0"/>
    <s v="-"/>
    <s v="-"/>
    <s v="-"/>
    <s v="-"/>
    <n v="0"/>
    <s v="-"/>
    <s v="-"/>
    <n v="0"/>
    <n v="0"/>
    <s v="http://www.emb-saotomeprincipe.pt/passaporte.html"/>
    <s v="Ministry of Foreign Affairs"/>
    <n v="1"/>
    <n v="3"/>
    <n v="2010"/>
    <n v="5"/>
    <s v="-"/>
    <n v="0"/>
    <s v="http://www.gue-stp.net/spip.php?article11"/>
    <n v="2010"/>
    <n v="1"/>
    <n v="0"/>
    <s v="-"/>
    <s v="-"/>
    <n v="0"/>
    <s v="-"/>
    <n v="0"/>
    <s v="-"/>
    <n v="0"/>
    <n v="0"/>
    <n v="190.34399999999999"/>
    <n v="50.216975581053248"/>
    <n v="94.759"/>
    <n v="95.584999999999994"/>
    <n v="29.576000000000001"/>
    <n v="49.533405463889643"/>
    <n v="14.926"/>
    <n v="14.65"/>
    <n v="27.030999999999999"/>
    <n v="49.628204653915873"/>
    <n v="13.616"/>
    <n v="13.414999999999999"/>
    <n v="24.532"/>
    <n v="49.653513777922711"/>
    <n v="12.351000000000001"/>
    <n v="12.180999999999999"/>
    <n v="109.205"/>
    <n v="50.674419669429035"/>
    <n v="53.866"/>
    <n v="55.338999999999984"/>
    <n v="2015"/>
    <s v="http://esa.un.org/unpd/wpp/Download/Standard/Population/"/>
    <n v="75.099999999999994"/>
    <n v="74.599999999999994"/>
    <n v="75.5"/>
    <n v="76.400000000000006"/>
    <n v="73.8"/>
    <s v="2008-2009"/>
    <s v="DHS"/>
    <n v="92.638999999999996"/>
    <n v="48.669251460513593"/>
    <n v="46.11849599146808"/>
    <n v="46.520504008531915"/>
    <n v="2011"/>
    <s v="http://www.idea.int/vt/countryview.cfm?id=204"/>
    <s v="-"/>
    <n v="18"/>
    <s v="ST2011"/>
    <n v="92.638999999999996"/>
    <n v="96.302000000000007"/>
    <n v="179.59100000000001"/>
    <n v="1"/>
    <n v="4"/>
    <s v="CD"/>
    <x v="1"/>
    <n v="36.769611000000012"/>
    <n v="19.317452086748212"/>
    <n v="50.799465872695968"/>
    <n v="18.134326008531918"/>
    <n v="18.678765991468069"/>
    <n v="19.137312559790541"/>
    <n v="19.541524288819449"/>
    <n v="16.566000000000003"/>
    <n v="53.232500250320335"/>
    <n v="7.7475040085319193"/>
    <n v="8.818495991468069"/>
    <n v="12.839187000000006"/>
    <n v="48.84281224348549"/>
    <n v="6.595618"/>
    <n v="6.27102"/>
    <n v="7.3644240000000032"/>
    <n v="48.737688107039986"/>
    <n v="3.791204"/>
    <n v="3.5892499999999998"/>
    <n v="25.4"/>
    <n v="24.5"/>
    <n v="192.99299999999999"/>
    <n v="50.61530729093802"/>
    <n v="80.312000000000083"/>
    <n v="49.54925789421258"/>
    <n v="30.7"/>
    <n v="49.539336121275504"/>
    <n v="82.533878826066569"/>
    <n v="93"/>
    <n v="19.680999999999919"/>
    <n v="50.61530729093802"/>
    <n v="19.997688000000029"/>
    <n v="49.54925789421258"/>
    <n v="7.6213919999999939"/>
    <n v="49.539336121275504"/>
    <n v="123.465"/>
    <n v="63.973999999999997"/>
    <n v="31.229903211436437"/>
    <n v="69.528000000000006"/>
    <n v="36.026000000000003"/>
    <n v="46.184271085030495"/>
    <n v="15.859642577710051"/>
    <n v="14.16217168498336"/>
    <n v="11.592130284518149"/>
    <n v="41.613944547211602"/>
    <n v="55.020648417300102"/>
    <n v="3.3654070354883299"/>
    <n v="75.099999999999994"/>
    <n v="75.5"/>
    <n v="74.599999999999994"/>
    <n v="76.400000000000006"/>
    <n v="73.8"/>
    <n v="2009"/>
    <n v="28.2"/>
    <n v="2001"/>
    <n v="47.524332000000001"/>
    <n v="66.2"/>
    <n v="2009"/>
    <n v="111.56421200000001"/>
    <n v="66.2"/>
    <n v="2009"/>
    <n v="69.536384582519503"/>
    <s v="por"/>
    <n v="1"/>
    <n v="3"/>
    <s v="-"/>
    <s v="-"/>
    <s v="-"/>
    <s v="-"/>
    <s v="CR Minister"/>
    <n v="0.48"/>
    <s v="-"/>
    <s v="-"/>
    <m/>
    <m/>
    <m/>
    <m/>
    <m/>
    <m/>
    <m/>
    <m/>
    <m/>
    <m/>
    <m/>
    <m/>
    <m/>
    <m/>
    <m/>
    <m/>
    <m/>
    <m/>
    <m/>
    <m/>
    <m/>
    <m/>
    <m/>
    <m/>
    <m/>
    <m/>
    <m/>
    <m/>
    <m/>
    <m/>
    <m/>
    <m/>
    <m/>
    <m/>
    <m/>
    <m/>
    <m/>
    <n v="1"/>
    <s v="civil"/>
    <s v="F"/>
    <n v="2"/>
    <n v="2"/>
    <s v="-"/>
    <s v="-"/>
    <s v="-"/>
    <s v="-"/>
    <s v="-"/>
    <s v="F"/>
    <n v="28"/>
    <n v="4"/>
    <n v="11"/>
    <n v="13"/>
    <m/>
    <n v="0.10747502744197845"/>
    <n v="0.12203626334667206"/>
    <n v="-0.73540413379669189"/>
    <n v="-0.81422299146652222"/>
    <n v="-0.82349950075149536"/>
    <n v="-0.38216298818588257"/>
    <n v="169"/>
    <n v="0.22178999999999999"/>
    <n v="1.9599999999999999E-2"/>
    <n v="7.8700000000000003E-3"/>
    <n v="0.13976"/>
    <n v="0.51770000000000005"/>
    <s v="-"/>
    <s v="-"/>
    <s v="-"/>
    <s v="-"/>
    <s v="-"/>
    <s v="-"/>
    <s v="-"/>
    <s v="-"/>
    <s v="-"/>
    <s v="-"/>
    <s v="-"/>
    <s v="-"/>
    <s v="-"/>
    <s v="-"/>
    <s v="-"/>
    <s v="-"/>
    <s v="-"/>
    <s v="-"/>
    <s v="-"/>
    <s v="-"/>
    <s v="-"/>
    <s v="-"/>
    <s v="-"/>
    <s v="-"/>
    <m/>
    <m/>
    <m/>
    <m/>
    <m/>
    <s v="IDA"/>
    <s v="HIPC"/>
    <n v="1"/>
    <n v="3"/>
    <n v="12"/>
    <s v="D"/>
    <n v="1"/>
    <n v="4"/>
    <n v="0"/>
    <n v="0"/>
  </r>
  <r>
    <n v="153"/>
    <m/>
    <s v="Saudi Arabia"/>
    <x v="2"/>
    <x v="2"/>
    <s v="SAU"/>
    <s v="SA"/>
    <s v="http://www.moi.gov.sa"/>
    <s v="Min of Interior"/>
    <n v="2"/>
    <n v="1924"/>
    <n v="2"/>
    <s v="5 d"/>
    <s v="free"/>
    <s v="http://www.moi.gov.sa"/>
    <s v="Ministerial Agency of Civil Affairs"/>
    <n v="2"/>
    <n v="1926"/>
    <s v="Civil ID Card"/>
    <x v="1"/>
    <n v="2"/>
    <n v="15"/>
    <s v="-"/>
    <n v="1"/>
    <n v="1"/>
    <s v="http://en.wikipedia.org/wiki/Saudi_Arabian_National_ID_Card"/>
    <n v="1"/>
    <m/>
    <m/>
    <s v="http://www.moi.gov.sa"/>
    <n v="2009"/>
    <n v="2"/>
    <s v="4B"/>
    <s v="C, S, T"/>
    <n v="0"/>
    <n v="0"/>
    <s v="-"/>
    <n v="1"/>
    <s v="http://www.gemalto.com/govt/customer-cases/saudi-arabia"/>
    <s v="-"/>
    <n v="0"/>
    <n v="0"/>
    <s v="http://www.moi.gov.sa/"/>
    <s v="Ministry of Interior"/>
    <n v="1"/>
    <n v="2"/>
    <n v="2006"/>
    <n v="5"/>
    <s v="-"/>
    <n v="0"/>
    <s v="http://www.mci.gov.sa/en/ServicesDirectory/Pages/Services.aspx?Category=Commercial%20register"/>
    <n v="2008"/>
    <n v="1"/>
    <n v="2"/>
    <s v="http://www.mci.gov.sa/en/LawsRegulations/SystemsAndRegulations/CommercialRegistrationSystem/Pages/14-3.aspx"/>
    <n v="1996"/>
    <n v="2"/>
    <s v="C, F, P, R"/>
    <n v="1"/>
    <s v="http://www.saudi.gov.sa"/>
    <n v="0"/>
    <n v="0"/>
    <n v="31540.371999999999"/>
    <n v="43.450540152157998"/>
    <n v="17835.91"/>
    <n v="13704.462"/>
    <n v="3161.462"/>
    <n v="49.148337066838067"/>
    <n v="1607.6559999999999"/>
    <n v="1553.806"/>
    <n v="3100.1080000000002"/>
    <n v="48.832137461017481"/>
    <n v="1586.259"/>
    <n v="1513.8489999999999"/>
    <n v="2753.3029999999999"/>
    <n v="48.891712971656226"/>
    <n v="1407.1659999999999"/>
    <n v="1346.1369999999999"/>
    <n v="22525.499"/>
    <n v="41.245124025887279"/>
    <n v="13234.829000000002"/>
    <n v="9290.6699999999983"/>
    <n v="2015"/>
    <s v="http://esa.un.org/unpd/wpp/Download/Standard/Population/"/>
    <n v="75"/>
    <n v="75"/>
    <n v="75"/>
    <s v="–"/>
    <s v="–"/>
    <n v="2014"/>
    <s v="http://www.sesrtcic.org/files/article/506.pdf"/>
    <n v="1480"/>
    <n v="4.6923986819178927"/>
    <n v="1350"/>
    <n v="130"/>
    <n v="2015"/>
    <s v="http://www.bbc.com/news/world-middle-east-35075702"/>
    <n v="15"/>
    <n v="18"/>
    <s v="SA2015"/>
    <s v="-"/>
    <s v="-"/>
    <s v="-"/>
    <n v="10"/>
    <n v="2"/>
    <s v="LH"/>
    <x v="1"/>
    <n v="23299.217250000002"/>
    <n v="73.871092103796371"/>
    <n v="44.053488535113758"/>
    <n v="13035.099250000003"/>
    <n v="10264.117999999997"/>
    <n v="73.083454951275286"/>
    <n v="74.896176150512133"/>
    <n v="21045.499"/>
    <n v="43.527929653746853"/>
    <n v="11884.829000000002"/>
    <n v="9160.6699999999983"/>
    <n v="1463.35275"/>
    <n v="48.860160340697071"/>
    <n v="748.35625000000005"/>
    <n v="714.99649999999997"/>
    <n v="790.3655"/>
    <n v="49.148337066838067"/>
    <n v="401.91399999999999"/>
    <n v="388.45150000000001"/>
    <n v="25"/>
    <n v="25"/>
    <n v="28828.87"/>
    <n v="42.533196757278382"/>
    <n v="8369.3489999999965"/>
    <n v="48.258811303204091"/>
    <n v="2923.5169999999998"/>
    <n v="48.984876913375373"/>
    <n v="93.656116247358995"/>
    <n v="27000"/>
    <n v="1297.9282285871757"/>
    <n v="42.533196757278382"/>
    <n v="836.93489999999952"/>
    <n v="48.258811303204091"/>
    <n v="294.36447648084231"/>
    <n v="48.984876913375373"/>
    <n v="23842.052"/>
    <n v="82.701999999999998"/>
    <n v="42.533196757278382"/>
    <n v="4986.8180000000002"/>
    <n v="17.298000000000002"/>
    <n v="42.533196757278382"/>
    <n v="10.210753195697313"/>
    <n v="10.368320940206143"/>
    <n v="8.4520637477527547"/>
    <n v="29.0311378836562"/>
    <n v="68.080368741473407"/>
    <n v="2.8884933748704"/>
    <n v="90"/>
    <n v="90"/>
    <n v="90"/>
    <n v="90"/>
    <n v="90"/>
    <n v="1999"/>
    <s v="-"/>
    <s v="-"/>
    <m/>
    <s v="-"/>
    <s v="-"/>
    <m/>
    <s v="-"/>
    <s v="-"/>
    <n v="94.426345825195298"/>
    <s v="ara"/>
    <n v="0"/>
    <s v="-"/>
    <s v="-"/>
    <s v="-"/>
    <s v="-"/>
    <s v="-"/>
    <s v="-"/>
    <s v="-"/>
    <s v="-"/>
    <s v="-"/>
    <m/>
    <m/>
    <m/>
    <m/>
    <m/>
    <m/>
    <m/>
    <m/>
    <m/>
    <m/>
    <m/>
    <m/>
    <m/>
    <m/>
    <m/>
    <m/>
    <m/>
    <m/>
    <m/>
    <m/>
    <m/>
    <m/>
    <m/>
    <m/>
    <m/>
    <m/>
    <m/>
    <m/>
    <m/>
    <m/>
    <m/>
    <m/>
    <m/>
    <m/>
    <m/>
    <m/>
    <m/>
    <n v="3"/>
    <s v="religious"/>
    <s v="NF"/>
    <n v="7"/>
    <n v="7"/>
    <s v="NF"/>
    <n v="73"/>
    <n v="15"/>
    <n v="24"/>
    <n v="34"/>
    <s v="NF"/>
    <n v="83"/>
    <n v="29"/>
    <n v="29"/>
    <n v="25"/>
    <n v="-10"/>
    <n v="-1.8237768411636353"/>
    <n v="-0.40861624479293823"/>
    <n v="6.0536958277225494E-2"/>
    <n v="7.7040068805217743E-2"/>
    <n v="0.26479586958885193"/>
    <n v="-8.0722123384475708E-3"/>
    <n v="36"/>
    <n v="0.69001000000000001"/>
    <n v="0.56862000000000001"/>
    <n v="0.77164999999999995"/>
    <n v="0.55227000000000004"/>
    <n v="0.74609999999999999"/>
    <n v="47"/>
    <n v="6.36"/>
    <n v="7.04"/>
    <n v="4.7699999999999996"/>
    <n v="8.17"/>
    <s v="-"/>
    <s v="-"/>
    <s v="-"/>
    <s v="-"/>
    <s v="-"/>
    <s v="-"/>
    <s v="-"/>
    <s v="-"/>
    <s v="-"/>
    <s v="-"/>
    <s v="-"/>
    <s v="-"/>
    <s v="-"/>
    <s v="-"/>
    <s v="-"/>
    <s v="-"/>
    <s v="-"/>
    <s v="-"/>
    <s v="-"/>
    <m/>
    <m/>
    <m/>
    <m/>
    <n v="42"/>
    <s v=".."/>
    <s v=""/>
    <n v="0"/>
    <n v="18"/>
    <n v="72"/>
    <s v="B"/>
    <m/>
    <n v="1"/>
    <n v="2"/>
    <n v="0"/>
  </r>
  <r>
    <n v="154"/>
    <m/>
    <s v="Senegal"/>
    <x v="4"/>
    <x v="3"/>
    <s v="SEN"/>
    <s v="SN"/>
    <s v="http://www.servicepublic.gouv.sn/index.php/demarche_administrative/demarche/1/324/4/56"/>
    <s v="National Centre for Civil Registration"/>
    <n v="6"/>
    <n v="1730"/>
    <n v="2"/>
    <s v="45 d"/>
    <s v="free"/>
    <s v="http://www.servicepublic.gouv.sn/index.php/demarche_administrative/demarche/1/30"/>
    <s v="Police Station"/>
    <n v="2"/>
    <n v="2011"/>
    <s v="National ID Card"/>
    <x v="1"/>
    <n v="2"/>
    <n v="15"/>
    <s v="various"/>
    <n v="1"/>
    <n v="1"/>
    <m/>
    <n v="1"/>
    <n v="1"/>
    <m/>
    <s v="http://www.servicepublic.gouv.sn"/>
    <n v="2005"/>
    <n v="2"/>
    <n v="2"/>
    <s v="C, S, V"/>
    <n v="0"/>
    <n v="0"/>
    <s v="-"/>
    <n v="9"/>
    <s v="http://af.reuters.com/article/topNews/idAFJOE6450D020100506"/>
    <s v="-"/>
    <n v="0"/>
    <n v="0"/>
    <s v="http://www.servicepublic.gouv.sn/index.php/demarche_administrative/demarche/1/1187"/>
    <s v="Ministry of Interior"/>
    <n v="1"/>
    <n v="2"/>
    <n v="2007"/>
    <n v="5"/>
    <n v="1300"/>
    <n v="0"/>
    <s v="http://www.servicepublic.gouv.sn/index.php/demarche_administrative/demarche/1/196"/>
    <n v="2007"/>
    <n v="1"/>
    <n v="2"/>
    <s v="http://www.servicepublic.gouv.sn/index.php/demarche_administrative/demarche/1/112 "/>
    <n v="2007"/>
    <n v="1"/>
    <s v="C"/>
    <n v="0"/>
    <s v="-"/>
    <n v="3"/>
    <n v="0"/>
    <n v="15129.272999999999"/>
    <n v="50.898632075711767"/>
    <n v="7428.68"/>
    <n v="7700.5929999999998"/>
    <n v="2601.3119999999999"/>
    <n v="49.316460309259327"/>
    <n v="1318.4369999999999"/>
    <n v="1282.875"/>
    <n v="2171.0940000000001"/>
    <n v="49.371146527971611"/>
    <n v="1099.2"/>
    <n v="1071.894"/>
    <n v="1848.481"/>
    <n v="49.510273570569566"/>
    <n v="933.29300000000001"/>
    <n v="915.18799999999999"/>
    <n v="8508.3859999999986"/>
    <n v="52.073754058642848"/>
    <n v="4077.7500000000005"/>
    <n v="4430.6359999999995"/>
    <n v="2015"/>
    <s v="http://esa.un.org/unpd/wpp/Download/Standard/Population/"/>
    <n v="73"/>
    <n v="74.099999999999994"/>
    <n v="71.900000000000006"/>
    <n v="91.4"/>
    <n v="63.7"/>
    <s v="2012-2013"/>
    <s v="Continuous DHS"/>
    <n v="5368.7830000000004"/>
    <n v="35.486060698356098"/>
    <n v="2636.1458938866394"/>
    <n v="2732.6371061133605"/>
    <n v="2012"/>
    <s v="http://www.idea.int/vt/countryview.cfm?id=205"/>
    <n v="15"/>
    <n v="18"/>
    <s v="SN2012"/>
    <n v="5368.7830000000004"/>
    <n v="6504.0929999999998"/>
    <n v="12969.606"/>
    <n v="1"/>
    <n v="4"/>
    <s v="CD"/>
    <x v="0"/>
    <n v="4927.2424899999978"/>
    <n v="32.567609097938799"/>
    <n v="53.109965994116102"/>
    <n v="2309.4949761133612"/>
    <n v="2616.8568108866384"/>
    <n v="31.088901071433433"/>
    <n v="33.982536291512076"/>
    <n v="3139.6029999999982"/>
    <n v="54.083235806776841"/>
    <n v="1441.604106113361"/>
    <n v="1697.9988938866391"/>
    <n v="1085.2852499999999"/>
    <n v="51.449150534387144"/>
    <n v="526.41568700000005"/>
    <n v="558.37004199999978"/>
    <n v="702.35424"/>
    <n v="51.325649432969875"/>
    <n v="341.47518299999996"/>
    <n v="360.48787499999992"/>
    <n v="25.900000000000002"/>
    <n v="28.099999999999991"/>
    <n v="14133.28"/>
    <n v="50.954307846444699"/>
    <n v="6148.984000000004"/>
    <n v="49.402080083473912"/>
    <n v="2379.0050000000001"/>
    <n v="49.330592775172079"/>
    <n v="67.231976369613577"/>
    <n v="5368"/>
    <n v="2616.2959999999966"/>
    <n v="50.954307846444699"/>
    <n v="1660.2256800000011"/>
    <n v="49.402080083473912"/>
    <n v="643.0077000000008"/>
    <n v="49.330592775172079"/>
    <n v="6102.1"/>
    <n v="43.175400000000003"/>
    <n v="50.421137481999146"/>
    <n v="8031.18"/>
    <n v="56.824599999999997"/>
    <n v="47.150241860434207"/>
    <n v="16.850370190076209"/>
    <n v="14.3298441692233"/>
    <n v="12.326912082687066"/>
    <n v="43.5071264419866"/>
    <n v="53.506043890731704"/>
    <n v="2.9868296672817598"/>
    <n v="73"/>
    <n v="71.900000000000006"/>
    <n v="74.099999999999994"/>
    <n v="91.4"/>
    <n v="63.7"/>
    <n v="2013"/>
    <n v="29.61"/>
    <n v="2011"/>
    <n v="3779.1965760000003"/>
    <n v="46.7"/>
    <n v="2011"/>
    <n v="5962.4486520000009"/>
    <n v="54"/>
    <n v="2001"/>
    <n v="52.051959991455099"/>
    <s v="fre"/>
    <n v="1"/>
    <n v="2"/>
    <s v="Yes"/>
    <s v="Underway"/>
    <s v="-"/>
    <s v="-"/>
    <s v="CR Minister"/>
    <n v="0.55000000000000004"/>
    <s v="-"/>
    <s v="-"/>
    <m/>
    <m/>
    <m/>
    <m/>
    <m/>
    <m/>
    <m/>
    <m/>
    <m/>
    <m/>
    <m/>
    <m/>
    <m/>
    <m/>
    <m/>
    <m/>
    <m/>
    <m/>
    <m/>
    <m/>
    <m/>
    <m/>
    <m/>
    <m/>
    <m/>
    <n v="1"/>
    <s v="Voter Registration"/>
    <m/>
    <m/>
    <m/>
    <m/>
    <m/>
    <m/>
    <m/>
    <m/>
    <n v="1"/>
    <s v="ID cards for refugees"/>
    <n v="1"/>
    <s v="civil"/>
    <s v="F"/>
    <n v="2"/>
    <n v="2"/>
    <s v="-"/>
    <s v="-"/>
    <s v="-"/>
    <s v="-"/>
    <s v="-"/>
    <s v="PF"/>
    <n v="48"/>
    <n v="18"/>
    <n v="16"/>
    <n v="14"/>
    <n v="8"/>
    <n v="3.4599132835865021E-2"/>
    <n v="-8.6355820298194885E-2"/>
    <n v="-0.47856616973876953"/>
    <n v="-4.8149283975362778E-2"/>
    <n v="-0.27289211750030518"/>
    <n v="-0.28196507692337036"/>
    <n v="151"/>
    <n v="0.26656999999999997"/>
    <n v="0.35293999999999998"/>
    <n v="0.30708000000000002"/>
    <n v="0.16436999999999999"/>
    <n v="0.32829999999999998"/>
    <n v="130"/>
    <n v="2.46"/>
    <n v="3.23"/>
    <n v="1.25"/>
    <n v="3.35"/>
    <s v="Loi sur la Protection des données à Caractère Personnel"/>
    <s v="http://www.wipo.int/edocs/lexdocs/laws/fr/sn/sn009fr.pdf"/>
    <n v="2008"/>
    <n v="2008"/>
    <s v="Both"/>
    <s v="Commission des données personnelles"/>
    <s v="http://www.cdp.sn/"/>
    <s v="AFAPDP"/>
    <s v="-"/>
    <s v="-"/>
    <s v="-"/>
    <s v="-"/>
    <s v="-"/>
    <s v="-"/>
    <s v="-"/>
    <s v="-"/>
    <s v="-"/>
    <s v="-"/>
    <s v="-"/>
    <m/>
    <m/>
    <m/>
    <m/>
    <m/>
    <s v="IDA"/>
    <s v="HIPC"/>
    <n v="0"/>
    <n v="17"/>
    <n v="68"/>
    <s v="B"/>
    <n v="1"/>
    <n v="3"/>
    <n v="0"/>
    <n v="0"/>
  </r>
  <r>
    <n v="155"/>
    <m/>
    <s v="Serbia"/>
    <x v="1"/>
    <x v="1"/>
    <s v="SRB"/>
    <s v="RS"/>
    <s v="http://www.euprava.gov.rs/eusluge/opis_usluge?generatedServiceId=480&amp;title=Izvod-iz-mati%C4%8Dne-kn%D1%98ige-ro%C4%91enih"/>
    <s v="City/Municipality, Registry Books"/>
    <n v="5"/>
    <n v="1895"/>
    <n v="2"/>
    <s v="30 d"/>
    <s v="free"/>
    <s v="http://www.euprava.gov.rs/eusluge/opis_usluge?generatedServiceId=293&amp;title=Izdavan%D1%98e-li%C4%8Dnih-karata"/>
    <s v="Min of Interior"/>
    <n v="2"/>
    <n v="2004"/>
    <s v="Lična Karta (Identity Card)"/>
    <x v="1"/>
    <n v="2"/>
    <n v="10"/>
    <s v="928.80 D"/>
    <n v="1"/>
    <n v="1"/>
    <s v="http://en.wikipedia.org/wiki/Serbian_identity_card"/>
    <m/>
    <m/>
    <m/>
    <s v="http://www.euprava.gov.rs/"/>
    <n v="2006"/>
    <n v="2"/>
    <s v="4B"/>
    <s v="C, E, F, H, R, S, O"/>
    <n v="1"/>
    <n v="0"/>
    <s v="-"/>
    <n v="9"/>
    <s v="http://www.zin.rs/en/poslovanje/index.html"/>
    <s v="-"/>
    <n v="0"/>
    <n v="0"/>
    <s v="http://www.mup.gov.rs/cms_lat/dokumenta.nsf/putne-isprave.h"/>
    <s v="Ministry of Interior"/>
    <n v="2"/>
    <n v="2"/>
    <n v="2008"/>
    <n v="10"/>
    <n v="1300"/>
    <n v="1"/>
    <s v="http://www.apr.gov.rs/Default.aspx?alias=www.apr.gov.rs/eng"/>
    <n v="2005"/>
    <n v="1"/>
    <n v="1"/>
    <s v="http://www.paragraf.rs/propisi/zakon_o_poreskom_postupku_i_poreskoj_administraciji.html"/>
    <n v="2002"/>
    <n v="1"/>
    <s v="C"/>
    <n v="0"/>
    <s v="-"/>
    <n v="3"/>
    <n v="1"/>
    <n v="8850.9750000000004"/>
    <n v="51.195806111756049"/>
    <n v="4319.6469999999999"/>
    <n v="4531.3280000000004"/>
    <n v="450.85599999999999"/>
    <n v="48.811593945738771"/>
    <n v="230.786"/>
    <n v="220.07"/>
    <n v="469.46600000000001"/>
    <n v="48.841449647045792"/>
    <n v="240.172"/>
    <n v="229.29400000000001"/>
    <n v="522.41499999999996"/>
    <n v="48.783821291501972"/>
    <n v="267.56099999999998"/>
    <n v="254.85400000000001"/>
    <n v="7408.2380000000003"/>
    <n v="51.660192342632641"/>
    <n v="3581.1279999999997"/>
    <n v="3827.110000000001"/>
    <n v="2015"/>
    <s v="http://esa.un.org/unpd/wpp/Download/Standard/Population/"/>
    <n v="98.9"/>
    <n v="99.2"/>
    <n v="98.7"/>
    <n v="98.6"/>
    <n v="99.3"/>
    <n v="2010"/>
    <s v="MICS"/>
    <n v="6766.5749999999998"/>
    <n v="76.45005211290281"/>
    <n v="3302.372382593443"/>
    <n v="3464.2026174065568"/>
    <n v="2014"/>
    <s v="http://www.idea.int/vt/countryview.cfm?id=190"/>
    <n v="10"/>
    <n v="18"/>
    <s v="RS2014"/>
    <n v="6766.5749999999998"/>
    <n v="5658.4409999999998"/>
    <n v="7209.7640000000001"/>
    <n v="1"/>
    <n v="4"/>
    <s v="CD"/>
    <x v="1"/>
    <n v="657.53310700000031"/>
    <n v="7.4289341795677908"/>
    <n v="56.584560173856623"/>
    <n v="284.6637694065567"/>
    <n v="372.06221659344425"/>
    <n v="6.5899775932282596"/>
    <n v="8.2108868877610313"/>
    <n v="641.66300000000047"/>
    <n v="56.557317874560944"/>
    <n v="278.75561740655667"/>
    <n v="362.90738259344425"/>
    <n v="10.9106909999999"/>
    <n v="57.685842262420074"/>
    <n v="4.0618640000000035"/>
    <n v="6.2939240000000058"/>
    <n v="4.9594159999999539"/>
    <n v="57.686429208600956"/>
    <n v="1.8462880000000017"/>
    <n v="2.8609100000000023"/>
    <n v="0.80000000000000071"/>
    <n v="1.3000000000000012"/>
    <n v="7163.9759999999997"/>
    <n v="51.125534200561248"/>
    <n v="1162.0480744002487"/>
    <n v="48.854468279384264"/>
    <n v="471.70100000000002"/>
    <n v="48.757547910974246"/>
    <n v="94.444760842303225"/>
    <n v="6766"/>
    <n v="333.42145033965534"/>
    <n v="51.125534200561248"/>
    <n v="12.782528818402618"/>
    <n v="48.854468279384264"/>
    <n v="3.9230663329784119"/>
    <n v="48.757547910974246"/>
    <n v="4088.5529999999999"/>
    <n v="57.070999999999998"/>
    <n v="63.00013721235851"/>
    <n v="3075.4229999999998"/>
    <n v="42.929000000000002"/>
    <n v="84.581925803377288"/>
    <n v="4.9782745490371774"/>
    <n v="5.4465883209604744"/>
    <n v="5.7958503205546341"/>
    <n v="16.2207142290852"/>
    <n v="69.435411743602302"/>
    <n v="14.3438740273125"/>
    <n v="98.9"/>
    <n v="98.7"/>
    <n v="99.2"/>
    <n v="98.6"/>
    <n v="99.3"/>
    <n v="2010"/>
    <n v="0.21"/>
    <n v="2010"/>
    <n v="15"/>
    <n v="9.1999999999999993"/>
    <n v="2010"/>
    <n v="668.01199999999994"/>
    <n v="9.1"/>
    <n v="2013"/>
    <n v="98.156669616699205"/>
    <s v="srp"/>
    <n v="0"/>
    <s v="-"/>
    <s v="-"/>
    <s v="-"/>
    <s v="-"/>
    <s v="-"/>
    <s v="-"/>
    <s v="-"/>
    <s v="-"/>
    <s v="-"/>
    <m/>
    <m/>
    <m/>
    <m/>
    <m/>
    <m/>
    <m/>
    <m/>
    <m/>
    <m/>
    <m/>
    <m/>
    <m/>
    <m/>
    <m/>
    <m/>
    <m/>
    <m/>
    <m/>
    <m/>
    <m/>
    <m/>
    <m/>
    <m/>
    <m/>
    <m/>
    <m/>
    <m/>
    <m/>
    <m/>
    <m/>
    <m/>
    <m/>
    <m/>
    <m/>
    <m/>
    <m/>
    <n v="1"/>
    <s v="civil"/>
    <s v="F"/>
    <n v="2"/>
    <n v="2"/>
    <s v="-"/>
    <s v="-"/>
    <s v="-"/>
    <s v="-"/>
    <s v="-"/>
    <s v="PF"/>
    <n v="37"/>
    <n v="9"/>
    <n v="16"/>
    <n v="12"/>
    <n v="8"/>
    <n v="0.28628209233283997"/>
    <n v="-9.5441080629825592E-2"/>
    <n v="-0.10224834084510803"/>
    <n v="-7.4908822774887085E-2"/>
    <n v="-0.342977374792099"/>
    <n v="-0.27401041984558105"/>
    <n v="69"/>
    <n v="0.54715000000000003"/>
    <n v="0.41176000000000001"/>
    <n v="0.39369999999999999"/>
    <n v="0.46814"/>
    <n v="0.77959999999999996"/>
    <n v="50"/>
    <n v="6.24"/>
    <n v="7.22"/>
    <n v="4.34"/>
    <n v="8.07"/>
    <s v="Law on Personal Data Protection"/>
    <s v="http://www.refworld.org/pdfid/4b5718f52.pdf"/>
    <n v="2008"/>
    <n v="2008"/>
    <s v="Both"/>
    <s v="Commissioner for Information of Public Importance and Personal Data Protection"/>
    <s v="http://www.poverenik.rs/en.html"/>
    <s v="ICDPPC; EDPA; CEEDPA"/>
    <n v="1"/>
    <n v="135"/>
    <n v="2003"/>
    <s v="http://www.rti-rating.org/files/pdf/Serbia.pdf"/>
    <n v="5"/>
    <n v="30"/>
    <n v="22"/>
    <n v="26"/>
    <n v="29"/>
    <n v="7"/>
    <n v="16"/>
    <m/>
    <m/>
    <m/>
    <m/>
    <m/>
    <s v="IBRD"/>
    <s v=""/>
    <n v="0"/>
    <n v="20"/>
    <n v="80"/>
    <s v="A"/>
    <m/>
    <n v="1"/>
    <n v="0"/>
    <n v="0"/>
  </r>
  <r>
    <n v="156"/>
    <m/>
    <s v="Seychelles"/>
    <x v="4"/>
    <x v="1"/>
    <s v="SYC"/>
    <s v="SC"/>
    <s v="http://www.ics.gov.sc/civil-status/birth-registration"/>
    <s v="Dept of Immigration and Civil Status, Min of Home Affairs and Transport"/>
    <n v="2"/>
    <n v="1794"/>
    <n v="2"/>
    <s v="30 d"/>
    <s v="free"/>
    <s v="http://www.egov.sc/MyCitizen/ApplyIDCard.aspx"/>
    <s v="ID Card Office"/>
    <n v="2"/>
    <n v="1995"/>
    <s v="National ID Card"/>
    <x v="0"/>
    <n v="2"/>
    <n v="0"/>
    <s v="SR 50"/>
    <n v="0"/>
    <n v="0"/>
    <m/>
    <n v="1"/>
    <n v="1"/>
    <m/>
    <s v="https://eservice.egov.sc/eGateway/homepage.aspx"/>
    <n v="2012"/>
    <n v="2"/>
    <s v="4B"/>
    <s v="C, R"/>
    <n v="0"/>
    <n v="1"/>
    <s v="-"/>
    <n v="9"/>
    <s v="https://eservice.egov.sc/eGateway/public/GatewayConcept.aspx#concept"/>
    <s v="-"/>
    <n v="0"/>
    <n v="0"/>
    <s v="http://www.egov.sc/MyCitizen/Passport.aspx"/>
    <s v="Immigration Office"/>
    <n v="1"/>
    <n v="5"/>
    <n v="2012"/>
    <n v="5"/>
    <s v="-"/>
    <n v="0"/>
    <s v="https://eservice.egov.sc/BizRegistration/WebSearchBusiness.aspx"/>
    <n v="1994"/>
    <n v="1"/>
    <n v="1"/>
    <s v="http://www.src.gov.sc/pages/pressreleases/2012/TINAccrossSRC.aspx"/>
    <n v="2010"/>
    <n v="0"/>
    <s v="-"/>
    <n v="0"/>
    <s v="-"/>
    <n v="2"/>
    <n v="0"/>
    <n v="96.471000000000004"/>
    <n v="49.346435716432914"/>
    <n v="48.866"/>
    <n v="47.604999999999997"/>
    <n v="8.3789999999999996"/>
    <n v="48.764769065520952"/>
    <n v="4.2930000000000001"/>
    <n v="4.0860000000000003"/>
    <n v="7.6989999999999998"/>
    <n v="48.928432263930382"/>
    <n v="3.9319999999999999"/>
    <n v="3.7669999999999999"/>
    <n v="6.54"/>
    <n v="49.097859327217122"/>
    <n v="3.3290000000000002"/>
    <n v="3.2109999999999999"/>
    <n v="73.852999999999994"/>
    <n v="49.47801714216078"/>
    <n v="37.311999999999998"/>
    <n v="36.540999999999997"/>
    <n v="2015"/>
    <s v="http://esa.un.org/unpd/wpp/Download/Standard/Population/"/>
    <n v="90"/>
    <n v="90"/>
    <n v="90"/>
    <s v="–"/>
    <s v="–"/>
    <n v="2013"/>
    <s v="http://www.unicef.org/infobycountry/antiguabarbuda_statistics.html"/>
    <n v="70.942999999999998"/>
    <n v="73.538161727358471"/>
    <n v="35.935158109690995"/>
    <n v="35.007841890309003"/>
    <n v="2015"/>
    <s v="http://www.idea.int/vt/countryview.cfm?id=195"/>
    <n v="0"/>
    <n v="18"/>
    <s v="SC2015"/>
    <n v="70.942999999999998"/>
    <n v="69.903999999999996"/>
    <n v="92.43"/>
    <n v="1"/>
    <n v="5"/>
    <s v="CD"/>
    <x v="1"/>
    <n v="5.1717999999999957"/>
    <n v="5.3609893128504895"/>
    <n v="51.037513238930273"/>
    <n v="2.532241890309002"/>
    <n v="2.6395581096909941"/>
    <n v="5.1820118084332707"/>
    <n v="5.5447077191282306"/>
    <n v="2.9099999999999966"/>
    <n v="52.685845693848663"/>
    <n v="1.3768418903090023"/>
    <n v="1.5331581096909943"/>
    <n v="1.4238999999999997"/>
    <n v="49.006250438935318"/>
    <n v="0.72609999999999975"/>
    <n v="0.69779999999999986"/>
    <n v="0.83789999999999976"/>
    <n v="48.764769065520959"/>
    <n v="0.4292999999999999"/>
    <n v="0.40859999999999996"/>
    <n v="9.9999999999999982"/>
    <n v="9.9999999999999982"/>
    <n v="89.173000000000002"/>
    <n v="49.086606932591707"/>
    <n v="19.736819018074531"/>
    <n v="48.948379891898483"/>
    <n v="7.1360000000000001"/>
    <n v="48.880788332175854"/>
    <n v="79.620512935529803"/>
    <n v="71"/>
    <n v="18.173000000000005"/>
    <n v="49.086606932591707"/>
    <n v="1.9736819018074527"/>
    <n v="48.948379891898483"/>
    <n v="0.69050220819999986"/>
    <n v="48.880788332175854"/>
    <n v="48.511000000000003"/>
    <n v="54.400799999999997"/>
    <n v="23.928593514872915"/>
    <n v="40.661999999999999"/>
    <n v="45.599200000000003"/>
    <n v="47.270178545078942"/>
    <n v="7.7434000000000003"/>
    <n v="7.0574000000000003"/>
    <n v="7.3323999999999998"/>
    <n v="22.133178224434001"/>
    <n v="70.126456838794496"/>
    <n v="7.7403649367715799"/>
    <n v="90"/>
    <n v="90"/>
    <n v="90"/>
    <n v="90"/>
    <n v="90"/>
    <n v="2012"/>
    <n v="0.25"/>
    <n v="2007"/>
    <n v="0.22293250000000001"/>
    <s v="-"/>
    <s v="-"/>
    <m/>
    <s v="-"/>
    <s v="-"/>
    <n v="91.836463928222699"/>
    <s v="eng"/>
    <n v="0"/>
    <s v="-"/>
    <s v="-"/>
    <s v="-"/>
    <s v="-"/>
    <s v="-"/>
    <s v="-"/>
    <s v="-"/>
    <s v="-"/>
    <s v="-"/>
    <m/>
    <m/>
    <m/>
    <m/>
    <m/>
    <m/>
    <m/>
    <m/>
    <m/>
    <m/>
    <m/>
    <m/>
    <m/>
    <m/>
    <m/>
    <m/>
    <m/>
    <m/>
    <m/>
    <m/>
    <m/>
    <m/>
    <m/>
    <m/>
    <m/>
    <m/>
    <m/>
    <m/>
    <m/>
    <m/>
    <m/>
    <m/>
    <m/>
    <m/>
    <m/>
    <m/>
    <m/>
    <n v="1"/>
    <s v="civil + common"/>
    <s v="PF"/>
    <n v="3"/>
    <n v="3"/>
    <s v="-"/>
    <s v="-"/>
    <s v="-"/>
    <s v="-"/>
    <s v="-"/>
    <s v="PF"/>
    <n v="52"/>
    <n v="16"/>
    <n v="19"/>
    <n v="17"/>
    <m/>
    <n v="5.7323602959513664E-3"/>
    <n v="0.86937069892883301"/>
    <n v="0.28202110528945923"/>
    <n v="-0.29335296154022217"/>
    <n v="4.2723555117845535E-2"/>
    <n v="0.38587310910224915"/>
    <n v="81"/>
    <n v="0.51126000000000005"/>
    <n v="0.25490000000000002"/>
    <n v="0.33069999999999999"/>
    <n v="0.47205999999999998"/>
    <n v="0.73099999999999998"/>
    <n v="75"/>
    <n v="4.97"/>
    <n v="6.46"/>
    <n v="2.74"/>
    <n v="6.44"/>
    <s v="Data Protection Act"/>
    <s v="http://greybook.seylii.org/se/2003-9"/>
    <n v="2003"/>
    <n v="2003"/>
    <s v="Both"/>
    <s v="-"/>
    <s v="-"/>
    <s v="-"/>
    <s v="-"/>
    <s v="-"/>
    <s v="-"/>
    <s v="-"/>
    <s v="-"/>
    <s v="-"/>
    <s v="-"/>
    <s v="-"/>
    <s v="-"/>
    <s v="-"/>
    <s v="-"/>
    <m/>
    <m/>
    <m/>
    <m/>
    <m/>
    <s v="IBRD"/>
    <s v=""/>
    <n v="1"/>
    <n v="17"/>
    <n v="68"/>
    <s v="B"/>
    <n v="1"/>
    <n v="2"/>
    <n v="0"/>
    <n v="0"/>
  </r>
  <r>
    <n v="157"/>
    <m/>
    <s v="Sierra Leone"/>
    <x v="4"/>
    <x v="0"/>
    <s v="SLE"/>
    <s v="SL"/>
    <s v="http://health.gov.sl/"/>
    <s v="National Office of Births and Deaths, Min of Health and Sanitation"/>
    <n v="3"/>
    <n v="1867"/>
    <n v="2"/>
    <s v="30 d"/>
    <s v="free"/>
    <s v="http://www.mia.gov.sl"/>
    <s v="National Registration Secretariat, Ministry of Internal Affairs"/>
    <n v="2"/>
    <n v="2001"/>
    <s v="National ID Card"/>
    <x v="0"/>
    <n v="2"/>
    <n v="0"/>
    <s v="free"/>
    <n v="0"/>
    <n v="0"/>
    <m/>
    <m/>
    <n v="1"/>
    <m/>
    <s v="http://www.sl.undp.org/content/sierraleone/en/home/presscenter/articles/2014/02/21/civil-registration-to-benefit-citizens-and-improve-service-delivery/"/>
    <n v="2016"/>
    <n v="2"/>
    <s v="4B"/>
    <s v="C, S, V"/>
    <n v="0"/>
    <n v="0"/>
    <n v="2760"/>
    <n v="10"/>
    <s v="https://www.crc4d.com/downloads/2014-04-establishing-21st-century-identity-management-sierra-Leone.pdf"/>
    <s v="-"/>
    <n v="0"/>
    <n v="0"/>
    <s v="http://foreignaffairs.gov.sl/"/>
    <s v="Ministry of Foreign Affairs"/>
    <n v="1"/>
    <n v="3"/>
    <n v="2002"/>
    <n v="5"/>
    <s v="-"/>
    <n v="0"/>
    <s v="http://www.oarg.gov.sl/Business%20Registry.html"/>
    <n v="2008"/>
    <n v="1"/>
    <n v="1"/>
    <s v="http://www.oarg.gov.sl/Mapping%20a%20Procedure.html"/>
    <n v="2009"/>
    <n v="0"/>
    <s v="-"/>
    <n v="0"/>
    <s v="-"/>
    <n v="2"/>
    <n v="1"/>
    <n v="6453.1840000000002"/>
    <n v="50.516845637750293"/>
    <n v="3193.239"/>
    <n v="3259.9450000000002"/>
    <n v="1004.248"/>
    <n v="49.884490683576168"/>
    <n v="503.28399999999999"/>
    <n v="500.964"/>
    <n v="921.10900000000004"/>
    <n v="50.105904947188648"/>
    <n v="459.57900000000001"/>
    <n v="461.53"/>
    <n v="808.40099999999995"/>
    <n v="50.228537569844669"/>
    <n v="402.35300000000001"/>
    <n v="406.048"/>
    <n v="3719.4259999999995"/>
    <n v="50.852013186981004"/>
    <n v="1828.0229999999997"/>
    <n v="1891.403"/>
    <n v="2015"/>
    <s v="http://esa.un.org/unpd/wpp/Download/Standard/Population/"/>
    <n v="78"/>
    <n v="77.7"/>
    <n v="78.3"/>
    <n v="77.599999999999994"/>
    <n v="78.2"/>
    <n v="2010"/>
    <s v="MICS"/>
    <n v="2701.299"/>
    <n v="41.859940767224366"/>
    <n v="1336.6879539559077"/>
    <n v="1364.6110460440923"/>
    <n v="2012"/>
    <s v="http://www.idea.int/vt/countryview.cfm?id=203"/>
    <n v="0"/>
    <n v="18"/>
    <s v="SL2012"/>
    <n v="2701.299"/>
    <n v="2786.886"/>
    <n v="5485.9979999999996"/>
    <n v="1"/>
    <n v="4"/>
    <s v="CD"/>
    <x v="0"/>
    <n v="1619.5537599999993"/>
    <n v="25.096971665460018"/>
    <n v="50.863737178808321"/>
    <n v="795.77821404409201"/>
    <n v="823.76556795590784"/>
    <n v="24.92072200183237"/>
    <n v="25.269308775329268"/>
    <n v="1018.1269999999995"/>
    <n v="51.741281191433686"/>
    <n v="491.335046044092"/>
    <n v="526.79195395590773"/>
    <n v="380.49219999999991"/>
    <n v="49.479181439199053"/>
    <n v="192.21083599999997"/>
    <n v="188.26442600000007"/>
    <n v="220.93455999999998"/>
    <n v="49.204247628800154"/>
    <n v="112.23233199999999"/>
    <n v="108.70918800000004"/>
    <n v="22.299999999999997"/>
    <n v="21.70000000000001"/>
    <n v="6092.0749999999998"/>
    <n v="50.347804319546299"/>
    <n v="2531.6670000000031"/>
    <n v="49.968222518996377"/>
    <n v="935.17700000000002"/>
    <n v="50.101169428353721"/>
    <n v="44.319874591169679"/>
    <n v="2700"/>
    <n v="3392.0749999999994"/>
    <n v="50.347804319546299"/>
    <n v="556.96674000000064"/>
    <n v="49.968222518996377"/>
    <n v="205.94856602609684"/>
    <n v="50.101169428353721"/>
    <n v="2437.768"/>
    <n v="40.0154"/>
    <n v="51.669724108282658"/>
    <n v="3654.3069999999998"/>
    <n v="59.9846"/>
    <n v="50.60357545219928"/>
    <n v="15.366354576612526"/>
    <n v="13.753850070760265"/>
    <n v="12.436522740257859"/>
    <n v="41.556727387630701"/>
    <n v="55.778088746445199"/>
    <n v="2.66518386592417"/>
    <n v="78"/>
    <n v="78.3"/>
    <n v="77.7"/>
    <n v="77.599999999999994"/>
    <n v="78.2"/>
    <n v="2010"/>
    <n v="51.71"/>
    <n v="2011"/>
    <n v="3202.6575240000002"/>
    <n v="66.400000000000006"/>
    <n v="2003"/>
    <n v="3982.3307040000004"/>
    <n v="70.2"/>
    <n v="2004"/>
    <n v="44.464729309082003"/>
    <s v="eng"/>
    <n v="1"/>
    <n v="3"/>
    <s v="Yes"/>
    <s v="-"/>
    <s v="-"/>
    <s v="-"/>
    <s v="CR Minister"/>
    <n v="0.51"/>
    <s v="-"/>
    <n v="1"/>
    <s v="-"/>
    <s v="P143588 (A)"/>
    <s v="-"/>
    <s v="-"/>
    <s v="-"/>
    <s v="-"/>
    <m/>
    <m/>
    <m/>
    <m/>
    <m/>
    <m/>
    <m/>
    <m/>
    <m/>
    <m/>
    <m/>
    <m/>
    <m/>
    <m/>
    <m/>
    <m/>
    <m/>
    <m/>
    <m/>
    <n v="1"/>
    <s v="Voter Registration"/>
    <m/>
    <m/>
    <m/>
    <m/>
    <m/>
    <m/>
    <m/>
    <m/>
    <m/>
    <m/>
    <n v="2"/>
    <s v="common + customary"/>
    <s v="PF"/>
    <n v="3"/>
    <n v="3"/>
    <s v="-"/>
    <s v="-"/>
    <s v="-"/>
    <s v="-"/>
    <s v="-"/>
    <s v="PF"/>
    <n v="49"/>
    <n v="14"/>
    <n v="19"/>
    <n v="16"/>
    <n v="7"/>
    <n v="-0.38529446721076965"/>
    <n v="-0.15270420908927917"/>
    <n v="-1.144575834274292"/>
    <n v="-0.68941646814346313"/>
    <n v="-0.87730908393859863"/>
    <n v="-0.89972198009490967"/>
    <n v="186"/>
    <n v="0.13286000000000001"/>
    <n v="9.8030000000000006E-2"/>
    <n v="4.7239999999999997E-2"/>
    <n v="8.2110000000000002E-2"/>
    <n v="0.26919999999999999"/>
    <s v="-"/>
    <s v="-"/>
    <s v="-"/>
    <s v="-"/>
    <s v="-"/>
    <s v="Personal Data Protection within ECOWAS"/>
    <s v="http://www.statewatch.org/news/2013/mar/ecowas-dp-act.pdf"/>
    <n v="2010"/>
    <s v="-"/>
    <s v="Both"/>
    <s v="-"/>
    <s v="-"/>
    <s v="-"/>
    <n v="6"/>
    <n v="122"/>
    <n v="2013"/>
    <s v="http://www.rti-rating.org/files/pdf/Sierra%20Leone.pdf"/>
    <n v="0"/>
    <n v="29"/>
    <n v="25"/>
    <n v="18"/>
    <n v="28"/>
    <n v="7"/>
    <n v="15"/>
    <m/>
    <m/>
    <m/>
    <n v="1"/>
    <m/>
    <s v="IDA"/>
    <s v="HIPC"/>
    <n v="0"/>
    <n v="18"/>
    <n v="72"/>
    <s v="B"/>
    <n v="1"/>
    <n v="4"/>
    <n v="0"/>
    <n v="0"/>
  </r>
  <r>
    <n v="158"/>
    <m/>
    <s v="Singapore"/>
    <x v="6"/>
    <x v="2"/>
    <s v="SGP"/>
    <s v="SG"/>
    <s v="http://www.ica.gov.sg/page.aspx?pageid=144"/>
    <s v="Registry of Births &amp; Deaths, Immigration &amp; Checkpoints Authoriy (ICA), Ministry of Home Affairs"/>
    <n v="2"/>
    <n v="1872"/>
    <n v="2"/>
    <s v="14 d"/>
    <s v="S$18"/>
    <s v="http://www.ica.gov.sg/page.aspx?pageid=138"/>
    <s v="Citizen Services IC Unit"/>
    <n v="2"/>
    <n v="1965"/>
    <s v="National Registration Identity Card"/>
    <x v="1"/>
    <n v="2"/>
    <n v="15"/>
    <s v="various"/>
    <n v="1"/>
    <n v="1"/>
    <s v="http://en.wikipedia.org/wiki/National_Registration_Identity_Card"/>
    <n v="1"/>
    <n v="1"/>
    <n v="1"/>
    <s v="http://www.egov.gov.sg/"/>
    <n v="2010"/>
    <n v="3"/>
    <s v="2B"/>
    <s v="C, E, F, R, T"/>
    <n v="1"/>
    <n v="0"/>
    <n v="3100"/>
    <n v="1"/>
    <s v="http://www.gemalto.com/brochures-site/download-site/Documents/gov-ID-programs.pdf"/>
    <s v="-"/>
    <n v="0"/>
    <n v="0"/>
    <s v="http://www.ica.gov.sg/page.aspx?pageid=125#fees"/>
    <s v="Immigration and Checkpoints Authority"/>
    <n v="2"/>
    <n v="2"/>
    <n v="2006"/>
    <n v="5"/>
    <n v="3000"/>
    <n v="0"/>
    <s v="https://www.psi.gov.sg/NASApp/tmf/TMFServlet?app=RCB-BIZFILE-LOGIN-1B"/>
    <n v="2004"/>
    <n v="1"/>
    <n v="2"/>
    <s v="http://www.iras.gov.sg/irashome/page.aspx?id=7854"/>
    <n v="2009"/>
    <n v="2"/>
    <s v="C, F, P, R"/>
    <n v="1"/>
    <s v="https://www.acra.gov.sg/home/"/>
    <n v="3"/>
    <n v="0"/>
    <n v="5603.74"/>
    <n v="50.657328855371595"/>
    <n v="2765.0349999999999"/>
    <n v="2838.7049999999999"/>
    <n v="268.726"/>
    <n v="48.392414578418169"/>
    <n v="138.68299999999999"/>
    <n v="130.04300000000001"/>
    <n v="285.23200000000003"/>
    <n v="49.206260167162164"/>
    <n v="144.88"/>
    <n v="140.352"/>
    <n v="317.029"/>
    <n v="48.994256045976861"/>
    <n v="161.703"/>
    <n v="155.32599999999999"/>
    <n v="4732.7530000000006"/>
    <n v="50.984786233298031"/>
    <n v="2319.7689999999998"/>
    <n v="2412.9839999999999"/>
    <n v="2015"/>
    <s v="http://esa.un.org/unpd/wpp/Download/Standard/Population/"/>
    <n v="95"/>
    <n v="95"/>
    <n v="95"/>
    <s v="–"/>
    <s v="–"/>
    <n v="2013"/>
    <s v="http://www.unicef.org/protection/files/UNICEF_Birth_Registration_Handbook.pdf"/>
    <n v="3375"/>
    <n v="60.227633687501559"/>
    <n v="1678.8"/>
    <n v="1696.2"/>
    <n v="2015"/>
    <s v="http://population.sg/population-in-brief/files/population-in-brief-2015.pdf"/>
    <n v="15"/>
    <n v="21"/>
    <s v="SG2015"/>
    <n v="2462.9259999999999"/>
    <n v="4420.3710000000001"/>
    <n v="5674.4719999999998"/>
    <n v="20"/>
    <n v="5"/>
    <s v="CD"/>
    <x v="1"/>
    <n v="2228.7399999999998"/>
    <n v="39.772366312498434"/>
    <n v="51.262372461570216"/>
    <n v="1086.2349999999999"/>
    <n v="1142.5049999999999"/>
    <n v="39.284674515874116"/>
    <n v="40.247401544013904"/>
    <n v="2185.19065"/>
    <n v="51.309891427551179"/>
    <n v="1063.9716999999998"/>
    <n v="1121.2189499999999"/>
    <n v="30.11305000000003"/>
    <n v="49.094661616807329"/>
    <n v="15.329150000000013"/>
    <n v="14.783900000000013"/>
    <n v="13.436300000000012"/>
    <n v="48.392414578418176"/>
    <n v="6.934150000000006"/>
    <n v="6.5021500000000065"/>
    <n v="5.0000000000000044"/>
    <n v="5.0000000000000044"/>
    <n v="5399.2"/>
    <n v="50.647558897614466"/>
    <n v="867.20833299918331"/>
    <n v="48.809832757495876"/>
    <n v="276.78800000000001"/>
    <n v="48.691706352672291"/>
    <n v="85.392919589393017"/>
    <n v="3870"/>
    <n v="661.99166700081742"/>
    <n v="50.647558897614466"/>
    <n v="86.720833299918311"/>
    <n v="48.809832757495876"/>
    <n v="27.739888613589731"/>
    <n v="48.691706352672291"/>
    <n v="5399.2"/>
    <n v="100"/>
    <n v="50.647558897614466"/>
    <n v="0"/>
    <n v="0"/>
    <n v="50.647558897614466"/>
    <n v="5.1377775621554562"/>
    <n v="5.1066414922754797"/>
    <n v="5.8173678769663093"/>
    <n v="16.0617930989625"/>
    <n v="73.751126486745406"/>
    <n v="10.187080414292099"/>
    <n v="90"/>
    <n v="90"/>
    <n v="90"/>
    <n v="90"/>
    <n v="90"/>
    <n v="2012"/>
    <s v="-"/>
    <s v="-"/>
    <m/>
    <s v="-"/>
    <s v="-"/>
    <m/>
    <s v="-"/>
    <s v="-"/>
    <n v="96.365982055664105"/>
    <s v="eng"/>
    <n v="0"/>
    <s v="-"/>
    <s v="-"/>
    <s v="-"/>
    <s v="-"/>
    <s v="-"/>
    <s v="-"/>
    <s v="-"/>
    <s v="-"/>
    <s v="-"/>
    <m/>
    <m/>
    <m/>
    <m/>
    <m/>
    <m/>
    <m/>
    <m/>
    <m/>
    <m/>
    <m/>
    <m/>
    <m/>
    <m/>
    <m/>
    <m/>
    <m/>
    <m/>
    <m/>
    <m/>
    <m/>
    <m/>
    <m/>
    <m/>
    <m/>
    <m/>
    <m/>
    <m/>
    <m/>
    <m/>
    <m/>
    <m/>
    <m/>
    <m/>
    <m/>
    <m/>
    <m/>
    <n v="2"/>
    <s v="common"/>
    <s v="PF"/>
    <n v="4"/>
    <n v="4"/>
    <s v="PF"/>
    <n v="40"/>
    <n v="6"/>
    <n v="14"/>
    <n v="20"/>
    <s v="NF"/>
    <n v="67"/>
    <n v="24"/>
    <n v="22"/>
    <n v="21"/>
    <n v="7"/>
    <n v="6.2018100172281265E-2"/>
    <n v="1.3338669538497925"/>
    <n v="2.0741393566131592"/>
    <n v="1.9603413343429565"/>
    <n v="1.7431162595748901"/>
    <n v="2.0799944400787354"/>
    <n v="3"/>
    <n v="0.90761999999999998"/>
    <n v="0.90195999999999998"/>
    <n v="0.99212"/>
    <n v="0.87927"/>
    <n v="0.85150000000000003"/>
    <n v="16"/>
    <n v="7.9"/>
    <n v="8.61"/>
    <n v="7.19"/>
    <n v="7.9"/>
    <s v="Personal Data Protection Act"/>
    <s v="http://statutes.agc.gov.sg/aol/search/display/view.w3p;page=0;query=DocId%3A1b065f8f-0d31-4bca-b622-6b1a3c769d66%20Depth%3A0%20Status%3Ainforce;rec=0"/>
    <n v="2012"/>
    <s v="-"/>
    <s v="-"/>
    <s v="ASEAN Personal Data Protection Commission"/>
    <s v="http://www.pdpc.gov.sg/"/>
    <s v="-"/>
    <s v="-"/>
    <s v="-"/>
    <s v="-"/>
    <s v="-"/>
    <s v="-"/>
    <s v="-"/>
    <s v="-"/>
    <s v="-"/>
    <s v="-"/>
    <s v="-"/>
    <s v="-"/>
    <m/>
    <m/>
    <s v="APEC"/>
    <m/>
    <m/>
    <s v=".."/>
    <s v=""/>
    <n v="0"/>
    <n v="21"/>
    <n v="84"/>
    <s v="A"/>
    <m/>
    <n v="4"/>
    <n v="0"/>
    <n v="0"/>
  </r>
  <r>
    <n v="159"/>
    <m/>
    <s v="Slovak Republic"/>
    <x v="1"/>
    <x v="2"/>
    <s v="SVK"/>
    <s v="SK"/>
    <s v="http://www.minv.sk"/>
    <s v="Civil Register Office, Min of Interior"/>
    <n v="2"/>
    <n v="1730"/>
    <n v="2"/>
    <s v="3 d"/>
    <s v="free"/>
    <s v="http://www.minv.sk/?obcianske-preukazy"/>
    <s v="Police Department"/>
    <n v="2"/>
    <n v="2008"/>
    <s v="Občiansky Preukaz (Citizen Card)"/>
    <x v="1"/>
    <n v="2"/>
    <n v="15"/>
    <s v="free"/>
    <n v="1"/>
    <n v="1"/>
    <m/>
    <n v="1"/>
    <n v="1"/>
    <m/>
    <s v="https://www.slovensko.sk/sk/eid/_eid-karta"/>
    <n v="2015"/>
    <n v="2"/>
    <n v="4"/>
    <s v="C, F, R"/>
    <n v="1"/>
    <n v="0"/>
    <n v="2000"/>
    <n v="12"/>
    <s v="http://www.morpho.com/news-events-348/press/morpho-selected-by-slovakia-for-its-national-electronic-identity-card-program"/>
    <s v="-"/>
    <n v="0"/>
    <n v="0"/>
    <s v="http://www.minv.sk/?cestovne-pasy"/>
    <s v="Ministry of Interior"/>
    <n v="2"/>
    <n v="2"/>
    <n v="2008"/>
    <n v="10"/>
    <n v="1500"/>
    <n v="1"/>
    <s v="http://www.orsr.sk/search_subjekt.asp?lan=en"/>
    <n v="2003"/>
    <n v="1"/>
    <n v="1"/>
    <s v="http://en.wikipedia.org/wiki/VAT_identification_number"/>
    <n v="2001"/>
    <n v="0"/>
    <s v="-"/>
    <n v="0"/>
    <s v="-"/>
    <n v="3"/>
    <n v="1"/>
    <n v="5426.2579999999998"/>
    <n v="51.529488645766577"/>
    <n v="2630.1350000000002"/>
    <n v="2796.123"/>
    <n v="282.95400000000001"/>
    <n v="48.811467588371258"/>
    <n v="144.84"/>
    <n v="138.114"/>
    <n v="279.54399999999998"/>
    <n v="48.831668717625853"/>
    <n v="143.03800000000001"/>
    <n v="136.506"/>
    <n v="258.14999999999998"/>
    <n v="48.828588030214995"/>
    <n v="132.09899999999999"/>
    <n v="126.051"/>
    <n v="4605.6100000000006"/>
    <n v="52.011611925456123"/>
    <n v="2210.1579999999999"/>
    <n v="2395.4520000000002"/>
    <n v="2015"/>
    <s v="http://esa.un.org/unpd/wpp/Download/Standard/Population/"/>
    <n v="100"/>
    <n v="100"/>
    <n v="100"/>
    <s v="–"/>
    <s v="–"/>
    <n v="2010"/>
    <s v="UNSD "/>
    <n v="4406.2610000000004"/>
    <n v="81.202570906138277"/>
    <n v="2135.7372383021593"/>
    <n v="2270.5237616978411"/>
    <n v="2014"/>
    <s v="http://www.idea.int/vt/countryview.cfm?id=202"/>
    <n v="15"/>
    <n v="18"/>
    <s v="SK2014"/>
    <n v="4406.2610000000004"/>
    <n v="4351.8059999999996"/>
    <n v="5443.5829999999996"/>
    <n v="1"/>
    <n v="6"/>
    <s v="CD"/>
    <x v="1"/>
    <n v="199.34900000000016"/>
    <n v="3.6737840331219074"/>
    <n v="62.668103829043041"/>
    <n v="74.420761697840589"/>
    <n v="124.92823830215912"/>
    <n v="2.8295415139466447"/>
    <n v="4.4679092551421782"/>
    <n v="199.34900000000016"/>
    <n v="62.668103829043041"/>
    <n v="74.420761697840589"/>
    <n v="124.92823830215912"/>
    <n v="0"/>
    <n v="0"/>
    <n v="0"/>
    <n v="0"/>
    <n v="0"/>
    <n v="0"/>
    <n v="0"/>
    <n v="0"/>
    <n v="0"/>
    <n v="0"/>
    <n v="5414.0950000000003"/>
    <n v="51.371226400718861"/>
    <n v="815.06808917084743"/>
    <n v="48.668840471830165"/>
    <n v="291.12299999999999"/>
    <n v="48.789855564216396"/>
    <n v="95.498462721718909"/>
    <n v="4392"/>
    <n v="207.02691082915342"/>
    <n v="51.371226400718861"/>
    <n v="0"/>
    <n v="48.668840471830165"/>
    <n v="0"/>
    <n v="48.789855564216396"/>
    <n v="2960.221"/>
    <n v="54.676200000000001"/>
    <n v="55.687970594087396"/>
    <n v="2453.8739999999998"/>
    <n v="45.323799999999999"/>
    <n v="50.929326444634086"/>
    <n v="5.2974355020160502"/>
    <n v="4.9745128788169728"/>
    <n v="4.7826082902264986"/>
    <n v="15.0545583180725"/>
    <n v="71.981476721227693"/>
    <n v="12.9639649606998"/>
    <n v="100"/>
    <n v="100"/>
    <n v="100"/>
    <n v="100"/>
    <n v="100"/>
    <n v="2010"/>
    <n v="0.06"/>
    <n v="2009"/>
    <n v="3"/>
    <s v="-"/>
    <s v="-"/>
    <m/>
    <n v="21"/>
    <n v="2002"/>
    <s v="-"/>
    <s v="slo"/>
    <n v="0"/>
    <s v="-"/>
    <s v="-"/>
    <s v="-"/>
    <s v="-"/>
    <s v="-"/>
    <s v="-"/>
    <s v="-"/>
    <s v="-"/>
    <s v="-"/>
    <m/>
    <m/>
    <m/>
    <m/>
    <m/>
    <m/>
    <m/>
    <m/>
    <m/>
    <m/>
    <m/>
    <m/>
    <m/>
    <m/>
    <m/>
    <m/>
    <m/>
    <m/>
    <m/>
    <m/>
    <m/>
    <m/>
    <m/>
    <m/>
    <m/>
    <m/>
    <m/>
    <m/>
    <m/>
    <m/>
    <m/>
    <m/>
    <m/>
    <m/>
    <m/>
    <m/>
    <m/>
    <n v="1"/>
    <s v="civil"/>
    <s v="F"/>
    <n v="1"/>
    <n v="1"/>
    <s v="-"/>
    <s v="-"/>
    <s v="-"/>
    <s v="-"/>
    <s v="-"/>
    <s v="F"/>
    <n v="23"/>
    <n v="7"/>
    <n v="9"/>
    <n v="7"/>
    <n v="10"/>
    <n v="0.93626224994659424"/>
    <n v="1.0998666286468506"/>
    <n v="0.77703297138214111"/>
    <n v="0.91470295190811157"/>
    <n v="0.44625633955001831"/>
    <n v="5.8034248650074005E-2"/>
    <n v="51"/>
    <n v="0.61477999999999999"/>
    <n v="0.62744999999999995"/>
    <n v="0.48818"/>
    <n v="0.52963000000000005"/>
    <n v="0.82650000000000001"/>
    <n v="45"/>
    <n v="6.58"/>
    <n v="7.03"/>
    <n v="5.28"/>
    <n v="8.2799999999999994"/>
    <s v="Act on the Protection of Personal Data"/>
    <s v="http://ec.europa.eu/justice/policies/privacy/docs/implementation/slovakia_428_02_en.pdf"/>
    <n v="1992"/>
    <n v="2013"/>
    <s v="Both"/>
    <s v="Inspection Unit for the Protection of Personal Data"/>
    <s v="https://dataprotection.gov.sk/uoou/en"/>
    <s v="ICDPPC; EDPA; A29WP; CEEDPA"/>
    <n v="75"/>
    <n v="70"/>
    <n v="2000"/>
    <s v="http://www.rti-rating.org/files/pdf/Slovakia.pdf"/>
    <n v="3"/>
    <n v="20"/>
    <n v="25"/>
    <n v="14"/>
    <n v="4"/>
    <n v="2"/>
    <n v="2"/>
    <s v="EU"/>
    <s v="OECD"/>
    <m/>
    <m/>
    <m/>
    <s v=".."/>
    <s v="EMU"/>
    <n v="0"/>
    <n v="19"/>
    <n v="76"/>
    <s v="A"/>
    <m/>
    <n v="6"/>
    <n v="0"/>
    <n v="0"/>
  </r>
  <r>
    <n v="160"/>
    <m/>
    <s v="Slovenia"/>
    <x v="1"/>
    <x v="2"/>
    <s v="SVN"/>
    <s v="SI"/>
    <s v="http://www.mnz.gov.si/si/mnz_za_vas/maticni_register/rojstvo/"/>
    <s v="Min of Interior"/>
    <n v="2"/>
    <n v="1812"/>
    <n v="2"/>
    <s v="15 d"/>
    <s v="free"/>
    <s v="http://www.mnz.gov.si/si/mnz_za_vas/osebni_dokumenti_in_prebivalisce/"/>
    <s v="Administrative Unit / Min of Home Affairs / Min of Foreign Affairs"/>
    <n v="2"/>
    <n v="2008"/>
    <s v="Osebna Izkaznica (Identity Card)"/>
    <x v="1"/>
    <n v="2"/>
    <n v="18"/>
    <s v="various"/>
    <n v="1"/>
    <n v="1"/>
    <m/>
    <m/>
    <n v="1"/>
    <m/>
    <s v="http://e-uprava.gov.si/e-uprava/en/portal.euprava"/>
    <n v="2003"/>
    <n v="2"/>
    <n v="3"/>
    <s v="C, E, F, H, R, S, T"/>
    <n v="0"/>
    <n v="0"/>
    <s v="-"/>
    <n v="9"/>
    <s v="http://www.cetis.si/?viewPage=71"/>
    <s v="-"/>
    <n v="0"/>
    <n v="0"/>
    <s v="http://www.mnz.gov.si/si/mnz_za_vas/osebni_dokumenti_in_prebivalisce/potni_list/"/>
    <s v="Ministry of Interior"/>
    <n v="2"/>
    <n v="2"/>
    <n v="2006"/>
    <n v="10"/>
    <n v="250"/>
    <n v="1"/>
    <s v="http://www.ajpes.eu/O_AJPES/Predstavitev/Javne_storitve"/>
    <n v="2008"/>
    <n v="1"/>
    <n v="2"/>
    <s v="http://www.durs.gov.si/si/storitve/vpis_v_davcni_register_in_davcna_stevilka/vpis_v_davcni_register_in_davcna_stevilka_pojasnila/davcna_stevilka_splosno/"/>
    <n v="2008"/>
    <n v="2"/>
    <s v="C, P, R"/>
    <n v="1"/>
    <s v="http://evem.gov.si/info/e-postopki/"/>
    <n v="3"/>
    <n v="1"/>
    <n v="2067.5259999999998"/>
    <n v="50.432159015170797"/>
    <n v="1024.828"/>
    <n v="1042.6980000000001"/>
    <n v="110.996"/>
    <n v="48.514360877869471"/>
    <n v="57.146999999999998"/>
    <n v="53.848999999999997"/>
    <n v="103.79"/>
    <n v="48.690625301088737"/>
    <n v="53.253999999999998"/>
    <n v="50.536000000000001"/>
    <n v="90.885999999999996"/>
    <n v="48.467310696917018"/>
    <n v="46.835999999999999"/>
    <n v="44.05"/>
    <n v="1761.8539999999998"/>
    <n v="50.756929915872732"/>
    <n v="867.59099999999989"/>
    <n v="894.26300000000015"/>
    <n v="2015"/>
    <s v="http://esa.un.org/unpd/wpp/Download/Standard/Population/"/>
    <n v="100"/>
    <n v="100"/>
    <n v="100"/>
    <s v="–"/>
    <s v="–"/>
    <n v="2011"/>
    <s v="UNSD "/>
    <n v="1713.067"/>
    <n v="82.855886697434528"/>
    <n v="849.13032652358413"/>
    <n v="863.93667347641588"/>
    <n v="2014"/>
    <s v="http://www.idea.int/vt/countryview.cfm?id=200"/>
    <n v="18"/>
    <n v="18"/>
    <s v="SI2014"/>
    <n v="1713.067"/>
    <n v="1638.2470000000001"/>
    <n v="1988.2919999999999"/>
    <n v="1"/>
    <n v="6"/>
    <s v="CD"/>
    <x v="1"/>
    <n v="48.786999999999807"/>
    <n v="2.3596801201048891"/>
    <n v="62.160670923779684"/>
    <n v="18.460673476415764"/>
    <n v="30.326326523584271"/>
    <n v="1.8013435890135481"/>
    <n v="2.9084477503154575"/>
    <n v="48.786999999999807"/>
    <n v="62.160670923779684"/>
    <n v="18.460673476415764"/>
    <n v="30.326326523584271"/>
    <n v="0"/>
    <n v="0"/>
    <n v="0"/>
    <n v="0"/>
    <n v="0"/>
    <n v="0"/>
    <n v="0"/>
    <n v="0"/>
    <n v="0"/>
    <n v="0"/>
    <n v="2060.4839999999999"/>
    <n v="50.299589805113754"/>
    <n v="294.44279436311956"/>
    <n v="48.437837225415862"/>
    <n v="107.316"/>
    <n v="48.660302977669559"/>
    <n v="96.996604299628871"/>
    <n v="1713"/>
    <n v="53.041205636880449"/>
    <n v="50.299589805113754"/>
    <n v="0"/>
    <n v="48.437837225415862"/>
    <n v="0"/>
    <n v="48.660302977669559"/>
    <n v="1027.567"/>
    <n v="49.870199999999997"/>
    <n v="51.294854739398986"/>
    <n v="1032.9169999999999"/>
    <n v="50.129800000000003"/>
    <n v="49.753174746857695"/>
    <n v="5.1049254056094204"/>
    <n v="4.7909291135303738"/>
    <n v="4.3941375409781198"/>
    <n v="14.289982080089899"/>
    <n v="68.470948558323201"/>
    <n v="17.2390693615869"/>
    <n v="100"/>
    <n v="100"/>
    <n v="100"/>
    <n v="100"/>
    <n v="100"/>
    <n v="2011"/>
    <n v="0.06"/>
    <n v="2004"/>
    <n v="1.2362903999999999"/>
    <s v="-"/>
    <s v="-"/>
    <m/>
    <n v="13.5"/>
    <n v="2012"/>
    <n v="99.700630187988295"/>
    <s v="slv"/>
    <n v="0"/>
    <s v="-"/>
    <s v="-"/>
    <s v="-"/>
    <s v="-"/>
    <s v="-"/>
    <s v="-"/>
    <s v="-"/>
    <s v="-"/>
    <s v="-"/>
    <m/>
    <m/>
    <m/>
    <m/>
    <m/>
    <m/>
    <m/>
    <m/>
    <m/>
    <m/>
    <m/>
    <m/>
    <m/>
    <m/>
    <m/>
    <m/>
    <m/>
    <m/>
    <m/>
    <m/>
    <m/>
    <m/>
    <m/>
    <m/>
    <m/>
    <m/>
    <m/>
    <m/>
    <m/>
    <m/>
    <m/>
    <m/>
    <m/>
    <m/>
    <m/>
    <m/>
    <m/>
    <n v="1"/>
    <s v="civil"/>
    <s v="F"/>
    <n v="1"/>
    <n v="1"/>
    <s v="-"/>
    <s v="-"/>
    <s v="-"/>
    <s v="-"/>
    <s v="-"/>
    <s v="F"/>
    <n v="24"/>
    <n v="6"/>
    <n v="11"/>
    <n v="7"/>
    <n v="10"/>
    <n v="0.98151713609695435"/>
    <n v="0.86564362049102783"/>
    <n v="1.0006476640701294"/>
    <n v="0.60731571912765503"/>
    <n v="0.96852403879165649"/>
    <n v="0.70180833339691162"/>
    <n v="41"/>
    <n v="0.65054000000000001"/>
    <n v="0.39215"/>
    <n v="0.42519000000000001"/>
    <n v="0.61924999999999997"/>
    <n v="0.90720000000000001"/>
    <n v="31"/>
    <n v="7.13"/>
    <n v="7.91"/>
    <n v="5.21"/>
    <n v="9.43"/>
    <s v="Personal Data Protection Act"/>
    <s v="http://www.legislationline.org/documents/action/popup/id/3828"/>
    <n v="1990"/>
    <n v="2004"/>
    <s v="Both"/>
    <s v="Information Commissioner"/>
    <s v="https://www.ip-rs.si/?id=195"/>
    <s v="ICDPPC; EDPA; A29WP; GPEN"/>
    <n v="2"/>
    <n v="129"/>
    <n v="2003"/>
    <s v="http://www.rti-rating.org/files/pdf/Slovenia.pdf"/>
    <n v="3"/>
    <n v="30"/>
    <n v="26"/>
    <n v="25"/>
    <n v="28"/>
    <n v="4"/>
    <n v="13"/>
    <s v="EU"/>
    <s v="OECD"/>
    <m/>
    <m/>
    <m/>
    <s v=".."/>
    <s v="EMU"/>
    <n v="0"/>
    <n v="22"/>
    <n v="88"/>
    <s v="A"/>
    <m/>
    <n v="6"/>
    <n v="0"/>
    <n v="0"/>
  </r>
  <r>
    <n v="161"/>
    <m/>
    <s v="Solomon Islands"/>
    <x v="6"/>
    <x v="3"/>
    <s v="SLB"/>
    <s v="SB"/>
    <s v="http://www.commerce.gov.sb/Gov/PresentGov.html#home"/>
    <s v="Civil Registration Dept., Min of Home Affairs"/>
    <n v="2"/>
    <n v="1988"/>
    <n v="2"/>
    <s v="-"/>
    <s v="free"/>
    <s v="-"/>
    <s v="-"/>
    <n v="0"/>
    <s v="-"/>
    <s v="-"/>
    <x v="2"/>
    <n v="0"/>
    <s v="-"/>
    <s v="-"/>
    <n v="0"/>
    <n v="0"/>
    <m/>
    <m/>
    <m/>
    <m/>
    <s v="-"/>
    <s v="-"/>
    <n v="0"/>
    <n v="0"/>
    <s v="-"/>
    <s v="-"/>
    <s v="-"/>
    <s v="-"/>
    <n v="0"/>
    <s v="-"/>
    <n v="6"/>
    <n v="0"/>
    <n v="0"/>
    <s v="http://www.commerce.gov.sb/Divisions/Immigration/Forms/new%20passport.pdf"/>
    <s v="Director of Immigration"/>
    <n v="1"/>
    <n v="1"/>
    <n v="2011"/>
    <n v="5"/>
    <s v="-"/>
    <n v="0"/>
    <s v="http://www.companyhaus.gov.sb"/>
    <n v="2010"/>
    <n v="1"/>
    <n v="0"/>
    <s v="-"/>
    <s v="-"/>
    <n v="0"/>
    <s v="-"/>
    <n v="0"/>
    <s v="-"/>
    <n v="0"/>
    <n v="0"/>
    <n v="583.59100000000001"/>
    <n v="49.224199824877346"/>
    <n v="296.32299999999998"/>
    <n v="287.26799999999997"/>
    <n v="81.736000000000004"/>
    <n v="48.443770186943325"/>
    <n v="42.14"/>
    <n v="39.595999999999997"/>
    <n v="78.007999999999996"/>
    <n v="48.397600246128604"/>
    <n v="40.253999999999998"/>
    <n v="37.753999999999998"/>
    <n v="70.710999999999999"/>
    <n v="48.473363408804857"/>
    <n v="36.435000000000002"/>
    <n v="34.276000000000003"/>
    <n v="353.13600000000002"/>
    <n v="49.737778079833248"/>
    <n v="177.494"/>
    <n v="175.64199999999997"/>
    <n v="2015"/>
    <s v="http://esa.un.org/unpd/wpp/Download/Standard/Population/"/>
    <n v="80"/>
    <n v="80"/>
    <n v="80"/>
    <s v="–"/>
    <s v="–"/>
    <n v="2014"/>
    <s v="http://www.unicef.org/pacificislands/Solomon_Islands_Birth_Registration_.pdf"/>
    <n v="287.43799999999999"/>
    <n v="49.253329814887479"/>
    <n v="145.94894450736905"/>
    <n v="141.48905549263094"/>
    <n v="2014"/>
    <s v="http://www.siec.gov.sb/index.php/journalist/18-siec-releases-provisional-voters-list"/>
    <s v="-"/>
    <n v="21"/>
    <s v="SB2014"/>
    <n v="290"/>
    <n v="321.23599999999999"/>
    <n v="609.88300000000004"/>
    <n v="1"/>
    <n v="5"/>
    <s v="CD"/>
    <x v="1"/>
    <n v="111.78900000000003"/>
    <n v="19.155367372012254"/>
    <n v="50.522094756522563"/>
    <n v="55.310855492630942"/>
    <n v="56.478144507369024"/>
    <n v="18.665731479713337"/>
    <n v="19.660437120517784"/>
    <n v="65.698000000000036"/>
    <n v="51.98475525490732"/>
    <n v="31.545055492630951"/>
    <n v="34.152944507369028"/>
    <n v="29.743799999999993"/>
    <n v="48.433623141629518"/>
    <n v="15.337799999999996"/>
    <n v="14.405999999999997"/>
    <n v="16.347199999999997"/>
    <n v="48.443770186943318"/>
    <n v="8.427999999999999"/>
    <n v="7.9191999999999974"/>
    <n v="20"/>
    <n v="19.999999999999996"/>
    <n v="561.23099999999999"/>
    <n v="49.244963303880219"/>
    <n v="225.46300000000014"/>
    <n v="48.35782367838631"/>
    <n v="81.897000000000006"/>
    <n v="48.410345166024072"/>
    <n v="85.47568559243291"/>
    <n v="287"/>
    <n v="48.767999999999837"/>
    <n v="49.244963303880219"/>
    <n v="45.092600000000019"/>
    <n v="48.35782367838631"/>
    <n v="16.327088709847295"/>
    <n v="48.410345166024072"/>
    <n v="119.938"/>
    <n v="21.3706"/>
    <n v="40.382530974336738"/>
    <n v="441.29300000000001"/>
    <n v="78.629400000000004"/>
    <n v="45.996877358127144"/>
    <n v="14.545783028599008"/>
    <n v="13.5082366733282"/>
    <n v="12.118921564681369"/>
    <n v="40.172941266608603"/>
    <n v="56.462490489655799"/>
    <n v="3.3645682437356501"/>
    <n v="80"/>
    <n v="80"/>
    <n v="80"/>
    <n v="80"/>
    <n v="80"/>
    <n v="2007"/>
    <s v="-"/>
    <s v="-"/>
    <m/>
    <n v="22.7"/>
    <n v="2006"/>
    <n v="125.364609"/>
    <s v="-"/>
    <s v="-"/>
    <n v="76.599998474121094"/>
    <s v="eng"/>
    <n v="3"/>
    <n v="1"/>
    <s v="Yes"/>
    <s v="Completed"/>
    <s v="Plan"/>
    <s v="-"/>
    <s v="Health / Finance Ministers "/>
    <n v="0.8"/>
    <s v="-"/>
    <s v="-"/>
    <m/>
    <m/>
    <m/>
    <m/>
    <m/>
    <m/>
    <m/>
    <m/>
    <m/>
    <m/>
    <m/>
    <m/>
    <m/>
    <m/>
    <m/>
    <m/>
    <m/>
    <m/>
    <m/>
    <m/>
    <m/>
    <m/>
    <m/>
    <m/>
    <m/>
    <m/>
    <m/>
    <m/>
    <m/>
    <m/>
    <m/>
    <m/>
    <m/>
    <m/>
    <m/>
    <m/>
    <m/>
    <n v="2"/>
    <s v="common + customary"/>
    <s v="PF"/>
    <n v="4"/>
    <n v="3"/>
    <s v="-"/>
    <s v="-"/>
    <s v="-"/>
    <s v="-"/>
    <s v="-"/>
    <s v="F"/>
    <n v="28"/>
    <n v="6"/>
    <n v="11"/>
    <n v="11"/>
    <n v="8"/>
    <n v="-1.8821204081177711E-2"/>
    <n v="0.37246048450469971"/>
    <n v="-0.85506123304367065"/>
    <n v="-1.1328575611114502"/>
    <n v="-0.60345649719238281"/>
    <n v="-0.4515451192855835"/>
    <n v="170"/>
    <n v="0.20871000000000001"/>
    <n v="7.843E-2"/>
    <n v="5.5109999999999999E-2"/>
    <n v="0.10084"/>
    <n v="0.47020000000000001"/>
    <n v="136"/>
    <n v="2.29"/>
    <n v="2.4500000000000002"/>
    <n v="0.55000000000000004"/>
    <n v="5.44"/>
    <s v="-"/>
    <s v="-"/>
    <s v="-"/>
    <s v="-"/>
    <s v="-"/>
    <s v="-"/>
    <s v="-"/>
    <s v="-"/>
    <s v="-"/>
    <s v="-"/>
    <s v="-"/>
    <s v="-"/>
    <s v="-"/>
    <s v="-"/>
    <s v="-"/>
    <s v="-"/>
    <s v="-"/>
    <s v="-"/>
    <s v="-"/>
    <m/>
    <m/>
    <m/>
    <n v="1"/>
    <m/>
    <s v="IDA"/>
    <s v=""/>
    <n v="0"/>
    <n v="4"/>
    <n v="16"/>
    <s v="D"/>
    <m/>
    <n v="5"/>
    <n v="0"/>
    <n v="0"/>
  </r>
  <r>
    <n v="162"/>
    <m/>
    <s v="Somalia"/>
    <x v="4"/>
    <x v="0"/>
    <s v="SOM"/>
    <s v="SO"/>
    <s v="http://www.refworld.org/docid/51e4fdd34.html"/>
    <s v="No official BR"/>
    <n v="1"/>
    <n v="1973"/>
    <n v="2"/>
    <s v="-"/>
    <s v="free"/>
    <s v="http://www.somaligov.net/"/>
    <s v="Government ID Solutions"/>
    <n v="5"/>
    <n v="2014"/>
    <s v="National ID Card"/>
    <x v="1"/>
    <n v="2"/>
    <n v="15"/>
    <s v="Sshs 1000"/>
    <n v="0"/>
    <n v="0"/>
    <m/>
    <m/>
    <m/>
    <m/>
    <s v="http://waaberiproject.org/news-articles/biometric-identification-cards-for-somalis/"/>
    <n v="2014"/>
    <n v="1"/>
    <n v="4"/>
    <s v="C"/>
    <n v="0"/>
    <n v="0"/>
    <s v="-"/>
    <n v="7"/>
    <s v="http://www.hidglobal.com/press-releases/somalia-introduces-new-secure-national-id-and-e-passport-hid-global-and-their"/>
    <n v="4"/>
    <n v="0"/>
    <n v="0"/>
    <s v="http://www.moia.somaligov.net/index.html"/>
    <s v="Immigration and Nationality Department"/>
    <n v="2"/>
    <n v="2"/>
    <n v="2013"/>
    <n v="5"/>
    <s v="-"/>
    <n v="0"/>
    <s v="http://www.somalichamber.so/"/>
    <n v="1991"/>
    <n v="0"/>
    <n v="0"/>
    <s v="-"/>
    <s v="-"/>
    <n v="0"/>
    <s v="-"/>
    <n v="0"/>
    <s v="-"/>
    <n v="0"/>
    <n v="0"/>
    <n v="10787.103999999999"/>
    <n v="50.23745947012285"/>
    <n v="5367.9369999999999"/>
    <n v="5419.1670000000004"/>
    <n v="1971.0229999999999"/>
    <n v="49.582120553641431"/>
    <n v="993.74800000000005"/>
    <n v="977.27499999999998"/>
    <n v="1669.722"/>
    <n v="49.70366324454011"/>
    <n v="839.80899999999997"/>
    <n v="829.91300000000001"/>
    <n v="1397.3789999999999"/>
    <n v="49.806673779983818"/>
    <n v="701.39099999999996"/>
    <n v="695.98800000000006"/>
    <n v="5748.9800000000005"/>
    <n v="50.721884577785978"/>
    <n v="2832.989"/>
    <n v="2915.9910000000009"/>
    <n v="2015"/>
    <s v="http://esa.un.org/unpd/wpp/Download/Standard/Population/"/>
    <n v="3"/>
    <n v="3.3"/>
    <n v="2.7"/>
    <n v="5.6"/>
    <n v="1.5"/>
    <n v="2006"/>
    <s v="MICS"/>
    <n v="4220.4660000000003"/>
    <n v="39.125107164999989"/>
    <n v="2100.2111037996851"/>
    <n v="2120.2548962003152"/>
    <n v="1984"/>
    <s v="http://www.idea.int/vt/countryview.cfm?id=206"/>
    <n v="15"/>
    <n v="18"/>
    <s v="SO1984"/>
    <n v="4220.4660000000003"/>
    <n v="2952.2890000000002"/>
    <n v="6217.7380000000003"/>
    <n v="1"/>
    <n v="4"/>
    <s v="CD"/>
    <x v="0"/>
    <n v="6415.4942799999999"/>
    <n v="59.473740866872149"/>
    <n v="50.367535388086814"/>
    <n v="3184.0726122003152"/>
    <n v="3231.3263517996857"/>
    <n v="59.316504873293319"/>
    <n v="59.627731564642417"/>
    <n v="1528.5140000000001"/>
    <n v="52.059457996438738"/>
    <n v="732.7778962003149"/>
    <n v="795.73610379968568"/>
    <n v="2975.0879699999996"/>
    <n v="49.90446292584754"/>
    <n v="1490.3404"/>
    <n v="1484.701673"/>
    <n v="1911.89231"/>
    <n v="49.735467318240325"/>
    <n v="960.95431600000006"/>
    <n v="950.88857499999995"/>
    <n v="96.7"/>
    <n v="97.3"/>
    <n v="10495.583000000001"/>
    <n v="50.255721859376465"/>
    <n v="4953.6150000000016"/>
    <n v="49.633892263793221"/>
    <n v="1956.9449999999999"/>
    <n v="49.60475568942347"/>
    <n v="76.154643982065593"/>
    <n v="4220.4660000000003"/>
    <n v="1321.5019999999988"/>
    <n v="50.255721859376465"/>
    <n v="4805.006550000001"/>
    <n v="49.633892263793221"/>
    <n v="1888.9591376224575"/>
    <n v="49.60475568942347"/>
    <n v="4062.1260000000002"/>
    <n v="38.703200000000002"/>
    <n v="28.123376773640206"/>
    <n v="6433.4570000000003"/>
    <n v="61.296799999999998"/>
    <n v="33.530168927840819"/>
    <n v="18.55428663895999"/>
    <n v="15.489501279792497"/>
    <n v="13.1533520590839"/>
    <n v="47.1971399778364"/>
    <n v="49.977118946131903"/>
    <n v="2.8257410760316999"/>
    <n v="3"/>
    <n v="2.7"/>
    <n v="3.3"/>
    <n v="5.6"/>
    <n v="1.5"/>
    <n v="2006"/>
    <n v="73"/>
    <n v="2014"/>
    <n v="7661.7755900000002"/>
    <s v="-"/>
    <s v="-"/>
    <m/>
    <n v="73"/>
    <n v="2014"/>
    <s v="-"/>
    <s v="eng"/>
    <n v="1"/>
    <n v="3"/>
    <s v="Yes"/>
    <s v="-"/>
    <s v="-"/>
    <s v="-"/>
    <s v="Health Minister"/>
    <n v="0.03"/>
    <s v="-"/>
    <s v="-"/>
    <m/>
    <m/>
    <m/>
    <m/>
    <m/>
    <m/>
    <m/>
    <m/>
    <m/>
    <m/>
    <m/>
    <m/>
    <m/>
    <m/>
    <m/>
    <m/>
    <m/>
    <m/>
    <m/>
    <m/>
    <m/>
    <m/>
    <m/>
    <m/>
    <m/>
    <n v="1"/>
    <s v="Voter Registration"/>
    <m/>
    <m/>
    <m/>
    <m/>
    <m/>
    <m/>
    <m/>
    <m/>
    <m/>
    <m/>
    <n v="3"/>
    <s v="civil + customary + religious"/>
    <s v="NF"/>
    <n v="7"/>
    <n v="7"/>
    <s v="-"/>
    <s v="-"/>
    <s v="-"/>
    <s v="-"/>
    <s v="-"/>
    <s v="NF"/>
    <n v="82"/>
    <n v="26"/>
    <n v="34"/>
    <n v="22"/>
    <n v="7"/>
    <n v="-2.1903326511383057"/>
    <n v="-2.7475802898406982"/>
    <n v="-2.2076852321624756"/>
    <n v="-2.2146487236022949"/>
    <n v="-2.4434440135955811"/>
    <n v="-1.5839486122131348"/>
    <n v="193"/>
    <n v="1.387E-2"/>
    <n v="3.9210000000000002E-2"/>
    <n v="1.5740000000000001E-2"/>
    <n v="2.588E-2"/>
    <n v="0"/>
    <s v="-"/>
    <s v="-"/>
    <s v="-"/>
    <s v="-"/>
    <s v="-"/>
    <s v="-"/>
    <s v="-"/>
    <s v="-"/>
    <s v="-"/>
    <s v="-"/>
    <s v="-"/>
    <s v="-"/>
    <s v="-"/>
    <s v="-"/>
    <s v="-"/>
    <s v="-"/>
    <s v="-"/>
    <s v="-"/>
    <s v="-"/>
    <s v="-"/>
    <s v="-"/>
    <s v="-"/>
    <s v="-"/>
    <s v="-"/>
    <m/>
    <m/>
    <m/>
    <n v="1"/>
    <m/>
    <s v="IDA"/>
    <s v="HIPC"/>
    <n v="0"/>
    <n v="12"/>
    <n v="48"/>
    <s v="C"/>
    <n v="1"/>
    <n v="4"/>
    <n v="0"/>
    <n v="0"/>
  </r>
  <r>
    <n v="163"/>
    <m/>
    <s v="South Africa"/>
    <x v="4"/>
    <x v="1"/>
    <s v="ZAF"/>
    <s v="ZA"/>
    <s v="http://www.dha.gov.za/index.php/civic-services/birth-certificates"/>
    <s v="Dept of Home Affairs"/>
    <n v="2"/>
    <n v="1868"/>
    <n v="2"/>
    <s v="30 d"/>
    <s v="free"/>
    <s v="http://www.dha.gov.za/index.php/civic-services/identity-documents"/>
    <s v="Dept of Home Affairs"/>
    <n v="2"/>
    <n v="1996"/>
    <s v="Smart Card ID (Prev: ID Book)"/>
    <x v="1"/>
    <n v="2"/>
    <n v="15.5"/>
    <s v="free"/>
    <n v="1"/>
    <n v="1"/>
    <m/>
    <n v="1"/>
    <n v="1"/>
    <m/>
    <s v="http://en.wikipedia.org/wiki/Biometrics_use_by_the_South_African_government"/>
    <n v="2013"/>
    <n v="2"/>
    <s v="4B"/>
    <s v="C, H, S"/>
    <n v="1"/>
    <n v="0"/>
    <s v="-"/>
    <s v="1, 5"/>
    <s v="http://www.gemalto.com/govt/customer-cases/south-africa"/>
    <s v="-"/>
    <n v="0"/>
    <n v="0"/>
    <s v="http://www.dha.gov.za/index.php/civic-services/travel-documents"/>
    <s v="Department of Home Affairs"/>
    <n v="1"/>
    <n v="2"/>
    <n v="2009"/>
    <n v="10"/>
    <s v="-"/>
    <n v="0"/>
    <s v="http://www.cipc.co.za"/>
    <n v="2008"/>
    <n v="1"/>
    <n v="1"/>
    <s v="http://www.doingbusiness.org/data/exploreeconomies/south-africa/starting-a-business"/>
    <n v="2008"/>
    <n v="1"/>
    <s v="C"/>
    <n v="0"/>
    <s v="-"/>
    <n v="2"/>
    <n v="1"/>
    <n v="54490.406000000003"/>
    <n v="50.82206581466837"/>
    <n v="26797.256000000001"/>
    <n v="27693.15"/>
    <n v="5370.1210000000001"/>
    <n v="49.554097570613393"/>
    <n v="2709.0059999999999"/>
    <n v="2661.1149999999998"/>
    <n v="5511.8490000000002"/>
    <n v="49.162685697666973"/>
    <n v="2802.076"/>
    <n v="2709.7730000000001"/>
    <n v="5050.6049999999996"/>
    <n v="49.800251653019792"/>
    <n v="2535.3910000000001"/>
    <n v="2515.2139999999999"/>
    <n v="38557.831000000006"/>
    <n v="51.369715272625157"/>
    <n v="18750.782999999999"/>
    <n v="19807.048000000003"/>
    <n v="2015"/>
    <s v="http://esa.un.org/unpd/wpp/Download/Standard/Population/"/>
    <n v="95"/>
    <n v="95"/>
    <n v="95"/>
    <s v="–"/>
    <s v="–"/>
    <n v="2013"/>
    <s v="http://www.unicef.org/gambia/Every_childs_birth_right_-_inequities_and_trends_in_birth_registration_-_2013_report.pdf"/>
    <n v="25388.081999999999"/>
    <n v="46.591838570628376"/>
    <n v="12485.334256878024"/>
    <n v="12902.747743121972"/>
    <n v="2014"/>
    <s v="http://www.idea.int/vt/countryview.cfm?id=246"/>
    <n v="15.5"/>
    <n v="18"/>
    <s v="ZA2014"/>
    <n v="25388.081999999999"/>
    <n v="34691.652000000002"/>
    <n v="54002"/>
    <n v="1"/>
    <n v="4"/>
    <s v="CD"/>
    <x v="1"/>
    <n v="13966.377750000007"/>
    <n v="25.630893170441794"/>
    <n v="52.258398616477542"/>
    <n v="6667.7723931219753"/>
    <n v="7298.6053568780308"/>
    <n v="24.882295385475196"/>
    <n v="26.355273260275663"/>
    <n v="13169.749000000007"/>
    <n v="52.425450605611587"/>
    <n v="6265.448743121975"/>
    <n v="6904.3002568780303"/>
    <n v="528.12270000000046"/>
    <n v="49.467547977013673"/>
    <n v="266.87335000000024"/>
    <n v="261.24935000000022"/>
    <n v="268.50605000000024"/>
    <n v="49.554097570613393"/>
    <n v="135.45030000000011"/>
    <n v="133.0557500000001"/>
    <n v="5.0000000000000044"/>
    <n v="5.0000000000000044"/>
    <n v="52981.991000000002"/>
    <n v="51.462990509360061"/>
    <n v="15624.05209930883"/>
    <n v="49.657645576913211"/>
    <n v="5436.82"/>
    <n v="49.562720669205582"/>
    <n v="67.958781311487954"/>
    <n v="25388"/>
    <n v="11969.938900691168"/>
    <n v="51.462990509360061"/>
    <n v="734.33044866751572"/>
    <n v="49.657645576913211"/>
    <n v="255.01703058968212"/>
    <n v="49.562720669205582"/>
    <n v="33308.93"/>
    <n v="62.868400000000001"/>
    <n v="36.213537931119369"/>
    <n v="19673.061000000002"/>
    <n v="37.131599999999999"/>
    <n v="56.2154969173328"/>
    <n v="10.241016174468738"/>
    <n v="10.109276691670182"/>
    <n v="9.1390707932977353"/>
    <n v="29.489363846875499"/>
    <n v="64.977621511846394"/>
    <n v="5.5330146412781698"/>
    <n v="95.3"/>
    <n v="95.3"/>
    <n v="95.3"/>
    <n v="95.3"/>
    <n v="95.3"/>
    <n v="2012"/>
    <n v="13.77"/>
    <n v="2009"/>
    <n v="6980.9724659999993"/>
    <n v="23"/>
    <n v="2006"/>
    <n v="11634.954109999999"/>
    <n v="31.3"/>
    <n v="2009"/>
    <n v="93.729469299316406"/>
    <s v="eng"/>
    <n v="3"/>
    <n v="2"/>
    <s v="Yes"/>
    <s v="Planned"/>
    <s v="-"/>
    <s v="-"/>
    <s v="CR Minister"/>
    <n v="0.92"/>
    <n v="0.89"/>
    <s v="-"/>
    <m/>
    <m/>
    <m/>
    <m/>
    <m/>
    <m/>
    <m/>
    <m/>
    <m/>
    <m/>
    <m/>
    <m/>
    <m/>
    <m/>
    <m/>
    <m/>
    <m/>
    <m/>
    <m/>
    <m/>
    <m/>
    <m/>
    <m/>
    <n v="1"/>
    <s v="HANIS (ID)"/>
    <m/>
    <m/>
    <n v="1"/>
    <s v="KZN Joint Municipal Provident Fund + SASSA pensions &amp; transfers"/>
    <m/>
    <m/>
    <n v="1"/>
    <s v="AHDSS (EHRs) + PCIS (EHRs) + STAT (treatment monitoring)"/>
    <m/>
    <m/>
    <m/>
    <m/>
    <n v="2"/>
    <s v="civil + common"/>
    <s v="F"/>
    <n v="2"/>
    <n v="2"/>
    <s v="F"/>
    <n v="26"/>
    <n v="7"/>
    <n v="8"/>
    <n v="11"/>
    <s v="PF"/>
    <n v="33"/>
    <n v="9"/>
    <n v="14"/>
    <n v="10"/>
    <n v="9"/>
    <n v="0.58215516805648804"/>
    <n v="-5.7529490441083908E-2"/>
    <n v="0.43402451276779175"/>
    <n v="0.40744313597679138"/>
    <n v="0.12699155509471893"/>
    <n v="-0.11970674246549606"/>
    <n v="93"/>
    <n v="0.48687999999999998"/>
    <n v="0.33333000000000002"/>
    <n v="0.38582"/>
    <n v="0.34661999999999998"/>
    <n v="0.72819999999999996"/>
    <n v="90"/>
    <n v="4.42"/>
    <n v="4.82"/>
    <n v="2.75"/>
    <n v="6.98"/>
    <s v="Protection of Personal Information Act"/>
    <s v="http://www.issafrica.org/uploads/SA-POPI-Act-2013.pdf"/>
    <n v="1982"/>
    <n v="2014"/>
    <s v="Both"/>
    <s v="-"/>
    <s v="-"/>
    <s v="-"/>
    <n v="17"/>
    <n v="109"/>
    <n v="2000"/>
    <s v="http://www.rti-rating.org/files/pdf/South%20Africa.pdf"/>
    <n v="6"/>
    <n v="25"/>
    <n v="19"/>
    <n v="25"/>
    <n v="14"/>
    <n v="6"/>
    <n v="14"/>
    <m/>
    <m/>
    <m/>
    <m/>
    <m/>
    <s v="IBRD"/>
    <s v=""/>
    <n v="0"/>
    <n v="18"/>
    <n v="72"/>
    <s v="B"/>
    <n v="1"/>
    <n v="4"/>
    <n v="2"/>
    <n v="0"/>
  </r>
  <r>
    <n v="164"/>
    <m/>
    <s v="South Sudan"/>
    <x v="4"/>
    <x v="3"/>
    <s v="SSD"/>
    <s v="SS"/>
    <s v="http://www.mojss.org"/>
    <s v="No official BR"/>
    <n v="1"/>
    <n v="2011"/>
    <n v="2"/>
    <s v="-"/>
    <s v="free"/>
    <s v="http://www.goss.org/index.php/ministries/interior"/>
    <s v="Directorate of Nationality, Passport and Immigrations"/>
    <n v="2"/>
    <n v="2012"/>
    <s v="National ID Card"/>
    <x v="0"/>
    <n v="2"/>
    <n v="16"/>
    <s v="30 SSP"/>
    <n v="0"/>
    <n v="0"/>
    <m/>
    <m/>
    <n v="1"/>
    <m/>
    <s v="http://www.goss.org/index.php/ministries/interior"/>
    <n v="2012"/>
    <n v="2"/>
    <s v="2B"/>
    <s v="C, V"/>
    <n v="0"/>
    <n v="0"/>
    <s v="-"/>
    <n v="9"/>
    <s v="http://www.cto.int/media/events/pst-ev/2013/e-Gove/Matthias%20K.%20Kohler.pdf"/>
    <s v="-"/>
    <n v="0"/>
    <n v="0"/>
    <s v="http://www.goss.org/index.php/ministries/foreign-affairs"/>
    <s v="Ministry of Foreign Affairs"/>
    <n v="2"/>
    <n v="3"/>
    <n v="2012"/>
    <n v="5"/>
    <s v="-"/>
    <n v="0"/>
    <s v="http://www.registry.mojss.org/index.html"/>
    <n v="2005"/>
    <n v="1"/>
    <n v="0"/>
    <s v="-"/>
    <s v="-"/>
    <n v="0"/>
    <s v="-"/>
    <n v="0"/>
    <s v="-"/>
    <n v="0"/>
    <n v="1"/>
    <n v="12339.812"/>
    <n v="49.92442348392342"/>
    <n v="6179.232"/>
    <n v="6160.58"/>
    <n v="1955.8209999999999"/>
    <n v="49.264222032588876"/>
    <n v="992.30100000000004"/>
    <n v="963.52"/>
    <n v="1718.4849999999999"/>
    <n v="49.373779811869177"/>
    <n v="870.00400000000002"/>
    <n v="848.48099999999999"/>
    <n v="1519.02"/>
    <n v="49.461692406946582"/>
    <n v="767.68700000000001"/>
    <n v="751.33299999999997"/>
    <n v="7146.485999999999"/>
    <n v="50.335871363912275"/>
    <n v="3549.24"/>
    <n v="3597.2459999999996"/>
    <n v="2015"/>
    <s v="http://esa.un.org/unpd/wpp/Download/Standard/Population/"/>
    <n v="35.4"/>
    <n v="34.9"/>
    <n v="36"/>
    <n v="45"/>
    <n v="32.299999999999997"/>
    <n v="2010"/>
    <s v="SHHS-2"/>
    <n v="3851.9940000000001"/>
    <n v="31.215986110647393"/>
    <n v="1928.908202864679"/>
    <n v="1923.0857971353212"/>
    <n v="2011"/>
    <s v="http://necsouthsudan.org/"/>
    <n v="16"/>
    <n v="17"/>
    <s v="SS2011"/>
    <n v="3851.9940000000001"/>
    <s v="-"/>
    <s v="-"/>
    <n v="1"/>
    <n v="6"/>
    <s v="CD"/>
    <x v="0"/>
    <n v="6649.3805959999991"/>
    <n v="53.885590769130019"/>
    <n v="49.849665168191237"/>
    <n v="3332.4565891353209"/>
    <n v="3314.6939628646783"/>
    <n v="53.929947752978379"/>
    <n v="53.804900883758968"/>
    <n v="3294.4919999999988"/>
    <n v="50.816945461232841"/>
    <n v="1620.3317971353208"/>
    <n v="1674.1602028646785"/>
    <n v="2091.42823"/>
    <n v="48.956064822745553"/>
    <n v="1066.136841"/>
    <n v="1023.88096"/>
    <n v="1263.460366"/>
    <n v="48.806659598849649"/>
    <n v="645.98795100000007"/>
    <n v="616.65279999999996"/>
    <n v="65.100000000000009"/>
    <n v="64"/>
    <n v="11296.173000000001"/>
    <n v="49.971180505114432"/>
    <n v="4757.5370000000057"/>
    <n v="49.261203854011058"/>
    <n v="1785.481"/>
    <n v="49.296057376647461"/>
    <n v="34.52496699545943"/>
    <n v="3900"/>
    <n v="7396.1730000000016"/>
    <n v="49.971180505114432"/>
    <n v="3073.3689020000038"/>
    <n v="49.261203854011058"/>
    <n v="1147.5161830446402"/>
    <n v="49.296057376647461"/>
    <n v="2083.7600000000002"/>
    <n v="18.4466"/>
    <n v="46.87708757246515"/>
    <n v="9212.4130000000005"/>
    <n v="81.553399999999996"/>
    <n v="51.768315206884452"/>
    <n v="15.725156127003173"/>
    <n v="13.84778597101978"/>
    <n v="12.543418903176301"/>
    <n v="42.116361001199301"/>
    <n v="54.4046997155585"/>
    <n v="3.4789392832422101"/>
    <n v="35.4"/>
    <n v="36"/>
    <n v="34.9"/>
    <n v="45"/>
    <n v="32.299999999999997"/>
    <n v="2010"/>
    <n v="51"/>
    <n v="2013"/>
    <n v="5761.0482300000012"/>
    <n v="51"/>
    <n v="2010"/>
    <n v="5761.0482300000012"/>
    <n v="50.6"/>
    <n v="2009"/>
    <s v="-"/>
    <s v="eng"/>
    <n v="1"/>
    <n v="2"/>
    <s v="-"/>
    <s v="Planned"/>
    <s v="-"/>
    <s v="-"/>
    <s v="CR Minister"/>
    <n v="0"/>
    <s v="-"/>
    <n v="1"/>
    <s v="-"/>
    <s v="P143915 (A)"/>
    <s v="-"/>
    <s v="-"/>
    <s v="-"/>
    <s v="-"/>
    <m/>
    <m/>
    <m/>
    <m/>
    <m/>
    <m/>
    <m/>
    <m/>
    <m/>
    <m/>
    <m/>
    <m/>
    <m/>
    <m/>
    <m/>
    <m/>
    <m/>
    <m/>
    <m/>
    <m/>
    <m/>
    <m/>
    <m/>
    <m/>
    <m/>
    <m/>
    <m/>
    <m/>
    <m/>
    <m/>
    <m/>
    <n v="1"/>
    <s v="-"/>
    <s v="NF"/>
    <n v="6"/>
    <n v="6"/>
    <s v="-"/>
    <s v="-"/>
    <s v="-"/>
    <s v="-"/>
    <s v="-"/>
    <s v="NF"/>
    <n v="62"/>
    <n v="16"/>
    <n v="29"/>
    <n v="17"/>
    <n v="0"/>
    <n v="-1.4074095487594604"/>
    <n v="-1.7586312294006348"/>
    <n v="-1.4854505062103271"/>
    <n v="-1.5146365165710449"/>
    <n v="-1.4397648572921753"/>
    <n v="-1.3555991649627686"/>
    <n v="185"/>
    <n v="0.14183999999999999"/>
    <n v="5.8819999999999997E-2"/>
    <n v="7.8700000000000003E-3"/>
    <n v="1.4109999999999999E-2"/>
    <n v="0.40350000000000003"/>
    <s v="-"/>
    <s v="-"/>
    <s v="-"/>
    <s v="-"/>
    <s v="-"/>
    <s v="-"/>
    <s v="-"/>
    <s v="-"/>
    <s v="-"/>
    <s v="-"/>
    <s v="-"/>
    <s v="-"/>
    <s v="-"/>
    <s v="-"/>
    <s v="-"/>
    <n v="2012"/>
    <s v="http://www.icnl.org/research/library/files/South%20Sudan/RightAccessInformationBill.pdf"/>
    <s v="-"/>
    <s v="-"/>
    <s v="-"/>
    <s v="-"/>
    <s v="-"/>
    <s v="-"/>
    <s v="-"/>
    <m/>
    <m/>
    <m/>
    <n v="1"/>
    <m/>
    <s v="IDA"/>
    <m/>
    <n v="0"/>
    <n v="14"/>
    <n v="56.000000000000007"/>
    <s v="B"/>
    <n v="1"/>
    <n v="1"/>
    <n v="0"/>
    <n v="0"/>
  </r>
  <r>
    <n v="165"/>
    <m/>
    <s v="Spain"/>
    <x v="3"/>
    <x v="2"/>
    <s v="ESP"/>
    <s v="ES"/>
    <s v="http://www.mjusticia.gob.es/cs/Satellite/en/1200666550200/Tramite_C/1214483957117/Detalle.html"/>
    <s v="Min of Justice"/>
    <n v="1"/>
    <n v="1870"/>
    <n v="2"/>
    <s v="8 d"/>
    <s v="free"/>
    <s v="http://www.policia.es/documentacion/docu_esp/oficinas.html"/>
    <s v="Police"/>
    <n v="2"/>
    <n v="2006"/>
    <s v="NIF (Número de Identificación Fiscal) "/>
    <x v="1"/>
    <n v="2"/>
    <n v="14"/>
    <n v="10.5"/>
    <n v="1"/>
    <n v="1"/>
    <s v="http://es.wikipedia.org/wiki/N%C3%BAmero_de_identificaci%C3%B3n_fiscal"/>
    <n v="1"/>
    <n v="1"/>
    <m/>
    <s v="http://www.dnielectronico.es"/>
    <n v="2006"/>
    <n v="2"/>
    <s v="4B"/>
    <s v="C, R"/>
    <n v="1"/>
    <n v="1"/>
    <n v="38000"/>
    <n v="2"/>
    <s v="http://www.dnie.es/Asi_es_el_dni_electronico/index.html"/>
    <s v="-"/>
    <n v="1"/>
    <n v="1"/>
    <s v="http://www.policia.es/documentacion/docu_esp/pasaporte/concepto_pas.html"/>
    <s v="Ministry of Interior"/>
    <n v="2"/>
    <n v="2"/>
    <n v="2006"/>
    <n v="10"/>
    <n v="10000"/>
    <n v="1"/>
    <s v="https://www.registradores.org/en/servicios_mercantil.jsp"/>
    <n v="2013"/>
    <n v="1"/>
    <n v="1"/>
    <s v="http://es.wikipedia.org/wiki/C%C3%B3digo_de_identificaci%C3%B3n_fiscal"/>
    <n v="2008"/>
    <n v="0"/>
    <s v="-"/>
    <n v="0"/>
    <s v="-"/>
    <n v="3"/>
    <n v="1"/>
    <n v="46121.699000000001"/>
    <n v="50.948032074880857"/>
    <n v="22623.600999999999"/>
    <n v="23498.098000000002"/>
    <n v="2144.2710000000002"/>
    <n v="48.448213868489567"/>
    <n v="1105.4100000000001"/>
    <n v="1038.8610000000001"/>
    <n v="2437.3710000000001"/>
    <n v="48.503613114294048"/>
    <n v="1255.1579999999999"/>
    <n v="1182.213"/>
    <n v="2282.0410000000002"/>
    <n v="48.539837803089426"/>
    <n v="1174.3420000000001"/>
    <n v="1107.6990000000001"/>
    <n v="39258.016000000003"/>
    <n v="51.376322736227934"/>
    <n v="19088.690999999999"/>
    <n v="20169.325000000001"/>
    <n v="2015"/>
    <s v="http://esa.un.org/unpd/wpp/Download/Standard/Population/"/>
    <n v="100"/>
    <n v="100"/>
    <n v="100"/>
    <s v="–"/>
    <s v="–"/>
    <n v="2011"/>
    <s v="UNSD "/>
    <n v="34631.086000000003"/>
    <n v="75.086318914660978"/>
    <n v="16987.229196840428"/>
    <n v="17643.856803159575"/>
    <n v="2015"/>
    <s v="http://www.idea.int/vt/countryview.cfm?id=72"/>
    <n v="14"/>
    <n v="18"/>
    <s v="ES2015"/>
    <n v="34631.086000000003"/>
    <n v="39368.731"/>
    <n v="48146.133999999998"/>
    <n v="1"/>
    <n v="4"/>
    <s v="CD"/>
    <x v="2"/>
    <n v="4626.93"/>
    <n v="10.032002507106254"/>
    <n v="54.581940873115123"/>
    <n v="2101.461803159571"/>
    <n v="2525.4681968404257"/>
    <n v="9.2888033304670241"/>
    <n v="10.747543043017464"/>
    <n v="4626.93"/>
    <n v="54.581940873115123"/>
    <n v="2101.461803159571"/>
    <n v="2525.4681968404257"/>
    <n v="0"/>
    <n v="0"/>
    <n v="0"/>
    <n v="0"/>
    <n v="0"/>
    <n v="0"/>
    <n v="0"/>
    <n v="0"/>
    <n v="0"/>
    <n v="0"/>
    <n v="46647.421000000002"/>
    <n v="50.588511634973344"/>
    <n v="7161.9608244087613"/>
    <n v="48.519213113196408"/>
    <n v="2530.1489999999999"/>
    <n v="48.526083108913006"/>
    <n v="96.237956531377833"/>
    <n v="38000"/>
    <n v="1485.460175591237"/>
    <n v="50.588511634973344"/>
    <n v="0"/>
    <n v="48.519213113196408"/>
    <n v="0"/>
    <n v="48.526083108913006"/>
    <n v="36253.349000000002"/>
    <n v="77.717799999999997"/>
    <n v="38.370093753269522"/>
    <n v="10394.072"/>
    <n v="22.282200000000003"/>
    <n v="86.16039026860696"/>
    <n v="5.3838920942625998"/>
    <n v="5.2685106641326955"/>
    <n v="4.7009883754896844"/>
    <n v="15.353390757462799"/>
    <n v="66.885542965991604"/>
    <n v="17.761066276545499"/>
    <n v="100"/>
    <n v="100"/>
    <n v="100"/>
    <n v="100"/>
    <n v="100"/>
    <n v="2011"/>
    <s v="-"/>
    <s v="-"/>
    <m/>
    <s v="-"/>
    <s v="-"/>
    <m/>
    <n v="21.1"/>
    <n v="2012"/>
    <n v="97.894538879394503"/>
    <s v="spa"/>
    <n v="0"/>
    <s v="-"/>
    <s v="-"/>
    <s v="-"/>
    <s v="-"/>
    <s v="-"/>
    <s v="-"/>
    <s v="-"/>
    <s v="-"/>
    <s v="-"/>
    <m/>
    <m/>
    <m/>
    <m/>
    <m/>
    <m/>
    <m/>
    <m/>
    <m/>
    <m/>
    <m/>
    <m/>
    <m/>
    <m/>
    <m/>
    <m/>
    <m/>
    <m/>
    <m/>
    <m/>
    <m/>
    <m/>
    <m/>
    <n v="2"/>
    <m/>
    <m/>
    <m/>
    <m/>
    <m/>
    <m/>
    <m/>
    <m/>
    <m/>
    <m/>
    <m/>
    <m/>
    <m/>
    <n v="1"/>
    <s v="civil"/>
    <s v="F"/>
    <n v="1"/>
    <n v="1"/>
    <s v="-"/>
    <s v="-"/>
    <s v="-"/>
    <s v="-"/>
    <s v="-"/>
    <s v="F"/>
    <n v="28"/>
    <n v="6"/>
    <n v="14"/>
    <n v="8"/>
    <n v="10"/>
    <n v="0.96567505598068237"/>
    <n v="1.458944845944643E-2"/>
    <n v="1.1462633609771729"/>
    <n v="0.93066024780273438"/>
    <n v="0.99634546041488647"/>
    <n v="0.81422001123428345"/>
    <n v="12"/>
    <n v="0.84097999999999995"/>
    <n v="0.78430999999999995"/>
    <n v="0.94488000000000005"/>
    <n v="0.66288000000000002"/>
    <n v="0.91520000000000001"/>
    <n v="28"/>
    <n v="7.38"/>
    <n v="7.7"/>
    <n v="6.04"/>
    <n v="9.41"/>
    <s v="Ley Orgánica de Protección de Datos de Carácter Personal"/>
    <s v="http://www.wipo.int/edocs/lexdocs/laws/en/sd/sd001en.pdf"/>
    <n v="1992"/>
    <n v="1999"/>
    <s v="Both"/>
    <s v="Agencia Espanola De Proteccion De Datos"/>
    <s v="https://www.agpd.es/portalwebAGPD/index-ides-idphp.php"/>
    <s v="ICDPPC; EDPA; A29WP; GPEN; RedIPD"/>
    <n v="64"/>
    <n v="76"/>
    <n v="2013"/>
    <s v="http://www.rti-rating.org/files/pdf/Spain.pdf"/>
    <n v="0"/>
    <n v="15"/>
    <n v="15"/>
    <n v="21"/>
    <n v="12"/>
    <n v="0"/>
    <n v="13"/>
    <s v="EU"/>
    <s v="OECD"/>
    <m/>
    <m/>
    <m/>
    <s v=".."/>
    <s v="EMU"/>
    <n v="0"/>
    <n v="19"/>
    <n v="76"/>
    <s v="A"/>
    <m/>
    <n v="4"/>
    <n v="0"/>
    <n v="0"/>
  </r>
  <r>
    <n v="166"/>
    <m/>
    <s v="Sri Lanka"/>
    <x v="0"/>
    <x v="3"/>
    <s v="LKA"/>
    <s v="LK"/>
    <s v="http://www.rgdept.lk"/>
    <s v="Dept of Registrar General, Min of Public Administration and Home Affairs"/>
    <n v="2"/>
    <n v="1867"/>
    <n v="2"/>
    <s v="3 m"/>
    <s v="free"/>
    <s v="http://www.rpd.gov.lk"/>
    <s v="Office of the Registrar, Min of Public Administration"/>
    <n v="6"/>
    <n v="1972"/>
    <s v="National ID Card"/>
    <x v="1"/>
    <n v="2"/>
    <n v="16"/>
    <s v="LKR 13"/>
    <n v="1"/>
    <n v="1"/>
    <s v="http://en.wikipedia.org/wiki/National_identity_card_(Sri_Lanka)"/>
    <n v="1"/>
    <n v="1"/>
    <m/>
    <s v="http://www.planetbiometrics.com/article-details/i/2146 "/>
    <n v="2016"/>
    <n v="2"/>
    <s v="4B"/>
    <s v="C, S, V"/>
    <n v="0"/>
    <n v="0"/>
    <n v="16500"/>
    <n v="10"/>
    <s v="http://www.worldbank.org/content/dam/Worldbank/Event/social-protection/Building_Robust_Identification_Systems_Session_Packet.pdf"/>
    <s v="-"/>
    <n v="0"/>
    <n v="0"/>
    <s v="http://www.immigration.gov.lk/web/index.php?option=com_content&amp;view=article&amp;id=142&amp;Itemid=191&amp;lang=en#di"/>
    <s v="Department of Immigration and Emigration"/>
    <n v="1"/>
    <n v="6"/>
    <n v="2013"/>
    <n v="5"/>
    <s v="-"/>
    <n v="0"/>
    <s v="http://www.drc.gov.lk"/>
    <n v="2007"/>
    <n v="1"/>
    <n v="1"/>
    <s v="http://www.drc.gov.lk/app/comreg.nsf/200392d5acdb66c246256b76001be7d8/$FILE/Act%207%20of%202007%20(English).pdf"/>
    <n v="2007"/>
    <n v="1"/>
    <s v="C"/>
    <n v="0"/>
    <s v="-"/>
    <n v="0"/>
    <n v="0"/>
    <n v="20715.009999999998"/>
    <n v="51.825927189994111"/>
    <n v="9979.2639999999992"/>
    <n v="10735.745999999999"/>
    <n v="1643.0129999999999"/>
    <n v="49.238198358747013"/>
    <n v="834.02300000000002"/>
    <n v="808.99"/>
    <n v="1748.8530000000001"/>
    <n v="49.701604423013251"/>
    <n v="879.64499999999998"/>
    <n v="869.20799999999997"/>
    <n v="1698.606"/>
    <n v="49.931767578826403"/>
    <n v="850.46199999999999"/>
    <n v="848.14400000000001"/>
    <n v="15624.538"/>
    <n v="52.541739154143293"/>
    <n v="7415.134"/>
    <n v="8209.4039999999986"/>
    <n v="2015"/>
    <s v="http://esa.un.org/unpd/wpp/Download/Standard/Population/"/>
    <n v="97.2"/>
    <n v="97.4"/>
    <n v="97"/>
    <n v="96.5"/>
    <n v="97.6"/>
    <s v="2006-2007"/>
    <s v="DHS"/>
    <n v="15044.49"/>
    <n v="72.626033006983832"/>
    <n v="7247.5435664940542"/>
    <n v="7796.9464335059447"/>
    <n v="2015"/>
    <s v="http://www.idea.int/vt/countryview.cfm?id=131"/>
    <n v="16"/>
    <n v="18"/>
    <s v="LK2015"/>
    <n v="15044.49"/>
    <n v="15262.77"/>
    <n v="21866.445"/>
    <n v="1"/>
    <n v="4"/>
    <s v="CD"/>
    <x v="1"/>
    <n v="722.58121600000084"/>
    <n v="3.4882011449668666"/>
    <n v="67.569958322034964"/>
    <n v="234.25781350594562"/>
    <n v="488.24782649405398"/>
    <n v="2.3474457986675734"/>
    <n v="4.5478705112253399"/>
    <n v="580.04800000000068"/>
    <n v="71.107488775765702"/>
    <n v="167.59043350594584"/>
    <n v="412.45756649405394"/>
    <n v="96.528852000000086"/>
    <n v="53.373223582934557"/>
    <n v="44.982781999999844"/>
    <n v="51.520560000000046"/>
    <n v="46.004364000000038"/>
    <n v="52.755212527228949"/>
    <n v="21.684597999999927"/>
    <n v="24.269700000000022"/>
    <n v="2.5999999999999912"/>
    <n v="3.0000000000000027"/>
    <n v="20483"/>
    <n v="51.135219450275841"/>
    <n v="5154.5153431815834"/>
    <n v="49.256746908397382"/>
    <n v="1883.364"/>
    <n v="49.126255062278936"/>
    <n v="97.641946980422787"/>
    <n v="20000"/>
    <n v="361.45379530553618"/>
    <n v="51.135219450275841"/>
    <n v="144.32642960908447"/>
    <n v="49.256746908397382"/>
    <n v="50.86040603200675"/>
    <n v="49.126255062278936"/>
    <n v="3133.3249999999998"/>
    <n v="15.2972"/>
    <n v="48.607246295867803"/>
    <n v="17349.674999999999"/>
    <n v="84.702799999999996"/>
    <n v="42.012049217060259"/>
    <n v="8.868051909249953"/>
    <n v="8.4354941689617036"/>
    <n v="7.8612979387780415"/>
    <n v="25.164845692435598"/>
    <n v="66.3505745343396"/>
    <n v="8.4845797732248194"/>
    <n v="97.2"/>
    <n v="97"/>
    <n v="97.4"/>
    <n v="96.5"/>
    <n v="97.6"/>
    <n v="2007"/>
    <n v="4.1100000000000003"/>
    <n v="2010"/>
    <n v="855.62899999999991"/>
    <n v="8.9"/>
    <n v="2010"/>
    <n v="1857.3410000000001"/>
    <n v="8.9"/>
    <n v="2010"/>
    <n v="91.181358337402301"/>
    <s v="tam"/>
    <n v="0"/>
    <s v="-"/>
    <s v="-"/>
    <s v="-"/>
    <s v="-"/>
    <s v="-"/>
    <s v="-"/>
    <s v="-"/>
    <s v="-"/>
    <s v="-"/>
    <m/>
    <m/>
    <m/>
    <m/>
    <m/>
    <m/>
    <m/>
    <m/>
    <m/>
    <m/>
    <m/>
    <m/>
    <m/>
    <m/>
    <m/>
    <m/>
    <m/>
    <m/>
    <m/>
    <m/>
    <m/>
    <m/>
    <m/>
    <m/>
    <m/>
    <m/>
    <m/>
    <m/>
    <m/>
    <m/>
    <m/>
    <m/>
    <m/>
    <m/>
    <m/>
    <m/>
    <m/>
    <n v="2"/>
    <s v="civil + common"/>
    <s v="PF"/>
    <n v="5"/>
    <n v="4"/>
    <s v="PF"/>
    <n v="58"/>
    <n v="15"/>
    <n v="20"/>
    <n v="23"/>
    <s v="NF"/>
    <n v="76"/>
    <n v="23"/>
    <n v="33"/>
    <n v="20"/>
    <n v="8"/>
    <n v="-0.61897647380828857"/>
    <n v="-0.60628557205200195"/>
    <n v="-0.23252308368682861"/>
    <n v="-0.16177132725715637"/>
    <n v="-0.27145808935165405"/>
    <n v="-0.22708702087402344"/>
    <n v="74"/>
    <n v="0.54176000000000002"/>
    <n v="0.64705000000000001"/>
    <n v="0.65354000000000001"/>
    <n v="0.23411999999999999"/>
    <n v="0.73760000000000003"/>
    <n v="116"/>
    <n v="3.36"/>
    <n v="3.85"/>
    <n v="1.1000000000000001"/>
    <n v="6.91"/>
    <s v="-"/>
    <s v="-"/>
    <s v="-"/>
    <s v="-"/>
    <s v="-"/>
    <s v="-"/>
    <s v="-"/>
    <s v="-"/>
    <s v="-"/>
    <s v="-"/>
    <s v="-"/>
    <s v="-"/>
    <s v="-"/>
    <s v="-"/>
    <s v="-"/>
    <s v="-"/>
    <s v="-"/>
    <s v="-"/>
    <s v="-"/>
    <m/>
    <m/>
    <m/>
    <m/>
    <m/>
    <s v="Blend"/>
    <s v=""/>
    <n v="0"/>
    <n v="15"/>
    <n v="60"/>
    <s v="B"/>
    <m/>
    <n v="4"/>
    <n v="0"/>
    <n v="0"/>
  </r>
  <r>
    <n v="167"/>
    <m/>
    <s v="Sudan"/>
    <x v="4"/>
    <x v="3"/>
    <s v="SDN"/>
    <s v="SD"/>
    <s v="http://www.cbs.gov.sd"/>
    <s v="Central Bureau of Statistics"/>
    <n v="6"/>
    <n v="1929"/>
    <n v="2"/>
    <s v="15-30 d"/>
    <s v="free"/>
    <s v="http://www.refworld.org/docid/52cea1d24.html "/>
    <s v="Ministry of Interior"/>
    <n v="2"/>
    <n v="1981"/>
    <s v="National ID Card"/>
    <x v="1"/>
    <n v="2"/>
    <n v="16"/>
    <s v="SDG 60"/>
    <n v="1"/>
    <n v="1"/>
    <m/>
    <n v="1"/>
    <n v="1"/>
    <m/>
    <s v="http://www.secureidnews.com/news-item/sudan-launching-national-biometric-registry "/>
    <n v="2011"/>
    <n v="2"/>
    <s v="2B"/>
    <s v="C, E, F, T"/>
    <n v="0"/>
    <n v="0"/>
    <n v="8000"/>
    <n v="9"/>
    <s v="http://www.worldbank.org/content/dam/Worldbank/Event/social-protection/Building_Robust_Identification_Systems_Session_Packet.pdf"/>
    <s v="-"/>
    <n v="0"/>
    <n v="0"/>
    <s v="http://passport.gov.sd/newpas.html"/>
    <s v="Passport Citizenship and Immigration Department"/>
    <n v="2"/>
    <n v="2"/>
    <n v="2009"/>
    <n v="5"/>
    <n v="200"/>
    <n v="0"/>
    <s v="http://www.tpsudan.gov.sd/index.php/ar/financial_guide/"/>
    <n v="2001"/>
    <n v="1"/>
    <n v="0"/>
    <s v="-"/>
    <s v="-"/>
    <n v="0"/>
    <s v="-"/>
    <n v="0"/>
    <s v="-"/>
    <n v="3"/>
    <n v="0"/>
    <n v="40234.881999999998"/>
    <n v="49.802216395216476"/>
    <n v="20197.019"/>
    <n v="20037.863000000001"/>
    <n v="5952.1689999999999"/>
    <n v="49.141649035838867"/>
    <n v="3027.1750000000002"/>
    <n v="2924.9940000000001"/>
    <n v="5409.518"/>
    <n v="49.231576639545331"/>
    <n v="2746.3270000000002"/>
    <n v="2663.1909999999998"/>
    <n v="4934.7529999999997"/>
    <n v="49.313957557754158"/>
    <n v="2501.2310000000002"/>
    <n v="2433.5219999999999"/>
    <n v="23938.441999999995"/>
    <n v="50.196065391390157"/>
    <n v="11922.286"/>
    <n v="12016.156000000003"/>
    <n v="2015"/>
    <s v="http://esa.un.org/unpd/wpp/Download/Standard/Population/"/>
    <n v="59.3"/>
    <n v="61.3"/>
    <n v="57.2"/>
    <n v="84.5"/>
    <n v="49.7"/>
    <n v="2010"/>
    <s v="SHHS-2"/>
    <n v="13126.989"/>
    <n v="32.625891633036233"/>
    <n v="6589.457532043737"/>
    <n v="6537.5314679562625"/>
    <n v="2015"/>
    <s v="http://www.electionguide.org/countries/id/202/"/>
    <n v="16"/>
    <n v="17"/>
    <s v="SD2015"/>
    <n v="13126.989"/>
    <n v="19667.400000000001"/>
    <n v="38435.252"/>
    <n v="1"/>
    <n v="4"/>
    <s v="LH"/>
    <x v="0"/>
    <n v="17444.104079999994"/>
    <n v="43.355673517322593"/>
    <n v="51.088408365216218"/>
    <n v="8535.1501389562636"/>
    <n v="8911.91512804374"/>
    <n v="42.259454917363122"/>
    <n v="44.475377080099506"/>
    <n v="10811.452999999996"/>
    <n v="50.674266743274401"/>
    <n v="5332.828467956263"/>
    <n v="5478.6245320437401"/>
    <n v="4210.118297"/>
    <n v="51.813108566436071"/>
    <n v="2030.8049460000002"/>
    <n v="2181.3931639999996"/>
    <n v="2422.5327830000001"/>
    <n v="51.677213236705242"/>
    <n v="1171.5167250000002"/>
    <n v="1251.897432"/>
    <n v="38.700000000000003"/>
    <n v="42.8"/>
    <n v="37964.305999999997"/>
    <n v="49.832303005881364"/>
    <n v="15635.118999999997"/>
    <n v="49.259438410451857"/>
    <n v="5722.4409999999998"/>
    <n v="49.228442179786093"/>
    <n v="73.894315990994215"/>
    <n v="16500"/>
    <n v="5829.1869999999981"/>
    <n v="49.832303005881364"/>
    <n v="6363.4934329999996"/>
    <n v="49.259438410451857"/>
    <n v="2334.0359832497202"/>
    <n v="49.228442179786093"/>
    <n v="12732.316999999999"/>
    <n v="33.537599999999998"/>
    <n v="49.832303005881364"/>
    <n v="25231.989000000001"/>
    <n v="66.462400000000002"/>
    <n v="49.832303005881364"/>
    <n v="15.105589301636932"/>
    <n v="13.735850018697038"/>
    <n v="12.342295211781538"/>
    <n v="41.183734532115501"/>
    <n v="55.575192129154203"/>
    <n v="3.2410733387303301"/>
    <n v="59.3"/>
    <n v="57.2"/>
    <n v="61.3"/>
    <n v="84.5"/>
    <n v="49.7"/>
    <n v="2010"/>
    <n v="19.8"/>
    <n v="2009"/>
    <n v="6795.0402300000005"/>
    <n v="46.5"/>
    <n v="2009"/>
    <n v="15958.049025"/>
    <n v="46.5"/>
    <n v="2009"/>
    <n v="61.345874786377003"/>
    <s v="ara"/>
    <n v="1"/>
    <n v="1"/>
    <s v="Yes"/>
    <s v="Completed"/>
    <s v="Plan"/>
    <s v="-"/>
    <s v="Health Minister"/>
    <n v="0.33"/>
    <s v="-"/>
    <s v="-"/>
    <m/>
    <m/>
    <m/>
    <m/>
    <m/>
    <m/>
    <m/>
    <m/>
    <m/>
    <m/>
    <m/>
    <m/>
    <m/>
    <m/>
    <m/>
    <m/>
    <m/>
    <m/>
    <m/>
    <m/>
    <m/>
    <m/>
    <m/>
    <n v="1"/>
    <s v="National ID"/>
    <m/>
    <m/>
    <m/>
    <m/>
    <m/>
    <m/>
    <m/>
    <m/>
    <m/>
    <m/>
    <m/>
    <m/>
    <n v="3"/>
    <s v="common + religious"/>
    <s v="NF"/>
    <n v="7"/>
    <n v="7"/>
    <s v="NF"/>
    <n v="65"/>
    <n v="18"/>
    <n v="19"/>
    <n v="28"/>
    <s v="NF"/>
    <n v="81"/>
    <n v="26"/>
    <n v="33"/>
    <n v="22"/>
    <n v="8"/>
    <n v="-1.7751208543777466"/>
    <n v="-2.2008566856384277"/>
    <n v="-1.5314011573791504"/>
    <n v="-1.4437365531921387"/>
    <n v="-1.2524936199188232"/>
    <n v="-1.4882465600967407"/>
    <n v="154"/>
    <n v="0.26062000000000002"/>
    <n v="0.27450000000000002"/>
    <n v="0.29132999999999998"/>
    <n v="0.18465999999999999"/>
    <n v="0.30590000000000001"/>
    <n v="122"/>
    <n v="2.88"/>
    <n v="3.46"/>
    <n v="1.65"/>
    <n v="4.18"/>
    <s v="The Copyright and Neighbouring Rights Protection Act"/>
    <s v="http://www.wipo.int/edocs/lexdocs/laws/en/sd/sd001en.pdf"/>
    <n v="1996"/>
    <s v="-"/>
    <s v="Both"/>
    <s v="Minister of Culture and Information"/>
    <s v="http://www.wipo.int/edocs/lexdocs/laws/en/sd/sd001en.pdf"/>
    <s v="-"/>
    <s v="-"/>
    <s v="-"/>
    <s v="-"/>
    <s v="-"/>
    <s v="-"/>
    <s v="-"/>
    <s v="-"/>
    <s v="-"/>
    <s v="-"/>
    <s v="-"/>
    <s v="-"/>
    <m/>
    <m/>
    <m/>
    <n v="1"/>
    <m/>
    <s v="IDA"/>
    <s v="HIPC"/>
    <n v="0"/>
    <n v="15"/>
    <n v="60"/>
    <s v="B"/>
    <n v="1"/>
    <n v="4"/>
    <n v="0"/>
    <n v="0"/>
  </r>
  <r>
    <n v="168"/>
    <m/>
    <s v="Suriname"/>
    <x v="5"/>
    <x v="1"/>
    <s v="SUR"/>
    <s v="SR"/>
    <s v="http://www.gov.sr/sr/ministerie-van-biza/diensten/cbb/diensten-en-producten.aspx"/>
    <s v="Oficina Central para Asuntos Cívicos/CBB (Central Bureau for Civic Affairs), Ministerio del Interior"/>
    <n v="2"/>
    <n v="1975"/>
    <n v="2"/>
    <s v="3-16 d"/>
    <s v="free"/>
    <s v="http://www.gov.sr/sr/ministerie-van-biza/diensten/cbb/diensten-en-producten.aspx "/>
    <s v="The Central Bureau of Civil Affairs (CBB)"/>
    <n v="2"/>
    <n v="1987"/>
    <s v="National registration card"/>
    <x v="1"/>
    <n v="2"/>
    <n v="16"/>
    <s v="free"/>
    <n v="0"/>
    <n v="0"/>
    <m/>
    <m/>
    <m/>
    <m/>
    <s v="-"/>
    <s v="-"/>
    <n v="0"/>
    <n v="1"/>
    <s v="-"/>
    <s v="-"/>
    <s v="-"/>
    <s v="-"/>
    <n v="0"/>
    <s v="-"/>
    <s v="-"/>
    <n v="0"/>
    <n v="0"/>
    <s v="http://www.gov.sr/media/779677/het_caricompaspoort.pdf"/>
    <s v="Ministry of Foreign Affairs"/>
    <n v="1"/>
    <n v="3"/>
    <n v="2005"/>
    <n v="5"/>
    <s v="-"/>
    <n v="0"/>
    <s v="http://www.surinamechamber.com/index.php/welcome/index/16"/>
    <n v="2001"/>
    <n v="1"/>
    <n v="0"/>
    <s v="-"/>
    <s v="-"/>
    <n v="0"/>
    <s v="-"/>
    <n v="0"/>
    <s v="-"/>
    <n v="3"/>
    <n v="0"/>
    <n v="542.97500000000002"/>
    <n v="49.898614116672043"/>
    <n v="272.03800000000001"/>
    <n v="270.93700000000001"/>
    <n v="48.185000000000002"/>
    <n v="48.268133236484381"/>
    <n v="24.927"/>
    <n v="23.257999999999999"/>
    <n v="48.576000000000001"/>
    <n v="48.248106060606062"/>
    <n v="25.138999999999999"/>
    <n v="23.437000000000001"/>
    <n v="48.658000000000001"/>
    <n v="49.533478564675896"/>
    <n v="24.556000000000001"/>
    <n v="24.102"/>
    <n v="397.55599999999998"/>
    <n v="50.342593244725279"/>
    <n v="197.416"/>
    <n v="200.14"/>
    <n v="2015"/>
    <s v="http://esa.un.org/unpd/wpp/Download/Standard/Population/"/>
    <n v="98.9"/>
    <n v="99.1"/>
    <n v="98.7"/>
    <n v="99.6"/>
    <n v="97.8"/>
    <n v="2010"/>
    <s v="MICS"/>
    <n v="356.22300000000001"/>
    <n v="65.605782955016352"/>
    <n v="178.47265983516735"/>
    <n v="177.75034016483266"/>
    <n v="2015"/>
    <s v="http://www.idea.int/vt/countryview.cfm?id=207"/>
    <n v="16"/>
    <n v="18"/>
    <s v="SR2015"/>
    <n v="356.22300000000001"/>
    <n v="397.91500000000002"/>
    <n v="579.63300000000004"/>
    <n v="1"/>
    <n v="4"/>
    <s v="CD"/>
    <x v="1"/>
    <n v="42.932608999999957"/>
    <n v="7.9069218656475817"/>
    <n v="54.294442797937926"/>
    <n v="19.614938164832651"/>
    <n v="23.310020835167325"/>
    <n v="7.2103669946230493"/>
    <n v="8.6034837748876392"/>
    <n v="41.33299999999997"/>
    <n v="54.168968705797639"/>
    <n v="18.943340164832648"/>
    <n v="22.389659835167322"/>
    <n v="1.06957399999999"/>
    <n v="57.780667817281127"/>
    <n v="0.4472550000000004"/>
    <n v="0.61800700000000064"/>
    <n v="0.53003499999999515"/>
    <n v="57.044157461300294"/>
    <n v="0.22434300000000021"/>
    <n v="0.30235400000000023"/>
    <n v="0.9000000000000008"/>
    <n v="1.3000000000000009"/>
    <n v="539.27599999999995"/>
    <n v="49.889110585303257"/>
    <n v="147.58899999999997"/>
    <n v="48.813439876292222"/>
    <n v="46.585000000000001"/>
    <n v="48.165303248265836"/>
    <n v="82.719109901528526"/>
    <n v="324"/>
    <n v="67.686999999999927"/>
    <n v="49.889110585303257"/>
    <n v="1.6234789999999848"/>
    <n v="48.813439876292222"/>
    <n v="0.51616393400250549"/>
    <n v="48.165303248265836"/>
    <n v="380.28100000000001"/>
    <n v="70.516999999999996"/>
    <n v="43.254330350451376"/>
    <n v="158.995"/>
    <n v="29.483000000000004"/>
    <n v="50.501588100254722"/>
    <n v="8.7012946988607336"/>
    <n v="9.064188966127336"/>
    <n v="9.6025060100577342"/>
    <n v="27.367989675045798"/>
    <n v="65.980499781188101"/>
    <n v="6.65151054376609"/>
    <n v="98.9"/>
    <n v="98.7"/>
    <n v="99.1"/>
    <n v="99.6"/>
    <n v="97.8"/>
    <n v="2010"/>
    <n v="47"/>
    <n v="2013"/>
    <n v="253.45971999999998"/>
    <n v="70"/>
    <n v="2002"/>
    <n v="377.4932"/>
    <n v="70"/>
    <n v="2002"/>
    <n v="94.675750732421903"/>
    <s v="dut"/>
    <n v="2"/>
    <s v="-"/>
    <s v="-"/>
    <s v="-"/>
    <s v="-"/>
    <s v="-"/>
    <s v="-"/>
    <s v="-"/>
    <s v="-"/>
    <s v="-"/>
    <m/>
    <m/>
    <m/>
    <m/>
    <m/>
    <m/>
    <n v="524300"/>
    <n v="2010"/>
    <n v="69"/>
    <n v="31"/>
    <n v="59.2"/>
    <s v="?"/>
    <n v="91"/>
    <s v="dut"/>
    <n v="3"/>
    <s v="?"/>
    <n v="4"/>
    <s v="-"/>
    <s v="-"/>
    <s v="-"/>
    <s v="-"/>
    <s v="-"/>
    <s v="http://www.statistics-suriname.org/index.php/en/Nieuws/Basic-Indicators.html"/>
    <m/>
    <m/>
    <m/>
    <m/>
    <m/>
    <m/>
    <m/>
    <m/>
    <m/>
    <m/>
    <m/>
    <m/>
    <m/>
    <m/>
    <n v="1"/>
    <s v="civil"/>
    <s v="F"/>
    <n v="2"/>
    <n v="2"/>
    <s v="-"/>
    <s v="-"/>
    <s v="-"/>
    <s v="-"/>
    <s v="-"/>
    <s v="F"/>
    <n v="28"/>
    <n v="8"/>
    <n v="13"/>
    <n v="7"/>
    <n v="5"/>
    <n v="0.30605778098106384"/>
    <n v="0.15845102071762085"/>
    <n v="4.9731885083019733E-3"/>
    <n v="-0.34177368879318237"/>
    <n v="-8.8782548904418945E-2"/>
    <n v="-0.38153088092803955"/>
    <n v="115"/>
    <n v="0.40445999999999999"/>
    <n v="0.13725000000000001"/>
    <n v="0.14172999999999999"/>
    <n v="0.39678000000000002"/>
    <n v="0.67490000000000006"/>
    <n v="98"/>
    <n v="4.26"/>
    <n v="5.38"/>
    <n v="2.06"/>
    <n v="6.4"/>
    <s v="Cybercrime, Data Protection, Information, and Internet"/>
    <s v="http://www.unesco.org/culture/natlaws/media/pdf/suriname/sur_archiveact_06_dutorof.pdf"/>
    <n v="2006"/>
    <s v="-"/>
    <s v="Both"/>
    <s v="Minister Responsible for the Care of the Archives"/>
    <s v="https://translate.googleusercontent.com/translate_f"/>
    <s v="-"/>
    <s v="-"/>
    <s v="-"/>
    <s v="-"/>
    <s v="-"/>
    <s v="-"/>
    <s v="-"/>
    <s v="-"/>
    <s v="-"/>
    <s v="-"/>
    <s v="-"/>
    <s v="-"/>
    <m/>
    <m/>
    <m/>
    <m/>
    <m/>
    <s v="IBRD"/>
    <s v=""/>
    <n v="0"/>
    <n v="11"/>
    <n v="44"/>
    <s v="C"/>
    <m/>
    <n v="4"/>
    <n v="0"/>
    <n v="0"/>
  </r>
  <r>
    <n v="169"/>
    <m/>
    <s v="Swaziland"/>
    <x v="4"/>
    <x v="3"/>
    <s v="SWZ"/>
    <s v="SZ"/>
    <s v="http://www.gov.sz/index.php?option=com_content&amp;view=article&amp;catid=81%3Ahome-affairs&amp;id=1368%3Acivil-registration&amp;Itemid=304"/>
    <s v="Births, Marriages &amp; Deaths (BMD) Registry, Min of Home Affairs (MOHA)"/>
    <n v="2"/>
    <n v="1927"/>
    <n v="2"/>
    <s v="60 d"/>
    <s v="free"/>
    <s v="http://www.gov.sz/index.php?option=com_content&amp;view=article&amp;id=311&amp;Itemid=441"/>
    <s v="Ministry of Home Affairs"/>
    <n v="2"/>
    <n v="1971"/>
    <s v="National ID Card"/>
    <x v="1"/>
    <n v="1"/>
    <s v="-"/>
    <s v="free"/>
    <n v="0"/>
    <n v="0"/>
    <m/>
    <m/>
    <m/>
    <m/>
    <s v="-"/>
    <s v="-"/>
    <n v="0"/>
    <n v="1"/>
    <s v="-"/>
    <s v="-"/>
    <s v="-"/>
    <s v="-"/>
    <n v="0"/>
    <s v="-"/>
    <s v="-"/>
    <n v="0"/>
    <n v="0"/>
    <s v="http://www.gov.sz/"/>
    <s v="Ministry of Home Affairs"/>
    <n v="1"/>
    <n v="2"/>
    <n v="2011"/>
    <n v="5"/>
    <s v="-"/>
    <n v="0"/>
    <s v="http://www.gov.sz/index.php?option=com_content&amp;id=377&amp;Itemid=141"/>
    <n v="1964"/>
    <n v="0"/>
    <n v="1"/>
    <s v="http://www.doingbusiness.org/data/exploreeconomies/swaziland/starting-a-business"/>
    <n v="2012"/>
    <n v="0"/>
    <s v="-"/>
    <n v="0"/>
    <s v="-"/>
    <n v="0"/>
    <n v="0"/>
    <n v="1286.97"/>
    <n v="50.547254403754557"/>
    <n v="636.44200000000001"/>
    <n v="650.52800000000002"/>
    <n v="173.392"/>
    <n v="49.611862138968348"/>
    <n v="87.369"/>
    <n v="86.022999999999996"/>
    <n v="159.70400000000001"/>
    <n v="49.680033061163151"/>
    <n v="80.363"/>
    <n v="79.340999999999994"/>
    <n v="147.65100000000001"/>
    <n v="49.696243168011044"/>
    <n v="74.274000000000001"/>
    <n v="73.376999999999995"/>
    <n v="806.22299999999996"/>
    <n v="51.076067043485487"/>
    <n v="394.43599999999998"/>
    <n v="411.78699999999998"/>
    <n v="2015"/>
    <s v="http://esa.un.org/unpd/wpp/Download/Standard/Population/"/>
    <n v="49.5"/>
    <n v="50.2"/>
    <n v="48.8"/>
    <n v="61.5"/>
    <n v="46.5"/>
    <n v="2010"/>
    <s v="MICS"/>
    <n v="415.012"/>
    <n v="32.247216329828973"/>
    <n v="205.23482855389011"/>
    <n v="209.77717144610986"/>
    <n v="2013"/>
    <s v="http://www.electionguide.org/countries/id/205/"/>
    <s v="-"/>
    <n v="18"/>
    <s v="SZ2013"/>
    <n v="415.012"/>
    <s v="-"/>
    <n v="1403.3620000000001"/>
    <n v="1"/>
    <n v="4"/>
    <s v="CD"/>
    <x v="0"/>
    <n v="633.98823499999992"/>
    <n v="49.262083420747949"/>
    <n v="51.143728330209491"/>
    <n v="309.7201594461099"/>
    <n v="324.24522055389008"/>
    <n v="48.664318106930388"/>
    <n v="49.843391914550963"/>
    <n v="391.21099999999996"/>
    <n v="51.637052269463311"/>
    <n v="189.20117144610987"/>
    <n v="202.00982855389012"/>
    <n v="155.21427499999999"/>
    <n v="50.376562336163985"/>
    <n v="77.009226000000012"/>
    <n v="78.191615999999996"/>
    <n v="87.562960000000004"/>
    <n v="50.299551317132263"/>
    <n v="43.509762000000002"/>
    <n v="44.043776000000001"/>
    <n v="49.8"/>
    <n v="51.2"/>
    <n v="1249.5139999999999"/>
    <n v="50.670740784016822"/>
    <n v="472.53500000000059"/>
    <n v="49.55950352883918"/>
    <n v="170.43299999999999"/>
    <n v="49.608183490225535"/>
    <n v="53.411996978039348"/>
    <n v="415"/>
    <n v="361.97899999999936"/>
    <n v="50.670740784016822"/>
    <n v="238.63017500000029"/>
    <n v="49.55950352883918"/>
    <n v="85.525354921249274"/>
    <n v="49.608183490225535"/>
    <n v="265.02699999999999"/>
    <n v="21.2104"/>
    <n v="50.600504854222393"/>
    <n v="984.48699999999997"/>
    <n v="78.789600000000007"/>
    <n v="45.389324592401934"/>
    <n v="13.553840809940453"/>
    <n v="12.413076335314194"/>
    <n v="11.850586300084901"/>
    <n v="37.817503445339597"/>
    <n v="58.692979830558102"/>
    <n v="3.4895167241023302"/>
    <n v="49.5"/>
    <n v="48.8"/>
    <n v="50.2"/>
    <n v="61.5"/>
    <n v="46.5"/>
    <n v="2010"/>
    <n v="40.630000000000003"/>
    <n v="2010"/>
    <n v="433.51583800000003"/>
    <n v="63"/>
    <n v="2009"/>
    <n v="672.69698999999991"/>
    <n v="69"/>
    <n v="2006"/>
    <n v="83.098289489746094"/>
    <s v="eng"/>
    <n v="1"/>
    <n v="1"/>
    <s v="-"/>
    <s v="Planned"/>
    <s v="Committee"/>
    <s v="-"/>
    <s v="CR Minister"/>
    <n v="0.3"/>
    <s v="-"/>
    <s v="-"/>
    <m/>
    <m/>
    <m/>
    <m/>
    <m/>
    <m/>
    <m/>
    <m/>
    <m/>
    <m/>
    <m/>
    <m/>
    <m/>
    <m/>
    <m/>
    <m/>
    <m/>
    <m/>
    <m/>
    <m/>
    <m/>
    <m/>
    <m/>
    <m/>
    <m/>
    <m/>
    <m/>
    <m/>
    <m/>
    <m/>
    <m/>
    <m/>
    <m/>
    <m/>
    <m/>
    <m/>
    <m/>
    <n v="1"/>
    <s v="civil + common"/>
    <s v="NF"/>
    <n v="7"/>
    <n v="5"/>
    <s v="-"/>
    <s v="-"/>
    <s v="-"/>
    <s v="-"/>
    <s v="-"/>
    <s v="NF"/>
    <n v="78"/>
    <n v="25"/>
    <n v="28"/>
    <n v="25"/>
    <n v="0"/>
    <n v="-1.1551570892333984"/>
    <n v="-0.43649071455001831"/>
    <n v="-0.44441738724708557"/>
    <n v="-0.36239925026893616"/>
    <n v="-0.42297843098640442"/>
    <n v="-0.33666700124740601"/>
    <n v="138"/>
    <n v="0.30558000000000002"/>
    <n v="0.15686"/>
    <n v="0.13385"/>
    <n v="0.16288"/>
    <n v="0.62"/>
    <n v="128"/>
    <n v="2.6"/>
    <n v="3.02"/>
    <n v="0.99"/>
    <n v="4.96"/>
    <s v="-"/>
    <s v="-"/>
    <s v="-"/>
    <s v="-"/>
    <s v="-"/>
    <s v="-"/>
    <s v="-"/>
    <s v="-"/>
    <s v="-"/>
    <s v="-"/>
    <s v="-"/>
    <s v="-"/>
    <s v="-"/>
    <s v="-"/>
    <s v="-"/>
    <s v="-"/>
    <s v="-"/>
    <s v="-"/>
    <s v="-"/>
    <m/>
    <m/>
    <m/>
    <m/>
    <m/>
    <s v="IBRD"/>
    <s v=""/>
    <n v="0"/>
    <n v="7"/>
    <n v="28.000000000000004"/>
    <s v="C"/>
    <n v="1"/>
    <n v="4"/>
    <n v="0"/>
    <n v="0"/>
  </r>
  <r>
    <n v="170"/>
    <m/>
    <s v="Sweden"/>
    <x v="3"/>
    <x v="2"/>
    <s v="SWE"/>
    <s v="SE"/>
    <s v="http://www.skatteverket.se/4.18e1b10334ebe8bc80001262.html"/>
    <s v="Swedish Tax Agency"/>
    <n v="6"/>
    <n v="1860"/>
    <n v="2"/>
    <s v="3 m"/>
    <s v="free"/>
    <s v="http://www.polisen.se/Service/Pass-och-id-kort/"/>
    <s v="Police"/>
    <n v="2"/>
    <n v="2005"/>
    <s v="National ID Card"/>
    <x v="1"/>
    <n v="1"/>
    <s v="-"/>
    <s v="SEK 400"/>
    <n v="1"/>
    <n v="0"/>
    <s v="http://en.wikipedia.org/wiki/Identity_documents_in_Sweden"/>
    <n v="1"/>
    <n v="1"/>
    <m/>
    <s v="http://web.archive.org/web/20070522114551/http://www.polisen.se/inter/nodeid=36624&amp;pageversion=1.jsp"/>
    <n v="2005"/>
    <n v="2"/>
    <n v="4"/>
    <s v="C, F, R, T"/>
    <n v="0"/>
    <n v="0"/>
    <s v="-"/>
    <n v="1"/>
    <s v="http://www.gemalto.com/govt/customer-cases/sweden"/>
    <n v="3"/>
    <n v="1"/>
    <n v="1"/>
    <s v="https://polisen.se/en/Languages/Service/Passport-and-national-ID-card/"/>
    <s v="Ministry of Interior"/>
    <n v="2"/>
    <n v="2"/>
    <n v="2005"/>
    <n v="5"/>
    <n v="5100"/>
    <n v="1"/>
    <s v="http://www.bolagsverket.se"/>
    <n v="1995"/>
    <n v="1"/>
    <n v="2"/>
    <s v="http://www.bolagsverket.se/mg/blivande/starta/organisationsnummer-1.7902"/>
    <n v="1975"/>
    <n v="2"/>
    <s v="C, F, P, R, O"/>
    <n v="1"/>
    <s v="https://www.verksamt.se/"/>
    <n v="3"/>
    <n v="1"/>
    <n v="9779.4259999999995"/>
    <n v="50.029613189976594"/>
    <n v="4886.817"/>
    <n v="4892.6090000000004"/>
    <n v="590.06100000000004"/>
    <n v="48.638191644592673"/>
    <n v="303.06599999999997"/>
    <n v="286.995"/>
    <n v="581.03300000000002"/>
    <n v="48.577447408322762"/>
    <n v="298.78199999999998"/>
    <n v="282.25099999999998"/>
    <n v="519.26800000000003"/>
    <n v="48.672939599590187"/>
    <n v="266.52499999999998"/>
    <n v="252.74299999999999"/>
    <n v="8089.0640000000003"/>
    <n v="50.322509501717384"/>
    <n v="4018.444"/>
    <n v="4070.6200000000003"/>
    <n v="2015"/>
    <s v="http://esa.un.org/unpd/wpp/Download/Standard/Population/"/>
    <n v="100"/>
    <n v="100"/>
    <n v="100"/>
    <s v="–"/>
    <s v="–"/>
    <n v="2011"/>
    <s v="UNSD d"/>
    <n v="7330.4319999999998"/>
    <n v="74.957691790908797"/>
    <n v="3663.0452252457349"/>
    <n v="3667.3867747542654"/>
    <n v="2014"/>
    <s v="http://www.idea.int/vt/countryview.cfm?id=197"/>
    <s v="-"/>
    <n v="18"/>
    <s v="SE2014"/>
    <n v="7330.4319999999998"/>
    <n v="7614.0290000000005"/>
    <n v="9723.8089999999993"/>
    <n v="1"/>
    <n v="4"/>
    <s v="CD"/>
    <x v="2"/>
    <n v="758.63200000000052"/>
    <n v="7.7574287079834798"/>
    <n v="53.152678142463628"/>
    <n v="355.39877475426511"/>
    <n v="403.23322524573496"/>
    <n v="7.2726024885782534"/>
    <n v="8.2416809772809341"/>
    <n v="758.63200000000052"/>
    <n v="53.152678142463628"/>
    <n v="355.39877475426511"/>
    <n v="403.23322524573496"/>
    <n v="0"/>
    <n v="0"/>
    <n v="0"/>
    <n v="0"/>
    <n v="0"/>
    <n v="0"/>
    <n v="0"/>
    <n v="0"/>
    <n v="0"/>
    <n v="0"/>
    <n v="9592.5519999999997"/>
    <n v="50.159999132660424"/>
    <n v="1622.5216291627814"/>
    <n v="48.678347702270301"/>
    <n v="571.15200000000004"/>
    <n v="48.640687937760397"/>
    <n v="91.969536613321765"/>
    <n v="7330"/>
    <n v="640.03037083721824"/>
    <n v="50.159999132660424"/>
    <n v="0"/>
    <n v="48.678347702270301"/>
    <n v="0"/>
    <n v="48.640687937760397"/>
    <n v="8202.15"/>
    <n v="85.505399999999995"/>
    <n v="50.159999132660424"/>
    <n v="1390.402"/>
    <n v="14.494600000000005"/>
    <n v="50.159999132660424"/>
    <n v="5.9960461801364513"/>
    <n v="5.7212399354369552"/>
    <n v="5.1971074681152718"/>
    <n v="16.914389717801701"/>
    <n v="63.7590852884803"/>
    <n v="19.326524993718099"/>
    <n v="100"/>
    <n v="100"/>
    <n v="100"/>
    <n v="100"/>
    <n v="100"/>
    <n v="2011"/>
    <s v="-"/>
    <s v="-"/>
    <m/>
    <s v="-"/>
    <s v="-"/>
    <m/>
    <s v="-"/>
    <s v="-"/>
    <s v="-"/>
    <s v="swe"/>
    <n v="0"/>
    <s v="-"/>
    <s v="-"/>
    <s v="-"/>
    <s v="-"/>
    <s v="-"/>
    <s v="-"/>
    <s v="-"/>
    <s v="-"/>
    <s v="-"/>
    <m/>
    <m/>
    <m/>
    <m/>
    <m/>
    <m/>
    <m/>
    <m/>
    <m/>
    <m/>
    <m/>
    <m/>
    <m/>
    <m/>
    <m/>
    <m/>
    <m/>
    <m/>
    <m/>
    <m/>
    <m/>
    <m/>
    <m/>
    <m/>
    <m/>
    <m/>
    <m/>
    <m/>
    <m/>
    <m/>
    <m/>
    <m/>
    <m/>
    <m/>
    <m/>
    <m/>
    <m/>
    <n v="1"/>
    <s v="civil"/>
    <s v="F"/>
    <n v="1"/>
    <n v="1"/>
    <s v="-"/>
    <s v="-"/>
    <s v="-"/>
    <s v="-"/>
    <s v="-"/>
    <s v="F"/>
    <n v="10"/>
    <n v="2"/>
    <n v="4"/>
    <n v="4"/>
    <n v="10"/>
    <n v="1.6728148460388184"/>
    <n v="1.1269506216049194"/>
    <n v="1.8903958797454834"/>
    <n v="1.8901981115341187"/>
    <n v="1.9540903568267822"/>
    <n v="2.2857012748718262"/>
    <n v="14"/>
    <n v="0.82250000000000001"/>
    <n v="0.60784000000000005"/>
    <n v="0.70077999999999996"/>
    <n v="0.88656000000000001"/>
    <n v="0.88019999999999998"/>
    <n v="3"/>
    <n v="8.67"/>
    <n v="8.93"/>
    <n v="8.2899999999999991"/>
    <n v="8.9"/>
    <s v="Personal Data Act"/>
    <s v="http://www.legislationline.org/topics/country/1/topic/3"/>
    <n v="1973"/>
    <n v="1998"/>
    <s v="Both"/>
    <s v="Data Inspection Board"/>
    <s v="http://www.datainspektionen.se/in-english/"/>
    <s v="ICDPPC; EDPA; A29WP, NDPA"/>
    <n v="40"/>
    <n v="92"/>
    <n v="1766"/>
    <s v="http://www.rti-rating.org/files/pdf/Sweden.pdf"/>
    <n v="5"/>
    <n v="27"/>
    <n v="18"/>
    <n v="17"/>
    <n v="14"/>
    <n v="3"/>
    <n v="8"/>
    <s v="EU"/>
    <s v="OECD"/>
    <m/>
    <m/>
    <m/>
    <s v=".."/>
    <s v=""/>
    <n v="0"/>
    <n v="22"/>
    <n v="88"/>
    <s v="A"/>
    <m/>
    <n v="4"/>
    <n v="0"/>
    <n v="0"/>
  </r>
  <r>
    <n v="171"/>
    <m/>
    <s v="Switzerland"/>
    <x v="3"/>
    <x v="2"/>
    <s v="CHE"/>
    <s v="CH"/>
    <s v="https://www.ch.ch/en/register-birth/"/>
    <s v="Registry Office (communal / cantonal / federal)"/>
    <n v="5"/>
    <n v="1798"/>
    <n v="2"/>
    <s v="3 d"/>
    <s v="free"/>
    <s v="http://www.schweizerpass.admin.ch/pass/de/home.html "/>
    <s v="Canton / Municipality"/>
    <n v="5"/>
    <n v="1955"/>
    <s v="Swiss identity card"/>
    <x v="1"/>
    <n v="1"/>
    <s v="-"/>
    <s v="various"/>
    <n v="1"/>
    <n v="0"/>
    <s v="http://en.wikipedia.org/wiki/Swiss_identity_card"/>
    <n v="1"/>
    <n v="1"/>
    <m/>
    <s v="www.suisseid.ch"/>
    <n v="2011"/>
    <n v="2"/>
    <n v="3"/>
    <s v="C, F, O"/>
    <n v="1"/>
    <n v="1"/>
    <s v="-"/>
    <n v="5"/>
    <s v="http://www.trueb.ee/services-and-products/documents/id-cards"/>
    <s v="-"/>
    <n v="0"/>
    <n v="0"/>
    <s v="http://www.schweizerpass.admin.ch/pass/de/home.html"/>
    <s v="Passport Office"/>
    <n v="2"/>
    <n v="5"/>
    <n v="2006"/>
    <n v="10"/>
    <n v="3500"/>
    <n v="1"/>
    <s v="http://www.zefix.admin.ch"/>
    <n v="1911"/>
    <n v="1"/>
    <n v="2"/>
    <s v="http://www.bfs.admin.ch/bfs/portal/en/index/themen/00/05.html"/>
    <n v="2011"/>
    <n v="1"/>
    <s v="C"/>
    <n v="0"/>
    <s v="-"/>
    <n v="3"/>
    <n v="1"/>
    <n v="8298.6630000000005"/>
    <n v="50.481601674872202"/>
    <n v="4109.3649999999998"/>
    <n v="4189.2979999999998"/>
    <n v="423.17500000000001"/>
    <n v="48.60235127311396"/>
    <n v="217.50200000000001"/>
    <n v="205.673"/>
    <n v="405.36599999999999"/>
    <n v="48.690566056354015"/>
    <n v="207.99100000000001"/>
    <n v="197.375"/>
    <n v="397.61599999999999"/>
    <n v="48.698493018389605"/>
    <n v="203.983"/>
    <n v="193.63300000000001"/>
    <n v="7072.5060000000003"/>
    <n v="50.796945241191736"/>
    <n v="3479.8889999999997"/>
    <n v="3592.6170000000002"/>
    <n v="2015"/>
    <s v="http://esa.un.org/unpd/wpp/Download/Standard/Population/"/>
    <n v="100"/>
    <n v="100"/>
    <n v="100"/>
    <s v="–"/>
    <s v="–"/>
    <n v="2011"/>
    <s v="UNSD "/>
    <n v="5295.5060000000003"/>
    <n v="63.8115561506715"/>
    <n v="2622.2497544110424"/>
    <n v="2673.2562455889583"/>
    <n v="2015"/>
    <s v="http://www.idea.int/vt/countryview.cfm?id=42"/>
    <s v="-"/>
    <n v="18"/>
    <s v="CH2015"/>
    <n v="5295.5060000000003"/>
    <n v="6634.5050000000001"/>
    <n v="8121.83"/>
    <n v="1"/>
    <n v="4"/>
    <s v="CD"/>
    <x v="2"/>
    <n v="1777"/>
    <n v="21.413087867286574"/>
    <n v="51.736677231910065"/>
    <n v="857.63924558895724"/>
    <n v="919.36075441104185"/>
    <n v="20.870359425092619"/>
    <n v="21.945460896098627"/>
    <n v="1777"/>
    <n v="51.736677231910065"/>
    <n v="857.63924558895724"/>
    <n v="919.36075441104185"/>
    <n v="0"/>
    <n v="0"/>
    <n v="0"/>
    <n v="0"/>
    <n v="0"/>
    <n v="0"/>
    <n v="0"/>
    <n v="0"/>
    <n v="0"/>
    <n v="0"/>
    <n v="8081.482"/>
    <n v="50.693932127795371"/>
    <n v="1193.9711091110671"/>
    <n v="48.271043322534389"/>
    <n v="405.822"/>
    <n v="48.499456783109956"/>
    <n v="74.337450511663576"/>
    <n v="5120"/>
    <n v="1767.5108908889335"/>
    <n v="50.693932127795371"/>
    <n v="0"/>
    <n v="48.271043322534389"/>
    <n v="0"/>
    <n v="48.499456783109956"/>
    <n v="5968.4489999999996"/>
    <n v="73.853399999999993"/>
    <n v="50.447159722735336"/>
    <n v="2113.0329999999999"/>
    <n v="26.146600000000007"/>
    <n v="71.717621068861675"/>
    <n v="4.9920553560995362"/>
    <n v="4.7611147624896519"/>
    <n v="5.020988878485853"/>
    <n v="14.7741603472119"/>
    <n v="67.519754369767199"/>
    <n v="17.706085283020801"/>
    <n v="100"/>
    <n v="100"/>
    <n v="100"/>
    <n v="100"/>
    <n v="100"/>
    <n v="2011"/>
    <s v="-"/>
    <s v="-"/>
    <m/>
    <s v="-"/>
    <s v="-"/>
    <m/>
    <n v="7.6"/>
    <n v="2011"/>
    <s v="-"/>
    <s v="ger"/>
    <n v="0"/>
    <s v="-"/>
    <s v="-"/>
    <s v="-"/>
    <s v="-"/>
    <s v="-"/>
    <s v="-"/>
    <s v="-"/>
    <s v="-"/>
    <s v="-"/>
    <m/>
    <m/>
    <m/>
    <m/>
    <m/>
    <m/>
    <m/>
    <m/>
    <m/>
    <m/>
    <m/>
    <m/>
    <m/>
    <m/>
    <m/>
    <m/>
    <m/>
    <m/>
    <m/>
    <m/>
    <m/>
    <m/>
    <m/>
    <m/>
    <m/>
    <m/>
    <m/>
    <m/>
    <m/>
    <m/>
    <m/>
    <m/>
    <m/>
    <m/>
    <m/>
    <m/>
    <m/>
    <n v="1"/>
    <s v="civil"/>
    <s v="F"/>
    <n v="1"/>
    <n v="1"/>
    <s v="-"/>
    <s v="-"/>
    <s v="-"/>
    <s v="-"/>
    <s v="-"/>
    <s v="F"/>
    <n v="12"/>
    <n v="4"/>
    <n v="3"/>
    <n v="5"/>
    <n v="10"/>
    <n v="1.6496073007583618"/>
    <n v="1.372633695602417"/>
    <n v="1.8060568571090698"/>
    <n v="1.633915901184082"/>
    <n v="1.7905142307281494"/>
    <n v="2.1307199001312256"/>
    <n v="30"/>
    <n v="0.72670000000000001"/>
    <n v="0.37253999999999998"/>
    <n v="0.50392999999999999"/>
    <n v="0.81991999999999998"/>
    <n v="0.85619999999999996"/>
    <n v="13"/>
    <n v="8.11"/>
    <n v="9.36"/>
    <n v="6.75"/>
    <n v="8.34"/>
    <s v="Data Protection Act"/>
    <s v="http://www.admin.ch/ch/e/rs/2/235.11.en.pdf"/>
    <n v="1992"/>
    <n v="2010"/>
    <s v="Both"/>
    <s v="Federal Data Protection Commission"/>
    <s v="http://www.edoeb.admin.ch/index.html?lang=en"/>
    <s v="ICDPPC; EDPA; GPEN; AFAPDP"/>
    <n v="60"/>
    <n v="77"/>
    <n v="2004"/>
    <s v="http://www.rti-rating.org/files/pdf/Switzerland.pdf"/>
    <n v="3"/>
    <n v="19"/>
    <n v="18"/>
    <n v="13"/>
    <n v="14"/>
    <n v="0"/>
    <n v="10"/>
    <s v="EUR"/>
    <s v="OECD"/>
    <m/>
    <m/>
    <m/>
    <s v=".."/>
    <s v=""/>
    <n v="0"/>
    <n v="19"/>
    <n v="76"/>
    <s v="A"/>
    <m/>
    <n v="4"/>
    <n v="0"/>
    <n v="0"/>
  </r>
  <r>
    <n v="172"/>
    <m/>
    <s v="Syrian Arab Republic"/>
    <x v="2"/>
    <x v="3"/>
    <s v="SYR"/>
    <s v="SY"/>
    <s v="http://www.syriamoi.gov.sy/"/>
    <s v="Civil Registration Office, Min of  Interior "/>
    <n v="2"/>
    <n v="1973"/>
    <n v="2"/>
    <s v="30-60 d"/>
    <s v="free"/>
    <s v="http://www.refworld.org/docid/469cd6993b3.html "/>
    <s v="Local Administrations (town or village municipality)"/>
    <n v="6"/>
    <n v="1984"/>
    <s v="National ID Card"/>
    <x v="1"/>
    <n v="1"/>
    <n v="16"/>
    <s v="free"/>
    <n v="1"/>
    <n v="1"/>
    <m/>
    <m/>
    <m/>
    <m/>
    <s v="-"/>
    <s v="-"/>
    <n v="0"/>
    <n v="1"/>
    <s v="-"/>
    <s v="-"/>
    <s v="-"/>
    <s v="-"/>
    <n v="0"/>
    <s v="-"/>
    <s v="-"/>
    <n v="1"/>
    <n v="1"/>
    <s v="http://www.syrianembassy.us/#Sy"/>
    <s v="Police"/>
    <n v="0"/>
    <n v="2"/>
    <n v="2004"/>
    <n v="5"/>
    <s v="-"/>
    <n v="0"/>
    <s v="http://www.egov.sy"/>
    <n v="2011"/>
    <n v="1"/>
    <n v="1"/>
    <s v="http://www.egov.sy/law/ar"/>
    <n v="2006"/>
    <n v="0"/>
    <s v="-"/>
    <n v="0"/>
    <s v="-"/>
    <n v="0"/>
    <n v="0"/>
    <n v="18502.413"/>
    <n v="49.376824525536215"/>
    <n v="9366.509"/>
    <n v="9135.9040000000005"/>
    <n v="2191.6039999999998"/>
    <n v="48.730746978012448"/>
    <n v="1123.6189999999999"/>
    <n v="1067.9849999999999"/>
    <n v="2342.0390000000002"/>
    <n v="48.792099533782313"/>
    <n v="1199.309"/>
    <n v="1142.73"/>
    <n v="2334.9549999999999"/>
    <n v="48.76505114659598"/>
    <n v="1196.3130000000001"/>
    <n v="1138.6420000000001"/>
    <n v="11633.815000000001"/>
    <n v="49.739032295081195"/>
    <n v="5847.2679999999991"/>
    <n v="5786.5470000000005"/>
    <n v="2015"/>
    <s v="http://esa.un.org/unpd/wpp/Download/Standard/Population/"/>
    <n v="96"/>
    <n v="96.3"/>
    <n v="95.8"/>
    <n v="96.6"/>
    <n v="95.4"/>
    <n v="2006"/>
    <s v="MICS"/>
    <n v="10366.191000000001"/>
    <n v="56.026157236896609"/>
    <n v="5247.6950599480715"/>
    <n v="5118.4959400519283"/>
    <n v="2014"/>
    <s v="http://www.idea.int/vt/countryview.cfm?id=210"/>
    <n v="16"/>
    <n v="18"/>
    <s v="SY2014"/>
    <n v="15845.575000000001"/>
    <n v="10366.191000000001"/>
    <n v="17951.638999999999"/>
    <n v="1"/>
    <n v="4"/>
    <s v="CD"/>
    <x v="1"/>
    <n v="1542.3679199999999"/>
    <n v="8.3360366023610002"/>
    <n v="52.433926008268649"/>
    <n v="729.78485705192782"/>
    <n v="808.7240539480722"/>
    <n v="7.7914285573411375"/>
    <n v="8.8521514011976503"/>
    <n v="1267.6239999999998"/>
    <n v="52.701042260802275"/>
    <n v="599.57294005192762"/>
    <n v="668.05105994807218"/>
    <n v="187.07976000000016"/>
    <n v="51.217525615812207"/>
    <n v="88.638014000000084"/>
    <n v="95.81762400000008"/>
    <n v="87.664160000000066"/>
    <n v="51.167284326913077"/>
    <n v="41.573903000000037"/>
    <n v="44.855370000000036"/>
    <n v="3.7000000000000033"/>
    <n v="4.2000000000000037"/>
    <n v="22845.55"/>
    <n v="49.060044516328126"/>
    <n v="8016.7042146836548"/>
    <n v="49.015258373943468"/>
    <n v="2588.06"/>
    <n v="48.884132208497832"/>
    <n v="34.972377992731055"/>
    <n v="5186"/>
    <n v="9642.8457853163454"/>
    <n v="49.060044516328126"/>
    <n v="320.66816858734649"/>
    <n v="49.015258373943468"/>
    <n v="108.41739286119652"/>
    <n v="48.884132208497832"/>
    <n v="12989.933999999999"/>
    <n v="56.8598"/>
    <n v="42.355873401666244"/>
    <n v="9855.616"/>
    <n v="43.1402"/>
    <n v="48.987298206423631"/>
    <n v="11.86416970276448"/>
    <n v="11.797382964582912"/>
    <n v="11.429324987163005"/>
    <n v="35.090878594228002"/>
    <n v="60.846359867204697"/>
    <n v="4.06276153856727"/>
    <n v="96"/>
    <n v="95.8"/>
    <n v="96.3"/>
    <n v="96.6"/>
    <n v="95.4"/>
    <n v="2006"/>
    <n v="1.71"/>
    <n v="2004"/>
    <n v="390.658905"/>
    <s v="-"/>
    <s v="-"/>
    <m/>
    <n v="11.9"/>
    <n v="2006"/>
    <n v="85.08056640625"/>
    <s v="ara"/>
    <n v="0"/>
    <s v="-"/>
    <s v="-"/>
    <s v="-"/>
    <s v="-"/>
    <s v="-"/>
    <s v="-"/>
    <s v="-"/>
    <s v="-"/>
    <s v="-"/>
    <m/>
    <m/>
    <m/>
    <m/>
    <m/>
    <m/>
    <m/>
    <m/>
    <m/>
    <m/>
    <m/>
    <m/>
    <m/>
    <m/>
    <m/>
    <m/>
    <m/>
    <m/>
    <m/>
    <m/>
    <m/>
    <m/>
    <m/>
    <m/>
    <m/>
    <m/>
    <m/>
    <m/>
    <m/>
    <m/>
    <m/>
    <m/>
    <m/>
    <m/>
    <m/>
    <m/>
    <m/>
    <n v="3"/>
    <s v="civil + religious"/>
    <s v="NF"/>
    <n v="7"/>
    <n v="7"/>
    <s v="NF"/>
    <n v="88"/>
    <n v="25"/>
    <n v="26"/>
    <n v="37"/>
    <s v="NF"/>
    <n v="89"/>
    <n v="29"/>
    <n v="38"/>
    <n v="22"/>
    <n v="7"/>
    <n v="-1.7730302810668945"/>
    <n v="-2.6848721504211426"/>
    <n v="-1.3400363922119141"/>
    <n v="-1.6055283546447754"/>
    <n v="-1.4766747951507568"/>
    <n v="-1.2392866611480713"/>
    <n v="135"/>
    <n v="0.31341000000000002"/>
    <n v="9.8030000000000006E-2"/>
    <n v="0.15748000000000001"/>
    <n v="0.19924"/>
    <n v="0.58350000000000002"/>
    <n v="112"/>
    <n v="3.46"/>
    <n v="4.5"/>
    <n v="1.07"/>
    <n v="6.17"/>
    <s v="-"/>
    <s v="-"/>
    <s v="-"/>
    <s v="-"/>
    <s v="-"/>
    <m/>
    <m/>
    <s v="-"/>
    <s v="-"/>
    <s v="-"/>
    <s v="-"/>
    <s v="-"/>
    <s v="-"/>
    <s v="-"/>
    <s v="-"/>
    <s v="-"/>
    <s v="-"/>
    <s v="-"/>
    <s v="-"/>
    <m/>
    <m/>
    <m/>
    <n v="1"/>
    <n v="24.9"/>
    <s v="IBRD"/>
    <s v=""/>
    <n v="0"/>
    <n v="7"/>
    <n v="28.000000000000004"/>
    <s v="C"/>
    <m/>
    <n v="4"/>
    <n v="0"/>
    <n v="0"/>
  </r>
  <r>
    <n v="173"/>
    <m/>
    <s v="Chinese Taipei"/>
    <x v="6"/>
    <x v="2"/>
    <s v="TWN"/>
    <s v="TW"/>
    <s v="https://www.e-services.taipei.gov.tw/hypage.cgi?HYPAGE=form.htm&amp;s_uid=160011"/>
    <s v="Hospitals"/>
    <n v="3"/>
    <n v="1931"/>
    <n v="2"/>
    <s v="30 d"/>
    <s v="NT$20"/>
    <s v="http://www.ris.gov.tw"/>
    <s v="Department of Household Registration"/>
    <n v="2"/>
    <n v="1947"/>
    <s v="National ID Card"/>
    <x v="1"/>
    <n v="2"/>
    <n v="14"/>
    <s v="NT$50"/>
    <n v="1"/>
    <n v="1"/>
    <s v="http://en.wikipedia.org/wiki/National_Identification_Card_(Republic_of_China)"/>
    <m/>
    <n v="1"/>
    <m/>
    <s v="-"/>
    <s v="-"/>
    <n v="0"/>
    <n v="1"/>
    <s v="-"/>
    <s v="-"/>
    <s v="-"/>
    <s v="-"/>
    <n v="0"/>
    <s v="-"/>
    <s v="-"/>
    <n v="0"/>
    <n v="0"/>
    <s v="http://www.boca.gov.tw/ct.asp?xItem=1298&amp;CtNode=763&amp;mp=2"/>
    <s v="Ministry of Foreign Affairs"/>
    <n v="2"/>
    <n v="3"/>
    <n v="2008"/>
    <n v="10"/>
    <n v="4000"/>
    <n v="0"/>
    <s v="https://gcis.nat.gov.tw/pub/cmpy/cmpyInfoListAction.do"/>
    <n v="1947"/>
    <n v="1"/>
    <n v="2"/>
    <s v="http://zh.wikipedia.org/wiki/%E7%B5%B1%E4%B8%80%E7%99%BC%E7%A5%A8_(%E8%87%BA%E7%81%A3)"/>
    <n v="1950"/>
    <n v="1"/>
    <s v="C"/>
    <n v="0"/>
    <s v="-"/>
    <n v="2"/>
    <n v="1"/>
    <n v="23359.928"/>
    <n v="50.152838656009557"/>
    <n v="11644.261"/>
    <n v="11715.666999999999"/>
    <n v="952"/>
    <n v="48.424369747899156"/>
    <n v="491"/>
    <n v="461"/>
    <n v="1013"/>
    <n v="48.568608094768017"/>
    <n v="521"/>
    <n v="492"/>
    <n v="1292"/>
    <n v="48.065015479876159"/>
    <n v="671"/>
    <n v="621"/>
    <n v="20102.928"/>
    <n v="50.448705780570869"/>
    <n v="9961.2610000000004"/>
    <n v="10141.666999999999"/>
    <n v="2014"/>
    <s v="http://www.indexmundi.com/taiwan/population.html"/>
    <n v="95"/>
    <n v="95"/>
    <n v="95"/>
    <m/>
    <m/>
    <n v="2014"/>
    <s v="http://eng.stat.gov.tw/lp.asp?ctNode=2265&amp;CtUnit=1072&amp;BaseDSD=36&amp;mp=5"/>
    <n v="18782.991000000002"/>
    <n v="80.406887384241941"/>
    <n v="9362.787828997205"/>
    <n v="9420.2031710027968"/>
    <n v="2016"/>
    <s v="http://www.electionguide.org/countries/id/209/"/>
    <n v="14"/>
    <n v="20"/>
    <s v="TW2012"/>
    <n v="18086.455000000002"/>
    <n v="18115.246999999999"/>
    <n v="23230.506000000001"/>
    <n v="1"/>
    <n v="4"/>
    <s v="CD"/>
    <x v="1"/>
    <n v="1482.7869999999982"/>
    <n v="6.3475666534588555"/>
    <n v="53.963504468086363"/>
    <n v="682.62317100279552"/>
    <n v="800.16382899720281"/>
    <n v="5.8623142422073453"/>
    <n v="6.8298614922838192"/>
    <n v="1319.9369999999981"/>
    <n v="54.658959404668842"/>
    <n v="598.47317100279543"/>
    <n v="721.46382899720265"/>
    <n v="115.2500000000001"/>
    <n v="48.286334056399134"/>
    <n v="59.600000000000051"/>
    <n v="55.650000000000048"/>
    <n v="47.600000000000044"/>
    <n v="48.424369747899156"/>
    <n v="24.550000000000022"/>
    <n v="23.050000000000022"/>
    <n v="5.0000000000000044"/>
    <n v="5.0000000000000044"/>
    <n v="23340"/>
    <n v="49.978577549271634"/>
    <n v="3274.6020000000003"/>
    <n v="48.549618320610691"/>
    <n v="986.95100000000002"/>
    <n v="48.936170212765958"/>
    <n v="99"/>
    <n v="19864.744019999998"/>
    <n v="200.65398000000019"/>
    <n v="49.978577549271634"/>
    <n v="327.46019999999999"/>
    <n v="48.549618320610691"/>
    <n v="93.990179999999995"/>
    <n v="48.936170212765958"/>
    <s v="-"/>
    <s v="-"/>
    <s v="-"/>
    <s v="-"/>
    <s v="-"/>
    <s v="-"/>
    <n v="4.0270000000000001"/>
    <n v="4.4550000000000001"/>
    <n v="5.548"/>
    <n v="14.03"/>
    <n v="73.97"/>
    <n v="12"/>
    <n v="90"/>
    <n v="90"/>
    <n v="90"/>
    <n v="90"/>
    <n v="90"/>
    <n v="2013"/>
    <s v="-"/>
    <s v="-"/>
    <m/>
    <s v="-"/>
    <s v="-"/>
    <m/>
    <n v="1.5"/>
    <n v="2012"/>
    <s v="-"/>
    <s v="chi"/>
    <n v="0"/>
    <s v="-"/>
    <s v="-"/>
    <s v="-"/>
    <s v="-"/>
    <s v="-"/>
    <s v="-"/>
    <s v="-"/>
    <s v="-"/>
    <s v="-"/>
    <m/>
    <m/>
    <m/>
    <m/>
    <m/>
    <m/>
    <m/>
    <m/>
    <m/>
    <m/>
    <m/>
    <m/>
    <m/>
    <m/>
    <m/>
    <m/>
    <m/>
    <m/>
    <m/>
    <m/>
    <m/>
    <m/>
    <m/>
    <m/>
    <m/>
    <m/>
    <m/>
    <m/>
    <m/>
    <m/>
    <m/>
    <m/>
    <m/>
    <m/>
    <m/>
    <m/>
    <m/>
    <n v="1"/>
    <s v="civil"/>
    <s v="F"/>
    <n v="1"/>
    <n v="2"/>
    <s v="-"/>
    <s v="-"/>
    <s v="-"/>
    <s v="-"/>
    <s v="-"/>
    <s v="F"/>
    <n v="26"/>
    <s v="-"/>
    <s v="-"/>
    <s v="-"/>
    <n v="10"/>
    <n v="0.88205534219741821"/>
    <n v="0.86388117074966431"/>
    <n v="1.1923700571060181"/>
    <n v="1.1393070220947266"/>
    <n v="1.044350266456604"/>
    <n v="0.67925041913986206"/>
    <s v="-"/>
    <s v="-"/>
    <s v="-"/>
    <s v="-"/>
    <s v="-"/>
    <s v="-"/>
    <s v="-"/>
    <s v="-"/>
    <s v="-"/>
    <s v="-"/>
    <s v="-"/>
    <s v="Personal Data Protection Act"/>
    <s v="http://law.moj.gov.tw/Eng/LawClass/LawAll.aspx?PCode=I0050021"/>
    <n v="1995"/>
    <n v="2012"/>
    <s v="Both"/>
    <s v="-"/>
    <s v="-"/>
    <s v="-"/>
    <n v="94"/>
    <n v="58"/>
    <n v="2005"/>
    <s v="http://www.rti-rating.org/files/pdf/Taiwan.pdf"/>
    <n v="2"/>
    <n v="21"/>
    <n v="9"/>
    <n v="17"/>
    <n v="6"/>
    <n v="1"/>
    <n v="2"/>
    <m/>
    <m/>
    <s v="APEC"/>
    <m/>
    <m/>
    <s v=".."/>
    <m/>
    <n v="0"/>
    <n v="15"/>
    <n v="60"/>
    <s v="B"/>
    <m/>
    <n v="3"/>
    <n v="0"/>
    <n v="0"/>
  </r>
  <r>
    <n v="174"/>
    <m/>
    <s v="Tajikistan"/>
    <x v="1"/>
    <x v="0"/>
    <s v="TJK"/>
    <s v="TJ"/>
    <s v="http://www.health.tj"/>
    <s v="Civil Registration Office but it also involves the MoH and the State Committee for Statistics"/>
    <n v="3"/>
    <n v="1995"/>
    <n v="2"/>
    <s v="3 m"/>
    <s v="2.60 TJS"/>
    <s v="http://centralasiaonline.com/en_GB/articles/caii/features/main/2014/02/05/feature-01 "/>
    <s v="Ministry of Interior "/>
    <n v="2"/>
    <n v="2014"/>
    <s v="National ID Card"/>
    <x v="1"/>
    <n v="2"/>
    <n v="16"/>
    <s v="TJS 28.9 / TJS 33.7 "/>
    <n v="0"/>
    <n v="0"/>
    <m/>
    <m/>
    <m/>
    <m/>
    <s v="http://centralasiaonline.com/en_GB/articles/caii/features/main/2014/02/05/feature-01 "/>
    <n v="2015"/>
    <n v="1"/>
    <n v="2"/>
    <s v="C"/>
    <n v="0"/>
    <n v="0"/>
    <s v="-"/>
    <n v="10"/>
    <s v="http://www.icao.int/meetings/mrtd-tashkent-2014/documents/session3_3-manuchehr.pdf"/>
    <s v="-"/>
    <n v="0"/>
    <n v="0"/>
    <s v="http://mfa.tj/tj/zaminahoi-hukuki-konsuli/qoidahoi-dodani-shinosnomahoi-khoriji.html"/>
    <s v="Ministry of Foreign Affairs"/>
    <n v="2"/>
    <n v="3"/>
    <n v="2010"/>
    <n v="5"/>
    <n v="50"/>
    <n v="1"/>
    <s v="http://andoz.tj/index.php/ru/elektronnye-uslugi/informatsiya-po-gosudarstvennomu-reestru/reestr-yuridicheskikh-lits"/>
    <n v="2009"/>
    <n v="1"/>
    <n v="1"/>
    <s v="http://base.spinform.ru/show_doc.fwx?rgn=57789"/>
    <n v="2013"/>
    <n v="0"/>
    <s v="-"/>
    <n v="0"/>
    <s v="-"/>
    <n v="0"/>
    <n v="1"/>
    <n v="8481.8549999999996"/>
    <n v="49.352576765342022"/>
    <n v="4295.8410000000003"/>
    <n v="4186.0140000000001"/>
    <n v="1175.607"/>
    <n v="48.505750646261887"/>
    <n v="605.37"/>
    <n v="570.23699999999997"/>
    <n v="941.05200000000002"/>
    <n v="47.766754653302897"/>
    <n v="491.54199999999997"/>
    <n v="449.51"/>
    <n v="838.21100000000001"/>
    <n v="48.642167664227742"/>
    <n v="430.48700000000002"/>
    <n v="407.72399999999999"/>
    <n v="5526.9849999999997"/>
    <n v="49.910448463312271"/>
    <n v="2768.4420000000005"/>
    <n v="2758.5429999999997"/>
    <n v="2015"/>
    <s v="http://esa.un.org/unpd/wpp/Download/Standard/Population/"/>
    <n v="88.4"/>
    <n v="89"/>
    <n v="87.8"/>
    <n v="87.8"/>
    <n v="88.6"/>
    <n v="2012"/>
    <s v="DHS"/>
    <n v="4318"/>
    <n v="50.90867504808795"/>
    <n v="2186.9557352725319"/>
    <n v="2131.0442647274685"/>
    <n v="2015"/>
    <s v="http://www.electionguide.org/countries/id/210/"/>
    <n v="16"/>
    <n v="18"/>
    <s v="TJ2015"/>
    <n v="4318"/>
    <n v="4588.7240000000002"/>
    <n v="8051.5119999999997"/>
    <n v="1"/>
    <n v="4"/>
    <s v="LH"/>
    <x v="1"/>
    <n v="1551.7499199999995"/>
    <n v="18.294935718660597"/>
    <n v="51.661043248033891"/>
    <n v="749.5001547274685"/>
    <n v="801.65019727253105"/>
    <n v="17.447111164669931"/>
    <n v="19.150681227356884"/>
    <n v="1208.9849999999997"/>
    <n v="51.90293802425434"/>
    <n v="581.48626472746855"/>
    <n v="627.49873527253112"/>
    <n v="206.39450799999997"/>
    <n v="50.671187432952436"/>
    <n v="101.42318999999999"/>
    <n v="104.582548"/>
    <n v="136.37041199999999"/>
    <n v="51.014668783137509"/>
    <n v="66.590699999999998"/>
    <n v="69.568913999999992"/>
    <n v="11"/>
    <n v="12.2"/>
    <n v="8207.8340000000007"/>
    <n v="49.805149568083365"/>
    <n v="2945.5419999999972"/>
    <n v="48.75428698691114"/>
    <n v="1194.7570000000001"/>
    <n v="48.979082590914601"/>
    <n v="68.810320673957222"/>
    <n v="3621"/>
    <n v="1641.292000000004"/>
    <n v="49.805149568083365"/>
    <n v="341.68287199999963"/>
    <n v="48.75428698691114"/>
    <n v="137.1506619694442"/>
    <n v="48.979082590914601"/>
    <n v="2188.373"/>
    <n v="26.661999999999999"/>
    <n v="47.103213209082725"/>
    <n v="6019.4610000000002"/>
    <n v="73.337999999999994"/>
    <n v="47.828235783901576"/>
    <n v="14.404936708515745"/>
    <n v="11.246940785151995"/>
    <n v="10.235081233811398"/>
    <n v="35.886958727479097"/>
    <n v="60.929619190641503"/>
    <n v="3.1834220818793399"/>
    <n v="88.4"/>
    <n v="87.8"/>
    <n v="89"/>
    <n v="87.8"/>
    <n v="88.6"/>
    <n v="2012"/>
    <n v="6.56"/>
    <n v="2009"/>
    <n v="460.47922799999992"/>
    <n v="46.7"/>
    <n v="2009"/>
    <n v="3258.2393859999997"/>
    <n v="35.6"/>
    <n v="2013"/>
    <n v="99.737442016601605"/>
    <s v="tgk"/>
    <n v="3"/>
    <n v="2"/>
    <s v="Yes"/>
    <s v="Planned"/>
    <s v="-"/>
    <s v="-"/>
    <s v="Through UNESCAP in 2-14"/>
    <n v="0.88"/>
    <n v="0.68"/>
    <n v="2"/>
    <s v="-"/>
    <s v="-"/>
    <s v="P127807 (A)"/>
    <s v="P130091 (A)"/>
    <s v="-"/>
    <s v="-"/>
    <m/>
    <m/>
    <m/>
    <m/>
    <m/>
    <m/>
    <m/>
    <m/>
    <m/>
    <m/>
    <m/>
    <m/>
    <m/>
    <m/>
    <m/>
    <m/>
    <m/>
    <m/>
    <m/>
    <m/>
    <m/>
    <m/>
    <m/>
    <m/>
    <m/>
    <m/>
    <m/>
    <m/>
    <m/>
    <m/>
    <m/>
    <n v="1"/>
    <s v="civil"/>
    <s v="NF"/>
    <n v="6"/>
    <n v="6"/>
    <s v="-"/>
    <s v="-"/>
    <s v="-"/>
    <s v="-"/>
    <s v="-"/>
    <s v="NF"/>
    <n v="80"/>
    <n v="25"/>
    <n v="30"/>
    <n v="25"/>
    <n v="-1"/>
    <n v="-1.4754797220230103"/>
    <n v="-1.137189507484436"/>
    <n v="-1.0760166645050049"/>
    <n v="-1.0685796737670898"/>
    <n v="-1.239100456237793"/>
    <n v="-1.1914055347442627"/>
    <n v="129"/>
    <n v="0.33950999999999998"/>
    <n v="0.11763999999999999"/>
    <n v="6.2990000000000004E-2"/>
    <n v="0.23061999999999999"/>
    <n v="0.72489999999999999"/>
    <s v="-"/>
    <s v="-"/>
    <s v="-"/>
    <s v="-"/>
    <s v="-"/>
    <s v="-"/>
    <s v="-"/>
    <s v="-"/>
    <s v="-"/>
    <s v="-"/>
    <s v="-"/>
    <s v="-"/>
    <s v="-"/>
    <n v="98"/>
    <n v="49"/>
    <n v="2002"/>
    <s v="http://www.rti-rating.org/files/pdf/Tajikistan.pdf"/>
    <n v="4"/>
    <n v="8"/>
    <n v="17"/>
    <n v="16"/>
    <n v="2"/>
    <n v="0"/>
    <n v="2"/>
    <m/>
    <m/>
    <m/>
    <m/>
    <m/>
    <s v="IDA"/>
    <s v=""/>
    <n v="0"/>
    <n v="13"/>
    <n v="52"/>
    <s v="B"/>
    <m/>
    <n v="4"/>
    <n v="0"/>
    <n v="0"/>
  </r>
  <r>
    <n v="175"/>
    <m/>
    <s v="Tanzania"/>
    <x v="4"/>
    <x v="0"/>
    <s v="TZA"/>
    <s v="TZ"/>
    <s v="http://www.rita.go.tz/page.php?pg=85&amp;lang=en"/>
    <s v="Registrar General, Registration Insolvency and Trusteeship Agency (RITA), Min of Justice and Constitutional Affairs"/>
    <n v="1"/>
    <n v="2002"/>
    <n v="2"/>
    <s v="90 d"/>
    <s v="free"/>
    <s v="http://www.nida.go.tz/en/"/>
    <s v="National Identification Authority, Ministry of Home Affairs"/>
    <n v="1"/>
    <n v="2014"/>
    <s v="NID / National ID Card"/>
    <x v="1"/>
    <n v="2"/>
    <n v="18"/>
    <s v="free"/>
    <n v="0"/>
    <n v="0"/>
    <m/>
    <n v="1"/>
    <n v="1"/>
    <m/>
    <s v="http://www.nida.go.tz/en/"/>
    <n v="2014"/>
    <n v="2"/>
    <s v="2B"/>
    <s v="C, E, H, F, R"/>
    <n v="0"/>
    <n v="0"/>
    <n v="25000"/>
    <n v="6"/>
    <s v="http://www.iris.com.my/Trusted_ID/projects.html"/>
    <s v="-"/>
    <n v="0"/>
    <n v="0"/>
    <s v="http://immigration.go.tz/module1.php?id=13"/>
    <s v="Immigration Services Department"/>
    <n v="1"/>
    <n v="2"/>
    <n v="2005"/>
    <n v="5"/>
    <s v="-"/>
    <n v="0"/>
    <s v="http://www.brela-tz.org/company.php?srch=1"/>
    <n v="1999"/>
    <n v="1"/>
    <n v="1"/>
    <s v="http://www.tra.go.tz/publications/Taxpayer%20Identification%20Number.pdf"/>
    <n v="2014"/>
    <n v="0"/>
    <s v="-"/>
    <n v="0"/>
    <s v="-"/>
    <n v="1"/>
    <n v="0"/>
    <n v="53470.42"/>
    <n v="50.301061783318701"/>
    <n v="26574.231"/>
    <n v="26896.188999999998"/>
    <n v="9398.4500000000007"/>
    <n v="49.426384137809961"/>
    <n v="4753.1360000000004"/>
    <n v="4645.3140000000003"/>
    <n v="8019.3850000000002"/>
    <n v="49.594139700238863"/>
    <n v="4042.24"/>
    <n v="3977.145"/>
    <n v="6750.0959999999995"/>
    <n v="50.34403955143749"/>
    <n v="3351.8249999999998"/>
    <n v="3398.2710000000002"/>
    <n v="29302.489000000001"/>
    <n v="50.765172200900743"/>
    <n v="14427.030000000002"/>
    <n v="14875.458999999999"/>
    <n v="2015"/>
    <s v="http://esa.un.org/unpd/wpp/Download/Standard/Population/"/>
    <n v="16.3"/>
    <n v="16.600000000000001"/>
    <n v="15.9"/>
    <n v="44.2"/>
    <n v="9.6999999999999993"/>
    <n v="2010"/>
    <s v="DHS"/>
    <n v="23253.982"/>
    <n v="43.489432100963491"/>
    <n v="11556.98214709819"/>
    <n v="11696.999852901808"/>
    <n v="2015"/>
    <s v="http://www.electionguide.org/countries/id/211/"/>
    <n v="18"/>
    <n v="18"/>
    <s v="TZ2015"/>
    <n v="23253.982"/>
    <n v="24994.741999999998"/>
    <n v="51045.881999999998"/>
    <n v="1"/>
    <n v="4"/>
    <s v="CD"/>
    <x v="0"/>
    <n v="26277.065246999999"/>
    <n v="49.14318093443066"/>
    <n v="50.568406145032675"/>
    <n v="13000.813486901812"/>
    <n v="13287.893077098191"/>
    <n v="48.922632933016246"/>
    <n v="49.404371292521006"/>
    <n v="6048.5070000000014"/>
    <n v="52.549482824409225"/>
    <n v="2870.0478529018128"/>
    <n v="3178.4591470981904"/>
    <n v="12362.055596999999"/>
    <n v="50.175513346706403"/>
    <n v="6166.6502099999998"/>
    <n v="6202.7248560000007"/>
    <n v="7866.5026500000004"/>
    <n v="49.662591469412398"/>
    <n v="3964.1154240000001"/>
    <n v="3906.7090740000003"/>
    <n v="83.399999999999991"/>
    <n v="84.1"/>
    <n v="49253.125999999997"/>
    <n v="49.994073472615732"/>
    <n v="22090.95"/>
    <n v="49.576370008792416"/>
    <n v="8656.9930000000004"/>
    <n v="49.528089106103401"/>
    <n v="1.001392524663709"/>
    <n v="272"/>
    <n v="26890.175999999999"/>
    <n v="49.994073472615732"/>
    <n v="18490.12515"/>
    <n v="49.576370008792416"/>
    <n v="7229.2984441792305"/>
    <n v="49.528089106103401"/>
    <n v="13627.946"/>
    <n v="27.6692"/>
    <n v="50.613702167590034"/>
    <n v="35625.18"/>
    <n v="72.330799999999996"/>
    <n v="48.677340016246937"/>
    <n v="17.536256790165737"/>
    <n v="14.969942624154109"/>
    <n v="12.345674556075455"/>
    <n v="44.851873970395303"/>
    <n v="51.947389085517102"/>
    <n v="3.2007369440875699"/>
    <n v="16.3"/>
    <n v="15.9"/>
    <n v="16.600000000000001"/>
    <n v="44.2"/>
    <n v="9.6999999999999993"/>
    <n v="2010"/>
    <n v="67.87"/>
    <n v="2007"/>
    <n v="31382.351994000004"/>
    <n v="33.4"/>
    <n v="2007"/>
    <n v="15436.974323999999"/>
    <n v="36"/>
    <n v="2002"/>
    <n v="67.800697326660199"/>
    <s v="swa"/>
    <n v="1"/>
    <n v="2"/>
    <s v="-"/>
    <s v="Underway"/>
    <s v="Committee"/>
    <s v="-"/>
    <s v="CR Minister"/>
    <n v="0.16"/>
    <s v="-"/>
    <n v="1"/>
    <s v="-"/>
    <s v="P124045 (A)"/>
    <s v="-"/>
    <s v="-"/>
    <s v="-"/>
    <s v="-"/>
    <m/>
    <m/>
    <m/>
    <m/>
    <m/>
    <m/>
    <m/>
    <m/>
    <m/>
    <m/>
    <m/>
    <m/>
    <m/>
    <m/>
    <m/>
    <m/>
    <m/>
    <n v="1"/>
    <s v="National ID"/>
    <m/>
    <m/>
    <m/>
    <m/>
    <m/>
    <m/>
    <m/>
    <m/>
    <m/>
    <m/>
    <n v="1"/>
    <s v="UNHCR proGres (refugee tracking)"/>
    <n v="2"/>
    <s v="common"/>
    <s v="PF"/>
    <n v="3"/>
    <n v="3"/>
    <s v="-"/>
    <s v="-"/>
    <s v="-"/>
    <s v="-"/>
    <s v="-"/>
    <s v="PF"/>
    <n v="55"/>
    <n v="18"/>
    <n v="22"/>
    <n v="15"/>
    <n v="-1"/>
    <n v="-0.22595661878585815"/>
    <n v="-0.15160705149173737"/>
    <n v="-0.6721917986869812"/>
    <n v="-0.3418104350566864"/>
    <n v="-0.50403982400894165"/>
    <n v="-0.82216185331344604"/>
    <n v="146"/>
    <n v="0.27642"/>
    <n v="0.39215"/>
    <n v="0.29920999999999998"/>
    <n v="8.0820000000000003E-2"/>
    <n v="0.44919999999999999"/>
    <n v="152"/>
    <n v="1.76"/>
    <n v="2.37"/>
    <n v="0.24"/>
    <n v="3.55"/>
    <s v="Data Protection Bill"/>
    <s v="http://sw.radiovaticana.va/doc/RASIMU_final.pdf"/>
    <n v="2013"/>
    <s v="-"/>
    <s v="Pub"/>
    <s v="-"/>
    <s v="-"/>
    <s v="-"/>
    <s v="-"/>
    <s v="-"/>
    <s v="-"/>
    <s v="-"/>
    <s v="-"/>
    <s v="-"/>
    <s v="-"/>
    <s v="-"/>
    <s v="-"/>
    <s v="-"/>
    <s v="-"/>
    <m/>
    <m/>
    <m/>
    <m/>
    <m/>
    <s v="IDA"/>
    <s v="HIPC"/>
    <n v="0"/>
    <n v="13"/>
    <n v="52"/>
    <s v="B"/>
    <n v="1"/>
    <n v="2"/>
    <n v="0"/>
    <n v="0"/>
  </r>
  <r>
    <n v="176"/>
    <m/>
    <s v="Thailand"/>
    <x v="6"/>
    <x v="1"/>
    <s v="THA"/>
    <s v="TH"/>
    <s v="http://www.moi.go.th/"/>
    <s v="District Office (Amphoe) "/>
    <n v="5"/>
    <n v="1909"/>
    <n v="2"/>
    <s v="15-30 d"/>
    <s v="free"/>
    <s v="http://www.dopa.go.th"/>
    <s v="DOPA / Dept of Prov"/>
    <n v="2"/>
    <n v="1976"/>
    <s v="National ID Card"/>
    <x v="1"/>
    <n v="2"/>
    <n v="7"/>
    <s v="Baht 20"/>
    <n v="1"/>
    <n v="1"/>
    <s v="http://en.wikipedia.org/wiki/Thai_national_ID_card"/>
    <m/>
    <m/>
    <m/>
    <s v="http://www.academia.edu/288876/Smart_ID_Card_In_Thailand_From_a_Buddhist_Perspective "/>
    <n v="2003"/>
    <n v="1"/>
    <s v="4B"/>
    <s v="C"/>
    <n v="0"/>
    <n v="0"/>
    <n v="12000"/>
    <n v="9"/>
    <s v="http://www.secureidnews.com/news-item/thailand-introduces-national-id-with-biometric-technology "/>
    <s v="-"/>
    <n v="1"/>
    <n v="0"/>
    <s v="http://www.mfa.go.th/main/en/services/16263-Thai-Passport.html"/>
    <s v="Ministry of Foreign Affairs"/>
    <n v="2"/>
    <n v="3"/>
    <n v="2005"/>
    <n v="5"/>
    <n v="5200"/>
    <n v="0"/>
    <s v="http://www.dbd.go.th/Applications/cds/"/>
    <n v="2002"/>
    <n v="1"/>
    <n v="1"/>
    <s v="http://www.doingbusiness.org/data/exploreeconomies/thailand/starting-a-business"/>
    <n v="2012"/>
    <n v="0"/>
    <s v="-"/>
    <n v="0"/>
    <s v="-"/>
    <n v="3"/>
    <n v="1"/>
    <n v="67959.358999999997"/>
    <n v="50.713500696791449"/>
    <n v="33494.788999999997"/>
    <n v="34464.57"/>
    <n v="3798.9960000000001"/>
    <n v="48.643641635842734"/>
    <n v="1951.0260000000001"/>
    <n v="1847.97"/>
    <n v="4035.9789999999998"/>
    <n v="48.67651689961717"/>
    <n v="2071.4050000000002"/>
    <n v="1964.5740000000001"/>
    <n v="4201.152"/>
    <n v="49.00632017122922"/>
    <n v="2142.3220000000001"/>
    <n v="2058.83"/>
    <n v="55923.231999999996"/>
    <n v="51.12936963299974"/>
    <n v="27330.035999999996"/>
    <n v="28593.195999999996"/>
    <n v="2015"/>
    <s v="http://esa.un.org/unpd/wpp/Download/Standard/Population/"/>
    <n v="99.4"/>
    <n v="99.8"/>
    <n v="99.1"/>
    <n v="99"/>
    <n v="99.7"/>
    <n v="2012"/>
    <s v="MICS"/>
    <n v="43024"/>
    <n v="63.308425260456033"/>
    <n v="21205.023460212447"/>
    <n v="21818.976539787553"/>
    <n v="2014"/>
    <s v="http://www.idea.int/vt/countryview.cfm?id=216"/>
    <n v="7"/>
    <n v="18"/>
    <s v="TH2014"/>
    <n v="43024"/>
    <n v="51152.703999999998"/>
    <n v="67497.150999999998"/>
    <n v="1"/>
    <n v="4"/>
    <s v="CD"/>
    <x v="1"/>
    <n v="12971.448761999995"/>
    <n v="19.087067554595379"/>
    <n v="52.631451979461218"/>
    <n v="6137.3420457875491"/>
    <n v="6827.0618262124435"/>
    <n v="18.323274243607116"/>
    <n v="19.808927911221417"/>
    <n v="12899.231999999996"/>
    <n v="52.516455710017816"/>
    <n v="6125.012539787549"/>
    <n v="6774.2194602124437"/>
    <n v="49.422785999999128"/>
    <n v="73.267087776072898"/>
    <n v="8.427454000000008"/>
    <n v="36.210636000000029"/>
    <n v="22.793975999999599"/>
    <n v="72.965462453765454"/>
    <n v="3.9020520000000034"/>
    <n v="16.631730000000015"/>
    <n v="0.20000000000000018"/>
    <n v="0.9000000000000008"/>
    <n v="67010.501999999993"/>
    <n v="51.026836062204097"/>
    <n v="12163.650000000021"/>
    <n v="48.864643210113293"/>
    <n v="3635.0410000000002"/>
    <n v="48.664923004315938"/>
    <n v="78.443882248702295"/>
    <n v="43024"/>
    <n v="11822.851999999977"/>
    <n v="51.026836062204097"/>
    <n v="72.981899999998845"/>
    <n v="48.864643210113293"/>
    <n v="21.906390997130064"/>
    <n v="48.664923004315938"/>
    <n v="23367.366000000002"/>
    <n v="34.871200000000002"/>
    <n v="64.247664884437555"/>
    <n v="43643.135999999999"/>
    <n v="65.128799999999998"/>
    <n v="53.135601896252368"/>
    <n v="5.4484969627423601"/>
    <n v="6.1343596362643815"/>
    <n v="6.5689996577931273"/>
    <n v="18.151856256799899"/>
    <n v="72.141977088904696"/>
    <n v="9.7061666542954708"/>
    <n v="99.4"/>
    <n v="99.1"/>
    <n v="99.8"/>
    <n v="99"/>
    <n v="99.7"/>
    <n v="2012"/>
    <n v="0.38"/>
    <n v="2010"/>
    <n v="264"/>
    <n v="13.2"/>
    <n v="2011"/>
    <n v="9176.4492599999994"/>
    <n v="13.2"/>
    <n v="2011"/>
    <n v="96.430908203125"/>
    <s v="tha"/>
    <n v="0"/>
    <s v="-"/>
    <s v="-"/>
    <s v="-"/>
    <s v="-"/>
    <s v="-"/>
    <s v="-"/>
    <s v="-"/>
    <s v="-"/>
    <s v="-"/>
    <m/>
    <m/>
    <m/>
    <m/>
    <m/>
    <m/>
    <m/>
    <m/>
    <m/>
    <m/>
    <m/>
    <m/>
    <m/>
    <m/>
    <m/>
    <m/>
    <m/>
    <m/>
    <m/>
    <m/>
    <m/>
    <m/>
    <m/>
    <n v="1"/>
    <s v="National ID"/>
    <m/>
    <m/>
    <m/>
    <m/>
    <m/>
    <m/>
    <m/>
    <m/>
    <m/>
    <m/>
    <n v="1"/>
    <s v="UNHCR proGres (refugee tracking)"/>
    <n v="1"/>
    <s v="civil + common"/>
    <s v="PF"/>
    <n v="4"/>
    <n v="4"/>
    <s v="NF"/>
    <n v="62"/>
    <n v="11"/>
    <n v="21"/>
    <n v="30"/>
    <s v="NF"/>
    <n v="64"/>
    <n v="21"/>
    <n v="27"/>
    <n v="16"/>
    <n v="9"/>
    <n v="-0.43246659636497498"/>
    <n v="-1.3221422433853149"/>
    <n v="0.21264445781707764"/>
    <n v="0.21308885514736176"/>
    <n v="-0.13342045247554779"/>
    <n v="-0.3302399218082428"/>
    <n v="102"/>
    <n v="0.46307999999999999"/>
    <n v="0.54901"/>
    <n v="0.44094"/>
    <n v="0.28427999999999998"/>
    <n v="0.66400000000000003"/>
    <n v="81"/>
    <n v="4.76"/>
    <n v="4.88"/>
    <n v="3.12"/>
    <n v="7.81"/>
    <s v="Official Information Act 1997"/>
    <s v="http://www.asianlii.org/th/legis/consol_act/oia1997197/"/>
    <n v="1997"/>
    <n v="1997"/>
    <s v="Pub"/>
    <s v="Official Information Commission"/>
    <s v="http://www.oic.go.th/"/>
    <s v="-"/>
    <n v="63"/>
    <n v="76"/>
    <n v="1997"/>
    <s v="http://www.rti-rating.org/files/pdf/Thailand.pdf"/>
    <n v="4"/>
    <n v="24"/>
    <n v="14"/>
    <n v="13"/>
    <n v="14"/>
    <n v="2"/>
    <n v="5"/>
    <m/>
    <m/>
    <s v="APEC"/>
    <m/>
    <m/>
    <s v="IBRD"/>
    <s v=""/>
    <n v="0"/>
    <n v="18"/>
    <n v="72"/>
    <s v="B"/>
    <m/>
    <n v="4"/>
    <n v="0"/>
    <n v="0"/>
  </r>
  <r>
    <n v="177"/>
    <m/>
    <s v="Timor-Leste"/>
    <x v="6"/>
    <x v="3"/>
    <s v="TLS"/>
    <s v="TL"/>
    <s v="http://www.mj.gov.tl"/>
    <s v="Division of Civil Registry and Notary, Min of Justice"/>
    <n v="1"/>
    <n v="2004"/>
    <n v="2"/>
    <s v="4 w"/>
    <s v="free"/>
    <s v="http://www.jornal.gov.tl/lawsTL/RDTL-Law/RDTL-Decree-Laws/Decree-Law-2004-2.pdf "/>
    <s v="National Directorate of Registries "/>
    <n v="2"/>
    <n v="2004"/>
    <s v="National ID Card"/>
    <x v="0"/>
    <n v="2"/>
    <n v="0"/>
    <s v="free"/>
    <n v="0"/>
    <n v="0"/>
    <m/>
    <m/>
    <m/>
    <m/>
    <s v="-"/>
    <s v="-"/>
    <n v="0"/>
    <n v="1"/>
    <s v="-"/>
    <s v="-"/>
    <s v="-"/>
    <s v="-"/>
    <n v="0"/>
    <s v="-"/>
    <n v="2"/>
    <n v="0"/>
    <n v="0"/>
    <s v="http://www.jornal.gov.tl/lawsTL/RDTL-Law/RDTL-Decree-Laws/Decree-Law%2044-2008.pdf"/>
    <s v="Immigration Services Department"/>
    <n v="1"/>
    <n v="2"/>
    <n v="2008"/>
    <n v="5"/>
    <s v="-"/>
    <n v="0"/>
    <s v="http://www.serve.gov.tl/?q=pt/node/11/"/>
    <n v="2012"/>
    <n v="1"/>
    <n v="1"/>
    <s v="http://serve.gov.tl/sites/default/files/files/3_Decreto-Lei_7-2006%20-%20C%C3%B3digo_de_Regist_Comercial.pdf"/>
    <n v="2006"/>
    <n v="0"/>
    <s v="-"/>
    <n v="0"/>
    <s v="-"/>
    <n v="2"/>
    <n v="0"/>
    <n v="1184.7650000000001"/>
    <n v="49.224276544293588"/>
    <n v="601.57299999999998"/>
    <n v="583.19200000000001"/>
    <n v="203.732"/>
    <n v="48.994757819095675"/>
    <n v="103.914"/>
    <n v="99.817999999999998"/>
    <n v="149.17400000000001"/>
    <n v="48.783970396986064"/>
    <n v="76.400999999999996"/>
    <n v="72.772999999999996"/>
    <n v="149.565"/>
    <n v="49.003443318958311"/>
    <n v="76.272999999999996"/>
    <n v="73.292000000000002"/>
    <n v="682.2940000000001"/>
    <n v="49.437485893178"/>
    <n v="344.98500000000001"/>
    <n v="337.30899999999997"/>
    <n v="2015"/>
    <s v="http://esa.un.org/unpd/wpp/Download/Standard/Population/"/>
    <n v="55.2"/>
    <n v="54.8"/>
    <n v="55.5"/>
    <n v="49.7"/>
    <n v="56.8"/>
    <s v="2009-2010"/>
    <s v="DHS"/>
    <n v="627.29499999999996"/>
    <n v="52.94678691554865"/>
    <n v="318.51357445147352"/>
    <n v="308.78142554852644"/>
    <n v="2012"/>
    <s v="http://www.idea.int/vt/countryview.cfm?id=222"/>
    <n v="0"/>
    <n v="17"/>
    <s v="TL2012"/>
    <n v="627.29499999999996"/>
    <n v="601.32299999999998"/>
    <n v="1201.2550000000001"/>
    <n v="1"/>
    <n v="6"/>
    <s v="CD"/>
    <x v="1"/>
    <n v="280.10600800000009"/>
    <n v="23.642326368520344"/>
    <n v="49.247608231049959"/>
    <n v="142.4492015485265"/>
    <n v="137.9455094514735"/>
    <n v="23.679453956298989"/>
    <n v="23.653532533277804"/>
    <n v="54.999000000000137"/>
    <n v="51.869260261956498"/>
    <n v="26.471425548526497"/>
    <n v="28.527574451473527"/>
    <n v="133.83507199999997"/>
    <n v="48.566436307517364"/>
    <n v="69.008648000000008"/>
    <n v="64.998924999999986"/>
    <n v="91.271935999999997"/>
    <n v="48.666667922985653"/>
    <n v="46.969128000000005"/>
    <n v="44.419009999999993"/>
    <n v="45.2"/>
    <n v="44.499999999999993"/>
    <n v="1178.252"/>
    <n v="49.173606325302224"/>
    <n v="539.40791935590676"/>
    <n v="48.936578997915994"/>
    <n v="189.511"/>
    <n v="48.951888723752276"/>
    <n v="54.826980985391927"/>
    <n v="646"/>
    <n v="532.25199999999995"/>
    <n v="49.173606325302224"/>
    <n v="241.6547478714462"/>
    <n v="48.936578997915994"/>
    <n v="86.647668911980332"/>
    <n v="48.951888723752276"/>
    <n v="343.03399999999999"/>
    <n v="29.113800000000001"/>
    <n v="43.704997172291961"/>
    <n v="835.21799999999996"/>
    <n v="70.886200000000002"/>
    <n v="44.57375200247121"/>
    <n v="16.414992314883076"/>
    <n v="14.936193585134102"/>
    <n v="14.42917347980989"/>
    <n v="45.780352535442901"/>
    <n v="50.936331241024"/>
    <n v="3.2833162235331401"/>
    <n v="55.2"/>
    <n v="55.5"/>
    <n v="54.8"/>
    <n v="49.7"/>
    <n v="56.8"/>
    <n v="2010"/>
    <n v="37.4"/>
    <n v="2011"/>
    <n v="440.666248"/>
    <n v="49.9"/>
    <n v="2007"/>
    <n v="586.76412000000005"/>
    <n v="41"/>
    <n v="2009"/>
    <n v="58.308982849121101"/>
    <s v="tet"/>
    <n v="1"/>
    <s v="-"/>
    <s v="-"/>
    <s v="-"/>
    <s v="-"/>
    <s v="-"/>
    <s v="-"/>
    <s v="-"/>
    <s v="-"/>
    <n v="1"/>
    <s v="-"/>
    <s v="-"/>
    <s v="P092484 (C)"/>
    <s v="-"/>
    <s v="P092484 (C)"/>
    <s v="-"/>
    <m/>
    <m/>
    <m/>
    <m/>
    <m/>
    <m/>
    <m/>
    <m/>
    <m/>
    <m/>
    <m/>
    <m/>
    <m/>
    <m/>
    <m/>
    <m/>
    <m/>
    <m/>
    <m/>
    <m/>
    <m/>
    <m/>
    <m/>
    <m/>
    <m/>
    <m/>
    <m/>
    <m/>
    <m/>
    <m/>
    <m/>
    <n v="1"/>
    <s v="civil"/>
    <s v="PF"/>
    <n v="3"/>
    <n v="4"/>
    <s v="-"/>
    <s v="-"/>
    <s v="-"/>
    <s v="-"/>
    <s v="-"/>
    <s v="PF"/>
    <n v="35"/>
    <n v="11"/>
    <n v="11"/>
    <n v="13"/>
    <n v="7"/>
    <n v="4.9974925816059113E-2"/>
    <n v="-0.38774457573890686"/>
    <n v="-1.2586737871170044"/>
    <n v="-0.99292081594467163"/>
    <n v="-1.268952488899231"/>
    <n v="-0.84354525804519653"/>
    <n v="161"/>
    <n v="0.25275999999999998"/>
    <n v="0.29410999999999998"/>
    <n v="0.20472000000000001"/>
    <n v="7.0419999999999996E-2"/>
    <n v="0.48309999999999997"/>
    <s v="-"/>
    <s v="-"/>
    <s v="-"/>
    <s v="-"/>
    <s v="-"/>
    <s v="Protection of Personal Data Bill"/>
    <s v="http://timor-leste.gov.tl/wp-content/uploads/2010/03/Constituicao_RDTL_PT.pdf"/>
    <n v="2011"/>
    <n v="2011"/>
    <s v="Both"/>
    <s v="-"/>
    <s v="-"/>
    <s v="-"/>
    <s v="-"/>
    <s v="-"/>
    <s v="-"/>
    <s v="-"/>
    <s v="-"/>
    <s v="-"/>
    <s v="-"/>
    <s v="-"/>
    <s v="-"/>
    <s v="-"/>
    <s v="-"/>
    <m/>
    <m/>
    <m/>
    <n v="1"/>
    <m/>
    <s v="Blend"/>
    <m/>
    <n v="0"/>
    <n v="12"/>
    <n v="48"/>
    <s v="C"/>
    <m/>
    <n v="6"/>
    <n v="0"/>
    <n v="0"/>
  </r>
  <r>
    <n v="178"/>
    <m/>
    <s v="Togo"/>
    <x v="4"/>
    <x v="0"/>
    <s v="TGO"/>
    <s v="TG"/>
    <s v="http://www.togoleseministryofhealthlome.myewebsite.com/"/>
    <s v="Min of Health"/>
    <n v="3"/>
    <n v="1923"/>
    <n v="2"/>
    <s v="45 d"/>
    <s v="free"/>
    <s v="http://mediaf.org/?p=1262 "/>
    <s v="Ministry of Territorial Administration, Decentralization and Local"/>
    <n v="2"/>
    <n v="2006"/>
    <s v="National ID Card"/>
    <x v="1"/>
    <n v="1"/>
    <s v="-"/>
    <s v="free"/>
    <n v="0"/>
    <n v="0"/>
    <m/>
    <m/>
    <m/>
    <m/>
    <s v="-"/>
    <s v="-"/>
    <n v="0"/>
    <n v="1"/>
    <s v="-"/>
    <s v="-"/>
    <s v="-"/>
    <s v="-"/>
    <n v="0"/>
    <s v="-"/>
    <s v="-"/>
    <n v="0"/>
    <n v="0"/>
    <s v="http://www.togoleseembassy.com/documents.cfm?category=applications"/>
    <s v="Ministry of Foreign Affairs"/>
    <n v="2"/>
    <n v="3"/>
    <n v="2009"/>
    <n v="5"/>
    <n v="50"/>
    <n v="0"/>
    <s v="http://www.ccit.tg/index.php?option=com_content&amp;view=article&amp;id=55&amp;Itemid=100"/>
    <n v="2012"/>
    <n v="1"/>
    <n v="1"/>
    <s v="http://www.cfetogo.org/presentation"/>
    <n v="2011"/>
    <n v="0"/>
    <s v="-"/>
    <n v="0"/>
    <s v="-"/>
    <n v="0"/>
    <n v="0"/>
    <n v="7304.5780000000004"/>
    <n v="50.591327794706274"/>
    <n v="3609.0949999999998"/>
    <n v="3695.4830000000002"/>
    <n v="1160.0239999999999"/>
    <n v="49.823365723467795"/>
    <n v="582.06100000000004"/>
    <n v="577.96299999999997"/>
    <n v="1032.923"/>
    <n v="49.895878008331692"/>
    <n v="517.53700000000003"/>
    <n v="515.38599999999997"/>
    <n v="892.44299999999998"/>
    <n v="49.837020403543981"/>
    <n v="447.67599999999999"/>
    <n v="444.767"/>
    <n v="4219.1880000000001"/>
    <n v="51.13227948126513"/>
    <n v="2061.8209999999995"/>
    <n v="2157.3670000000006"/>
    <n v="2015"/>
    <s v="http://esa.un.org/unpd/wpp/Download/Standard/Population/"/>
    <n v="77.900000000000006"/>
    <n v="77.7"/>
    <n v="78.2"/>
    <n v="93.3"/>
    <n v="70.599999999999994"/>
    <n v="2010"/>
    <s v="MICS"/>
    <n v="3509.2579999999998"/>
    <n v="48.041899203485812"/>
    <n v="1733.8777820580463"/>
    <n v="1775.3802179419536"/>
    <n v="2015"/>
    <s v="http://www.idea.int/vt/countryview.cfm?id=215"/>
    <s v="-"/>
    <n v="18"/>
    <s v="TG2015"/>
    <n v="3509.2579999999998"/>
    <n v="4019.183"/>
    <n v="7552.3180000000002"/>
    <n v="1"/>
    <n v="4"/>
    <s v="CD"/>
    <x v="0"/>
    <n v="1391.8011900000001"/>
    <n v="19.053820631390341"/>
    <n v="51.537250809366455"/>
    <n v="672.98531994195309"/>
    <n v="717.29607005804701"/>
    <n v="18.646927275174335"/>
    <n v="19.410076302828262"/>
    <n v="709.93000000000029"/>
    <n v="53.80626006198456"/>
    <n v="327.94321794195321"/>
    <n v="381.98678205804708"/>
    <n v="425.50588599999992"/>
    <n v="49.191647139753073"/>
    <n v="215.24249899999998"/>
    <n v="209.31335399999995"/>
    <n v="256.36530399999992"/>
    <n v="49.147030442153756"/>
    <n v="129.79960299999999"/>
    <n v="125.99593399999998"/>
    <n v="22.299999999999997"/>
    <n v="21.799999999999997"/>
    <n v="6816.982"/>
    <n v="50.687753026192524"/>
    <n v="2852.6889999999985"/>
    <n v="49.893787513703586"/>
    <n v="1093.5360000000001"/>
    <n v="49.961311112988966"/>
    <n v="76.785444466390317"/>
    <n v="3044"/>
    <n v="920.29300000000171"/>
    <n v="50.687753026192524"/>
    <n v="630.44426899999962"/>
    <n v="49.893787513703586"/>
    <n v="241.71919303053346"/>
    <n v="49.961311112988966"/>
    <n v="2658.2139999999999"/>
    <n v="38.994"/>
    <n v="4.4625827717407249"/>
    <n v="4158.768"/>
    <n v="61.006"/>
    <n v="16.703504499409441"/>
    <n v="16.044519475965281"/>
    <n v="13.790706855106485"/>
    <n v="12.011576256935657"/>
    <n v="41.846802588007399"/>
    <n v="55.397153755136799"/>
    <n v="2.75604365685578"/>
    <n v="77.900000000000006"/>
    <n v="78.2"/>
    <n v="77.7"/>
    <n v="93.3"/>
    <n v="70.599999999999994"/>
    <n v="2010"/>
    <n v="28.22"/>
    <n v="2011"/>
    <n v="1735.6572659999999"/>
    <n v="58.7"/>
    <n v="2011"/>
    <n v="3612.8752310000004"/>
    <n v="32"/>
    <n v="1989"/>
    <n v="60.409946441650398"/>
    <s v="fre"/>
    <n v="1"/>
    <n v="3"/>
    <s v="-"/>
    <s v="-"/>
    <s v="-"/>
    <s v="-"/>
    <s v="CR Minister"/>
    <n v="0.78"/>
    <s v="-"/>
    <s v="-"/>
    <m/>
    <m/>
    <m/>
    <m/>
    <m/>
    <m/>
    <m/>
    <m/>
    <m/>
    <m/>
    <m/>
    <m/>
    <m/>
    <m/>
    <m/>
    <m/>
    <m/>
    <m/>
    <m/>
    <m/>
    <m/>
    <m/>
    <m/>
    <m/>
    <m/>
    <n v="1"/>
    <s v="Voter Registration"/>
    <m/>
    <m/>
    <m/>
    <m/>
    <m/>
    <m/>
    <m/>
    <m/>
    <m/>
    <m/>
    <n v="2"/>
    <s v="customary"/>
    <s v="PF"/>
    <n v="4"/>
    <n v="4"/>
    <s v="-"/>
    <s v="-"/>
    <s v="-"/>
    <s v="-"/>
    <s v="-"/>
    <s v="NF"/>
    <n v="65"/>
    <n v="20"/>
    <n v="25"/>
    <n v="20"/>
    <n v="-2"/>
    <n v="-0.97900718450546265"/>
    <n v="-0.42672345042228699"/>
    <n v="-1.3709260225296021"/>
    <n v="-0.95087802410125732"/>
    <n v="-1.0089588165283203"/>
    <n v="-1.0446861982345581"/>
    <n v="162"/>
    <n v="0.24462999999999999"/>
    <n v="9.8030000000000006E-2"/>
    <n v="0.11022999999999999"/>
    <n v="8.3589999999999998E-2"/>
    <n v="0.54010000000000002"/>
    <s v="-"/>
    <s v="-"/>
    <s v="-"/>
    <s v="-"/>
    <s v="-"/>
    <s v="-"/>
    <s v="-"/>
    <s v="-"/>
    <s v="-"/>
    <s v="-"/>
    <s v="-"/>
    <s v="-"/>
    <s v="-"/>
    <s v="-"/>
    <s v="-"/>
    <s v="-"/>
    <s v="-"/>
    <s v="-"/>
    <s v="-"/>
    <s v="-"/>
    <s v="-"/>
    <s v="-"/>
    <s v="-"/>
    <s v="-"/>
    <m/>
    <m/>
    <m/>
    <n v="1"/>
    <m/>
    <s v="IDA"/>
    <s v="HIPC"/>
    <n v="0"/>
    <n v="9"/>
    <n v="36"/>
    <s v="C"/>
    <n v="1"/>
    <n v="4"/>
    <n v="0"/>
    <n v="0"/>
  </r>
  <r>
    <n v="179"/>
    <m/>
    <s v="Tonga"/>
    <x v="6"/>
    <x v="1"/>
    <s v="TON"/>
    <s v="TO"/>
    <s v="http://www.foi.gov.to/index.php/ministries/justice"/>
    <s v="Min of Justice"/>
    <n v="1"/>
    <n v="1874"/>
    <n v="2"/>
    <s v="3 w"/>
    <s v="free"/>
    <s v="http://www.mic.gov.to/palace-office/1834-tonga-to-distribute-first-ever-national-id-card "/>
    <s v="National Identity Card Office"/>
    <n v="4"/>
    <n v="2010"/>
    <s v="National ID Card"/>
    <x v="1"/>
    <n v="1"/>
    <n v="14"/>
    <s v="free"/>
    <n v="0"/>
    <n v="0"/>
    <m/>
    <m/>
    <m/>
    <m/>
    <s v="-"/>
    <s v="-"/>
    <n v="0"/>
    <n v="1"/>
    <s v="-"/>
    <s v="-"/>
    <s v="-"/>
    <s v="-"/>
    <n v="0"/>
    <s v="-"/>
    <s v="-"/>
    <n v="0"/>
    <n v="0"/>
    <s v="http://www.tongaconsul.com/home/paasipooti"/>
    <s v="Ministry of Foreign Affairs"/>
    <n v="1"/>
    <n v="3"/>
    <n v="2004"/>
    <n v="5"/>
    <s v="-"/>
    <n v="0"/>
    <s v="http://www.businessregistries.gov.to/"/>
    <n v="1995"/>
    <n v="1"/>
    <n v="1"/>
    <s v="http://www.revenue.gov.to/Article.aspx?ID=448"/>
    <n v="2008"/>
    <n v="0"/>
    <s v="-"/>
    <n v="0"/>
    <s v="-"/>
    <n v="0"/>
    <n v="0"/>
    <n v="106.17"/>
    <n v="49.854949609117448"/>
    <n v="53.238999999999997"/>
    <n v="52.930999999999997"/>
    <n v="12.91"/>
    <n v="48.745158791634388"/>
    <n v="6.617"/>
    <n v="6.2930000000000001"/>
    <n v="13.304"/>
    <n v="48.361395069152138"/>
    <n v="6.87"/>
    <n v="6.4340000000000002"/>
    <n v="12.818"/>
    <n v="47.59712903729131"/>
    <n v="6.7169999999999996"/>
    <n v="6.101"/>
    <n v="67.138000000000005"/>
    <n v="50.795376686824156"/>
    <n v="33.035000000000004"/>
    <n v="34.103000000000002"/>
    <n v="2015"/>
    <s v="http://esa.un.org/unpd/wpp/Download/Standard/Population/"/>
    <n v="95"/>
    <n v="95"/>
    <n v="95"/>
    <s v="–"/>
    <s v="–"/>
    <n v="2013"/>
    <s v="http://www.unicef.org/gambia/Every_childs_birth_right_-_inequities_and_trends_in_birth_registration_-_2013_report.pdf"/>
    <n v="51.448"/>
    <n v="48.458133182631627"/>
    <n v="25.798625525101254"/>
    <n v="25.649374474898746"/>
    <n v="2014"/>
    <s v="http://www.idea.int/vt/countryview.cfm?id=221"/>
    <n v="14"/>
    <n v="21"/>
    <s v="TO2014"/>
    <n v="51.448"/>
    <n v="50.417999999999999"/>
    <n v="106.44"/>
    <n v="1"/>
    <n v="4"/>
    <s v="CD"/>
    <x v="1"/>
    <n v="17.641600000000007"/>
    <n v="16.616369972685323"/>
    <n v="53.254951507240008"/>
    <n v="8.2465744748987504"/>
    <n v="9.3950255251012571"/>
    <n v="15.489724590805146"/>
    <n v="17.74957118720836"/>
    <n v="15.690000000000005"/>
    <n v="53.879066444239974"/>
    <n v="7.2363744748987493"/>
    <n v="8.4536255251012555"/>
    <n v="1.3061000000000011"/>
    <n v="47.986371640762577"/>
    <n v="0.67935000000000056"/>
    <n v="0.62675000000000058"/>
    <n v="0.64550000000000063"/>
    <n v="48.745158791634388"/>
    <n v="0.33085000000000031"/>
    <n v="0.31465000000000026"/>
    <n v="5.0000000000000044"/>
    <n v="5.0000000000000036"/>
    <n v="105.32299999999999"/>
    <n v="49.878943820438082"/>
    <n v="39.182999999999993"/>
    <n v="48.132202744142305"/>
    <n v="13.356"/>
    <n v="48.616303752835684"/>
    <n v="77.109162382824309"/>
    <n v="51"/>
    <n v="15.140000000000006"/>
    <n v="49.878943820438082"/>
    <n v="1.9591500000000013"/>
    <n v="48.132202744142305"/>
    <n v="0.66715031992087792"/>
    <n v="48.616303752835684"/>
    <n v="24.922000000000001"/>
    <n v="23.662600000000001"/>
    <n v="58.803466816467377"/>
    <n v="80.400999999999996"/>
    <n v="76.337400000000002"/>
    <n v="48.755612492381935"/>
    <n v="12.668653948726819"/>
    <n v="12.656313760863469"/>
    <n v="11.877732555309118"/>
    <n v="37.202700264899399"/>
    <n v="56.920140899898399"/>
    <n v="5.8771588352021897"/>
    <n v="95"/>
    <n v="95"/>
    <n v="95"/>
    <n v="95"/>
    <n v="95"/>
    <n v="1994"/>
    <n v="4"/>
    <n v="2013"/>
    <n v="4.2129199999999996"/>
    <n v="22.5"/>
    <n v="2009"/>
    <n v="23.697675"/>
    <n v="24"/>
    <n v="2003"/>
    <n v="99.385528564453097"/>
    <s v="eng"/>
    <n v="0"/>
    <s v="-"/>
    <s v="-"/>
    <s v="-"/>
    <s v="-"/>
    <s v="-"/>
    <s v="-"/>
    <s v="-"/>
    <s v="-"/>
    <s v="-"/>
    <m/>
    <m/>
    <m/>
    <m/>
    <m/>
    <m/>
    <m/>
    <m/>
    <m/>
    <m/>
    <m/>
    <m/>
    <m/>
    <m/>
    <m/>
    <m/>
    <m/>
    <m/>
    <m/>
    <m/>
    <m/>
    <m/>
    <m/>
    <m/>
    <m/>
    <m/>
    <m/>
    <m/>
    <m/>
    <m/>
    <m/>
    <m/>
    <m/>
    <m/>
    <m/>
    <m/>
    <m/>
    <n v="2"/>
    <s v="common"/>
    <s v="F"/>
    <n v="2"/>
    <n v="2"/>
    <s v="-"/>
    <s v="-"/>
    <s v="-"/>
    <s v="-"/>
    <s v="-"/>
    <s v="F"/>
    <n v="29"/>
    <n v="10"/>
    <n v="9"/>
    <n v="10"/>
    <m/>
    <n v="0.51358628273010254"/>
    <n v="0.9691540002822876"/>
    <n v="-0.20095635950565338"/>
    <n v="-0.59445929527282715"/>
    <n v="7.8357502818107605E-2"/>
    <n v="-7.6593652367591858E-2"/>
    <n v="98"/>
    <n v="0.47056999999999999"/>
    <n v="0.33333000000000002"/>
    <n v="0.34644999999999998"/>
    <n v="0.23482"/>
    <n v="0.83040000000000003"/>
    <s v="-"/>
    <s v="-"/>
    <s v="-"/>
    <s v="-"/>
    <s v="-"/>
    <s v="-"/>
    <s v="-"/>
    <s v="-"/>
    <s v="-"/>
    <s v="-"/>
    <s v="-"/>
    <s v="-"/>
    <s v="-"/>
    <s v="-"/>
    <s v="-"/>
    <s v="-"/>
    <s v="-"/>
    <s v="-"/>
    <s v="-"/>
    <s v="-"/>
    <s v="-"/>
    <s v="-"/>
    <s v="-"/>
    <s v="-"/>
    <m/>
    <m/>
    <m/>
    <m/>
    <m/>
    <s v="IDA"/>
    <s v=""/>
    <n v="1"/>
    <n v="8"/>
    <n v="32"/>
    <s v="C"/>
    <m/>
    <n v="4"/>
    <n v="0"/>
    <n v="0"/>
  </r>
  <r>
    <n v="180"/>
    <m/>
    <s v="Trinidad and Tobago"/>
    <x v="5"/>
    <x v="2"/>
    <s v="TTO"/>
    <s v="TT"/>
    <s v="http://www.legalaffairs.gov.tt/civil.html"/>
    <s v="Departamento de Registro General, Ministerio de Asuntos Legales"/>
    <n v="1"/>
    <n v="1848"/>
    <n v="2"/>
    <s v="3 m"/>
    <s v="free"/>
    <s v="http://www.ttconnect.gov.tt/gortt/portal/ttconnect/Non-sidentDetail/?WCM_GLOBAL_CONTEXT=/gortt/wcm/connect/GorTT%20Web%20Content/ttconnect/citizen/topic/governmentandpolitics/documents+and+policies/obtaining+a+national+identification+card"/>
    <s v="Elections and Boundaries Commission (EBC)"/>
    <n v="4"/>
    <n v="1999"/>
    <s v="Tarjeta nacional de identidad (emitida con fines electorales)"/>
    <x v="1"/>
    <n v="1"/>
    <n v="15"/>
    <s v="free"/>
    <n v="1"/>
    <n v="1"/>
    <m/>
    <n v="1"/>
    <n v="1"/>
    <m/>
    <s v="http://www.unpan.org/PublicAdministrationNews/tabid/117/mctl/ArticleView/ModuleID/1471/articleId/23273/default.aspx "/>
    <n v="2015"/>
    <n v="2"/>
    <s v="2B"/>
    <s v="C, E, F, H, R, S, T"/>
    <n v="0"/>
    <n v="0"/>
    <s v="-"/>
    <n v="10"/>
    <s v="http://www.biometricupdate.com/tag/smart-cards/page/2"/>
    <s v="-"/>
    <n v="0"/>
    <n v="0"/>
    <s v="http://www.immigration.gov.tt/Services/Passport/MachineReadable.aspx"/>
    <s v="Immigration Division"/>
    <n v="1"/>
    <n v="6"/>
    <n v="2007"/>
    <n v="5"/>
    <s v="-"/>
    <n v="0"/>
    <s v="https://www.ttbizlink.gov.tt/tntcmn/faces/pnu/PnuIndex.jsf"/>
    <n v="1995"/>
    <n v="1"/>
    <n v="2"/>
    <s v="http://www.ttconnect.gov.tt/"/>
    <n v="2013"/>
    <n v="2"/>
    <s v="C, F, P, R, O"/>
    <n v="1"/>
    <s v="http://www.ttconnect.gov.tt/gortt/portal/ttconnect/Business"/>
    <n v="3"/>
    <n v="1"/>
    <n v="1360.088"/>
    <n v="50.658707377757914"/>
    <n v="671.08500000000004"/>
    <n v="689.00300000000004"/>
    <n v="96.102999999999994"/>
    <n v="49.208661540222472"/>
    <n v="48.811999999999998"/>
    <n v="47.290999999999997"/>
    <n v="96.415000000000006"/>
    <n v="49.318052170305442"/>
    <n v="48.865000000000002"/>
    <n v="47.55"/>
    <n v="90.106999999999999"/>
    <n v="49.354656131044209"/>
    <n v="45.634999999999998"/>
    <n v="44.472000000000001"/>
    <n v="1077.463"/>
    <n v="51.01706508715381"/>
    <n v="527.77300000000002"/>
    <n v="549.69000000000005"/>
    <n v="2015"/>
    <s v="http://esa.un.org/unpd/wpp/Download/Standard/Population/"/>
    <n v="96.6"/>
    <n v="96.6"/>
    <n v="96.6"/>
    <s v="–"/>
    <s v="–"/>
    <n v="2006"/>
    <s v="MICS"/>
    <n v="940.81299999999999"/>
    <n v="69.172950573786409"/>
    <n v="464.20929535809438"/>
    <n v="476.60370464190555"/>
    <n v="2015"/>
    <s v="http://www.idea.int/vt/countryview.cfm?id=224"/>
    <n v="15"/>
    <n v="18"/>
    <s v="TT2015"/>
    <n v="1099.279"/>
    <n v="940.81299999999999"/>
    <n v="1222.3630000000001"/>
    <n v="1"/>
    <n v="4"/>
    <s v="CD"/>
    <x v="1"/>
    <n v="146.25924999999998"/>
    <n v="10.753660792536952"/>
    <n v="53.208899511035725"/>
    <n v="68.436312641905658"/>
    <n v="77.822937358094507"/>
    <n v="10.197860575322895"/>
    <n v="11.295007040331392"/>
    <n v="136.64999999999998"/>
    <n v="53.484299566845607"/>
    <n v="63.563704641905645"/>
    <n v="73.086295358094503"/>
    <n v="6.3417480000000062"/>
    <n v="49.335735194775943"/>
    <n v="3.2130000000000027"/>
    <n v="3.1287480000000025"/>
    <n v="3.2675020000000026"/>
    <n v="49.208661540222472"/>
    <n v="1.6596080000000013"/>
    <n v="1.6078940000000013"/>
    <n v="3.400000000000003"/>
    <n v="3.400000000000003"/>
    <n v="1341.1510000000001"/>
    <n v="50.559034739563259"/>
    <n v="278.55000000000035"/>
    <n v="49.310929766603842"/>
    <n v="96.713999999999999"/>
    <n v="49.230313311202885"/>
    <n v="97.873049244260102"/>
    <n v="1040"/>
    <n v="22.600999999999708"/>
    <n v="50.559034739563259"/>
    <n v="9.4707000000000203"/>
    <n v="49.310929766603842"/>
    <n v="3.284633230498105"/>
    <n v="49.230313311202885"/>
    <n v="191.071"/>
    <n v="14.2468"/>
    <n v="39.968388714142911"/>
    <n v="1150.08"/>
    <n v="85.753199999999993"/>
    <n v="29.563943377851977"/>
    <n v="7.203279848468398"/>
    <n v="7.042224375090143"/>
    <n v="6.5239691616158346"/>
    <n v="20.7694733851744"/>
    <n v="70.197091900912"/>
    <n v="9.0334347139136408"/>
    <n v="96.6"/>
    <n v="96.6"/>
    <n v="96.6"/>
    <n v="96.6"/>
    <n v="96.6"/>
    <n v="2006"/>
    <n v="4.16"/>
    <n v="1992"/>
    <n v="56.546700000000001"/>
    <s v="-"/>
    <s v="-"/>
    <m/>
    <n v="17"/>
    <n v="2007"/>
    <n v="98.814231872558594"/>
    <s v="eng"/>
    <n v="0"/>
    <s v="-"/>
    <s v="-"/>
    <s v="-"/>
    <s v="-"/>
    <s v="-"/>
    <s v="-"/>
    <s v="-"/>
    <s v="-"/>
    <s v="-"/>
    <m/>
    <m/>
    <m/>
    <m/>
    <m/>
    <m/>
    <n v="1343700"/>
    <n v="2010"/>
    <n v="14"/>
    <n v="86"/>
    <s v="?"/>
    <s v="?"/>
    <n v="99"/>
    <s v="eng"/>
    <n v="4"/>
    <s v="?"/>
    <n v="1"/>
    <s v="-"/>
    <s v="-"/>
    <s v="Tarjeta nacional de identidad (emitida con fines electorales)"/>
    <s v="free"/>
    <s v="-"/>
    <s v="http://www.immigration.gov.tt/applicationloader.asp?app=articles&amp;id=691"/>
    <m/>
    <m/>
    <m/>
    <m/>
    <m/>
    <m/>
    <m/>
    <m/>
    <m/>
    <m/>
    <m/>
    <m/>
    <m/>
    <m/>
    <n v="2"/>
    <s v="common"/>
    <s v="F"/>
    <n v="2"/>
    <n v="2"/>
    <s v="-"/>
    <s v="-"/>
    <s v="-"/>
    <s v="-"/>
    <s v="-"/>
    <s v="F"/>
    <n v="25"/>
    <n v="6"/>
    <n v="11"/>
    <n v="8"/>
    <n v="10"/>
    <n v="0.44391617178916931"/>
    <n v="0.10165556520223618"/>
    <n v="0.34887057542800903"/>
    <n v="0.24500684440135956"/>
    <n v="-0.22312884032726288"/>
    <n v="-0.35169988870620728"/>
    <n v="91"/>
    <n v="0.49317"/>
    <n v="0.31372"/>
    <n v="0.33069999999999999"/>
    <n v="0.45429000000000003"/>
    <n v="0.69450000000000001"/>
    <n v="67"/>
    <n v="5.29"/>
    <n v="6.36"/>
    <n v="3.6"/>
    <n v="6.54"/>
    <s v="Data Protection Act"/>
    <s v="http://www.ttparliament.org/legislations/a2011-13.pdf"/>
    <n v="2011"/>
    <n v="2012"/>
    <s v="Both"/>
    <s v="Data Protection Commissioner"/>
    <s v="http://www.mondaq.com/x/231644/data+protection/Data+Protection+Laws+of+the+World+Handbook+Second+Edition+Trinidad+And+Tobago"/>
    <s v="-"/>
    <n v="45"/>
    <n v="89"/>
    <n v="1999"/>
    <s v="http://www.foia.gov.tt/"/>
    <n v="3"/>
    <n v="24"/>
    <n v="15"/>
    <n v="20"/>
    <n v="15"/>
    <n v="3"/>
    <n v="9"/>
    <m/>
    <m/>
    <m/>
    <m/>
    <n v="33.700000000000003"/>
    <s v="IBRD"/>
    <s v=""/>
    <n v="0"/>
    <n v="19"/>
    <n v="76"/>
    <s v="A"/>
    <m/>
    <n v="4"/>
    <n v="0"/>
    <n v="1"/>
  </r>
  <r>
    <n v="181"/>
    <m/>
    <s v="Tunisia"/>
    <x v="2"/>
    <x v="1"/>
    <s v="TUN"/>
    <s v="TN"/>
    <s v="http://www.commune-tunis.gov.tn/publish/content/article.asp?ID=646"/>
    <s v="Municipalities, Min of Interior"/>
    <n v="5"/>
    <n v="1918"/>
    <n v="2"/>
    <s v="10 d"/>
    <s v="free"/>
    <s v="http://www.tunisie.gov.tn/index.php?option=com_content&amp;task=view&amp;id=1578&amp;Itemid=538&amp;lang=french"/>
    <s v="Madania"/>
    <n v="2"/>
    <n v="2005"/>
    <s v="ID card"/>
    <x v="1"/>
    <n v="2"/>
    <n v="18"/>
    <s v="free"/>
    <n v="1"/>
    <n v="1"/>
    <m/>
    <m/>
    <m/>
    <m/>
    <s v="http://www.interieur.gov.tn/"/>
    <n v="2016"/>
    <n v="2"/>
    <n v="2"/>
    <s v="C, H, R, S"/>
    <n v="0"/>
    <n v="0"/>
    <s v="-"/>
    <n v="1"/>
    <s v="http://www.gemalto.com/brochures-site/download-site/Documents/gov-ID-programs.pdf"/>
    <s v="-"/>
    <n v="1"/>
    <n v="0"/>
    <s v="http://www.tunisie.gov.tn/index.php?option=com_content&amp;task=view&amp;id=1859&amp;Itemid=538"/>
    <s v="Police"/>
    <n v="1"/>
    <n v="2"/>
    <n v="2003"/>
    <n v="5"/>
    <s v="-"/>
    <n v="0"/>
    <s v="http://www.registre-commerce.tn/search/RCCSearch.do?action=getPage&amp;rg_type=PM&amp;search_mode=NORMAL"/>
    <n v="2000"/>
    <n v="1"/>
    <n v="1"/>
    <s v="http://www.doingbusiness.org/data/exploreeconomies/tunisia/"/>
    <n v="1995"/>
    <n v="0"/>
    <s v="-"/>
    <n v="0"/>
    <s v="-"/>
    <n v="3"/>
    <n v="1"/>
    <n v="11253.554"/>
    <n v="50.583744477522387"/>
    <n v="5561.085"/>
    <n v="5692.4690000000001"/>
    <n v="982.13499999999999"/>
    <n v="48.850005345497308"/>
    <n v="502.36200000000002"/>
    <n v="479.77300000000002"/>
    <n v="855.72400000000005"/>
    <n v="48.869729024779012"/>
    <n v="437.53399999999999"/>
    <n v="418.19"/>
    <n v="790.60400000000004"/>
    <n v="48.828237651213499"/>
    <n v="404.56599999999997"/>
    <n v="386.03800000000001"/>
    <n v="8625.0910000000003"/>
    <n v="51.11213319372515"/>
    <n v="4216.6230000000005"/>
    <n v="4408.4680000000008"/>
    <n v="2015"/>
    <s v="http://esa.un.org/unpd/wpp/Download/Standard/Population/"/>
    <n v="99.2"/>
    <n v="98.9"/>
    <n v="99.5"/>
    <n v="99.7"/>
    <n v="98.3"/>
    <s v="2011-2012"/>
    <s v="MICS"/>
    <n v="5308.3540000000003"/>
    <n v="47.170467214179631"/>
    <n v="2623.1897766776615"/>
    <n v="2685.1642233223388"/>
    <n v="2014"/>
    <s v="http://www.idea.int/vt/countryview.cfm?id=220"/>
    <n v="18"/>
    <n v="18"/>
    <s v="TN2014"/>
    <n v="5308.3540000000003"/>
    <n v="7885.9520000000002"/>
    <n v="10937.521000000001"/>
    <n v="1"/>
    <n v="5"/>
    <s v="CD"/>
    <x v="0"/>
    <n v="3337.7647040000002"/>
    <n v="29.65964977819452"/>
    <n v="51.822819613520068"/>
    <n v="1608.2223053223388"/>
    <n v="1729.7237816776621"/>
    <n v="28.919218197929698"/>
    <n v="30.386178329256815"/>
    <n v="3316.7370000000001"/>
    <n v="51.957806020726451"/>
    <n v="1593.433223322339"/>
    <n v="1723.303776677662"/>
    <n v="13.170624000000013"/>
    <n v="30.531127454553403"/>
    <n v="9.2630999999999144"/>
    <n v="4.0211400000000035"/>
    <n v="7.8570800000000069"/>
    <n v="30.53125334093582"/>
    <n v="5.5259819999999493"/>
    <n v="2.3988650000000025"/>
    <n v="1.0999999999999899"/>
    <n v="0.50000000000000056"/>
    <n v="10886.5"/>
    <n v="50.429339089698253"/>
    <n v="2526.1674725128878"/>
    <n v="48.788647701872129"/>
    <n v="924.904"/>
    <n v="48.857058723902149"/>
    <n v="28.108929785671403"/>
    <n v="2350"/>
    <n v="6010.3325274871113"/>
    <n v="50.429339089698253"/>
    <n v="20.209339780103122"/>
    <n v="48.788647701872129"/>
    <n v="7.2967569915890369"/>
    <n v="48.857058723902149"/>
    <n v="7266.3689999999997"/>
    <n v="66.746600000000001"/>
    <n v="36.397257006903999"/>
    <n v="3620.1309999999999"/>
    <n v="33.253399999999999"/>
    <n v="47.005564163285804"/>
    <n v="8.3782172778085595"/>
    <n v="7.6763131452334532"/>
    <n v="7.1500532356177944"/>
    <n v="23.204587999016098"/>
    <n v="69.6168195105449"/>
    <n v="7.1785924904390201"/>
    <n v="99.2"/>
    <n v="99.5"/>
    <n v="98.9"/>
    <n v="99.7"/>
    <n v="98.3"/>
    <n v="2012"/>
    <n v="1.06"/>
    <n v="2010"/>
    <n v="115.3969"/>
    <n v="15.5"/>
    <n v="2010"/>
    <n v="1654.4389999999999"/>
    <n v="3.8"/>
    <n v="2005"/>
    <n v="79.653907775878906"/>
    <s v="ara"/>
    <n v="3"/>
    <s v="-"/>
    <s v="-"/>
    <s v="-"/>
    <s v="-"/>
    <s v="-"/>
    <s v="-"/>
    <s v="-"/>
    <s v="-"/>
    <n v="1"/>
    <s v="-"/>
    <s v="P144674 (A)"/>
    <s v="-"/>
    <s v="-"/>
    <s v="-"/>
    <s v="-"/>
    <m/>
    <m/>
    <m/>
    <m/>
    <m/>
    <m/>
    <m/>
    <m/>
    <m/>
    <m/>
    <m/>
    <m/>
    <m/>
    <m/>
    <m/>
    <m/>
    <m/>
    <m/>
    <m/>
    <m/>
    <m/>
    <m/>
    <m/>
    <m/>
    <m/>
    <m/>
    <m/>
    <m/>
    <m/>
    <m/>
    <m/>
    <n v="3"/>
    <s v="civil + religious"/>
    <s v="PF"/>
    <n v="3"/>
    <n v="3"/>
    <s v="PF"/>
    <n v="39"/>
    <n v="11"/>
    <n v="8"/>
    <n v="20"/>
    <s v="PF"/>
    <n v="53"/>
    <n v="18"/>
    <n v="19"/>
    <n v="16"/>
    <n v="-3"/>
    <n v="-0.11418800801038742"/>
    <n v="-0.9126894474029541"/>
    <n v="-2.1371297771111131E-4"/>
    <n v="-0.34625780582427979"/>
    <n v="-0.20146887004375458"/>
    <n v="-0.14782576262950897"/>
    <n v="75"/>
    <n v="0.53895000000000004"/>
    <n v="0.64705000000000001"/>
    <n v="0.63778999999999997"/>
    <n v="0.30741000000000002"/>
    <n v="0.67169999999999996"/>
    <n v="99"/>
    <n v="4.2300000000000004"/>
    <n v="4.5599999999999996"/>
    <n v="2.59"/>
    <n v="6.86"/>
    <s v="Loi portant sur la protection des données à caractère personnel"/>
    <s v="http://www.tunisie.gov.tn/SYNC_1615697015.pdf"/>
    <n v="2004"/>
    <n v="2004"/>
    <s v="Both"/>
    <s v="National Authority for the Protection of Personal Data"/>
    <s v="http://www.inpdp.nat.tn/version-francaise/accueil.html"/>
    <s v="AFAPDP"/>
    <n v="43"/>
    <n v="90"/>
    <n v="2011"/>
    <s v="http://www.rti-rating.org/files/pdf/Tunisia.pdf"/>
    <n v="4"/>
    <n v="21"/>
    <n v="21"/>
    <n v="21"/>
    <n v="10"/>
    <n v="1"/>
    <n v="12"/>
    <m/>
    <m/>
    <m/>
    <m/>
    <m/>
    <s v="IBRD"/>
    <s v=""/>
    <n v="0"/>
    <n v="16"/>
    <n v="64"/>
    <s v="B"/>
    <n v="1"/>
    <n v="5"/>
    <n v="0"/>
    <n v="0"/>
  </r>
  <r>
    <n v="182"/>
    <m/>
    <s v="Turkey"/>
    <x v="1"/>
    <x v="1"/>
    <s v="TUR"/>
    <s v="TR"/>
    <s v="http://www.nvi.gov.tr/Hizmetler/Nufus,Dogumislem.html"/>
    <s v="General Directorate of Population and Citizenship, Min of Internal Affairs"/>
    <n v="2"/>
    <n v="1884"/>
    <n v="2"/>
    <s v="30-60 d"/>
    <s v="free"/>
    <s v="http://www.icisleri.gov.tr "/>
    <s v="Min of Interior"/>
    <n v="2"/>
    <n v="1974"/>
    <s v="Nüfus Cüzdanı"/>
    <x v="0"/>
    <n v="2"/>
    <n v="0"/>
    <s v="free"/>
    <n v="1"/>
    <n v="1"/>
    <s v="http://en.wikipedia.org/wiki/Turkish_identity_card"/>
    <n v="1"/>
    <m/>
    <m/>
    <s v="http://www.nvi.gov.tr/Haberler,Bolu_Pilot.html"/>
    <n v="2015"/>
    <n v="2"/>
    <s v="4B"/>
    <s v="C, F, S"/>
    <n v="1"/>
    <n v="0"/>
    <s v="-"/>
    <n v="10"/>
    <s v="http://edem.todaie.gov.tr/egovshare/presentations/egovshare2009_11_12_2009/CC1/egovshare2009_mmutlugun.pdf "/>
    <n v="3"/>
    <n v="0"/>
    <n v="0"/>
    <s v="http://pasaport.iem.gov.tr/"/>
    <s v="Ministry of Interior"/>
    <n v="2"/>
    <n v="2"/>
    <n v="2010"/>
    <n v="5"/>
    <n v="1500"/>
    <n v="0"/>
    <s v="http://mersis.gumrukticaret.gov.tr/Login/tabid/110/Default.aspx?returnurl=%2f"/>
    <n v="2013"/>
    <n v="1"/>
    <n v="2"/>
    <s v="http://www.ticaretsicil.gov.tr/"/>
    <n v="1957"/>
    <n v="2"/>
    <s v="C, P, S, O"/>
    <n v="1"/>
    <s v="https://www.turkiye.gov.tr/"/>
    <n v="1"/>
    <n v="1"/>
    <n v="78665.83"/>
    <n v="50.836898307689623"/>
    <n v="38674.561999999998"/>
    <n v="39991.267999999996"/>
    <n v="6820.8689999999997"/>
    <n v="48.816419139555393"/>
    <n v="3491.165"/>
    <n v="3329.7040000000002"/>
    <n v="6670.1840000000002"/>
    <n v="48.972052345182675"/>
    <n v="3403.6579999999999"/>
    <n v="3266.5259999999998"/>
    <n v="6702.8649999999998"/>
    <n v="49.011266078012909"/>
    <n v="3417.7060000000001"/>
    <n v="3285.1590000000001"/>
    <n v="58471.911999999997"/>
    <n v="51.494603083955937"/>
    <n v="28362.032999999996"/>
    <n v="30109.879000000001"/>
    <n v="2015"/>
    <s v="http://esa.un.org/unpd/wpp/Download/Standard/Population/"/>
    <n v="93.7"/>
    <n v="94.8"/>
    <n v="92.6"/>
    <n v="94.6"/>
    <n v="91.6"/>
    <n v="2008"/>
    <s v="DHS"/>
    <n v="56949.009000000005"/>
    <n v="72.393577999494823"/>
    <n v="28162.22"/>
    <n v="28786.788999999997"/>
    <n v="2015"/>
    <s v="http://www.ysk.gov.tr/ysk/faces/HaberDetay?training_id=YSKPWCN1_4444014427&amp;_afrLoop=2720659965463380&amp;_afrWindowMode=0&amp;_afrWindowId=frvn4vxj0_28#%40%3F_afrWindowId%3Dfrvn4vxj0_28%26_afrLoop%3D2720659965463380%26training_id%3DYSKPWCN1_4444014427%26_afrWindowMode%3D0%26_adf.ctrl-state%3Dfrvn4vxj0_53"/>
    <n v="0"/>
    <n v="18"/>
    <s v="TR2015"/>
    <n v="56965.099000000002"/>
    <n v="57579.752"/>
    <n v="82523.053"/>
    <n v="10"/>
    <n v="6"/>
    <s v="CD"/>
    <x v="1"/>
    <n v="2795.1198339999901"/>
    <n v="3.5531562229750708"/>
    <n v="73.496411889437866"/>
    <n v="736.06450799999516"/>
    <n v="2054.3127860000045"/>
    <n v="1.9032264877362937"/>
    <n v="5.1369033510015347"/>
    <n v="1522.9029999999912"/>
    <n v="86.879466387551375"/>
    <n v="199.81299999999464"/>
    <n v="1323.0900000000038"/>
    <n v="842.50208699999928"/>
    <n v="57.545814720337994"/>
    <n v="354.71092800000031"/>
    <n v="484.82469000000043"/>
    <n v="429.71474699999959"/>
    <n v="57.33992089408104"/>
    <n v="181.54058000000015"/>
    <n v="246.39809600000024"/>
    <n v="5.2000000000000046"/>
    <n v="7.4000000000000066"/>
    <n v="74932.641000000003"/>
    <n v="50.893146819688361"/>
    <n v="19224.026000000034"/>
    <n v="48.976780410097206"/>
    <n v="6354.82"/>
    <n v="48.923566306315223"/>
    <n v="66.978821685999293"/>
    <n v="50189"/>
    <n v="24743.641000000007"/>
    <n v="50.893146819688361"/>
    <n v="1211.1136380000012"/>
    <n v="48.976780410097206"/>
    <n v="399.74758335382194"/>
    <n v="48.923566306315223"/>
    <n v="54891.307000000001"/>
    <n v="73.254199999999997"/>
    <n v="49.138737031712509"/>
    <n v="20041.333999999999"/>
    <n v="26.745800000000003"/>
    <n v="63.212947800780128"/>
    <n v="8.4678714790994167"/>
    <n v="8.5400910049704777"/>
    <n v="8.6471135194570579"/>
    <n v="25.655076003527"/>
    <n v="66.967693024459095"/>
    <n v="7.37723097201392"/>
    <n v="93.7"/>
    <n v="92.6"/>
    <n v="94.8"/>
    <n v="94.6"/>
    <n v="91.6"/>
    <n v="2008"/>
    <n v="1.34"/>
    <n v="2010"/>
    <n v="1004.0973894000001"/>
    <n v="18.100000000000001"/>
    <n v="2009"/>
    <n v="13328.766876000003"/>
    <n v="16.899999999999999"/>
    <n v="2010"/>
    <n v="94.919746398925795"/>
    <s v="tur"/>
    <n v="0"/>
    <s v="-"/>
    <s v="-"/>
    <s v="-"/>
    <s v="-"/>
    <s v="-"/>
    <s v="-"/>
    <s v="-"/>
    <s v="-"/>
    <n v="1"/>
    <s v="-"/>
    <s v="-"/>
    <s v="-"/>
    <s v="P035759 (C)"/>
    <s v="P035759 (C)"/>
    <s v="-"/>
    <m/>
    <m/>
    <m/>
    <m/>
    <m/>
    <m/>
    <m/>
    <m/>
    <m/>
    <m/>
    <m/>
    <m/>
    <m/>
    <m/>
    <m/>
    <m/>
    <m/>
    <m/>
    <m/>
    <m/>
    <m/>
    <m/>
    <m/>
    <m/>
    <m/>
    <m/>
    <m/>
    <m/>
    <m/>
    <m/>
    <m/>
    <n v="1"/>
    <s v="civil"/>
    <s v="PF"/>
    <n v="3"/>
    <n v="4"/>
    <s v="PF"/>
    <n v="55"/>
    <n v="14"/>
    <n v="18"/>
    <n v="23"/>
    <s v="NF"/>
    <n v="62"/>
    <n v="23"/>
    <n v="26"/>
    <n v="13"/>
    <n v="9"/>
    <n v="-0.26261156797409058"/>
    <n v="-1.1948162317276001"/>
    <n v="0.36734390258789063"/>
    <n v="0.4249805212020874"/>
    <n v="7.9689569771289825E-2"/>
    <n v="0.11388041824102402"/>
    <n v="71"/>
    <n v="0.54427999999999999"/>
    <n v="0.49019000000000001"/>
    <n v="0.55905000000000005"/>
    <n v="0.36048000000000002"/>
    <n v="0.71330000000000005"/>
    <n v="68"/>
    <n v="5.29"/>
    <n v="5.83"/>
    <n v="3.24"/>
    <n v="8.34"/>
    <s v="Regulation of Electronic Commerce Law"/>
    <s v="http://www.resmigazete.gov.tr/eskiler/2014/11/20141105-1.htm"/>
    <n v="2003"/>
    <n v="2015"/>
    <s v="Both"/>
    <s v="Customs and Trade Ministry"/>
    <s v="http://www.gtb.gov.tr/"/>
    <s v="-"/>
    <n v="70"/>
    <n v="72"/>
    <n v="2003"/>
    <s v="http://www.rti-rating.org/files/pdf/Turkey.pdf"/>
    <n v="3"/>
    <n v="24"/>
    <n v="13"/>
    <n v="21"/>
    <n v="5"/>
    <n v="2"/>
    <n v="4"/>
    <m/>
    <s v="OECD"/>
    <m/>
    <m/>
    <m/>
    <s v="IBRD"/>
    <s v=""/>
    <n v="0"/>
    <n v="22"/>
    <n v="88"/>
    <s v="A"/>
    <m/>
    <n v="6"/>
    <n v="2"/>
    <n v="0"/>
  </r>
  <r>
    <n v="183"/>
    <m/>
    <s v="Turkmenistan"/>
    <x v="1"/>
    <x v="1"/>
    <s v="TKM"/>
    <s v="TM"/>
    <s v="http://cis-legislation.com/document.fwx?rgn=26669"/>
    <s v="Civil Registration Offices (District Level)"/>
    <n v="5"/>
    <n v="1992"/>
    <n v="2"/>
    <s v="-"/>
    <n v="0.05"/>
    <s v="-"/>
    <s v="-"/>
    <n v="0"/>
    <s v="-"/>
    <s v="-"/>
    <x v="2"/>
    <n v="0"/>
    <s v="-"/>
    <s v="-"/>
    <n v="0"/>
    <n v="0"/>
    <m/>
    <m/>
    <m/>
    <m/>
    <s v="-"/>
    <s v="-"/>
    <n v="0"/>
    <n v="0"/>
    <s v="-"/>
    <s v="-"/>
    <s v="-"/>
    <s v="-"/>
    <n v="0"/>
    <s v="-"/>
    <s v="-"/>
    <n v="0"/>
    <n v="0"/>
    <s v="http://www.migration.gov.tm/ru/pages/67"/>
    <s v="State Migration Service of Turkmenistan"/>
    <n v="2"/>
    <n v="5"/>
    <n v="2008"/>
    <n v="5"/>
    <n v="200"/>
    <n v="0"/>
    <s v="http://cci.gov.tm/tpp/zakony-turkmenistana"/>
    <n v="2012"/>
    <n v="1"/>
    <n v="0"/>
    <s v="-"/>
    <s v="-"/>
    <n v="0"/>
    <s v="-"/>
    <n v="0"/>
    <s v="-"/>
    <n v="0"/>
    <n v="0"/>
    <n v="5373.5020000000004"/>
    <n v="50.856889976034246"/>
    <n v="2640.7060000000001"/>
    <n v="2732.7959999999998"/>
    <n v="527.72699999999998"/>
    <n v="49.2239358607765"/>
    <n v="267.959"/>
    <n v="259.76799999999997"/>
    <n v="497.65600000000001"/>
    <n v="49.326241419775904"/>
    <n v="252.18100000000001"/>
    <n v="245.47499999999999"/>
    <n v="491.23500000000001"/>
    <n v="49.337282563335265"/>
    <n v="248.87299999999999"/>
    <n v="242.36199999999999"/>
    <n v="3856.8840000000005"/>
    <n v="51.471369115586562"/>
    <n v="1871.6930000000002"/>
    <n v="1985.1909999999998"/>
    <n v="2015"/>
    <s v="http://esa.un.org/unpd/wpp/Download/Standard/Population/"/>
    <n v="95.5"/>
    <n v="95.2"/>
    <n v="95.8"/>
    <s v="–"/>
    <s v="–"/>
    <n v="2006"/>
    <s v="MICS"/>
    <n v="3063.2179999999998"/>
    <n v="57.005989762356094"/>
    <n v="1505.3605920139232"/>
    <n v="1557.8574079860766"/>
    <n v="2013"/>
    <s v="http://www.stat.gov.tm/content/activity/duzgunnama/"/>
    <s v="-"/>
    <n v="18"/>
    <s v="TM2013"/>
    <n v="3063.2179999999998"/>
    <n v="3357.3589999999999"/>
    <n v="5113.04"/>
    <n v="1"/>
    <n v="4"/>
    <s v="CD"/>
    <x v="1"/>
    <n v="861.91381000000069"/>
    <n v="16.040076099348259"/>
    <n v="53.222607259758703"/>
    <n v="403.24503198607692"/>
    <n v="458.73300201392323"/>
    <n v="15.270349368164304"/>
    <n v="16.786214631971184"/>
    <n v="793.66600000000062"/>
    <n v="53.84300096185585"/>
    <n v="366.33240798607699"/>
    <n v="427.33359201392318"/>
    <n v="44.500095000000044"/>
    <n v="46.042944402702965"/>
    <n v="24.050591999999966"/>
    <n v="20.489154000000021"/>
    <n v="23.747715000000021"/>
    <n v="45.942340136724731"/>
    <n v="12.862031999999981"/>
    <n v="10.910256000000009"/>
    <n v="4.7999999999999936"/>
    <n v="4.2000000000000037"/>
    <n v="5240.0720000000001"/>
    <n v="50.817126176892224"/>
    <n v="1492.388000000002"/>
    <n v="49.318590312675994"/>
    <n v="512.60299999999995"/>
    <n v="49.225195434780822"/>
    <n v="81.730476742436181"/>
    <n v="3063"/>
    <n v="684.68399999999747"/>
    <n v="50.817126176892224"/>
    <n v="67.157460000000142"/>
    <n v="49.318590312675994"/>
    <n v="23.365525680677347"/>
    <n v="49.225195434780822"/>
    <n v="2588.8470000000002"/>
    <n v="49.404800000000002"/>
    <n v="31.207058586312748"/>
    <n v="2651.2249999999999"/>
    <n v="50.595199999999998"/>
    <n v="36.950277701817086"/>
    <n v="9.9089078168210616"/>
    <n v="9.4804404979552181"/>
    <n v="9.090947375817283"/>
    <n v="28.4802956905936"/>
    <n v="67.435008526600399"/>
    <n v="4.0846957828060404"/>
    <n v="95.5"/>
    <n v="95.8"/>
    <n v="95.2"/>
    <n v="95.8"/>
    <n v="95.3"/>
    <n v="2006"/>
    <n v="24.8"/>
    <n v="1998"/>
    <n v="1266.1146480000002"/>
    <s v="-"/>
    <s v="-"/>
    <m/>
    <n v="30"/>
    <n v="2004"/>
    <n v="99.630477905273395"/>
    <s v="tuk"/>
    <n v="3"/>
    <n v="3"/>
    <s v="-"/>
    <s v="-"/>
    <s v="-"/>
    <s v="-"/>
    <s v="Through UNESCAP in 2-14"/>
    <n v="0.96"/>
    <s v="-"/>
    <s v="-"/>
    <m/>
    <m/>
    <m/>
    <m/>
    <m/>
    <m/>
    <m/>
    <m/>
    <m/>
    <m/>
    <m/>
    <m/>
    <m/>
    <m/>
    <m/>
    <m/>
    <m/>
    <m/>
    <m/>
    <m/>
    <m/>
    <m/>
    <m/>
    <m/>
    <m/>
    <m/>
    <m/>
    <m/>
    <m/>
    <m/>
    <m/>
    <m/>
    <m/>
    <m/>
    <m/>
    <m/>
    <m/>
    <n v="1"/>
    <s v="civil"/>
    <s v="NF"/>
    <n v="7"/>
    <n v="7"/>
    <s v="-"/>
    <s v="-"/>
    <s v="-"/>
    <s v="-"/>
    <s v="-"/>
    <s v="NF"/>
    <n v="95"/>
    <n v="30"/>
    <n v="36"/>
    <n v="29"/>
    <n v="-8"/>
    <n v="-2.1710250377655029"/>
    <n v="0.17487457394599915"/>
    <n v="-1.3198016881942749"/>
    <n v="-2.1169009208679199"/>
    <n v="-1.3604741096496582"/>
    <n v="-1.3386058807373047"/>
    <n v="128"/>
    <n v="0.35109000000000001"/>
    <n v="0.11763999999999999"/>
    <n v="8.6610000000000006E-2"/>
    <n v="0.21884999999999999"/>
    <n v="0.74780000000000002"/>
    <s v="-"/>
    <s v="-"/>
    <s v="-"/>
    <s v="-"/>
    <s v="-"/>
    <s v="-"/>
    <s v="-"/>
    <s v="-"/>
    <s v="-"/>
    <s v="-"/>
    <s v="-"/>
    <s v="-"/>
    <s v="-"/>
    <s v="-"/>
    <s v="-"/>
    <s v="-"/>
    <s v="-"/>
    <s v="-"/>
    <s v="-"/>
    <s v="-"/>
    <s v="-"/>
    <s v="-"/>
    <s v="-"/>
    <s v="-"/>
    <m/>
    <m/>
    <m/>
    <m/>
    <n v="39.799999999999997"/>
    <s v="IBRD"/>
    <s v=""/>
    <n v="0"/>
    <n v="5"/>
    <n v="20"/>
    <s v="D"/>
    <m/>
    <n v="1"/>
    <n v="0"/>
    <n v="0"/>
  </r>
  <r>
    <n v="184"/>
    <m/>
    <s v="Tuvalu"/>
    <x v="6"/>
    <x v="1"/>
    <s v="TUV"/>
    <s v="TV"/>
    <s v="http://www.tuvaluislands.com/const_tuvalu.htm"/>
    <s v="Births, Deaths and Marriages Registration, Prime Minister"/>
    <n v="6"/>
    <n v="1866"/>
    <n v="2"/>
    <s v="-"/>
    <s v="free"/>
    <s v="-"/>
    <s v="-"/>
    <n v="0"/>
    <s v="-"/>
    <s v="-"/>
    <x v="2"/>
    <n v="0"/>
    <s v="-"/>
    <s v="-"/>
    <n v="0"/>
    <n v="0"/>
    <m/>
    <m/>
    <m/>
    <m/>
    <s v="-"/>
    <s v="-"/>
    <n v="0"/>
    <n v="0"/>
    <s v="-"/>
    <s v="-"/>
    <s v="-"/>
    <s v="-"/>
    <n v="0"/>
    <s v="-"/>
    <s v="-"/>
    <n v="0"/>
    <n v="0"/>
    <s v="http://tuvalu-legislation.tv/cms/images/LEGISLATION/PRINCIPAL/1979/1979-0001/PassportsAct_1.pdf"/>
    <s v="Passport office"/>
    <n v="0"/>
    <n v="3"/>
    <n v="2008"/>
    <n v="5"/>
    <s v="-"/>
    <n v="0"/>
    <s v="http://www.chamber-commerce.net/dir/4424/Tuvalu-National-Chamber-of-Commerce-in-Vaiaku"/>
    <n v="1992"/>
    <n v="0"/>
    <n v="0"/>
    <s v="-"/>
    <s v="-"/>
    <n v="0"/>
    <s v="-"/>
    <n v="0"/>
    <s v="-"/>
    <n v="0"/>
    <n v="0"/>
    <n v="10.782"/>
    <n v="50.704878501205705"/>
    <n v="5.3150000000000004"/>
    <n v="5.4669999999999996"/>
    <n v="1.161"/>
    <n v="48.664944013781216"/>
    <n v="0.59599999999999997"/>
    <n v="0.56499999999999995"/>
    <n v="1.0249999999999999"/>
    <n v="48.292682926829272"/>
    <n v="0.53"/>
    <n v="0.495"/>
    <n v="1.0030000000000001"/>
    <n v="49.152542372881349"/>
    <n v="0.51"/>
    <n v="0.49299999999999999"/>
    <n v="7.593"/>
    <n v="51.547477940208076"/>
    <n v="3.6790000000000003"/>
    <n v="3.9139999999999993"/>
    <n v="2014"/>
    <s v="http://www.indexmundi.com/tuvalu/population.html"/>
    <n v="49.9"/>
    <n v="49.2"/>
    <n v="50.6"/>
    <n v="59.6"/>
    <n v="38.200000000000003"/>
    <n v="2007"/>
    <s v="DHS"/>
    <n v="7.0410000000000004"/>
    <n v="65.303283249860883"/>
    <n v="3.4708695047301061"/>
    <n v="3.5701304952698938"/>
    <n v="2015"/>
    <s v="http://www.idea.int/vt/countryview.cfm?id=225 "/>
    <s v="-"/>
    <n v="18"/>
    <s v="TV2015"/>
    <n v="7.819"/>
    <n v="7.0410000000000004"/>
    <n v="10.869"/>
    <n v="10"/>
    <n v="3"/>
    <s v="CD"/>
    <x v="1"/>
    <n v="2.1496889999999995"/>
    <n v="19.937757373400107"/>
    <n v="51.684290366192776"/>
    <n v="1.0392184952698942"/>
    <n v="1.1110515047301055"/>
    <n v="19.552558706865362"/>
    <n v="20.322873691789017"/>
    <n v="0.5519999999999996"/>
    <n v="62.295200132265528"/>
    <n v="0.20813049526989413"/>
    <n v="0.34386950473010547"/>
    <n v="1.0160279999999999"/>
    <n v="48.037258815701925"/>
    <n v="0.52832000000000012"/>
    <n v="0.48807199999999995"/>
    <n v="0.58166099999999998"/>
    <n v="47.984994696223396"/>
    <n v="0.30276799999999998"/>
    <n v="0.27910999999999997"/>
    <n v="50.8"/>
    <n v="49.4"/>
    <n v="10.782"/>
    <n v="50.761421319796952"/>
    <n v="3.1850000000000001"/>
    <n v="48.979591836734691"/>
    <n v="0.99573662588074008"/>
    <n v="49.137931034482754"/>
    <n v="78.978544162169271"/>
    <n v="6"/>
    <n v="1.5970000000000004"/>
    <n v="50.761421319796952"/>
    <n v="1.595685"/>
    <n v="48.979591836734691"/>
    <n v="0.58116000000000001"/>
    <n v="49.137931034482754"/>
    <n v="5.0750000000000002"/>
    <n v="51.388800000000003"/>
    <n v="43.566502463054185"/>
    <n v="4.8010000000000002"/>
    <n v="48.611199999999997"/>
    <n v="54.592793168089983"/>
    <n v="10.758671860508255"/>
    <n v="9.5065850491560013"/>
    <n v="9.2747171211278054"/>
    <n v="29.53997403079206"/>
    <n v="65.06"/>
    <n v="5.4"/>
    <n v="49.9"/>
    <n v="50.6"/>
    <n v="49.2"/>
    <n v="59.6"/>
    <n v="38.200000000000003"/>
    <n v="2007"/>
    <s v="-"/>
    <s v="-"/>
    <m/>
    <s v="-"/>
    <s v="-"/>
    <m/>
    <s v="-"/>
    <s v="-"/>
    <s v="-"/>
    <s v="eng"/>
    <n v="0"/>
    <s v="-"/>
    <s v="-"/>
    <s v="-"/>
    <s v="-"/>
    <s v="-"/>
    <s v="-"/>
    <s v="-"/>
    <s v="-"/>
    <s v="-"/>
    <m/>
    <m/>
    <m/>
    <m/>
    <m/>
    <m/>
    <m/>
    <m/>
    <m/>
    <m/>
    <m/>
    <m/>
    <m/>
    <m/>
    <m/>
    <m/>
    <m/>
    <m/>
    <m/>
    <m/>
    <m/>
    <m/>
    <m/>
    <m/>
    <m/>
    <m/>
    <m/>
    <m/>
    <m/>
    <m/>
    <m/>
    <m/>
    <m/>
    <m/>
    <m/>
    <m/>
    <m/>
    <n v="2"/>
    <s v="common"/>
    <s v="F"/>
    <n v="1"/>
    <n v="1"/>
    <s v="-"/>
    <s v="-"/>
    <s v="-"/>
    <s v="-"/>
    <s v="-"/>
    <s v="F"/>
    <n v="27"/>
    <n v="3"/>
    <n v="11"/>
    <n v="13"/>
    <m/>
    <n v="0.74477827548980713"/>
    <n v="1.3230555057525635"/>
    <n v="-0.65382921695709229"/>
    <n v="-1.316985011100769"/>
    <n v="0.49187994003295898"/>
    <n v="-0.34834778308868408"/>
    <n v="137"/>
    <n v="0.30590000000000001"/>
    <n v="0.11763999999999999"/>
    <n v="3.9370000000000002E-2"/>
    <n v="0.17610999999999999"/>
    <n v="0.70220000000000005"/>
    <s v="-"/>
    <s v="-"/>
    <s v="-"/>
    <s v="-"/>
    <s v="-"/>
    <s v="-"/>
    <s v="-"/>
    <s v="-"/>
    <s v="-"/>
    <s v="-"/>
    <s v="-"/>
    <s v="-"/>
    <s v="-"/>
    <s v="-"/>
    <s v="-"/>
    <s v="-"/>
    <s v="-"/>
    <s v="-"/>
    <s v="-"/>
    <s v="-"/>
    <s v="-"/>
    <s v="-"/>
    <s v="-"/>
    <s v="-"/>
    <m/>
    <m/>
    <m/>
    <n v="1"/>
    <m/>
    <s v="IDA"/>
    <m/>
    <n v="1"/>
    <n v="2"/>
    <n v="8"/>
    <s v="D"/>
    <m/>
    <n v="1"/>
    <n v="0"/>
    <n v="0"/>
  </r>
  <r>
    <n v="185"/>
    <m/>
    <s v="Uganda"/>
    <x v="4"/>
    <x v="0"/>
    <s v="UGA"/>
    <s v="UG"/>
    <s v="http://www.ursb.go.ug"/>
    <s v="Min of Justice, Bureau of Births and Deaths Registration"/>
    <n v="1"/>
    <n v="1905"/>
    <n v="2"/>
    <s v="3 m"/>
    <s v="7500 US"/>
    <s v="http://www.immigration.go.ug"/>
    <s v="Directorate of Citizenship and Immigration Control, Min of Interior Affairs"/>
    <n v="2"/>
    <n v="2014"/>
    <s v="National ID Card"/>
    <x v="1"/>
    <n v="2"/>
    <n v="18"/>
    <s v="free"/>
    <n v="0"/>
    <n v="0"/>
    <m/>
    <n v="1"/>
    <n v="1"/>
    <m/>
    <s v="http://www.immigration.go.ug"/>
    <n v="2015"/>
    <n v="2"/>
    <s v="2B"/>
    <s v="C, H, R, S"/>
    <n v="0"/>
    <n v="0"/>
    <n v="15775"/>
    <n v="10"/>
    <s v="http://www.muhlbauer.com/29593/Solutions-Products/Solutions/ID-documents/index.aspx"/>
    <s v="-"/>
    <n v="0"/>
    <n v="0"/>
    <s v="http://www.immigration.go.ug/page/uganda-travel-document"/>
    <s v="Directorate of Citizenship and Immigration Control"/>
    <n v="1"/>
    <n v="2"/>
    <n v="2010"/>
    <n v="5"/>
    <s v="-"/>
    <n v="0"/>
    <s v="http://www.ursb.go.ug/"/>
    <n v="2012"/>
    <n v="1"/>
    <n v="1"/>
    <s v="https://www.ura.go.ug/xlsUpdRegistrationAction.do#"/>
    <n v="1991"/>
    <n v="1"/>
    <s v="C"/>
    <n v="0"/>
    <s v="-"/>
    <n v="2"/>
    <n v="1"/>
    <n v="39032.383000000002"/>
    <n v="50.023092364101885"/>
    <n v="19507.178"/>
    <n v="19525.205000000002"/>
    <n v="7277.92"/>
    <n v="49.513116384901181"/>
    <n v="3674.395"/>
    <n v="3603.5250000000001"/>
    <n v="6227.2860000000001"/>
    <n v="49.598139542651481"/>
    <n v="3138.6680000000001"/>
    <n v="3088.6179999999999"/>
    <n v="5265.723"/>
    <n v="49.701323066177238"/>
    <n v="2648.5889999999999"/>
    <n v="2617.134"/>
    <n v="20261.454000000005"/>
    <n v="50.420507827325714"/>
    <n v="10045.526"/>
    <n v="10215.928000000002"/>
    <n v="2015"/>
    <s v="http://esa.un.org/unpd/wpp/Download/Standard/Population/"/>
    <n v="29.9"/>
    <n v="29.9"/>
    <n v="29.9"/>
    <n v="38"/>
    <n v="28.7"/>
    <n v="2011"/>
    <s v="DHS"/>
    <n v="13954.129000000001"/>
    <n v="35.750133421267158"/>
    <n v="6973.8421617240738"/>
    <n v="6980.2868382759279"/>
    <n v="2011"/>
    <s v="http://www.idea.int/vt/countryview.cfm?id=229"/>
    <n v="18"/>
    <n v="18"/>
    <s v="UG2011"/>
    <n v="13954.129000000001"/>
    <n v="14954.434999999999"/>
    <n v="34612.25"/>
    <n v="1"/>
    <n v="4"/>
    <s v="CD"/>
    <x v="0"/>
    <n v="19465.746229000004"/>
    <n v="49.870760463177469"/>
    <n v="50.146776927470206"/>
    <n v="9704.3018902759268"/>
    <n v="9761.4443387240754"/>
    <n v="49.747338596469085"/>
    <n v="49.994068378406652"/>
    <n v="6307.3250000000044"/>
    <n v="51.299737396187318"/>
    <n v="3071.6838382759261"/>
    <n v="3235.6411617240738"/>
    <n v="8056.5993090000011"/>
    <n v="49.645414877861839"/>
    <n v="4056.8671570000006"/>
    <n v="3999.7321520000005"/>
    <n v="5101.8219200000003"/>
    <n v="49.513116384901181"/>
    <n v="2575.7508950000001"/>
    <n v="2526.0710250000002"/>
    <n v="70.100000000000009"/>
    <n v="70.100000000000009"/>
    <n v="37578.875999999997"/>
    <n v="49.866060389885"/>
    <n v="18184.969000000019"/>
    <n v="49.633703078296179"/>
    <n v="7114.9740000000002"/>
    <n v="49.573417935044056"/>
    <n v="78.375130910960948"/>
    <n v="15200"/>
    <n v="4193.9069999999756"/>
    <n v="49.866060389885"/>
    <n v="12747.663269000015"/>
    <n v="49.633703078296179"/>
    <n v="4986.577254611585"/>
    <n v="49.573417935044056"/>
    <n v="6170.8270000000002"/>
    <n v="16.420999999999999"/>
    <n v="38.139134349415407"/>
    <n v="31408.048999999999"/>
    <n v="83.579000000000008"/>
    <n v="42.581123074534169"/>
    <n v="18.929569956840993"/>
    <n v="16.021438958350483"/>
    <n v="13.440457077564663"/>
    <n v="48.391465992756203"/>
    <n v="49.184837247394"/>
    <n v="2.4236967598498702"/>
    <n v="29.9"/>
    <n v="29.9"/>
    <n v="29.9"/>
    <n v="38"/>
    <n v="28.7"/>
    <n v="2011"/>
    <n v="38.01"/>
    <n v="2009"/>
    <n v="13113.4979"/>
    <n v="24.5"/>
    <n v="2009"/>
    <n v="8454.7552250000008"/>
    <n v="24.5"/>
    <n v="2009"/>
    <n v="73.211883544921903"/>
    <s v="eng"/>
    <n v="2"/>
    <n v="2"/>
    <s v="-"/>
    <s v="Planned"/>
    <s v="-"/>
    <s v="-"/>
    <s v="CR Minister"/>
    <n v="0.21"/>
    <s v="-"/>
    <n v="1"/>
    <s v="-"/>
    <s v="-"/>
    <s v="-"/>
    <s v="P130471 (A)"/>
    <s v="-"/>
    <s v="P130471 (A)"/>
    <m/>
    <m/>
    <m/>
    <m/>
    <m/>
    <m/>
    <m/>
    <m/>
    <m/>
    <m/>
    <m/>
    <m/>
    <m/>
    <m/>
    <m/>
    <m/>
    <m/>
    <n v="1"/>
    <s v="NSIS (National Security Information System) (ID)"/>
    <n v="1"/>
    <s v="NVR (National Photo-Bearing Voters’ Register)"/>
    <m/>
    <m/>
    <m/>
    <m/>
    <n v="1"/>
    <s v="MTAC (Microcare Medical Acess Treatment Card)"/>
    <n v="1"/>
    <s v="MAP International banking/credit report"/>
    <m/>
    <m/>
    <n v="2"/>
    <s v="common"/>
    <s v="PF"/>
    <n v="6"/>
    <n v="4"/>
    <s v="PF"/>
    <n v="34"/>
    <n v="11"/>
    <n v="7"/>
    <n v="16"/>
    <s v="PF"/>
    <n v="58"/>
    <n v="19"/>
    <n v="24"/>
    <n v="15"/>
    <n v="7"/>
    <n v="-0.54907214641571045"/>
    <n v="-0.8406258225440979"/>
    <n v="-0.5801740288734436"/>
    <n v="-0.23669642210006714"/>
    <n v="-0.35707482695579529"/>
    <n v="-1.0506607294082642"/>
    <n v="156"/>
    <n v="0.25925999999999999"/>
    <n v="0.13725000000000001"/>
    <n v="0.14960000000000001"/>
    <n v="0.10108"/>
    <n v="0.52710000000000001"/>
    <n v="146"/>
    <n v="1.94"/>
    <n v="2.1800000000000002"/>
    <n v="0.83"/>
    <n v="3.66"/>
    <s v="Data Protection and Privacy Bill"/>
    <s v="http://www.nita.go.ug/sites/default/files/publications/Draft%20Data%20Protection%20and%20PrivacyBill%20-%20Revised%20PDF.pdf"/>
    <n v="2014"/>
    <s v="-"/>
    <s v="-"/>
    <s v="-"/>
    <s v="-"/>
    <s v="-"/>
    <n v="32"/>
    <n v="97"/>
    <n v="2005"/>
    <s v="http://www.rti-rating.org/files/pdf/Uganda.pdf"/>
    <n v="6"/>
    <n v="26"/>
    <n v="21"/>
    <n v="22"/>
    <n v="11"/>
    <n v="6"/>
    <n v="5"/>
    <m/>
    <m/>
    <m/>
    <m/>
    <m/>
    <s v="IDA"/>
    <s v="HIPC"/>
    <n v="0"/>
    <n v="16"/>
    <n v="64"/>
    <s v="B"/>
    <n v="1"/>
    <n v="2"/>
    <n v="0"/>
    <n v="0"/>
  </r>
  <r>
    <n v="186"/>
    <m/>
    <s v="Ukraine"/>
    <x v="1"/>
    <x v="3"/>
    <s v="UKR"/>
    <s v="UA"/>
    <s v="http://www.drsu.gov.ua"/>
    <s v="Rayon-level Civilian Registry Offices, Min of Justice"/>
    <n v="1"/>
    <n v="1784"/>
    <n v="2"/>
    <s v="30 d"/>
    <s v="free"/>
    <s v="http://dmsu.gov.ua/posluhy/pasport-gromadyanina-ukrajini"/>
    <s v="State Migration Service of Ukraine"/>
    <n v="2"/>
    <n v="1994"/>
    <s v="Ukrainian National Passport"/>
    <x v="1"/>
    <n v="2"/>
    <n v="16"/>
    <s v="free"/>
    <n v="1"/>
    <n v="1"/>
    <m/>
    <n v="1"/>
    <n v="1"/>
    <m/>
    <s v="http://www.odessatalk.com/2012/10/biometric-passports-and-id-cards-ukraine"/>
    <n v="2012"/>
    <n v="1"/>
    <n v="2"/>
    <s v="C"/>
    <n v="0"/>
    <n v="0"/>
    <s v="-"/>
    <n v="9"/>
    <s v="http://www.edaps.com/en/news/n1273 "/>
    <s v="-"/>
    <n v="0"/>
    <n v="0"/>
    <s v="http://dmsu.gov.ua/posluhy/pasport-gromadyanina-ukrajini"/>
    <s v="State Migration Service of Ukraine"/>
    <n v="2"/>
    <n v="2"/>
    <n v="2015"/>
    <n v="10"/>
    <s v="-"/>
    <n v="0"/>
    <s v="http://irc.gov.ua/en/reestr_edr"/>
    <n v="2011"/>
    <n v="1"/>
    <n v="1"/>
    <s v="http://en.wikipedia.org/wiki/VAT_identification_number"/>
    <n v="1998"/>
    <n v="1"/>
    <s v="C"/>
    <n v="0"/>
    <s v="-"/>
    <n v="3"/>
    <n v="1"/>
    <n v="44823.764999999999"/>
    <n v="53.686630295335526"/>
    <n v="20759.396000000001"/>
    <n v="24064.368999999999"/>
    <n v="2460.8829999999998"/>
    <n v="48.450332665144998"/>
    <n v="1268.577"/>
    <n v="1192.306"/>
    <n v="2393.3249999999998"/>
    <n v="48.545308305391039"/>
    <n v="1231.4780000000001"/>
    <n v="1161.847"/>
    <n v="1836.912"/>
    <n v="48.509672755145594"/>
    <n v="945.83199999999999"/>
    <n v="891.08"/>
    <n v="38132.645000000004"/>
    <n v="54.596621870840565"/>
    <n v="17313.509000000002"/>
    <n v="20819.135999999995"/>
    <n v="2015"/>
    <s v="http://esa.un.org/unpd/wpp/Download/Standard/Population/"/>
    <n v="99.8"/>
    <n v="99.9"/>
    <n v="99.7"/>
    <n v="99.7"/>
    <n v="100"/>
    <n v="2012"/>
    <s v="MICS"/>
    <n v="34670.813999999998"/>
    <n v="77.349178499396459"/>
    <n v="16057.222267436569"/>
    <n v="18613.591732563429"/>
    <n v="2014"/>
    <s v="http://www.idea.int/vt/countryview.cfm?id=228"/>
    <n v="16"/>
    <n v="18"/>
    <s v="UA2014"/>
    <n v="34670.813999999998"/>
    <n v="36363.25"/>
    <n v="44291.413"/>
    <n v="1"/>
    <n v="4"/>
    <s v="CD"/>
    <x v="1"/>
    <n v="3475.2132400000055"/>
    <n v="7.7530596548505137"/>
    <n v="63.745152122997858"/>
    <n v="1259.7326195634321"/>
    <n v="2215.2799664365662"/>
    <n v="6.0682527543837601"/>
    <n v="9.2056432746545998"/>
    <n v="3461.8310000000056"/>
    <n v="63.710339049958307"/>
    <n v="1256.2867325634325"/>
    <n v="2205.5442674365659"/>
    <n v="8.4604740000000085"/>
    <n v="72.794751216066615"/>
    <n v="2.1773099999997605"/>
    <n v="6.1587810000000056"/>
    <n v="4.9217660000000043"/>
    <n v="72.675498997717497"/>
    <n v="1.2685769999998602"/>
    <n v="3.5769180000000032"/>
    <n v="9.9999999999988987E-2"/>
    <n v="0.30000000000000027"/>
    <n v="45489.599999999999"/>
    <n v="53.920570855756047"/>
    <n v="6580.0413351855877"/>
    <n v="48.437751560551412"/>
    <n v="2532.4580000000001"/>
    <n v="48.593051171558002"/>
    <n v="89.104068999250288"/>
    <n v="34670"/>
    <n v="4239.5586648144099"/>
    <n v="53.920570855756047"/>
    <n v="13.160082670371187"/>
    <n v="48.437751560551412"/>
    <n v="4.9490714117477488"/>
    <n v="48.593051171558002"/>
    <n v="31516.105"/>
    <n v="69.281999999999996"/>
    <n v="53.920570855756047"/>
    <n v="13973.495000000001"/>
    <n v="30.718000000000004"/>
    <n v="53.920570855756047"/>
    <n v="5.4397833919706322"/>
    <n v="4.8547966751133185"/>
    <n v="4.1703547751657055"/>
    <n v="14.464935579089699"/>
    <n v="70.476423946211696"/>
    <n v="15.0586404746987"/>
    <n v="99.8"/>
    <n v="99.7"/>
    <n v="99.9"/>
    <n v="99.7"/>
    <n v="99"/>
    <n v="2012"/>
    <n v="0.02"/>
    <n v="2010"/>
    <n v="9"/>
    <n v="2.9"/>
    <n v="2008"/>
    <n v="1325.4769000000001"/>
    <n v="24.1"/>
    <n v="2010"/>
    <n v="99.730216979980497"/>
    <s v="ukr"/>
    <n v="0"/>
    <s v="-"/>
    <s v="-"/>
    <s v="-"/>
    <s v="-"/>
    <s v="-"/>
    <s v="-"/>
    <s v="-"/>
    <s v="-"/>
    <s v="-"/>
    <m/>
    <m/>
    <m/>
    <m/>
    <m/>
    <m/>
    <m/>
    <m/>
    <m/>
    <m/>
    <m/>
    <m/>
    <m/>
    <m/>
    <m/>
    <m/>
    <m/>
    <m/>
    <m/>
    <m/>
    <m/>
    <m/>
    <m/>
    <n v="2"/>
    <m/>
    <m/>
    <m/>
    <m/>
    <m/>
    <m/>
    <m/>
    <m/>
    <m/>
    <m/>
    <m/>
    <m/>
    <m/>
    <n v="1"/>
    <s v="civil"/>
    <s v="PF"/>
    <n v="4"/>
    <n v="3"/>
    <s v="PF"/>
    <n v="33"/>
    <n v="8"/>
    <n v="8"/>
    <n v="17"/>
    <s v="NF"/>
    <n v="63"/>
    <n v="19"/>
    <n v="24"/>
    <n v="20"/>
    <n v="7"/>
    <n v="-0.32557454705238342"/>
    <n v="-0.75779855251312256"/>
    <n v="-0.65008199214935303"/>
    <n v="-0.63841933012008667"/>
    <n v="-0.82528936862945557"/>
    <n v="-1.0917834043502808"/>
    <n v="87"/>
    <n v="0.50316000000000005"/>
    <n v="0.43136999999999998"/>
    <n v="0.26771"/>
    <n v="0.38016"/>
    <n v="0.86160000000000003"/>
    <n v="73"/>
    <n v="5.15"/>
    <n v="6.16"/>
    <n v="2.11"/>
    <n v="9.23"/>
    <s v="Law on Personal Data Protection"/>
    <s v="http://zpd.gov.ua/dszpd/en/publish/article/39178"/>
    <n v="2011"/>
    <n v="2012"/>
    <s v="Both"/>
    <s v="The State Service on Personal Data Protection"/>
    <s v="http://zpd.gov.ua/dszpd/en/publish/article/39559"/>
    <s v="-"/>
    <n v="11"/>
    <n v="115"/>
    <n v="2011"/>
    <s v="http://www.rti-rating.org/files/pdf/Ukraine.pdf"/>
    <n v="5"/>
    <n v="28"/>
    <n v="23"/>
    <n v="27"/>
    <n v="19"/>
    <n v="5"/>
    <n v="8"/>
    <m/>
    <m/>
    <m/>
    <m/>
    <m/>
    <s v="IBRD"/>
    <s v=""/>
    <n v="0"/>
    <n v="17"/>
    <n v="68"/>
    <s v="B"/>
    <m/>
    <n v="4"/>
    <n v="0"/>
    <n v="0"/>
  </r>
  <r>
    <n v="187"/>
    <m/>
    <s v="United Arab Emirates"/>
    <x v="2"/>
    <x v="2"/>
    <s v="ARE"/>
    <s v="AE"/>
    <s v="http://www.government.ae/en/web/guest/having-a-new-baby-in-the-uae"/>
    <s v="Min of Health"/>
    <n v="3"/>
    <n v="1971"/>
    <n v="2"/>
    <s v="30 d"/>
    <s v="50 AED"/>
    <s v="http://www.id.gov.ae/en/home.aspx "/>
    <s v="Emirates Identity Authority "/>
    <n v="6"/>
    <n v="2004"/>
    <s v="Emirates ID card"/>
    <x v="0"/>
    <n v="2"/>
    <s v="-"/>
    <s v="AED 30"/>
    <n v="1"/>
    <n v="1"/>
    <m/>
    <m/>
    <n v="1"/>
    <m/>
    <s v="http://www.id.gov.ae/en/emirates-id/about-emirates-id.aspx "/>
    <n v="2004"/>
    <n v="3"/>
    <s v="4B"/>
    <s v="C, E, F, H, S, R, T"/>
    <n v="1"/>
    <n v="1"/>
    <n v="17537"/>
    <n v="2"/>
    <s v="http://www.morpho.com/references/identity/identity-management-a-leading-edge-device-for-the-united-arab-emirates?lang=en"/>
    <s v="-"/>
    <n v="1"/>
    <n v="0"/>
    <s v="https://www.moieserv.ae/website/index-en.html"/>
    <s v="Ministry of Interior"/>
    <n v="2"/>
    <n v="2"/>
    <n v="2010"/>
    <n v="5"/>
    <n v="400"/>
    <n v="0"/>
    <s v="http://www.difc.ae/registration-and-setup"/>
    <n v="2004"/>
    <n v="1"/>
    <n v="2"/>
    <s v="http://www.dnrd.gov.ae/en/Rules_Reg/Pages/RuleDetails.aspx?RuleId=45"/>
    <n v="2006"/>
    <n v="2"/>
    <s v="C, F, P, R"/>
    <n v="1"/>
    <s v="https://difcportal.force.com/customers/signin"/>
    <n v="0"/>
    <n v="0"/>
    <n v="9156.9629999999997"/>
    <n v="26.741475312284212"/>
    <n v="6708.2560000000003"/>
    <n v="2448.7069999999999"/>
    <n v="491.34399999999999"/>
    <n v="48.946969943664719"/>
    <n v="250.846"/>
    <n v="240.49799999999999"/>
    <n v="431.84"/>
    <n v="49.015144497962211"/>
    <n v="220.173"/>
    <n v="211.667"/>
    <n v="353.065"/>
    <n v="48.64854913401215"/>
    <n v="181.304"/>
    <n v="171.761"/>
    <n v="7880.7140000000009"/>
    <n v="23.15502123284768"/>
    <n v="6055.933"/>
    <n v="1824.7809999999999"/>
    <n v="2015"/>
    <s v="http://esa.un.org/unpd/wpp/Download/Standard/Population/"/>
    <n v="100"/>
    <n v="100"/>
    <n v="100"/>
    <s v="–"/>
    <s v="–"/>
    <n v="2012"/>
    <s v="National Bureaux of Statistics"/>
    <n v="8264.07"/>
    <n v="90.249026888063213"/>
    <n v="6161.8419999999996"/>
    <n v="2102.2280000000001"/>
    <n v="2010"/>
    <s v="http://dataportal.fcsa.gov.ae/en"/>
    <s v="-"/>
    <n v="25"/>
    <s v="AE2015"/>
    <n v="224.279"/>
    <s v="-"/>
    <s v="-"/>
    <n v="20"/>
    <n v="6"/>
    <s v="CD"/>
    <x v="1"/>
    <n v="892.89300000000003"/>
    <n v="9.7509731119367853"/>
    <n v="38.804089627760533"/>
    <n v="546.41400000000067"/>
    <n v="346.47899999999981"/>
    <n v="8.1453957630716634"/>
    <n v="14.149467453639812"/>
    <n v="892.89300000000003"/>
    <n v="38.804089627760533"/>
    <n v="546.41400000000067"/>
    <n v="346.47899999999981"/>
    <n v="0"/>
    <n v="0"/>
    <n v="0"/>
    <n v="0"/>
    <n v="0"/>
    <n v="0"/>
    <n v="0"/>
    <n v="0"/>
    <n v="0"/>
    <n v="0"/>
    <n v="9346.1290000000008"/>
    <n v="29.92604745772287"/>
    <n v="1429.3559999999966"/>
    <n v="48.350743068495987"/>
    <n v="666.17399999999998"/>
    <n v="49.062467889370829"/>
    <n v="90.4"/>
    <n v="7156.762792000005"/>
    <n v="897.22838399999989"/>
    <n v="29.92604745772287"/>
    <n v="0"/>
    <n v="48.350743068495987"/>
    <n v="0"/>
    <n v="49.062467889370829"/>
    <n v="7935.8729999999996"/>
    <n v="84.910799999999995"/>
    <n v="29.92604745772287"/>
    <n v="1410.2560000000001"/>
    <n v="15.089200000000005"/>
    <n v="29.92604745772287"/>
    <n v="6.9153888593187025"/>
    <n v="4.8479441602029976"/>
    <n v="3.5302286250907375"/>
    <n v="15.293561644612399"/>
    <n v="84.288554116896904"/>
    <n v="0.41788423849060902"/>
    <n v="100"/>
    <n v="100"/>
    <n v="100"/>
    <n v="100"/>
    <n v="100"/>
    <n v="2012"/>
    <s v="-"/>
    <s v="-"/>
    <m/>
    <s v="-"/>
    <s v="-"/>
    <m/>
    <n v="19.5"/>
    <n v="2003"/>
    <n v="90.033843994140597"/>
    <s v="ara"/>
    <n v="0"/>
    <s v="-"/>
    <s v="-"/>
    <s v="-"/>
    <s v="-"/>
    <s v="-"/>
    <s v="-"/>
    <s v="-"/>
    <s v="-"/>
    <s v="-"/>
    <m/>
    <m/>
    <m/>
    <m/>
    <m/>
    <m/>
    <m/>
    <m/>
    <m/>
    <m/>
    <m/>
    <m/>
    <m/>
    <m/>
    <m/>
    <m/>
    <m/>
    <m/>
    <m/>
    <m/>
    <m/>
    <m/>
    <m/>
    <m/>
    <m/>
    <m/>
    <m/>
    <m/>
    <m/>
    <m/>
    <m/>
    <m/>
    <m/>
    <m/>
    <m/>
    <m/>
    <m/>
    <n v="3"/>
    <s v="civil + religious"/>
    <s v="NF"/>
    <n v="6"/>
    <n v="6"/>
    <s v="NF"/>
    <n v="67"/>
    <n v="14"/>
    <n v="22"/>
    <n v="31"/>
    <s v="NF"/>
    <n v="76"/>
    <n v="25"/>
    <n v="28"/>
    <n v="23"/>
    <n v="-8"/>
    <n v="-1.029416561126709"/>
    <n v="0.9181857705116272"/>
    <n v="1.1673915386199951"/>
    <n v="0.77827703952789307"/>
    <n v="0.64305514097213745"/>
    <n v="1.2931500673294067"/>
    <n v="32"/>
    <n v="0.71357999999999999"/>
    <n v="0.84313000000000005"/>
    <n v="0.88188"/>
    <n v="0.59319"/>
    <n v="0.66569999999999996"/>
    <n v="32"/>
    <n v="7.03"/>
    <n v="7.67"/>
    <n v="6.51"/>
    <n v="6.79"/>
    <s v="-"/>
    <s v="-"/>
    <s v="-"/>
    <s v="-"/>
    <s v="-"/>
    <s v="-"/>
    <s v="-"/>
    <s v="-"/>
    <s v="-"/>
    <s v="-"/>
    <s v="-"/>
    <s v="-"/>
    <s v="-"/>
    <s v="-"/>
    <s v="-"/>
    <s v="-"/>
    <s v="-"/>
    <s v="-"/>
    <s v="-"/>
    <m/>
    <m/>
    <m/>
    <m/>
    <n v="22.3"/>
    <s v=".."/>
    <s v=""/>
    <n v="0"/>
    <n v="21"/>
    <n v="84"/>
    <s v="A"/>
    <m/>
    <n v="6"/>
    <n v="0"/>
    <n v="0"/>
  </r>
  <r>
    <n v="188"/>
    <m/>
    <s v="United Kingdom"/>
    <x v="3"/>
    <x v="2"/>
    <s v="GBR"/>
    <s v="GB"/>
    <s v="https://www.gov.uk/register-birth"/>
    <s v="General Register Office"/>
    <n v="5"/>
    <n v="1837"/>
    <n v="2"/>
    <s v="42 d"/>
    <s v="free"/>
    <s v="-"/>
    <s v="-"/>
    <n v="0"/>
    <s v="-"/>
    <s v="-"/>
    <x v="2"/>
    <n v="0"/>
    <s v="-"/>
    <s v="-"/>
    <n v="0"/>
    <n v="0"/>
    <m/>
    <n v="1"/>
    <n v="1"/>
    <m/>
    <s v="-"/>
    <s v="-"/>
    <n v="0"/>
    <n v="0"/>
    <s v="-"/>
    <s v="-"/>
    <s v="-"/>
    <s v="-"/>
    <n v="0"/>
    <s v="-"/>
    <n v="3"/>
    <n v="0"/>
    <n v="0"/>
    <s v="https://www.gov.uk/government/organisations/hm-passport-office"/>
    <s v="HM Passport Office"/>
    <n v="2"/>
    <n v="2"/>
    <n v="2006"/>
    <n v="10"/>
    <n v="27000"/>
    <n v="1"/>
    <s v="http://www.companieshouse.gov.uk"/>
    <n v="2006"/>
    <n v="1"/>
    <n v="2"/>
    <s v="https://www.gov.uk/register-a-company-online"/>
    <n v="2006"/>
    <n v="2"/>
    <s v="C, F, P, R"/>
    <n v="1"/>
    <s v="https://ewf.companieshouse.gov.uk//runpage?page=welcome"/>
    <n v="3"/>
    <n v="1"/>
    <n v="64715.81"/>
    <n v="50.709735379963575"/>
    <n v="31898.594000000001"/>
    <n v="32817.216"/>
    <n v="4057.5459999999998"/>
    <n v="48.792176354870662"/>
    <n v="2077.7809999999999"/>
    <n v="1979.7650000000001"/>
    <n v="3975.355"/>
    <n v="48.857347331244625"/>
    <n v="2033.1020000000001"/>
    <n v="1942.2529999999999"/>
    <n v="3469.83"/>
    <n v="48.833977457108844"/>
    <n v="1775.374"/>
    <n v="1694.4559999999999"/>
    <n v="53213.078999999991"/>
    <n v="51.1166474693186"/>
    <n v="26012.337000000003"/>
    <n v="27200.742000000002"/>
    <n v="2015"/>
    <s v="http://esa.un.org/unpd/wpp/Download/Standard/Population/"/>
    <n v="100"/>
    <n v="100"/>
    <n v="100"/>
    <s v="–"/>
    <s v="–"/>
    <n v="2010"/>
    <s v="UNSD "/>
    <n v="46425.385999999999"/>
    <n v="71.737317357226928"/>
    <n v="22883.195610273346"/>
    <n v="23542.190389726657"/>
    <n v="2015"/>
    <s v="http://www.electoralcommission.org.uk/our-work/our-research/electoral-data"/>
    <s v="-"/>
    <n v="18"/>
    <s v="GB2015"/>
    <n v="46425.385999999999"/>
    <n v="50780.423000000003"/>
    <n v="64088.222000000002"/>
    <n v="1"/>
    <n v="4"/>
    <s v="CD"/>
    <x v="2"/>
    <n v="6787.692999999992"/>
    <n v="10.488461783913378"/>
    <n v="53.899780238637042"/>
    <n v="3129.1413897266575"/>
    <n v="3658.5516102733454"/>
    <n v="9.8096530202135472"/>
    <n v="11.148269281200896"/>
    <n v="6787.692999999992"/>
    <n v="53.899780238637042"/>
    <n v="3129.1413897266575"/>
    <n v="3658.5516102733454"/>
    <n v="0"/>
    <n v="0"/>
    <n v="0"/>
    <n v="0"/>
    <n v="0"/>
    <n v="0"/>
    <n v="0"/>
    <n v="0"/>
    <n v="0"/>
    <n v="0"/>
    <n v="64097.084999999999"/>
    <n v="50.722671709641709"/>
    <n v="11275.929001829132"/>
    <n v="48.701509240553214"/>
    <n v="3968.9349999999999"/>
    <n v="48.791092643757587"/>
    <n v="86.323366345066304"/>
    <n v="45597"/>
    <n v="7224.1559981708679"/>
    <n v="50.722671709641709"/>
    <n v="0"/>
    <n v="48.701509240553214"/>
    <n v="0"/>
    <n v="48.791092643757587"/>
    <n v="51207.673999999999"/>
    <n v="79.890799999999999"/>
    <n v="49.687324208477037"/>
    <n v="12889.411"/>
    <n v="20.109200000000001"/>
    <n v="58.396143935514203"/>
    <n v="6.1886602548222882"/>
    <n v="5.92228403292681"/>
    <n v="5.4810086068326127"/>
    <n v="17.591952897435402"/>
    <n v="64.917400482907894"/>
    <n v="17.490646619656701"/>
    <n v="100"/>
    <n v="100"/>
    <n v="100"/>
    <n v="100"/>
    <n v="100"/>
    <n v="2010"/>
    <s v="-"/>
    <s v="-"/>
    <m/>
    <s v="-"/>
    <s v="-"/>
    <m/>
    <n v="16.2"/>
    <n v="2011"/>
    <s v="-"/>
    <s v="eng"/>
    <n v="0"/>
    <s v="-"/>
    <s v="-"/>
    <s v="-"/>
    <s v="-"/>
    <s v="-"/>
    <s v="-"/>
    <s v="-"/>
    <s v="-"/>
    <s v="-"/>
    <m/>
    <m/>
    <m/>
    <m/>
    <m/>
    <m/>
    <m/>
    <m/>
    <m/>
    <m/>
    <m/>
    <m/>
    <m/>
    <m/>
    <m/>
    <m/>
    <m/>
    <m/>
    <m/>
    <m/>
    <m/>
    <m/>
    <m/>
    <n v="2"/>
    <m/>
    <m/>
    <m/>
    <m/>
    <m/>
    <m/>
    <m/>
    <m/>
    <m/>
    <m/>
    <m/>
    <m/>
    <m/>
    <n v="2"/>
    <s v="common"/>
    <s v="F"/>
    <n v="1"/>
    <n v="1"/>
    <s v="F"/>
    <n v="24"/>
    <n v="2"/>
    <n v="6"/>
    <n v="16"/>
    <s v="F"/>
    <n v="23"/>
    <n v="8"/>
    <n v="10"/>
    <n v="5"/>
    <n v="10"/>
    <n v="1.3169810771942139"/>
    <n v="0.48337709903717041"/>
    <n v="1.4710603952407837"/>
    <n v="1.765687108039856"/>
    <n v="1.6732847690582275"/>
    <n v="1.681486964225769"/>
    <n v="8"/>
    <n v="0.86948000000000003"/>
    <n v="0.96077999999999997"/>
    <n v="0.89763000000000004"/>
    <n v="0.85340000000000005"/>
    <n v="0.85740000000000005"/>
    <n v="5"/>
    <n v="8.5"/>
    <n v="9.18"/>
    <n v="7.88"/>
    <n v="8.41"/>
    <s v="Data Protection Act 1998"/>
    <s v="http://www.legislation.gov.uk/ukpga/1998/29/contents"/>
    <n v="1984"/>
    <n v="2000"/>
    <s v="Both"/>
    <s v="Information Commissioner"/>
    <s v="https://ico.org.uk/about-the-ico/"/>
    <s v="ICDPPC; EDPA; A29WP; GPEN; BIIDPA"/>
    <n v="29"/>
    <n v="99"/>
    <n v="2000"/>
    <s v="http://www.legislation.gov.uk/ukpga/2000/36/contents"/>
    <n v="2"/>
    <n v="25"/>
    <n v="20"/>
    <n v="12"/>
    <n v="23"/>
    <n v="7"/>
    <n v="10"/>
    <s v="EU"/>
    <s v="OECD"/>
    <m/>
    <m/>
    <m/>
    <s v=".."/>
    <s v=""/>
    <n v="0"/>
    <n v="14"/>
    <n v="56.000000000000007"/>
    <s v="B"/>
    <m/>
    <n v="1"/>
    <n v="2"/>
    <n v="0"/>
  </r>
  <r>
    <n v="189"/>
    <m/>
    <s v="United States of America"/>
    <x v="3"/>
    <x v="2"/>
    <s v="USA"/>
    <s v="US"/>
    <s v="http://www.cdc.gov/nchs/nvss.htm"/>
    <s v="Counties in States / U.S. Public Health Service (for vital statistics) - Vital Records US"/>
    <n v="5"/>
    <n v="1946"/>
    <n v="1"/>
    <s v="-"/>
    <s v="free"/>
    <s v="-"/>
    <s v="-"/>
    <n v="0"/>
    <n v="2010"/>
    <s v="Social Security Number / New Green Card"/>
    <x v="1"/>
    <n v="1"/>
    <s v="-"/>
    <s v="free"/>
    <n v="0"/>
    <n v="0"/>
    <m/>
    <n v="1"/>
    <n v="1"/>
    <m/>
    <s v="http://www.hidglobal.com/government/citizen-id/united-states"/>
    <n v="2010"/>
    <n v="1"/>
    <s v="2B"/>
    <s v="C"/>
    <n v="0"/>
    <n v="0"/>
    <s v="-"/>
    <n v="7"/>
    <s v="http://www.hidglobal.com/sites/hidglobal.com/files/resource_files/hid-gov-id-usa-cs-en.pdf"/>
    <s v="-"/>
    <n v="0"/>
    <n v="0"/>
    <s v="http://travel.state.gov/content/passports/english.html/"/>
    <s v="Bureau of Consular Affairs"/>
    <n v="2"/>
    <n v="2"/>
    <n v="2006"/>
    <n v="10"/>
    <n v="72000"/>
    <n v="0"/>
    <s v="http://webarchive.nationalarchives.gov.uk/20140711134921/http://www.companieshouse.gov.uk/links/usaLink.shtml"/>
    <n v="2002"/>
    <n v="1"/>
    <n v="2"/>
    <s v="http://www.irs.gov/Businesses/Small-Businesses-&amp;-Self-Employed/Employer-ID-Numbers-EINs"/>
    <n v="1974"/>
    <n v="1"/>
    <s v="C"/>
    <n v="0"/>
    <s v="-"/>
    <n v="3"/>
    <n v="1"/>
    <n v="321773.63099999999"/>
    <n v="50.432926556371548"/>
    <n v="159493.772"/>
    <n v="162279.859"/>
    <n v="19701.274000000001"/>
    <n v="48.88226517736873"/>
    <n v="10070.844999999999"/>
    <n v="9630.4290000000001"/>
    <n v="20633.331999999999"/>
    <n v="48.969734989966724"/>
    <n v="10529.244000000001"/>
    <n v="10104.088"/>
    <n v="20642.609"/>
    <n v="48.950149663736788"/>
    <n v="10538.021000000001"/>
    <n v="10104.588"/>
    <n v="260796.41600000003"/>
    <n v="50.783195578884033"/>
    <n v="128355.66199999998"/>
    <n v="132440.75400000002"/>
    <n v="2015"/>
    <s v="http://esa.un.org/unpd/wpp/Download/Standard/Population/"/>
    <n v="100"/>
    <n v="100"/>
    <n v="100"/>
    <s v="–"/>
    <s v="–"/>
    <n v="2009"/>
    <s v="UNSD "/>
    <n v="219941"/>
    <n v="68.352710977737019"/>
    <n v="105299"/>
    <n v="114642"/>
    <n v="2015"/>
    <s v="http://www.census.gov/hhes/www/socdemo/voting/publications/p20/2014/tables.html"/>
    <s v="-"/>
    <n v="18"/>
    <s v="US2014"/>
    <n v="190669.639"/>
    <n v="245712.91500000001"/>
    <n v="318892.103"/>
    <n v="10"/>
    <n v="4"/>
    <s v="CD"/>
    <x v="2"/>
    <n v="40855.416000000027"/>
    <n v="12.696943460851839"/>
    <n v="43.56522523231682"/>
    <n v="23056.661999999982"/>
    <n v="17798.754000000015"/>
    <n v="14.456151930496686"/>
    <n v="10.967937801819273"/>
    <n v="40855.416000000027"/>
    <n v="43.56522523231682"/>
    <n v="23056.661999999982"/>
    <n v="17798.754000000015"/>
    <n v="0"/>
    <n v="0"/>
    <n v="0"/>
    <n v="0"/>
    <n v="0"/>
    <n v="0"/>
    <n v="0"/>
    <n v="0"/>
    <n v="0"/>
    <n v="0"/>
    <n v="316128.83899999998"/>
    <n v="50.791839652439933"/>
    <n v="61794.051395022936"/>
    <n v="48.92048967514377"/>
    <n v="20784.749"/>
    <n v="48.882232076710295"/>
    <n v="10.222746264809905"/>
    <n v="26000"/>
    <n v="228334.78760497706"/>
    <n v="50.791839652439933"/>
    <n v="0"/>
    <n v="48.92048967514377"/>
    <n v="0"/>
    <n v="48.882232076710295"/>
    <n v="261963.32399999999"/>
    <n v="82.866"/>
    <n v="48.691806949281194"/>
    <n v="54165.514999999999"/>
    <n v="17.134"/>
    <n v="56.868437418161719"/>
    <n v="6.501210281694962"/>
    <n v="6.4800036427578531"/>
    <n v="6.5658957905200728"/>
    <n v="19.547109839929199"/>
    <n v="66.491421315864201"/>
    <n v="13.9614688442066"/>
    <n v="100"/>
    <n v="100"/>
    <n v="100"/>
    <n v="100"/>
    <n v="100"/>
    <n v="2009"/>
    <s v="-"/>
    <s v="-"/>
    <m/>
    <s v="-"/>
    <s v="-"/>
    <m/>
    <n v="15.1"/>
    <n v="2010"/>
    <s v="-"/>
    <s v="eng"/>
    <n v="0"/>
    <s v="-"/>
    <s v="-"/>
    <s v="-"/>
    <s v="-"/>
    <s v="-"/>
    <s v="-"/>
    <s v="-"/>
    <s v="-"/>
    <s v="-"/>
    <m/>
    <m/>
    <m/>
    <m/>
    <m/>
    <m/>
    <m/>
    <m/>
    <m/>
    <m/>
    <m/>
    <m/>
    <m/>
    <m/>
    <m/>
    <m/>
    <m/>
    <m/>
    <m/>
    <m/>
    <m/>
    <m/>
    <m/>
    <n v="2"/>
    <m/>
    <m/>
    <m/>
    <m/>
    <m/>
    <m/>
    <m/>
    <m/>
    <m/>
    <m/>
    <m/>
    <m/>
    <m/>
    <n v="2"/>
    <s v="common"/>
    <s v="F"/>
    <n v="1"/>
    <n v="1"/>
    <s v="F"/>
    <n v="19"/>
    <n v="4"/>
    <n v="2"/>
    <n v="13"/>
    <s v="F"/>
    <n v="21"/>
    <n v="6"/>
    <n v="10"/>
    <n v="5"/>
    <n v="10"/>
    <n v="1.0757720470428467"/>
    <n v="0.60816466808319092"/>
    <n v="1.5015720129013062"/>
    <n v="1.2578444480895996"/>
    <n v="1.5356947183609009"/>
    <n v="1.2826782464981079"/>
    <n v="7"/>
    <n v="0.87483"/>
    <n v="0.92156000000000005"/>
    <n v="0.94488000000000005"/>
    <n v="0.74058999999999997"/>
    <n v="0.93899999999999995"/>
    <n v="14"/>
    <n v="8.02"/>
    <n v="7.78"/>
    <n v="7.5"/>
    <n v="9.56"/>
    <s v="Privacy Act of 1974"/>
    <s v="http://www.gpo.gov/fdsys/pkg/USCODE-2012-title5/pdf/USCODE-2012-title5-partI-chap5-subchapII-sec552a.pdf"/>
    <n v="1974"/>
    <s v="-"/>
    <s v="Pub"/>
    <s v="Federal Trade Commission"/>
    <s v="http://www.ftc.gov/about-ftc"/>
    <s v="ICDPPC; GPEN; APPA; APEC CPEA"/>
    <n v="44"/>
    <n v="89"/>
    <n v="1966"/>
    <s v="http://www.rti-rating.org/files/pdf/United%20States%20of%20America.pdf"/>
    <n v="4"/>
    <n v="18"/>
    <n v="19"/>
    <n v="16"/>
    <n v="14"/>
    <n v="4"/>
    <n v="14"/>
    <s v="AME"/>
    <s v="OECD"/>
    <s v="APEC"/>
    <m/>
    <m/>
    <s v=".."/>
    <s v=""/>
    <n v="0"/>
    <n v="16"/>
    <n v="64"/>
    <s v="B"/>
    <m/>
    <n v="3"/>
    <n v="2"/>
    <n v="0"/>
  </r>
  <r>
    <n v="190"/>
    <m/>
    <s v="Uruguay"/>
    <x v="5"/>
    <x v="2"/>
    <s v="URY"/>
    <s v="UY"/>
    <s v="http://tramites.gub.uy/ampliados?id=99"/>
    <s v="Dirección General de Registro del Estado Civil (DGREC), Ministerio de Educacion y Cultura"/>
    <n v="6"/>
    <n v="1879"/>
    <n v="2"/>
    <s v="10 d"/>
    <s v="free"/>
    <s v="https://www.minterior.gub.uy/webs/dnic "/>
    <s v="DNIC (National Civil Identification)"/>
    <n v="2"/>
    <n v="1989"/>
    <s v="National ID Card"/>
    <x v="0"/>
    <n v="2"/>
    <s v="-"/>
    <s v="UYU$ 108 ($5.19) std. UYU$ 216 ($10.38) urgent"/>
    <n v="1"/>
    <n v="1"/>
    <m/>
    <n v="1"/>
    <n v="1"/>
    <m/>
    <s v="http://uruguay.isigmaglobal.com/2011/04/18/hola-mundo/"/>
    <n v="2011"/>
    <n v="3"/>
    <s v="4B"/>
    <s v="C, E, F, H, S"/>
    <n v="1"/>
    <n v="1"/>
    <s v="-"/>
    <n v="1"/>
    <s v="http://uruguay.isigmaglobal.com/2011/04/18/hola-mundo"/>
    <s v="-"/>
    <n v="1"/>
    <n v="0"/>
    <s v="http://tramites.gub.uy/ampliados?id=605"/>
    <s v="DNIC"/>
    <n v="1"/>
    <n v="2"/>
    <n v="2012"/>
    <n v="5"/>
    <s v="-"/>
    <n v="1"/>
    <s v="http://empresas.gub.uy/"/>
    <n v="2010"/>
    <n v="1"/>
    <n v="2"/>
    <s v="http://agesic.gub.uy/"/>
    <n v="2006"/>
    <n v="2"/>
    <s v="C, P"/>
    <n v="1"/>
    <s v="http://agesic.gub.uy/"/>
    <n v="3"/>
    <n v="1"/>
    <n v="3431.5549999999998"/>
    <n v="51.730367136764535"/>
    <n v="1656.3989999999999"/>
    <n v="1775.1559999999999"/>
    <n v="240.761"/>
    <n v="48.951865127657719"/>
    <n v="122.904"/>
    <n v="117.857"/>
    <n v="244.60300000000001"/>
    <n v="48.850586460509476"/>
    <n v="125.113"/>
    <n v="119.49"/>
    <n v="249.50299999999999"/>
    <n v="48.940493701478545"/>
    <n v="127.395"/>
    <n v="122.108"/>
    <n v="2696.6879999999996"/>
    <n v="52.497767631998961"/>
    <n v="1280.9869999999999"/>
    <n v="1415.701"/>
    <n v="2015"/>
    <s v="http://esa.un.org/unpd/wpp/Download/Standard/Population/"/>
    <n v="100"/>
    <n v="100"/>
    <n v="100"/>
    <s v="–"/>
    <s v="–"/>
    <n v="2012"/>
    <s v="Vital registration "/>
    <n v="2620.7910000000002"/>
    <n v="76.373276838051567"/>
    <n v="1265.0461938127175"/>
    <n v="1355.7448061872826"/>
    <n v="2014"/>
    <s v="http://www.corteelectoral.gub.uy/gxpsites/page.aspx?3,26,294,O,S,0,"/>
    <s v="-"/>
    <n v="18"/>
    <s v="UY2014"/>
    <n v="2620.7910000000002"/>
    <n v="2389.6390000000001"/>
    <n v="3332.9720000000002"/>
    <n v="1"/>
    <n v="6"/>
    <s v="CD"/>
    <x v="1"/>
    <n v="75.89699999999948"/>
    <n v="2.2117378273115098"/>
    <n v="78.996790140213463"/>
    <n v="15.940806187282305"/>
    <n v="59.956193812717402"/>
    <n v="0.96237719216700246"/>
    <n v="3.3775168950062642"/>
    <n v="75.89699999999948"/>
    <n v="78.996790140213463"/>
    <n v="15.940806187282305"/>
    <n v="59.956193812717402"/>
    <n v="0"/>
    <n v="0"/>
    <n v="0"/>
    <n v="0"/>
    <n v="0"/>
    <n v="0"/>
    <n v="0"/>
    <n v="0"/>
    <n v="0"/>
    <n v="0"/>
    <n v="3407.0619999999999"/>
    <n v="51.695067480427412"/>
    <n v="744.38500000000101"/>
    <n v="48.896096328304424"/>
    <n v="243.99100000000001"/>
    <n v="48.883404059743896"/>
    <n v="76.899099576115731"/>
    <n v="2620"/>
    <n v="787.06200000000001"/>
    <n v="51.695067480427412"/>
    <n v="0"/>
    <n v="48.896096328304424"/>
    <n v="0"/>
    <n v="48.883404059743896"/>
    <n v="3159.232"/>
    <n v="92.725999999999999"/>
    <n v="52.533906974859711"/>
    <n v="247.83"/>
    <n v="7.2740000000000009"/>
    <n v="87.531372311665251"/>
    <n v="7.1561653982947186"/>
    <n v="7.2367333443491288"/>
    <n v="7.4553975313893224"/>
    <n v="21.848296274033199"/>
    <n v="64.032794237381097"/>
    <n v="14.1189094885858"/>
    <n v="100"/>
    <n v="100"/>
    <n v="100"/>
    <n v="100"/>
    <n v="100"/>
    <n v="2012"/>
    <n v="0.2"/>
    <n v="2010"/>
    <n v="7"/>
    <n v="13.7"/>
    <n v="2011"/>
    <n v="461.49751499999996"/>
    <n v="18.600000000000001"/>
    <n v="2010"/>
    <n v="98.395942687988295"/>
    <s v="spa"/>
    <n v="0"/>
    <s v="-"/>
    <s v="-"/>
    <s v="-"/>
    <s v="-"/>
    <s v="-"/>
    <s v="-"/>
    <s v="-"/>
    <s v="-"/>
    <n v="1"/>
    <s v="-"/>
    <s v="-"/>
    <s v="-"/>
    <s v="P097604 (A)"/>
    <s v="-"/>
    <s v="-"/>
    <n v="3241003"/>
    <n v="2005"/>
    <n v="91.8"/>
    <n v="8.1999999999999993"/>
    <n v="20.5"/>
    <s v="12.9 %"/>
    <n v="96.8"/>
    <s v="esp"/>
    <s v="&lt; 2 %"/>
    <s v="?"/>
    <n v="4"/>
    <s v="10 d"/>
    <s v="-"/>
    <s v="Cédula de Identidad"/>
    <s v="UYU$ 108 ($5.19) std. UYU$ 216 ($10.38) urgent"/>
    <s v="yes"/>
    <s v="http://www.uruguay.gub.uy/dgrec/usuario/form_login.asp"/>
    <n v="1"/>
    <s v="National ID"/>
    <m/>
    <m/>
    <m/>
    <m/>
    <m/>
    <m/>
    <m/>
    <m/>
    <m/>
    <m/>
    <m/>
    <m/>
    <n v="1"/>
    <s v="civil"/>
    <s v="F"/>
    <n v="1"/>
    <n v="1"/>
    <s v="-"/>
    <s v="-"/>
    <s v="-"/>
    <s v="-"/>
    <s v="-"/>
    <s v="F"/>
    <n v="26"/>
    <n v="8"/>
    <n v="10"/>
    <n v="8"/>
    <n v="10"/>
    <n v="1.0664023160934448"/>
    <n v="0.80878651142120361"/>
    <n v="0.40524104237556458"/>
    <n v="0.52224761247634888"/>
    <n v="0.50333994626998901"/>
    <n v="1.3355363607406616"/>
    <n v="26"/>
    <n v="0.74195"/>
    <n v="0.98038999999999998"/>
    <n v="0.85038999999999998"/>
    <n v="0.56069999999999998"/>
    <n v="0.81479999999999997"/>
    <n v="48"/>
    <n v="6.32"/>
    <n v="7.05"/>
    <n v="4.5599999999999996"/>
    <n v="8.39"/>
    <s v="Law on the Protection of Personal Data"/>
    <s v="http://www.parlamento.gub.uy/leyes/AccesoTextoLey.asp?Ley=18381&amp;Anchor="/>
    <n v="2008"/>
    <n v="2008"/>
    <s v="Both"/>
    <s v="Regulatory and Control Unit of Personal Data"/>
    <s v="http://datospersonales.gub.uy/inicio/institucional/que-es-la-urcdp/"/>
    <s v="ICDPPC; RedIPD"/>
    <n v="42"/>
    <n v="91"/>
    <n v="2008"/>
    <s v="http://www.rti-rating.org/files/pdf/Uruguay.pdf"/>
    <n v="3"/>
    <n v="28"/>
    <n v="15"/>
    <n v="20"/>
    <n v="11"/>
    <n v="2"/>
    <n v="12"/>
    <m/>
    <m/>
    <m/>
    <m/>
    <m/>
    <s v="IBRD"/>
    <s v=""/>
    <n v="0"/>
    <n v="24"/>
    <n v="96"/>
    <s v="A"/>
    <m/>
    <n v="6"/>
    <n v="0"/>
    <n v="0"/>
  </r>
  <r>
    <n v="191"/>
    <m/>
    <s v="Uzbekistan"/>
    <x v="1"/>
    <x v="3"/>
    <s v="UZB"/>
    <s v="UZ"/>
    <s v="http://www.gov.uz/ru/services/register/2137"/>
    <s v="Rayon- and Oblast-level Registry Offices, records sent to State Statistics Dept"/>
    <n v="6"/>
    <n v="1992"/>
    <n v="2"/>
    <s v="30 d"/>
    <s v="free"/>
    <s v="http://www.landinfo.no/asset/2380/1/2380_1.pdf "/>
    <s v="Department of the Interior and local authorities "/>
    <n v="2"/>
    <n v="1995"/>
    <s v="National Passport"/>
    <x v="1"/>
    <n v="2"/>
    <n v="16"/>
    <s v="free"/>
    <n v="0"/>
    <n v="0"/>
    <m/>
    <m/>
    <m/>
    <m/>
    <s v="http://www.businesswire.com/news/home/20130513005913/en/Oberthur-Technologies-Successfully-Delivered-End-to-End-ePassport-Solution#.VKHMYmowAA "/>
    <n v="2013"/>
    <n v="2"/>
    <n v="2"/>
    <s v="C, E, F, H, T"/>
    <n v="0"/>
    <n v="0"/>
    <n v="5000"/>
    <n v="3"/>
    <s v="http://www.businesswire.com/news/home/20130513005913/en/Oberthur-Technologies-Successfully-Delivered-End-to-End-ePassport-Solution#.VKHMYmowAA "/>
    <s v="-"/>
    <n v="0"/>
    <n v="0"/>
    <s v="https://my.gov.uz/en/service/166"/>
    <s v="Ministry of Foreign Affairs"/>
    <n v="2"/>
    <n v="3"/>
    <n v="2011"/>
    <n v="5"/>
    <n v="5000"/>
    <n v="0"/>
    <s v="http://stat.uz/egrpo/egrpo_about/index.php"/>
    <n v="2011"/>
    <n v="1"/>
    <n v="2"/>
    <s v="https://www.id.uz/info/13"/>
    <n v="2006"/>
    <n v="2"/>
    <s v="C, F, P, R, O"/>
    <n v="1"/>
    <s v="https://www.id.uz/"/>
    <n v="0"/>
    <n v="1"/>
    <n v="29893.488000000001"/>
    <n v="50.827257093585068"/>
    <n v="14699.448"/>
    <n v="15194.04"/>
    <n v="3194.9349999999999"/>
    <n v="48.888255942609163"/>
    <n v="1632.9870000000001"/>
    <n v="1561.9480000000001"/>
    <n v="2838.3969999999999"/>
    <n v="48.934204764167944"/>
    <n v="1449.45"/>
    <n v="1388.9469999999999"/>
    <n v="2492.2660000000001"/>
    <n v="49.00106970925254"/>
    <n v="1271.029"/>
    <n v="1221.2370000000001"/>
    <n v="21367.89"/>
    <n v="51.581639553554425"/>
    <n v="10345.981999999998"/>
    <n v="11021.907999999999"/>
    <n v="2015"/>
    <s v="http://esa.un.org/unpd/wpp/Download/Standard/Population/"/>
    <n v="99.9"/>
    <n v="99.9"/>
    <n v="100"/>
    <n v="100"/>
    <n v="99.9"/>
    <n v="2006"/>
    <s v="MICS"/>
    <n v="20798.52"/>
    <n v="69.57542057320309"/>
    <n v="10227.202767939292"/>
    <n v="10571.31723206071"/>
    <n v="2015"/>
    <s v="http://www.idea.int/vt/countryview.cfm?id=233"/>
    <n v="16"/>
    <n v="18"/>
    <s v="UZ2015"/>
    <n v="20798.52"/>
    <n v="19248"/>
    <n v="30492.799999999999"/>
    <n v="1"/>
    <n v="4"/>
    <s v="CD"/>
    <x v="1"/>
    <n v="577.89559799999802"/>
    <n v="1.9331822301900601"/>
    <n v="77.970963872836236"/>
    <n v="123.13269806070542"/>
    <n v="450.59076793928944"/>
    <n v="0.8376688570938543"/>
    <n v="2.9655757648346945"/>
    <n v="569.36999999999898"/>
    <n v="79.138480766336514"/>
    <n v="118.77923206070591"/>
    <n v="450.59076793928944"/>
    <n v="5.3306629999994133"/>
    <n v="0"/>
    <n v="2.7204789999997008"/>
    <n v="0"/>
    <n v="3.1949349999996479"/>
    <n v="0"/>
    <n v="1.6329869999998203"/>
    <n v="0"/>
    <n v="9.9999999999988987E-2"/>
    <n v="0"/>
    <n v="30241.1"/>
    <n v="50.262030812371236"/>
    <n v="8650.9935499086805"/>
    <n v="49.0678708377026"/>
    <n v="2976.6909999999998"/>
    <n v="49.134349099665201"/>
    <n v="79.73559574518535"/>
    <n v="17215"/>
    <n v="4375.1064500913171"/>
    <n v="50.262030812371236"/>
    <n v="8.650993549907728"/>
    <n v="49.0678708377026"/>
    <n v="3.0711907897212432"/>
    <n v="49.134349099665201"/>
    <n v="10988.406000000001"/>
    <n v="36.335999999999999"/>
    <n v="42.618064894944723"/>
    <n v="19252.694"/>
    <n v="63.664000000000001"/>
    <n v="40.715740872420241"/>
    <n v="10.155684779064192"/>
    <n v="9.4069695980958272"/>
    <n v="9.0440894251487602"/>
    <n v="28.6067423139657"/>
    <n v="67.1215094216506"/>
    <n v="4.2717482643836702"/>
    <n v="99.9"/>
    <n v="99"/>
    <n v="99.9"/>
    <n v="99"/>
    <n v="99.9"/>
    <n v="2006"/>
    <s v="-"/>
    <s v="-"/>
    <m/>
    <s v="-"/>
    <s v="-"/>
    <m/>
    <n v="17"/>
    <n v="2011"/>
    <n v="99.476913452148395"/>
    <s v="uzb"/>
    <n v="3"/>
    <n v="3"/>
    <s v="-"/>
    <s v="-"/>
    <s v="-"/>
    <s v="-"/>
    <s v="Through UNESCAP in 2-14"/>
    <n v="1"/>
    <n v="0.81"/>
    <s v="-"/>
    <m/>
    <m/>
    <m/>
    <m/>
    <m/>
    <m/>
    <m/>
    <m/>
    <m/>
    <m/>
    <m/>
    <m/>
    <m/>
    <m/>
    <m/>
    <m/>
    <m/>
    <m/>
    <m/>
    <m/>
    <m/>
    <m/>
    <m/>
    <m/>
    <m/>
    <m/>
    <m/>
    <m/>
    <m/>
    <m/>
    <m/>
    <m/>
    <m/>
    <m/>
    <m/>
    <m/>
    <m/>
    <n v="1"/>
    <s v="civil"/>
    <s v="NF"/>
    <n v="7"/>
    <n v="7"/>
    <s v="NF"/>
    <n v="79"/>
    <n v="20"/>
    <n v="28"/>
    <n v="31"/>
    <s v="NF"/>
    <n v="95"/>
    <n v="30"/>
    <n v="37"/>
    <n v="28"/>
    <n v="-9"/>
    <n v="-1.9435014724731445"/>
    <n v="-0.54892224073410034"/>
    <n v="-0.93606066703796387"/>
    <n v="-1.631834864616394"/>
    <n v="-1.2041685581207275"/>
    <n v="-1.2260184288024902"/>
    <n v="100"/>
    <n v="0.46950999999999998"/>
    <n v="0.47058"/>
    <n v="0.44880999999999999"/>
    <n v="0.23333999999999999"/>
    <n v="0.72640000000000005"/>
    <n v="115"/>
    <n v="3.4"/>
    <n v="2.95"/>
    <n v="2.09"/>
    <n v="6.94"/>
    <s v="-"/>
    <s v="-"/>
    <s v="-"/>
    <s v="-"/>
    <s v="-"/>
    <s v="-"/>
    <s v="-"/>
    <s v="-"/>
    <n v="93"/>
    <n v="59"/>
    <n v="1997"/>
    <s v="http://www.medialaw.ru/exussrlaw/l/uz/dostup.htm"/>
    <n v="3"/>
    <n v="25"/>
    <n v="10"/>
    <n v="13"/>
    <n v="7"/>
    <n v="1"/>
    <n v="0"/>
    <m/>
    <m/>
    <m/>
    <m/>
    <n v="40.200000000000003"/>
    <s v="Blend"/>
    <s v=""/>
    <n v="0"/>
    <n v="18"/>
    <n v="72"/>
    <s v="B"/>
    <m/>
    <n v="4"/>
    <n v="0"/>
    <n v="0"/>
  </r>
  <r>
    <n v="192"/>
    <m/>
    <s v="Vanuatu"/>
    <x v="6"/>
    <x v="3"/>
    <s v="VUT"/>
    <s v="VU"/>
    <s v="https://governmentofvanuatu.gov.vu/internal-affairs.html"/>
    <s v="Civil Registration Dept (Civil Status Office), Min of Internal Affairs"/>
    <n v="2"/>
    <n v="1971"/>
    <n v="2"/>
    <s v="21 d"/>
    <s v="free"/>
    <s v="http://www.radioaustralia.net.au/international/2005-10-17/vanuatu-mp-proposes-plans-for-a-national-identity-card/756152 "/>
    <s v="-"/>
    <n v="0"/>
    <s v="-"/>
    <s v="-"/>
    <x v="2"/>
    <n v="0"/>
    <s v="-"/>
    <s v="-"/>
    <n v="0"/>
    <n v="0"/>
    <m/>
    <m/>
    <m/>
    <m/>
    <s v="-"/>
    <s v="-"/>
    <n v="0"/>
    <n v="0"/>
    <s v="-"/>
    <s v="-"/>
    <s v="-"/>
    <s v="-"/>
    <n v="0"/>
    <s v="-"/>
    <s v="-"/>
    <n v="0"/>
    <n v="0"/>
    <s v="https://parliament.gov.vu/Acts/Official%20Gazettes/Extra%20Ordinary%20Gazettes/2009%20-%20Extraordinary%20Gazettes/Extraordinary%20Gazette%20Numero%20Special%20No.%2011%20of%202009%20(dated%2017%20August%202009).pdf"/>
    <s v="Principal Passport Officer"/>
    <n v="0"/>
    <n v="2"/>
    <n v="2010"/>
    <n v="5"/>
    <s v="-"/>
    <n v="0"/>
    <s v="http://vfsc.vu/index.php/services/forming-a-company"/>
    <n v="2004"/>
    <n v="1"/>
    <n v="0"/>
    <s v="http://www.vfsc.vu/Download/laws/international_companies_act.pdf"/>
    <n v="1993"/>
    <n v="1"/>
    <s v="C"/>
    <n v="0"/>
    <s v="-"/>
    <n v="3"/>
    <n v="0"/>
    <n v="264.65199999999999"/>
    <n v="49.346689237186951"/>
    <n v="134.05500000000001"/>
    <n v="130.59700000000001"/>
    <n v="34.768000000000001"/>
    <n v="48.282903819604229"/>
    <n v="17.981000000000002"/>
    <n v="16.786999999999999"/>
    <n v="33.470999999999997"/>
    <n v="47.942995428878739"/>
    <n v="17.423999999999999"/>
    <n v="16.047000000000001"/>
    <n v="28.440999999999999"/>
    <n v="47.361203895784257"/>
    <n v="14.971"/>
    <n v="13.47"/>
    <n v="167.97199999999998"/>
    <n v="50.182768556664215"/>
    <n v="83.679000000000002"/>
    <n v="84.293000000000006"/>
    <n v="2015"/>
    <s v="http://esa.un.org/unpd/wpp/Download/Standard/Population/"/>
    <n v="43.4"/>
    <n v="44"/>
    <n v="42.9"/>
    <n v="50.8"/>
    <n v="36.700000000000003"/>
    <n v="2013"/>
    <s v="DHS (prelim)"/>
    <n v="143.29300000000001"/>
    <n v="54.143932409352672"/>
    <n v="72.58264859135771"/>
    <n v="70.710351408642296"/>
    <n v="2012"/>
    <s v="http://www.idea.int/vt/countryview.cfm?id=240"/>
    <s v="-"/>
    <n v="18"/>
    <s v="VU2012"/>
    <n v="192.63200000000001"/>
    <n v="143.29300000000001"/>
    <n v="256.15499999999997"/>
    <n v="1"/>
    <n v="4"/>
    <s v="CD"/>
    <x v="1"/>
    <n v="79.399879999999968"/>
    <n v="30.001617218082604"/>
    <n v="50.40591067814929"/>
    <n v="39.306911408642293"/>
    <n v="40.022232591357707"/>
    <n v="29.321481040350822"/>
    <n v="30.645598743736613"/>
    <n v="24.678999999999974"/>
    <n v="55.037272950110314"/>
    <n v="11.096351408642292"/>
    <n v="13.58264859135771"/>
    <n v="35.042192"/>
    <n v="48.096897020597339"/>
    <n v="18.141200000000001"/>
    <n v="16.854206999999999"/>
    <n v="19.678688000000001"/>
    <n v="48.709431238505324"/>
    <n v="10.069360000000001"/>
    <n v="9.5853769999999994"/>
    <n v="56.000000000000007"/>
    <n v="57.099999999999994"/>
    <n v="252.76300000000001"/>
    <n v="49.269473775829532"/>
    <n v="93.689000000000107"/>
    <n v="47.83797492719313"/>
    <n v="34.137999999999998"/>
    <n v="48.315157199662636"/>
    <n v="75.960484722843134"/>
    <n v="192"/>
    <n v="38.240618531984495"/>
    <n v="49.269473775829532"/>
    <n v="53.027974000000064"/>
    <n v="47.83797492719313"/>
    <n v="18.888408292533931"/>
    <n v="48.315157199662636"/>
    <n v="64.527000000000001"/>
    <n v="25.528600000000001"/>
    <n v="42.737148790428812"/>
    <n v="188.23599999999999"/>
    <n v="74.471400000000003"/>
    <n v="46.40716972311354"/>
    <n v="13.202781301014497"/>
    <n v="12.701526048218708"/>
    <n v="11.161639802842059"/>
    <n v="37.065947152075303"/>
    <n v="58.996372095599398"/>
    <n v="3.9376807523253001"/>
    <n v="43.4"/>
    <n v="42.9"/>
    <n v="44"/>
    <n v="50.8"/>
    <n v="36.700000000000003"/>
    <n v="2013"/>
    <s v="-"/>
    <s v="-"/>
    <m/>
    <s v="-"/>
    <s v="-"/>
    <m/>
    <s v="-"/>
    <s v="-"/>
    <n v="83.359756469726605"/>
    <s v="eng"/>
    <n v="0"/>
    <s v="-"/>
    <s v="-"/>
    <s v="-"/>
    <s v="-"/>
    <s v="-"/>
    <s v="-"/>
    <s v="-"/>
    <s v="-"/>
    <s v="-"/>
    <m/>
    <m/>
    <m/>
    <m/>
    <m/>
    <m/>
    <m/>
    <m/>
    <m/>
    <m/>
    <m/>
    <m/>
    <m/>
    <m/>
    <m/>
    <m/>
    <m/>
    <m/>
    <m/>
    <m/>
    <m/>
    <m/>
    <m/>
    <m/>
    <m/>
    <m/>
    <m/>
    <m/>
    <m/>
    <m/>
    <m/>
    <m/>
    <m/>
    <m/>
    <m/>
    <m/>
    <m/>
    <n v="1"/>
    <s v="civil + common"/>
    <s v="F"/>
    <n v="2"/>
    <n v="2"/>
    <s v="-"/>
    <s v="-"/>
    <s v="-"/>
    <s v="-"/>
    <s v="-"/>
    <s v="F"/>
    <n v="25"/>
    <n v="6"/>
    <n v="11"/>
    <n v="8"/>
    <m/>
    <n v="0.51491749286651611"/>
    <n v="1.1897262334823608"/>
    <n v="-0.21368579566478729"/>
    <n v="-0.55249053239822388"/>
    <n v="0.27983322739601135"/>
    <n v="0.37616285681724548"/>
    <n v="159"/>
    <n v="0.25705"/>
    <n v="0.17646999999999999"/>
    <n v="7.8740000000000004E-2"/>
    <n v="0.11882"/>
    <n v="0.5736"/>
    <s v="-"/>
    <s v="-"/>
    <s v="-"/>
    <s v="-"/>
    <s v="-"/>
    <s v="Electronic Transactions act"/>
    <s v="http://www.paclii.org/vu/legis/consol_act/eta256/"/>
    <n v="2000"/>
    <n v="2000"/>
    <s v="Both"/>
    <s v="Ministry Responsible of Telecommunications and Electronic Commerce"/>
    <s v="http://www.trr.vu/index.php/en/"/>
    <s v="-"/>
    <s v="-"/>
    <s v="-"/>
    <s v="-"/>
    <s v="-"/>
    <s v="-"/>
    <s v="-"/>
    <s v="-"/>
    <s v="-"/>
    <s v="-"/>
    <s v="-"/>
    <s v="-"/>
    <m/>
    <m/>
    <m/>
    <m/>
    <m/>
    <s v="IDA"/>
    <s v=""/>
    <n v="1"/>
    <n v="7"/>
    <n v="28.000000000000004"/>
    <s v="C"/>
    <m/>
    <n v="1"/>
    <n v="0"/>
    <n v="0"/>
  </r>
  <r>
    <n v="193"/>
    <m/>
    <s v="Venezuela, RB"/>
    <x v="5"/>
    <x v="1"/>
    <s v="VEN"/>
    <s v="VE"/>
    <s v="http://www.cne.gob.ve"/>
    <s v="Consejo Nacional Electoral"/>
    <n v="4"/>
    <n v="1873"/>
    <n v="2"/>
    <s v="0-90 d"/>
    <s v="free"/>
    <s v="http://www.saime.gob.ve/historia/"/>
    <s v="SAIME"/>
    <n v="2"/>
    <n v="1941"/>
    <s v="Cédula de Identidad"/>
    <x v="1"/>
    <n v="2"/>
    <n v="10"/>
    <s v="free"/>
    <n v="1"/>
    <n v="1"/>
    <m/>
    <n v="1"/>
    <n v="1"/>
    <m/>
    <s v="http://www.saime.gob.ve/servicio_categories/1cedulacion/"/>
    <n v="2015"/>
    <n v="2"/>
    <s v="4B"/>
    <s v="C, F, O"/>
    <n v="0"/>
    <n v="0"/>
    <s v="-"/>
    <n v="10"/>
    <s v="http://es.wikipedia.org/wiki/Documento_de_identidad#Venezuela"/>
    <s v="-"/>
    <n v="0"/>
    <n v="0"/>
    <s v="http://www.saime.gob.ve/servicios/expedicion-de-pasaporte-de-emergencia-adultos/"/>
    <s v="SAIME"/>
    <n v="2"/>
    <n v="2"/>
    <n v="2007"/>
    <n v="5"/>
    <n v="1200"/>
    <n v="0"/>
    <s v="http://contribuyente.seniat.gob.ve/portal/page/portal/PORTAL_SENIAT"/>
    <n v="1994"/>
    <n v="1"/>
    <n v="1"/>
    <s v="http://contribuyente.seniat.gob.ve/BuscaRif/BuscaRif.jsp"/>
    <n v="2006"/>
    <n v="0"/>
    <s v="-"/>
    <n v="0"/>
    <s v="-"/>
    <n v="0"/>
    <n v="0"/>
    <n v="31108.082999999999"/>
    <n v="50.214865377593341"/>
    <n v="15487.200999999999"/>
    <n v="15620.882"/>
    <n v="2959.9459999999999"/>
    <n v="48.883695851208095"/>
    <n v="1513.0150000000001"/>
    <n v="1446.931"/>
    <n v="2922.8470000000002"/>
    <n v="48.946831633677711"/>
    <n v="1492.2059999999999"/>
    <n v="1430.6410000000001"/>
    <n v="2860.2620000000002"/>
    <n v="48.973835264042243"/>
    <n v="1459.482"/>
    <n v="1400.78"/>
    <n v="22365.027999999998"/>
    <n v="50.715474176915855"/>
    <n v="11022.498"/>
    <n v="11342.529999999999"/>
    <n v="2015"/>
    <s v="http://esa.un.org/unpd/wpp/Download/Standard/Population/"/>
    <n v="80.8"/>
    <n v="80.8"/>
    <n v="80.8"/>
    <s v="–"/>
    <s v="–"/>
    <n v="2011"/>
    <s v="INE"/>
    <n v="27227.93"/>
    <n v="87.52686560595842"/>
    <n v="13549.752"/>
    <n v="13678.178"/>
    <n v="2015"/>
    <s v="http://www.ine.gov.ve/index.php?option=com_content&amp;view=category&amp;id=95&amp;Itemid=9 "/>
    <n v="10"/>
    <n v="18"/>
    <s v="VE2015"/>
    <n v="19504.106"/>
    <n v="19498.303"/>
    <n v="29275.46"/>
    <n v="20"/>
    <n v="4"/>
    <s v="CD"/>
    <x v="1"/>
    <n v="3880.1529999999984"/>
    <n v="12.473134394041569"/>
    <n v="50.067716401904782"/>
    <n v="1937.4489999999987"/>
    <n v="1942.7039999999997"/>
    <n v="12.510001000180724"/>
    <n v="12.436583286398296"/>
    <n v="2201.4864399999979"/>
    <n v="50.931970128328409"/>
    <n v="1080.2260239999985"/>
    <n v="1121.2604159999994"/>
    <n v="1110.3569280000004"/>
    <n v="48.960187331762214"/>
    <n v="566.72409600000015"/>
    <n v="543.63283200000023"/>
    <n v="568.30963200000019"/>
    <n v="48.883695851208095"/>
    <n v="290.4988800000001"/>
    <n v="277.81075200000009"/>
    <n v="19.200000000000006"/>
    <n v="19.200000000000006"/>
    <n v="30405.206999999999"/>
    <n v="49.860097975981546"/>
    <n v="8678.1839999999866"/>
    <n v="48.904123718003973"/>
    <n v="2955.2530000000002"/>
    <n v="48.895145112140987"/>
    <n v="89.5"/>
    <n v="19445.68558500001"/>
    <n v="2281.3374150000004"/>
    <n v="49.860097975981546"/>
    <n v="1666.211327999998"/>
    <n v="48.904123718003973"/>
    <n v="567.19222786680928"/>
    <n v="48.895145112140987"/>
    <n v="28546.353999999999"/>
    <n v="93.886399999999995"/>
    <n v="45.505513593785039"/>
    <n v="1858.8530000000001"/>
    <n v="6.1136000000000053"/>
    <n v="86.836828947743584"/>
    <n v="9.7158561913632031"/>
    <n v="9.5463292975366763"/>
    <n v="9.2795836889912593"/>
    <n v="28.541769177891101"/>
    <n v="65.284886894537493"/>
    <n v="6.1733439275713504"/>
    <n v="80.8"/>
    <n v="80.8"/>
    <n v="80.8"/>
    <n v="80.8"/>
    <n v="80.8"/>
    <n v="2011"/>
    <n v="6.63"/>
    <n v="2006"/>
    <n v="1932.348"/>
    <n v="31.9"/>
    <n v="2011"/>
    <n v="9339.6819999999989"/>
    <n v="31.6"/>
    <n v="2011"/>
    <n v="95.511993408203097"/>
    <s v="spa"/>
    <n v="3"/>
    <s v="-"/>
    <s v="-"/>
    <s v="-"/>
    <s v="-"/>
    <s v="-"/>
    <s v="-"/>
    <s v="-"/>
    <s v="-"/>
    <n v="1"/>
    <s v="-"/>
    <s v="-"/>
    <s v="-"/>
    <s v="-"/>
    <s v="P057601 (C)"/>
    <s v="-"/>
    <n v="23054210"/>
    <n v="2001"/>
    <n v="93"/>
    <n v="7"/>
    <n v="29"/>
    <s v="1.5 %"/>
    <n v="95"/>
    <s v="esp"/>
    <n v="8"/>
    <s v="?"/>
    <n v="2"/>
    <s v="20 d"/>
    <s v="-"/>
    <s v="Cédula de Identidad"/>
    <s v="free"/>
    <s v="-"/>
    <s v="http://www.onidex.gov.ve"/>
    <m/>
    <m/>
    <n v="1"/>
    <s v="“Pon tu Huella” voter registration and authentication"/>
    <m/>
    <m/>
    <m/>
    <m/>
    <m/>
    <m/>
    <m/>
    <m/>
    <m/>
    <m/>
    <n v="1"/>
    <s v="civil"/>
    <s v="PF"/>
    <n v="5"/>
    <n v="5"/>
    <s v="PF"/>
    <n v="56"/>
    <n v="17"/>
    <n v="18"/>
    <n v="21"/>
    <s v="NF"/>
    <n v="78"/>
    <n v="26"/>
    <n v="30"/>
    <n v="22"/>
    <n v="9"/>
    <n v="-0.95268487930297852"/>
    <n v="-1.0772242546081543"/>
    <n v="-1.136284351348877"/>
    <n v="-1.6428266763687134"/>
    <n v="-1.7902894020080566"/>
    <n v="-1.275205135345459"/>
    <n v="67"/>
    <n v="0.55639000000000005"/>
    <n v="0.56862000000000001"/>
    <n v="0.55118"/>
    <n v="0.34948000000000001"/>
    <n v="0.76849999999999996"/>
    <n v="80"/>
    <n v="4.8099999999999996"/>
    <n v="5.36"/>
    <n v="2.36"/>
    <n v="8.6199999999999992"/>
    <s v="-"/>
    <s v="-"/>
    <s v="-"/>
    <s v="-"/>
    <s v="-"/>
    <s v="-"/>
    <s v="-"/>
    <s v="-"/>
    <s v="-"/>
    <s v="-"/>
    <s v="-"/>
    <s v="-"/>
    <s v="-"/>
    <s v="-"/>
    <s v="-"/>
    <s v="-"/>
    <s v="-"/>
    <s v="-"/>
    <s v="-"/>
    <m/>
    <m/>
    <m/>
    <m/>
    <n v="29.9"/>
    <s v="IBRD"/>
    <s v=""/>
    <n v="0"/>
    <n v="15"/>
    <n v="60"/>
    <s v="B"/>
    <m/>
    <n v="3"/>
    <n v="0"/>
    <n v="0"/>
  </r>
  <r>
    <n v="194"/>
    <m/>
    <s v="Vietnam"/>
    <x v="6"/>
    <x v="3"/>
    <s v="VNM"/>
    <s v="VN"/>
    <s v="http://www.tracuuphapluat.info/2012/06/huong-dan-thu-tuc-ang-ky-lam-giay-khai.html"/>
    <s v="People's Committees of communes, wards and towns (CPC)"/>
    <n v="5"/>
    <n v="1975"/>
    <n v="2"/>
    <s v="60 d"/>
    <s v="free"/>
    <s v="http://www.mps.gov.vn/web/guest/english"/>
    <s v="Ministry of Public Security"/>
    <n v="2"/>
    <n v="1975"/>
    <s v="People's Identity Card (Giấy chứng minh nhân dân)"/>
    <x v="1"/>
    <n v="2"/>
    <n v="14"/>
    <s v="free"/>
    <n v="1"/>
    <n v="1"/>
    <s v="http://vi.wikipedia.org/wiki/Ch%E1%BB%A9ng_minh_nh%C3%A2n_d%C3%A2n"/>
    <n v="1"/>
    <m/>
    <m/>
    <s v="http://tuoitrenews.vn/society/18288/vietnam-to-replace-household-registers-with-identity-cards"/>
    <n v="2016"/>
    <n v="1"/>
    <s v="2B"/>
    <s v="C"/>
    <n v="0"/>
    <n v="0"/>
    <s v="-"/>
    <n v="10"/>
    <s v="http://tuoitrenews.vn/society/10504/id-numbers-to-replace-personal-papers"/>
    <s v="-"/>
    <n v="1"/>
    <n v="0"/>
    <s v="http://xnc.congan.com.vn/thutuc-xnc-vietnam/huongdan-khaihoso/mldocument.2008-05-20.7636895294/view"/>
    <s v="Office of the Immigration Police"/>
    <n v="1"/>
    <n v="2"/>
    <n v="2008"/>
    <n v="5"/>
    <s v="-"/>
    <n v="0"/>
    <s v="http://dangkykinhdoanh.gov.vn/AboutUs/tabid/171/CategoryID/140/language/en-GB/Default.aspx"/>
    <n v="2010"/>
    <n v="1"/>
    <n v="2"/>
    <s v="https://dichvuthongtin.dkkd.gov.vn/auth/Public/LogOn.aspx?ReturnUrl=%2fauth%2fdefault.aspx"/>
    <n v="2010"/>
    <n v="2"/>
    <s v="C, P"/>
    <n v="1"/>
    <s v="https://dichvuthongtin.dkkd.gov.vn/auth/Public/LogOn.aspx?ReturnUrl=%2fauth%2fdefault.aspx"/>
    <n v="2"/>
    <n v="0"/>
    <n v="93447.600999999995"/>
    <n v="50.534343840458781"/>
    <n v="46224.468999999997"/>
    <n v="47223.131999999998"/>
    <n v="7740.8450000000003"/>
    <n v="47.311126886018258"/>
    <n v="4078.5639999999999"/>
    <n v="3662.2809999999999"/>
    <n v="7221.24"/>
    <n v="47.729254255501822"/>
    <n v="3774.596"/>
    <n v="3446.6439999999998"/>
    <n v="6614.674"/>
    <n v="48.497870038644386"/>
    <n v="3406.6979999999999"/>
    <n v="3207.9760000000001"/>
    <n v="71870.84199999999"/>
    <n v="51.350770316563143"/>
    <n v="34964.611000000004"/>
    <n v="36906.230999999992"/>
    <n v="2015"/>
    <s v="http://esa.un.org/unpd/wpp/Download/Standard/Population/"/>
    <n v="95"/>
    <n v="94.6"/>
    <n v="95.3"/>
    <n v="97.1"/>
    <n v="94.2"/>
    <n v="2011"/>
    <s v="MICS"/>
    <n v="62270.777999999998"/>
    <n v="66.637107142001426"/>
    <n v="30802.648933351236"/>
    <n v="31468.129066648762"/>
    <n v="2011"/>
    <s v="http://www.idea.int/vt/countryview.cfm?id=239"/>
    <n v="14"/>
    <n v="18"/>
    <s v="VN2011"/>
    <n v="62270.777999999998"/>
    <n v="62610.288999999997"/>
    <n v="90549.39"/>
    <n v="1"/>
    <n v="4"/>
    <s v="CD"/>
    <x v="1"/>
    <n v="10678.901949999992"/>
    <n v="11.427689780928665"/>
    <n v="55.464469175608777"/>
    <n v="4769.9943986487688"/>
    <n v="5922.9962803512308"/>
    <n v="10.319197822799801"/>
    <n v="12.542574008753233"/>
    <n v="9600.0639999999912"/>
    <n v="56.646517495625389"/>
    <n v="4161.9620666487681"/>
    <n v="5438.1019333512304"/>
    <n v="691.79570000000058"/>
    <n v="45.21091125602544"/>
    <n v="387.78987600000039"/>
    <n v="312.76714000000027"/>
    <n v="387.04225000000037"/>
    <n v="44.472459272857158"/>
    <n v="220.24245600000017"/>
    <n v="172.12720700000014"/>
    <n v="5.4000000000000048"/>
    <n v="4.7000000000000046"/>
    <n v="89708.9"/>
    <n v="50.583662267623389"/>
    <n v="20365.733083590065"/>
    <n v="47.961136066479717"/>
    <n v="7138.02"/>
    <n v="47.508213181680972"/>
    <n v="69.099999999999994"/>
    <n v="47916.128339239258"/>
    <n v="21427.038577170671"/>
    <n v="50.583662267623389"/>
    <n v="1018.2866541795041"/>
    <n v="47.961136066479717"/>
    <n v="349.89803549386772"/>
    <n v="47.508213181680972"/>
    <n v="28994.633999999998"/>
    <n v="32.320799999999998"/>
    <n v="45.13559646933291"/>
    <n v="60714.266000000003"/>
    <n v="67.679200000000009"/>
    <n v="49.983232935732111"/>
    <n v="7.8007429696243618"/>
    <n v="7.6919272008204045"/>
    <n v="7.2093504763360992"/>
    <n v="22.702020739960101"/>
    <n v="70.716947877673206"/>
    <n v="6.5810313823667004"/>
    <n v="95"/>
    <n v="95"/>
    <n v="95"/>
    <n v="97"/>
    <n v="95"/>
    <n v="2011"/>
    <n v="16.850000000000001"/>
    <n v="2008"/>
    <n v="14844.959999999997"/>
    <n v="20.7"/>
    <n v="2010"/>
    <n v="18182.88"/>
    <n v="11.3"/>
    <n v="2012"/>
    <n v="93.520454406738295"/>
    <s v="vie"/>
    <n v="3"/>
    <n v="2"/>
    <s v="Yes"/>
    <s v="Planned"/>
    <s v="-"/>
    <s v="-"/>
    <s v="Through UNESCAP in 2-14"/>
    <n v="0.88"/>
    <s v="-"/>
    <n v="5"/>
    <s v="P131359 (A)"/>
    <s v="P123960 (A); P132776 (A)"/>
    <s v="P099376 (A)"/>
    <s v="-"/>
    <s v="-"/>
    <s v="P096418 (A)"/>
    <m/>
    <m/>
    <m/>
    <m/>
    <m/>
    <m/>
    <m/>
    <m/>
    <m/>
    <m/>
    <m/>
    <m/>
    <m/>
    <m/>
    <m/>
    <m/>
    <m/>
    <m/>
    <m/>
    <m/>
    <m/>
    <m/>
    <m/>
    <m/>
    <m/>
    <n v="1"/>
    <s v="SonLa RCT (vaccine trial)"/>
    <m/>
    <m/>
    <m/>
    <m/>
    <n v="1"/>
    <s v="civil"/>
    <s v="NF"/>
    <n v="7"/>
    <n v="5"/>
    <s v="NF"/>
    <n v="76"/>
    <n v="14"/>
    <n v="28"/>
    <n v="34"/>
    <s v="NF"/>
    <n v="84"/>
    <n v="29"/>
    <n v="33"/>
    <n v="22"/>
    <n v="-7"/>
    <n v="-1.3361901044845581"/>
    <n v="0.22413204610347748"/>
    <n v="-0.29934275150299072"/>
    <n v="-0.65493541955947876"/>
    <n v="-0.48722907900810242"/>
    <n v="-0.53402566909790039"/>
    <n v="99"/>
    <n v="0.47044999999999998"/>
    <n v="0.49019000000000001"/>
    <n v="0.41732000000000002"/>
    <n v="0.37923000000000001"/>
    <n v="0.61480000000000001"/>
    <n v="101"/>
    <n v="4.09"/>
    <n v="4.4800000000000004"/>
    <n v="2.5"/>
    <n v="6.5"/>
    <s v="Law on Protection of Consumers’ Rights"/>
    <s v="http://lawfirm.vn/?a=doc&amp;id=1936"/>
    <n v="2010"/>
    <n v="2010"/>
    <s v="Pri"/>
    <s v="-"/>
    <s v="-"/>
    <s v="-"/>
    <s v="-"/>
    <s v="-"/>
    <s v="-"/>
    <s v="-"/>
    <s v="-"/>
    <s v="-"/>
    <s v="-"/>
    <s v="-"/>
    <s v="-"/>
    <s v="-"/>
    <s v="-"/>
    <m/>
    <m/>
    <s v="APEC"/>
    <m/>
    <m/>
    <s v="Blend"/>
    <m/>
    <n v="0"/>
    <n v="17"/>
    <n v="68"/>
    <s v="B"/>
    <m/>
    <n v="3"/>
    <n v="0"/>
    <n v="0"/>
  </r>
  <r>
    <n v="195"/>
    <m/>
    <s v="Palestine"/>
    <x v="2"/>
    <x v="3"/>
    <s v="WBG"/>
    <s v="PS"/>
    <s v="http://unstats.un.org/unsd/vitalstatkb/Attachment327.aspx"/>
    <s v="Department of Civil Registration, Min of Interior"/>
    <n v="2"/>
    <n v="2012"/>
    <n v="2"/>
    <s v="10 d"/>
    <s v="free"/>
    <s v="http://www.moi.gov.ps/En/"/>
    <s v="Palestinian National Authority, Ministry of Interior"/>
    <n v="2"/>
    <n v="1993"/>
    <s v="National ID Card"/>
    <x v="1"/>
    <n v="2"/>
    <n v="16"/>
    <s v="free"/>
    <n v="1"/>
    <n v="1"/>
    <m/>
    <m/>
    <m/>
    <m/>
    <s v="-"/>
    <s v="-"/>
    <n v="0"/>
    <n v="1"/>
    <s v="-"/>
    <s v="-"/>
    <s v="-"/>
    <s v="-"/>
    <n v="0"/>
    <s v="-"/>
    <s v="-"/>
    <n v="0"/>
    <n v="0"/>
    <s v="http://www.moi.gov.ps/Page.aspx?page=Procedures_Guide&amp;Dept_ID=593"/>
    <s v="Directorate General of Passports"/>
    <n v="0"/>
    <n v="2"/>
    <n v="2003"/>
    <n v="5"/>
    <s v="-"/>
    <n v="0"/>
    <s v="http://www.pipa.gov.ps/search_db.asp"/>
    <n v="2000"/>
    <n v="1"/>
    <n v="0"/>
    <s v="-"/>
    <s v="-"/>
    <n v="0"/>
    <s v="-"/>
    <n v="0"/>
    <s v="-"/>
    <n v="0"/>
    <n v="0"/>
    <n v="4668.4660000000003"/>
    <n v="49.303475702725471"/>
    <n v="2366.75"/>
    <n v="2301.7159999999999"/>
    <n v="703.44100000000003"/>
    <n v="48.918672639212097"/>
    <n v="359.327"/>
    <n v="344.11399999999998"/>
    <n v="618.95299999999997"/>
    <n v="48.963168447361923"/>
    <n v="315.89400000000001"/>
    <n v="303.05900000000003"/>
    <n v="555.38699999999994"/>
    <n v="48.968917169469215"/>
    <n v="283.42"/>
    <n v="271.96699999999998"/>
    <n v="2790.6850000000004"/>
    <n v="49.542531672331343"/>
    <n v="1408.1089999999999"/>
    <n v="1382.576"/>
    <n v="2015"/>
    <s v="http://esa.un.org/unpd/wpp/Download/Standard/Population/"/>
    <n v="99.3"/>
    <n v="99.2"/>
    <n v="99.3"/>
    <n v="99.2"/>
    <n v="99.4"/>
    <n v="2010"/>
    <s v="MICS"/>
    <n v="1951.799"/>
    <n v="41.808144259806106"/>
    <n v="1000.147"/>
    <n v="951.65200000000004"/>
    <n v="2015"/>
    <s v="https://www.elections.ps/tabid/938/language/en-US/Default.aspx?rid=2&amp;ep=6"/>
    <n v="16"/>
    <n v="18"/>
    <s v="PS2006"/>
    <n v="1341.671"/>
    <n v="1808.337"/>
    <n v="3761.904"/>
    <n v="10"/>
    <n v="5"/>
    <s v="CD"/>
    <x v="1"/>
    <n v="852.03046700000039"/>
    <n v="18.250758750304712"/>
    <n v="51.331260669578825"/>
    <n v="415.63112799999988"/>
    <n v="437.35798"/>
    <n v="17.561260293651625"/>
    <n v="19.001387660336896"/>
    <n v="838.88600000000042"/>
    <n v="51.368600739552186"/>
    <n v="407.96199999999988"/>
    <n v="430.92399999999998"/>
    <n v="8.2203800000000076"/>
    <n v="48.965887221758599"/>
    <n v="4.7945120000000045"/>
    <n v="4.0251820000000036"/>
    <n v="4.9240870000000045"/>
    <n v="48.91867263921209"/>
    <n v="2.8746160000000027"/>
    <n v="2.4087980000000018"/>
    <n v="0.80000000000000071"/>
    <n v="0.70000000000000051"/>
    <n v="4169.5060000000003"/>
    <n v="49.249359516451108"/>
    <n v="1672.0573962473657"/>
    <n v="48.879145830370753"/>
    <n v="615.423"/>
    <n v="48.876803281601504"/>
    <n v="76.280929150552097"/>
    <n v="1905.077"/>
    <n v="592.37160375263477"/>
    <n v="49.249359516451108"/>
    <n v="11.70440177373157"/>
    <n v="48.879145830370753"/>
    <n v="4.1548867342202032"/>
    <n v="48.876803281601504"/>
    <n v="3118.3240000000001"/>
    <n v="74.788799999999995"/>
    <n v="48.020507169877149"/>
    <n v="1051.182"/>
    <n v="25.211200000000005"/>
    <n v="29.469872962056048"/>
    <n v="14.235625221446924"/>
    <n v="13.186251323565351"/>
    <n v="12.680164320260493"/>
    <n v="40.102050368733501"/>
    <n v="56.937587473808399"/>
    <n v="2.9603621574580599"/>
    <n v="99.3"/>
    <n v="99.3"/>
    <n v="99.2"/>
    <n v="99.2"/>
    <n v="99.4"/>
    <n v="2010"/>
    <n v="0.04"/>
    <n v="2009"/>
    <n v="2"/>
    <n v="21.9"/>
    <n v="2009"/>
    <n v="880.25582699999995"/>
    <n v="38"/>
    <n v="2010"/>
    <n v="95.913764953613295"/>
    <s v="ara"/>
    <n v="3"/>
    <s v="-"/>
    <s v="-"/>
    <s v="-"/>
    <s v="-"/>
    <s v="-"/>
    <s v="-"/>
    <s v="-"/>
    <s v="-"/>
    <s v="-"/>
    <m/>
    <m/>
    <m/>
    <m/>
    <m/>
    <m/>
    <m/>
    <m/>
    <m/>
    <m/>
    <m/>
    <m/>
    <m/>
    <m/>
    <m/>
    <m/>
    <m/>
    <m/>
    <m/>
    <m/>
    <m/>
    <m/>
    <m/>
    <m/>
    <m/>
    <m/>
    <m/>
    <m/>
    <m/>
    <m/>
    <m/>
    <m/>
    <m/>
    <m/>
    <m/>
    <m/>
    <m/>
    <n v="1"/>
    <s v="-"/>
    <s v="NF"/>
    <n v="6"/>
    <n v="5"/>
    <s v="-"/>
    <s v="-"/>
    <s v="-"/>
    <s v="-"/>
    <s v="-"/>
    <s v="NF"/>
    <n v="82"/>
    <n v="27"/>
    <n v="33"/>
    <n v="22"/>
    <m/>
    <n v="-0.86887443065643311"/>
    <n v="-1.9004571437835693"/>
    <n v="-0.7752259373664856"/>
    <n v="0.15254800021648407"/>
    <n v="-0.43996623158454895"/>
    <n v="-0.71473544836044312"/>
    <s v="-"/>
    <s v="-"/>
    <s v="-"/>
    <s v="-"/>
    <s v="-"/>
    <s v="-"/>
    <n v="100"/>
    <n v="4.16"/>
    <n v="4.7699999999999996"/>
    <n v="1.84"/>
    <n v="7.59"/>
    <s v="-"/>
    <s v="-"/>
    <s v="-"/>
    <s v="-"/>
    <s v="-"/>
    <s v="-"/>
    <s v="-"/>
    <s v="-"/>
    <s v="-"/>
    <s v="-"/>
    <s v="-"/>
    <s v="-"/>
    <s v="-"/>
    <s v="-"/>
    <s v="-"/>
    <s v="-"/>
    <s v="-"/>
    <s v="-"/>
    <s v="-"/>
    <m/>
    <m/>
    <m/>
    <n v="1"/>
    <m/>
    <s v=".."/>
    <m/>
    <n v="0"/>
    <n v="7"/>
    <n v="28.000000000000004"/>
    <s v="C"/>
    <m/>
    <n v="5"/>
    <n v="0"/>
    <n v="0"/>
  </r>
  <r>
    <n v="196"/>
    <m/>
    <s v="Yemen"/>
    <x v="2"/>
    <x v="3"/>
    <s v="YEM"/>
    <s v="YE"/>
    <s v="http://www.yemen.gov.ye/portal/moi/%D8%A7%D9%84%D8%B1%D8%A6%D9%8A%D8%B3%D9%8A%D8%A9/tabid/224/Default.aspx"/>
    <s v="Min of Interior"/>
    <n v="2"/>
    <n v="1993"/>
    <n v="2"/>
    <s v="-"/>
    <s v="free"/>
    <s v="http://www.cra.gov.ye/indexen.php?sub=ID_new"/>
    <s v="Civil Registration Authority"/>
    <n v="2"/>
    <n v="2000"/>
    <s v="National ID Card"/>
    <x v="1"/>
    <n v="2"/>
    <n v="16"/>
    <s v="1300 RY"/>
    <n v="0"/>
    <n v="0"/>
    <m/>
    <m/>
    <m/>
    <m/>
    <s v="http://www.iom.int/seguridad-fronteriza/lit/cr/cr-results-2010.pdf"/>
    <n v="2016"/>
    <n v="2"/>
    <s v="2B"/>
    <s v="C, V"/>
    <n v="0"/>
    <n v="0"/>
    <s v="-"/>
    <n v="10"/>
    <s v="http://cnsnews.com/news/article/un-will-fund-biometric-voter-id-yemen"/>
    <s v="-"/>
    <n v="0"/>
    <n v="0"/>
    <s v="http://www.yemenembassy.org/consulate/Passport.htm"/>
    <s v="Ministry of Internal Affairs"/>
    <n v="1"/>
    <n v="2"/>
    <n v="2003"/>
    <n v="5"/>
    <s v="-"/>
    <n v="0"/>
    <s v="http://www.moit.gov.ye/moit/node/438"/>
    <n v="2007"/>
    <n v="1"/>
    <n v="0"/>
    <s v="-"/>
    <s v="-"/>
    <n v="0"/>
    <s v="-"/>
    <n v="0"/>
    <s v="-"/>
    <n v="3"/>
    <n v="1"/>
    <n v="26832.215"/>
    <n v="49.488769376661601"/>
    <n v="13553.281999999999"/>
    <n v="13278.933000000001"/>
    <n v="3924.578"/>
    <n v="48.959327601591809"/>
    <n v="2003.1310000000001"/>
    <n v="1921.4469999999999"/>
    <n v="3616.0430000000001"/>
    <n v="48.97978259661182"/>
    <n v="1844.913"/>
    <n v="1771.13"/>
    <n v="3263.049"/>
    <n v="48.993594641085679"/>
    <n v="1664.364"/>
    <n v="1598.6849999999999"/>
    <n v="16028.544999999998"/>
    <n v="49.834036713875157"/>
    <n v="8040.8739999999998"/>
    <n v="7987.6710000000003"/>
    <n v="2015"/>
    <s v="http://esa.un.org/unpd/wpp/Download/Standard/Population/"/>
    <n v="17.100000000000001"/>
    <n v="18.8"/>
    <n v="15.2"/>
    <n v="42"/>
    <n v="10.5"/>
    <n v="2012"/>
    <s v="NSPMS"/>
    <n v="10243.364"/>
    <n v="38.175618375150911"/>
    <n v="5174.0492136280209"/>
    <n v="5069.3147863719787"/>
    <n v="2012"/>
    <s v="http://www.idea.int/vt/countryview.cfm?id=243"/>
    <n v="16"/>
    <n v="18"/>
    <s v="YE2012"/>
    <n v="10243.364"/>
    <n v="12252.058999999999"/>
    <n v="24771.809000000001"/>
    <n v="1"/>
    <n v="3"/>
    <s v="CD"/>
    <x v="0"/>
    <n v="14741.423429999999"/>
    <n v="54.939271431747251"/>
    <n v="50.234947966812605"/>
    <n v="7342.9000823719789"/>
    <n v="7405.3463896280209"/>
    <n v="54.178021842768267"/>
    <n v="55.767631251908725"/>
    <n v="5785.1809999999987"/>
    <n v="50.445374373386457"/>
    <n v="2866.8247863719789"/>
    <n v="2918.3562136280216"/>
    <n v="5702.7672679999996"/>
    <n v="50.109060842003842"/>
    <n v="2849.5329240000001"/>
    <n v="2857.6031199999998"/>
    <n v="3253.4751619999997"/>
    <n v="50.08143523057884"/>
    <n v="1626.5423720000001"/>
    <n v="1629.3870559999998"/>
    <n v="81.2"/>
    <n v="84.8"/>
    <n v="24407.381000000001"/>
    <n v="49.588249554509758"/>
    <n v="9806.1949999999997"/>
    <n v="48.966376833554577"/>
    <n v="3445.9409999999998"/>
    <n v="48.973290499479418"/>
    <n v="33.17"/>
    <n v="4843.2133962000016"/>
    <n v="9757.9726038000026"/>
    <n v="49.588249554509758"/>
    <n v="8129.335654999999"/>
    <n v="48.966376833554577"/>
    <n v="2864.5216231128684"/>
    <n v="48.973290499479418"/>
    <n v="8174.13"/>
    <n v="33.490400000000001"/>
    <n v="32.119626186517706"/>
    <n v="16233.251"/>
    <n v="66.509600000000006"/>
    <n v="43.261254322994205"/>
    <n v="14.157168261999647"/>
    <n v="13.265716615609252"/>
    <n v="12.754285298904508"/>
    <n v="40.1771701765134"/>
    <n v="56.945614115664398"/>
    <n v="2.8772157078221499"/>
    <n v="17.100000000000001"/>
    <n v="15.2"/>
    <n v="18.8"/>
    <n v="42"/>
    <n v="10.5"/>
    <n v="2012"/>
    <n v="17.5"/>
    <n v="2005"/>
    <n v="4339.9790000000003"/>
    <n v="34.799999999999997"/>
    <n v="2005"/>
    <n v="8630.3582399999996"/>
    <n v="45.2"/>
    <n v="2003"/>
    <n v="66.373771667480497"/>
    <s v="ara"/>
    <n v="1"/>
    <n v="1"/>
    <s v="Yes"/>
    <s v="Completed"/>
    <s v="Plan"/>
    <s v="-"/>
    <s v="Health Minister"/>
    <n v="0.22"/>
    <s v="-"/>
    <n v="4"/>
    <s v="-"/>
    <s v="P104946 (C); P151923 (A)"/>
    <s v="-"/>
    <s v="-"/>
    <s v="P050706 (C); P101453 (C)"/>
    <s v="P101453 (C)"/>
    <m/>
    <m/>
    <m/>
    <m/>
    <m/>
    <m/>
    <m/>
    <m/>
    <m/>
    <m/>
    <m/>
    <m/>
    <m/>
    <m/>
    <m/>
    <m/>
    <m/>
    <n v="1"/>
    <s v="Civil registry modernization project (ID)"/>
    <m/>
    <m/>
    <m/>
    <m/>
    <n v="1"/>
    <s v="BIS (Biometric Information System)"/>
    <n v="1"/>
    <s v="Queen of Sheba Safe Motherhood Project (health insurance)"/>
    <m/>
    <m/>
    <m/>
    <m/>
    <n v="3"/>
    <s v="common + customary + religious"/>
    <s v="NF"/>
    <n v="6"/>
    <n v="6"/>
    <s v="-"/>
    <s v="-"/>
    <s v="-"/>
    <s v="-"/>
    <s v="-"/>
    <s v="NF"/>
    <n v="76"/>
    <n v="24"/>
    <n v="29"/>
    <n v="23"/>
    <n v="3"/>
    <n v="-1.3525716066360474"/>
    <n v="-2.3490240573883057"/>
    <n v="-1.20396888256073"/>
    <n v="-0.7351837158203125"/>
    <n v="-1.15868079662323"/>
    <n v="-1.2027156352996826"/>
    <n v="150"/>
    <n v="0.27199000000000001"/>
    <n v="0.27450000000000002"/>
    <n v="0.30708000000000002"/>
    <n v="0.12486"/>
    <n v="0.38400000000000001"/>
    <n v="138"/>
    <n v="2.1800000000000002"/>
    <n v="2.66"/>
    <n v="0.73"/>
    <n v="4.1100000000000003"/>
    <s v="Law of the Right of Access to Information"/>
    <s v="http://www.right2info.org/resources/publications/laws-1/laws_yemen"/>
    <n v="2012"/>
    <s v="-"/>
    <s v="Pub"/>
    <s v="Commissioner-General of the Information"/>
    <s v="http://www.ypwatch.org/page.php?id=1045"/>
    <s v="-"/>
    <n v="23"/>
    <n v="103"/>
    <n v="2012"/>
    <s v="http://www.rti-rating.org/files/pdf/Yemen.pdf"/>
    <n v="2"/>
    <n v="29"/>
    <n v="16"/>
    <n v="19"/>
    <n v="19"/>
    <n v="3"/>
    <n v="15"/>
    <m/>
    <m/>
    <m/>
    <n v="1"/>
    <n v="28.4"/>
    <s v="IDA"/>
    <m/>
    <n v="0"/>
    <n v="15"/>
    <n v="60"/>
    <s v="B"/>
    <m/>
    <n v="3"/>
    <n v="0"/>
    <n v="0"/>
  </r>
  <r>
    <n v="197"/>
    <m/>
    <s v="Zambia"/>
    <x v="4"/>
    <x v="3"/>
    <s v="ZMB"/>
    <s v="ZM"/>
    <s v="http://www.homeaffairs.gov.zm/?q=national_registration_passport_and_citizenship_department"/>
    <s v="Registrar General of Births, Deaths &amp; Marriages, Min of Home Affairs"/>
    <n v="2"/>
    <n v="1973"/>
    <n v="2"/>
    <s v="30 d"/>
    <s v="£20"/>
    <s v="http://www.zambia.gov.zm/"/>
    <s v="Department of National Registration, Passport and Citizenship (under the Ministry of Home Affairs)"/>
    <n v="2"/>
    <n v="1994"/>
    <s v="National ID Card"/>
    <x v="1"/>
    <n v="2"/>
    <n v="18"/>
    <s v="free"/>
    <n v="0"/>
    <n v="0"/>
    <m/>
    <n v="1"/>
    <m/>
    <m/>
    <s v="http://www.zambia.gov.zm/index.php/citizens/2013-01-17-13-32-40/national-id"/>
    <n v="2013"/>
    <n v="2"/>
    <s v="4B"/>
    <s v="C, E, V"/>
    <n v="0"/>
    <n v="0"/>
    <s v="-"/>
    <n v="9"/>
    <s v="http://www.biometricupdate.com/201303/zambian-government-to-issue-biometric-registration-cards"/>
    <s v="-"/>
    <n v="0"/>
    <n v="0"/>
    <s v="http://www.zambiaembassy.org/page/passport-application"/>
    <s v="Ministry of Foreign Affairs"/>
    <n v="1"/>
    <n v="3"/>
    <n v="2008"/>
    <n v="5"/>
    <s v="-"/>
    <n v="0"/>
    <s v="http://www.pacra.org.zm"/>
    <n v="2011"/>
    <n v="1"/>
    <n v="0"/>
    <s v="-"/>
    <s v="-"/>
    <n v="0"/>
    <s v="-"/>
    <n v="0"/>
    <s v="-"/>
    <n v="0"/>
    <n v="0"/>
    <n v="16211.767"/>
    <n v="50.0754791257486"/>
    <n v="8093.6469999999999"/>
    <n v="8118.12"/>
    <n v="2850.8040000000001"/>
    <n v="49.545707105784892"/>
    <n v="1438.3530000000001"/>
    <n v="1412.451"/>
    <n v="2487.5529999999999"/>
    <n v="49.664429260401697"/>
    <n v="1252.124"/>
    <n v="1235.4290000000001"/>
    <n v="2105.2600000000002"/>
    <n v="49.758082137123196"/>
    <n v="1057.723"/>
    <n v="1047.537"/>
    <n v="8768.15"/>
    <n v="50.440549032578133"/>
    <n v="4345.4470000000001"/>
    <n v="4422.7029999999995"/>
    <n v="2015"/>
    <s v="http://esa.un.org/unpd/wpp/Download/Standard/Population/"/>
    <n v="50"/>
    <n v="50"/>
    <n v="50"/>
    <n v="27.7"/>
    <n v="8.6"/>
    <n v="2014"/>
    <s v="http://www.unicef.org/zambia/5109_8455.html"/>
    <n v="5166.0879999999997"/>
    <n v="31.866285766381914"/>
    <n v="2579.1446819421967"/>
    <n v="2586.9433180578035"/>
    <n v="2015"/>
    <s v="http://www.idea.int/vt/countryview.cfm?id=247"/>
    <n v="18"/>
    <n v="18"/>
    <s v="ZM2015"/>
    <n v="5166.0879999999997"/>
    <n v="6916.26"/>
    <n v="14638.504999999999"/>
    <n v="1"/>
    <n v="4"/>
    <s v="CD"/>
    <x v="0"/>
    <n v="7323.8705"/>
    <n v="45.176263019324175"/>
    <n v="50.294010276973033"/>
    <n v="3640.4023180578033"/>
    <n v="3683.4681819421962"/>
    <n v="44.978516088702698"/>
    <n v="45.373413819236433"/>
    <n v="3602.0619999999999"/>
    <n v="50.96413337533324"/>
    <n v="1766.3023180578034"/>
    <n v="1835.759681942196"/>
    <n v="2296.4065000000001"/>
    <n v="49.707357996069085"/>
    <n v="1154.9234999999999"/>
    <n v="1141.4830000000002"/>
    <n v="1425.402"/>
    <n v="49.545707105784892"/>
    <n v="719.17650000000003"/>
    <n v="706.22550000000001"/>
    <n v="50"/>
    <n v="50"/>
    <n v="14538.64"/>
    <n v="50.12045830971811"/>
    <n v="6776.8810000000076"/>
    <n v="49.948243151975049"/>
    <n v="2656.3890000000001"/>
    <n v="49.814537728601053"/>
    <n v="66.56996178314742"/>
    <n v="5167"/>
    <n v="2594.7589999999914"/>
    <n v="50.12045830971811"/>
    <n v="3388.4405000000038"/>
    <n v="49.948243151975049"/>
    <n v="1331.7327235159903"/>
    <n v="49.814537728601053"/>
    <n v="5822.1729999999998"/>
    <n v="40.046199999999999"/>
    <n v="45.093799170859398"/>
    <n v="8716.4670000000006"/>
    <n v="59.953800000000001"/>
    <n v="46.034477042131869"/>
    <n v="18.319907825160957"/>
    <n v="15.188260682009888"/>
    <n v="13.104726509144299"/>
    <n v="46.6128950163152"/>
    <n v="50.764067340548998"/>
    <n v="2.62303764313581"/>
    <n v="50"/>
    <n v="50"/>
    <n v="50"/>
    <n v="50"/>
    <n v="50"/>
    <n v="2014"/>
    <n v="74.45"/>
    <n v="2010"/>
    <n v="9230.3469150000001"/>
    <n v="60.5"/>
    <n v="2010"/>
    <n v="8152.3501950000009"/>
    <n v="60.5"/>
    <n v="2010"/>
    <n v="61.428287506103501"/>
    <s v="eng"/>
    <n v="1"/>
    <n v="1"/>
    <s v="Yes"/>
    <s v="Completed"/>
    <s v="Plan and Committee"/>
    <s v="-"/>
    <s v="CR Minister"/>
    <n v="0.14000000000000001"/>
    <s v="-"/>
    <n v="1"/>
    <s v="-"/>
    <s v="-"/>
    <s v="-"/>
    <s v="-"/>
    <s v="P082452 (C)"/>
    <s v="-"/>
    <m/>
    <m/>
    <m/>
    <m/>
    <m/>
    <m/>
    <m/>
    <m/>
    <m/>
    <m/>
    <m/>
    <m/>
    <m/>
    <m/>
    <m/>
    <m/>
    <m/>
    <m/>
    <m/>
    <n v="1"/>
    <s v="Voter Registration"/>
    <m/>
    <m/>
    <m/>
    <m/>
    <m/>
    <m/>
    <m/>
    <m/>
    <m/>
    <m/>
    <n v="2"/>
    <s v="common + customary"/>
    <s v="PF"/>
    <n v="3"/>
    <n v="4"/>
    <s v="PF"/>
    <n v="43"/>
    <n v="12"/>
    <n v="13"/>
    <n v="18"/>
    <s v="NF"/>
    <n v="61"/>
    <n v="18"/>
    <n v="24"/>
    <n v="19"/>
    <n v="7"/>
    <n v="-0.11189679801464081"/>
    <n v="0.38940578699111938"/>
    <n v="-0.47539421916007996"/>
    <n v="-0.46777227520942688"/>
    <n v="-0.30641353130340576"/>
    <n v="-0.38686278462409973"/>
    <n v="163"/>
    <n v="0.23893"/>
    <n v="0.17646999999999999"/>
    <n v="0.14172999999999999"/>
    <n v="0.12471"/>
    <n v="0.45040000000000002"/>
    <n v="144"/>
    <n v="2.02"/>
    <n v="2.68"/>
    <n v="0.54"/>
    <n v="3.64"/>
    <s v="-"/>
    <s v="-"/>
    <s v="-"/>
    <s v="-"/>
    <s v="-"/>
    <s v="-"/>
    <s v="-"/>
    <s v="-"/>
    <s v="-"/>
    <s v="-"/>
    <s v="-"/>
    <s v="-"/>
    <s v="-"/>
    <s v="-"/>
    <s v="-"/>
    <s v="-"/>
    <s v="-"/>
    <s v="-"/>
    <s v="-"/>
    <m/>
    <m/>
    <m/>
    <m/>
    <m/>
    <s v="IDA"/>
    <s v="HIPC"/>
    <n v="0"/>
    <n v="13"/>
    <n v="52"/>
    <s v="B"/>
    <n v="1"/>
    <n v="4"/>
    <n v="0"/>
    <n v="0"/>
  </r>
  <r>
    <n v="198"/>
    <m/>
    <s v="Zimbabwe"/>
    <x v="4"/>
    <x v="0"/>
    <s v="ZWE"/>
    <s v="ZW"/>
    <s v="http://www.rg.gov.zw/services/birth"/>
    <s v="Registrar General's Department, Minister of Home Affairs"/>
    <n v="2"/>
    <n v="1904"/>
    <n v="2"/>
    <s v="1 y"/>
    <s v="free"/>
    <s v="http://www.rg.gov.zw/"/>
    <s v="Registrar General’s Department (under the Ministry of Home Affairs)"/>
    <n v="2"/>
    <n v="1996"/>
    <s v="National Registration Card"/>
    <x v="1"/>
    <n v="2"/>
    <n v="16"/>
    <n v="2"/>
    <n v="1"/>
    <n v="1"/>
    <m/>
    <n v="1"/>
    <n v="1"/>
    <m/>
    <s v="http://www.rg.gov.zw/services/national"/>
    <n v="2004"/>
    <n v="1"/>
    <s v="2B"/>
    <s v="C"/>
    <n v="0"/>
    <n v="0"/>
    <s v="-"/>
    <n v="9"/>
    <s v="http://nip-global.com/advanced-technological-systems-and-solution-provider"/>
    <s v="-"/>
    <n v="1"/>
    <n v="0"/>
    <s v="http://www.rg.gov.zw/forms/passport"/>
    <s v="Registrar General"/>
    <n v="1"/>
    <n v="2"/>
    <n v="2013"/>
    <n v="5"/>
    <s v="-"/>
    <n v="0"/>
    <s v="http://www.doingbusiness.org/data/exploreeconomies/zimbabwe/starting-a-business"/>
    <n v="2003"/>
    <n v="0"/>
    <n v="0"/>
    <s v="-"/>
    <s v="-"/>
    <n v="0"/>
    <s v="-"/>
    <n v="0"/>
    <s v="-"/>
    <n v="3"/>
    <n v="1"/>
    <n v="15602.751"/>
    <n v="50.72947712874479"/>
    <n v="7687.5569999999998"/>
    <n v="7915.1940000000004"/>
    <n v="2504.6819999999998"/>
    <n v="49.826085706688517"/>
    <n v="1256.6969999999999"/>
    <n v="1247.9849999999999"/>
    <n v="2151.1419999999998"/>
    <n v="49.911116978795455"/>
    <n v="1077.4829999999999"/>
    <n v="1073.6590000000001"/>
    <n v="1834.9739999999999"/>
    <n v="49.97073528017291"/>
    <n v="918.024"/>
    <n v="916.95"/>
    <n v="9111.9529999999995"/>
    <n v="51.323794141607202"/>
    <n v="4435.3529999999992"/>
    <n v="4676.6000000000013"/>
    <n v="2015"/>
    <s v="http://esa.un.org/unpd/wpp/Download/Standard/Population/"/>
    <n v="48.8"/>
    <n v="48.3"/>
    <n v="49.3"/>
    <n v="65.2"/>
    <n v="42.7"/>
    <s v="2010-2011"/>
    <s v="DHS"/>
    <n v="6400"/>
    <n v="41.018407587226122"/>
    <n v="3153.3134637603334"/>
    <n v="3246.6865362396666"/>
    <n v="2013"/>
    <s v="http://www.idea.int/vt/countryview.cfm?id=248"/>
    <n v="16"/>
    <n v="18"/>
    <s v="ZW2013"/>
    <n v="6400"/>
    <n v="5696.78"/>
    <n v="13182.907999999999"/>
    <n v="1"/>
    <n v="3"/>
    <s v="CD"/>
    <x v="0"/>
    <n v="6035.2415759999985"/>
    <n v="38.680624820584512"/>
    <n v="50.899049906736259"/>
    <n v="2963.4290042396656"/>
    <n v="3071.8806217603351"/>
    <n v="38.548384151683891"/>
    <n v="38.809922053209753"/>
    <n v="2711.9529999999995"/>
    <n v="52.726336472657707"/>
    <n v="1282.0395362396657"/>
    <n v="1429.9134637603347"/>
    <n v="2040.8913919999998"/>
    <n v="49.450880480758094"/>
    <n v="1031.6771189999999"/>
    <n v="1009.2387630000001"/>
    <n v="1282.3971839999999"/>
    <n v="49.33950283845914"/>
    <n v="649.71234900000002"/>
    <n v="632.72839499999998"/>
    <n v="51.7"/>
    <n v="50.7"/>
    <n v="14149.647999999999"/>
    <n v="50.630460913232611"/>
    <n v="5583.358999999994"/>
    <n v="50.035377985032014"/>
    <n v="2042.394"/>
    <n v="49.751797546256988"/>
    <n v="87"/>
    <n v="7452.671430000004"/>
    <n v="1113.6175700000006"/>
    <n v="50.630460913232611"/>
    <n v="2858.6798079999971"/>
    <n v="50.035377985032014"/>
    <n v="1047.3888928149665"/>
    <n v="49.751797546256988"/>
    <n v="5603.5150000000003"/>
    <n v="39.601799999999997"/>
    <n v="40.062728483817743"/>
    <n v="8546.1329999999998"/>
    <n v="60.398200000000003"/>
    <n v="53.074051152726028"/>
    <n v="14.457472237325138"/>
    <n v="13.126223294162429"/>
    <n v="11.875653563274364"/>
    <n v="39.459349094761897"/>
    <n v="56.673586509007201"/>
    <n v="3.8670643962309201"/>
    <n v="48.8"/>
    <n v="49.3"/>
    <n v="48.3"/>
    <n v="65.2"/>
    <n v="42.7"/>
    <n v="2011"/>
    <n v="20.518355926592665"/>
    <n v="2011"/>
    <n v="2903.2751390000003"/>
    <n v="71"/>
    <n v="2004"/>
    <n v="9055.6083799999997"/>
    <n v="68"/>
    <n v="2004"/>
    <n v="83.582717895507798"/>
    <s v="eng"/>
    <n v="1"/>
    <n v="3"/>
    <s v="-"/>
    <s v="-"/>
    <s v="-"/>
    <s v="-"/>
    <s v="CR Minister"/>
    <n v="0.38"/>
    <s v="-"/>
    <s v="-"/>
    <m/>
    <m/>
    <m/>
    <m/>
    <m/>
    <m/>
    <m/>
    <m/>
    <m/>
    <m/>
    <m/>
    <m/>
    <m/>
    <m/>
    <m/>
    <m/>
    <m/>
    <m/>
    <m/>
    <m/>
    <m/>
    <m/>
    <m/>
    <m/>
    <m/>
    <m/>
    <m/>
    <m/>
    <m/>
    <m/>
    <m/>
    <m/>
    <m/>
    <m/>
    <m/>
    <m/>
    <m/>
    <n v="1"/>
    <s v="civil + common"/>
    <s v="NF"/>
    <n v="5"/>
    <n v="6"/>
    <s v="PF"/>
    <n v="55"/>
    <n v="15"/>
    <n v="15"/>
    <n v="25"/>
    <s v="NF"/>
    <n v="73"/>
    <n v="24"/>
    <n v="25"/>
    <n v="24"/>
    <n v="4"/>
    <n v="-1.385584831237793"/>
    <n v="-0.69024169445037842"/>
    <n v="-1.1385077238082886"/>
    <n v="-1.7961570024490356"/>
    <n v="-1.5678373575210571"/>
    <n v="-1.3651399612426758"/>
    <n v="126"/>
    <n v="0.35844999999999999"/>
    <n v="0.45097999999999999"/>
    <n v="0.30708000000000002"/>
    <n v="0.22375999999999999"/>
    <n v="0.54449999999999998"/>
    <n v="121"/>
    <n v="2.89"/>
    <n v="3.12"/>
    <n v="1.92"/>
    <n v="4.3600000000000003"/>
    <s v="Access to Information and Protection of Privacy Act"/>
    <s v="http://archive.kubatana.net/docs/legisl/aippa_amd_act_080111.pdf"/>
    <n v="2002"/>
    <n v="2002"/>
    <s v="Pub"/>
    <s v="Media and Information Commission"/>
    <s v="http://www.mediacommission.co.zw/"/>
    <s v="-"/>
    <n v="72"/>
    <n v="70"/>
    <n v="2002"/>
    <s v="http://www.rti-rating.org/files/pdf/Zimbabwe.pdf"/>
    <n v="2"/>
    <n v="16"/>
    <n v="10"/>
    <n v="14"/>
    <n v="22"/>
    <n v="1"/>
    <n v="5"/>
    <m/>
    <m/>
    <m/>
    <n v="1"/>
    <m/>
    <s v="Blend"/>
    <s v=""/>
    <n v="0"/>
    <n v="13"/>
    <n v="52"/>
    <s v="B"/>
    <n v="1"/>
    <n v="3"/>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3"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19:N24" firstHeaderRow="0" firstDataRow="1" firstDataCol="1" rowPageCount="3" colPageCount="1"/>
  <pivotFields count="284">
    <pivotField showAll="0"/>
    <pivotField showAll="0"/>
    <pivotField showAll="0"/>
    <pivotField axis="axisPage" multipleItemSelectionAllowed="1" showAll="0">
      <items count="8">
        <item x="4"/>
        <item x="6"/>
        <item x="1"/>
        <item x="5"/>
        <item x="2"/>
        <item x="0"/>
        <item x="3"/>
        <item t="default"/>
      </items>
    </pivotField>
    <pivotField axis="axisRow" showAll="0">
      <items count="5">
        <item x="2"/>
        <item x="1"/>
        <item x="3"/>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4">
        <item h="1"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3" showAll="0"/>
    <pivotField numFmtId="167" showAll="0"/>
    <pivotField dataField="1" numFmtId="3" showAll="0"/>
    <pivotField dataField="1" numFmtId="3" showAll="0"/>
    <pivotField numFmtId="3" showAll="0"/>
    <pivotField numFmtId="167" showAll="0"/>
    <pivotField numFmtId="3" showAll="0"/>
    <pivotField numFmtId="3" showAll="0"/>
    <pivotField numFmtId="3" showAll="0"/>
    <pivotField numFmtId="167" showAll="0"/>
    <pivotField numFmtId="3" showAll="0"/>
    <pivotField numFmtId="3" showAll="0"/>
    <pivotField numFmtId="3" showAll="0"/>
    <pivotField numFmtId="167" showAll="0"/>
    <pivotField numFmtId="3" showAll="0"/>
    <pivotField numFmtId="3" showAll="0"/>
    <pivotField numFmtId="3" showAll="0"/>
    <pivotField numFmtId="167" showAll="0"/>
    <pivotField numFmtId="3" showAll="0"/>
    <pivotField numFmtId="3" showAll="0"/>
    <pivotField showAll="0"/>
    <pivotField showAll="0"/>
    <pivotField showAll="0"/>
    <pivotField showAll="0"/>
    <pivotField showAll="0"/>
    <pivotField showAll="0"/>
    <pivotField showAll="0"/>
    <pivotField showAll="0"/>
    <pivotField showAll="0"/>
    <pivotField showAll="0"/>
    <pivotField numFmtId="172" showAll="0"/>
    <pivotField numFmtId="170" showAll="0"/>
    <pivotField numFmtId="170"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4">
        <item x="0"/>
        <item x="1"/>
        <item x="2"/>
        <item t="default"/>
      </items>
    </pivotField>
    <pivotField dataField="1" numFmtId="3" showAll="0"/>
    <pivotField showAll="0"/>
    <pivotField showAll="0"/>
    <pivotField dataField="1" numFmtId="3" showAll="0"/>
    <pivotField dataField="1" numFmtId="3" showAll="0"/>
    <pivotField dataField="1" numFmtId="167" showAll="0"/>
    <pivotField dataField="1" numFmtId="167" showAll="0"/>
    <pivotField numFmtId="3" showAll="0"/>
    <pivotField numFmtId="167" showAll="0"/>
    <pivotField numFmtId="3" showAll="0"/>
    <pivotField numFmtId="3" showAll="0"/>
    <pivotField numFmtId="3" showAll="0"/>
    <pivotField numFmtId="167" showAll="0"/>
    <pivotField numFmtId="3" showAll="0"/>
    <pivotField numFmtId="3" showAll="0"/>
    <pivotField dataField="1" numFmtId="3" showAll="0"/>
    <pivotField showAll="0"/>
    <pivotField dataField="1" numFmtId="3" showAll="0"/>
    <pivotField dataField="1" numFmtId="3" showAll="0"/>
    <pivotField dataField="1" numFmtId="167" showAll="0" defaultSubtotal="0"/>
    <pivotField dataField="1" numFmtId="167" showAll="0" defaultSubtotal="0"/>
    <pivotField numFmtId="3" showAll="0"/>
    <pivotField numFmtId="164" showAll="0"/>
    <pivotField numFmtId="3" showAll="0"/>
    <pivotField numFmtId="167" showAll="0"/>
    <pivotField numFmtId="3" showAll="0"/>
    <pivotField numFmtId="164" showAll="0"/>
    <pivotField numFmtId="164" showAll="0"/>
    <pivotField numFmtId="3" showAll="0"/>
    <pivotField numFmtId="3" showAll="0"/>
    <pivotField numFmtId="167" showAll="0"/>
    <pivotField numFmtId="3" showAll="0"/>
    <pivotField numFmtId="167" showAll="0"/>
    <pivotField numFmtId="3" showAll="0"/>
    <pivotField numFmtId="164" showAll="0"/>
    <pivotField showAll="0"/>
    <pivotField showAll="0"/>
    <pivotField showAll="0"/>
    <pivotField showAll="0"/>
    <pivotField showAll="0"/>
    <pivotField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numFmtId="2" showAll="0"/>
    <pivotField showAll="0"/>
    <pivotField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numFmtId="2" showAll="0"/>
    <pivotField showAll="0"/>
    <pivotField showAll="0"/>
    <pivotField showAll="0"/>
    <pivotField showAll="0"/>
    <pivotField showAll="0"/>
  </pivotFields>
  <rowFields count="1">
    <field x="4"/>
  </rowFields>
  <rowItems count="5">
    <i>
      <x/>
    </i>
    <i>
      <x v="1"/>
    </i>
    <i>
      <x v="2"/>
    </i>
    <i>
      <x v="3"/>
    </i>
    <i t="grand">
      <x/>
    </i>
  </rowItems>
  <colFields count="1">
    <field x="-2"/>
  </colFields>
  <colItems count="13">
    <i>
      <x/>
    </i>
    <i i="1">
      <x v="1"/>
    </i>
    <i i="2">
      <x v="2"/>
    </i>
    <i i="3">
      <x v="3"/>
    </i>
    <i i="4">
      <x v="4"/>
    </i>
    <i i="5">
      <x v="5"/>
    </i>
    <i i="6">
      <x v="6"/>
    </i>
    <i i="7">
      <x v="7"/>
    </i>
    <i i="8">
      <x v="8"/>
    </i>
    <i i="9">
      <x v="9"/>
    </i>
    <i i="10">
      <x v="10"/>
    </i>
    <i i="11">
      <x v="11"/>
    </i>
    <i i="12">
      <x v="12"/>
    </i>
  </colItems>
  <pageFields count="3">
    <pageField fld="3" hier="-1"/>
    <pageField fld="106" hier="-1"/>
    <pageField fld="19" hier="-1"/>
  </pageFields>
  <dataFields count="13">
    <dataField name="Pop" fld="62" baseField="0" baseItem="0" numFmtId="3"/>
    <dataField name="Pop_M" fld="64" baseField="0" baseItem="0" numFmtId="3"/>
    <dataField name="Pop_F" fld="65" baseField="0" baseItem="0" numFmtId="3"/>
    <dataField name="Unrep Pop" fld="107" baseField="0" baseItem="0" numFmtId="3"/>
    <dataField name="Unreg_M" fld="110" baseField="0" baseItem="0" numFmtId="3"/>
    <dataField name="Unreg_F" fld="111" baseField="0" baseItem="0" numFmtId="3"/>
    <dataField name="UM/TotM" fld="112" subtotal="average" baseField="4" baseItem="0" numFmtId="164"/>
    <dataField name="UF/TotF" fld="113" subtotal="average" baseField="4" baseItem="0" numFmtId="164"/>
    <dataField name="Unreg_0-4" fld="122" baseField="0" baseItem="0" numFmtId="3"/>
    <dataField name="UM 0-4" fld="124" baseField="0" baseItem="0" numFmtId="3"/>
    <dataField name="UF 0-4" fld="125" baseField="0" baseItem="0" numFmtId="3"/>
    <dataField name="UM 0-4/TotM" fld="126" subtotal="average" baseField="4" baseItem="1" numFmtId="164"/>
    <dataField name="UF 0-4/TotF" fld="127" subtotal="average" baseField="4" baseItem="1" numFmtId="164"/>
  </dataFields>
  <formats count="27">
    <format dxfId="26">
      <pivotArea outline="0" collapsedLevelsAreSubtotals="1" fieldPosition="0">
        <references count="1">
          <reference field="4294967294" count="3" selected="0">
            <x v="8"/>
            <x v="9"/>
            <x v="10"/>
          </reference>
        </references>
      </pivotArea>
    </format>
    <format dxfId="25">
      <pivotArea outline="0" collapsedLevelsAreSubtotals="1" fieldPosition="0">
        <references count="1">
          <reference field="4294967294" count="2" selected="0">
            <x v="6"/>
            <x v="7"/>
          </reference>
        </references>
      </pivotArea>
    </format>
    <format dxfId="24">
      <pivotArea outline="0" collapsedLevelsAreSubtotals="1" fieldPosition="0">
        <references count="1">
          <reference field="4294967294" count="2" selected="0">
            <x v="6"/>
            <x v="7"/>
          </reference>
        </references>
      </pivotArea>
    </format>
    <format dxfId="23">
      <pivotArea dataOnly="0" labelOnly="1" outline="0" fieldPosition="0">
        <references count="1">
          <reference field="4294967294" count="2">
            <x v="6"/>
            <x v="7"/>
          </reference>
        </references>
      </pivotArea>
    </format>
    <format dxfId="22">
      <pivotArea dataOnly="0" labelOnly="1" outline="0" fieldPosition="0">
        <references count="1">
          <reference field="4294967294" count="3">
            <x v="8"/>
            <x v="9"/>
            <x v="10"/>
          </reference>
        </references>
      </pivotArea>
    </format>
    <format dxfId="21">
      <pivotArea outline="0" collapsedLevelsAreSubtotals="1" fieldPosition="0">
        <references count="1">
          <reference field="4294967294" count="6" selected="0">
            <x v="0"/>
            <x v="1"/>
            <x v="2"/>
            <x v="3"/>
            <x v="4"/>
            <x v="5"/>
          </reference>
        </references>
      </pivotArea>
    </format>
    <format dxfId="20">
      <pivotArea dataOnly="0" labelOnly="1" outline="0" fieldPosition="0">
        <references count="1">
          <reference field="4294967294" count="6">
            <x v="0"/>
            <x v="1"/>
            <x v="2"/>
            <x v="3"/>
            <x v="4"/>
            <x v="5"/>
          </reference>
        </references>
      </pivotArea>
    </format>
    <format dxfId="19">
      <pivotArea field="4" grandRow="1" outline="0" collapsedLevelsAreSubtotals="1" axis="axisRow" fieldPosition="0">
        <references count="1">
          <reference field="4294967294" count="1" selected="0">
            <x v="3"/>
          </reference>
        </references>
      </pivotArea>
    </format>
    <format dxfId="18">
      <pivotArea outline="0" collapsedLevelsAreSubtotals="1" fieldPosition="0">
        <references count="1">
          <reference field="4294967294" count="1" selected="0">
            <x v="0"/>
          </reference>
        </references>
      </pivotArea>
    </format>
    <format dxfId="17">
      <pivotArea dataOnly="0" labelOnly="1" outline="0" fieldPosition="0">
        <references count="1">
          <reference field="4294967294" count="1">
            <x v="0"/>
          </reference>
        </references>
      </pivotArea>
    </format>
    <format dxfId="16">
      <pivotArea dataOnly="0" outline="0" fieldPosition="0">
        <references count="1">
          <reference field="4294967294" count="2">
            <x v="1"/>
            <x v="2"/>
          </reference>
        </references>
      </pivotArea>
    </format>
    <format dxfId="15">
      <pivotArea outline="0" collapsedLevelsAreSubtotals="1" fieldPosition="0">
        <references count="1">
          <reference field="4294967294" count="1" selected="0">
            <x v="3"/>
          </reference>
        </references>
      </pivotArea>
    </format>
    <format dxfId="14">
      <pivotArea dataOnly="0" labelOnly="1" outline="0" fieldPosition="0">
        <references count="1">
          <reference field="4294967294" count="1">
            <x v="3"/>
          </reference>
        </references>
      </pivotArea>
    </format>
    <format dxfId="13">
      <pivotArea field="4" type="button" dataOnly="0" labelOnly="1" outline="0" axis="axisRow" fieldPosition="0"/>
    </format>
    <format dxfId="12">
      <pivotArea dataOnly="0" labelOnly="1" fieldPosition="0">
        <references count="1">
          <reference field="4" count="0"/>
        </references>
      </pivotArea>
    </format>
    <format dxfId="11">
      <pivotArea dataOnly="0" labelOnly="1" grandRow="1" outline="0" fieldPosition="0"/>
    </format>
    <format dxfId="10">
      <pivotArea dataOnly="0" outline="0" fieldPosition="0">
        <references count="1">
          <reference field="4294967294" count="2">
            <x v="4"/>
            <x v="5"/>
          </reference>
        </references>
      </pivotArea>
    </format>
    <format dxfId="9">
      <pivotArea outline="0" collapsedLevelsAreSubtotals="1" fieldPosition="0">
        <references count="1">
          <reference field="4294967294" count="2" selected="0">
            <x v="6"/>
            <x v="7"/>
          </reference>
        </references>
      </pivotArea>
    </format>
    <format dxfId="8">
      <pivotArea dataOnly="0" labelOnly="1" outline="0" fieldPosition="0">
        <references count="1">
          <reference field="4294967294" count="2">
            <x v="6"/>
            <x v="7"/>
          </reference>
        </references>
      </pivotArea>
    </format>
    <format dxfId="7">
      <pivotArea outline="0" collapsedLevelsAreSubtotals="1" fieldPosition="0">
        <references count="1">
          <reference field="4294967294" count="1" selected="0">
            <x v="8"/>
          </reference>
        </references>
      </pivotArea>
    </format>
    <format dxfId="6">
      <pivotArea dataOnly="0" labelOnly="1" outline="0" fieldPosition="0">
        <references count="1">
          <reference field="4294967294" count="1">
            <x v="8"/>
          </reference>
        </references>
      </pivotArea>
    </format>
    <format dxfId="5">
      <pivotArea outline="0" collapsedLevelsAreSubtotals="1" fieldPosition="0">
        <references count="1">
          <reference field="4294967294" count="2" selected="0">
            <x v="9"/>
            <x v="10"/>
          </reference>
        </references>
      </pivotArea>
    </format>
    <format dxfId="4">
      <pivotArea dataOnly="0" labelOnly="1" outline="0" fieldPosition="0">
        <references count="1">
          <reference field="4294967294" count="2">
            <x v="9"/>
            <x v="10"/>
          </reference>
        </references>
      </pivotArea>
    </format>
    <format dxfId="3">
      <pivotArea outline="0" collapsedLevelsAreSubtotals="1" fieldPosition="0">
        <references count="1">
          <reference field="4294967294" count="2" selected="0">
            <x v="11"/>
            <x v="12"/>
          </reference>
        </references>
      </pivotArea>
    </format>
    <format dxfId="2">
      <pivotArea dataOnly="0" outline="0" fieldPosition="0">
        <references count="1">
          <reference field="4294967294" count="2">
            <x v="11"/>
            <x v="12"/>
          </reference>
        </references>
      </pivotArea>
    </format>
    <format dxfId="1">
      <pivotArea dataOnly="0" outline="0" fieldPosition="0">
        <references count="1">
          <reference field="4294967294" count="2">
            <x v="11"/>
            <x v="12"/>
          </reference>
        </references>
      </pivotArea>
    </format>
    <format dxfId="0">
      <pivotArea dataOnly="0" labelOnly="1" outline="0" fieldPosition="0">
        <references count="1">
          <reference field="4294967294" count="2">
            <x v="11"/>
            <x v="1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4:N12" firstHeaderRow="0" firstDataRow="1" firstDataCol="1" rowPageCount="2" colPageCount="1"/>
  <pivotFields count="284">
    <pivotField showAll="0"/>
    <pivotField showAll="0"/>
    <pivotField showAll="0"/>
    <pivotField axis="axisRow" showAll="0">
      <items count="8">
        <item x="4"/>
        <item x="6"/>
        <item x="1"/>
        <item x="5"/>
        <item x="2"/>
        <item x="0"/>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4">
        <item h="1"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3" showAll="0"/>
    <pivotField numFmtId="167" showAll="0"/>
    <pivotField dataField="1" numFmtId="3" showAll="0"/>
    <pivotField dataField="1" numFmtId="3" showAll="0"/>
    <pivotField numFmtId="3" showAll="0"/>
    <pivotField numFmtId="167" showAll="0"/>
    <pivotField numFmtId="3" showAll="0"/>
    <pivotField numFmtId="3" showAll="0"/>
    <pivotField numFmtId="3" showAll="0"/>
    <pivotField numFmtId="167" showAll="0"/>
    <pivotField numFmtId="3" showAll="0"/>
    <pivotField numFmtId="3" showAll="0"/>
    <pivotField numFmtId="3" showAll="0"/>
    <pivotField numFmtId="167" showAll="0"/>
    <pivotField numFmtId="3" showAll="0"/>
    <pivotField numFmtId="3" showAll="0"/>
    <pivotField numFmtId="3" showAll="0"/>
    <pivotField numFmtId="167" showAll="0"/>
    <pivotField numFmtId="3" showAll="0"/>
    <pivotField numFmtId="3" showAll="0"/>
    <pivotField showAll="0"/>
    <pivotField showAll="0"/>
    <pivotField showAll="0"/>
    <pivotField showAll="0"/>
    <pivotField showAll="0"/>
    <pivotField showAll="0"/>
    <pivotField showAll="0"/>
    <pivotField showAll="0"/>
    <pivotField showAll="0"/>
    <pivotField showAll="0"/>
    <pivotField numFmtId="172" showAll="0"/>
    <pivotField numFmtId="170" showAll="0"/>
    <pivotField numFmtId="170"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4">
        <item x="0"/>
        <item x="1"/>
        <item x="2"/>
        <item t="default"/>
      </items>
    </pivotField>
    <pivotField dataField="1" numFmtId="3" showAll="0"/>
    <pivotField showAll="0"/>
    <pivotField showAll="0"/>
    <pivotField dataField="1" numFmtId="3" showAll="0"/>
    <pivotField dataField="1" numFmtId="3" showAll="0"/>
    <pivotField dataField="1" numFmtId="167" showAll="0"/>
    <pivotField dataField="1" numFmtId="167" showAll="0"/>
    <pivotField numFmtId="3" showAll="0"/>
    <pivotField numFmtId="167" showAll="0"/>
    <pivotField numFmtId="3" showAll="0"/>
    <pivotField numFmtId="3" showAll="0"/>
    <pivotField numFmtId="3" showAll="0"/>
    <pivotField numFmtId="167" showAll="0"/>
    <pivotField numFmtId="3" showAll="0"/>
    <pivotField numFmtId="3" showAll="0"/>
    <pivotField dataField="1" numFmtId="3" showAll="0"/>
    <pivotField showAll="0"/>
    <pivotField dataField="1" numFmtId="3" showAll="0"/>
    <pivotField dataField="1" numFmtId="3" showAll="0"/>
    <pivotField dataField="1" numFmtId="167" showAll="0" defaultSubtotal="0"/>
    <pivotField dataField="1" numFmtId="167" showAll="0" defaultSubtotal="0"/>
    <pivotField numFmtId="3" showAll="0"/>
    <pivotField numFmtId="164" showAll="0"/>
    <pivotField numFmtId="3" showAll="0"/>
    <pivotField numFmtId="167" showAll="0"/>
    <pivotField numFmtId="3" showAll="0"/>
    <pivotField numFmtId="164" showAll="0"/>
    <pivotField numFmtId="164" showAll="0"/>
    <pivotField numFmtId="3" showAll="0"/>
    <pivotField numFmtId="3" showAll="0"/>
    <pivotField numFmtId="167" showAll="0"/>
    <pivotField numFmtId="3" showAll="0"/>
    <pivotField numFmtId="167" showAll="0"/>
    <pivotField numFmtId="3" showAll="0"/>
    <pivotField numFmtId="164" showAll="0"/>
    <pivotField showAll="0"/>
    <pivotField showAll="0"/>
    <pivotField showAll="0"/>
    <pivotField showAll="0"/>
    <pivotField showAll="0"/>
    <pivotField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numFmtId="2" showAll="0"/>
    <pivotField showAll="0"/>
    <pivotField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numFmtId="2" showAll="0"/>
    <pivotField showAll="0"/>
    <pivotField showAll="0"/>
    <pivotField showAll="0"/>
    <pivotField showAll="0"/>
    <pivotField showAll="0"/>
  </pivotFields>
  <rowFields count="1">
    <field x="3"/>
  </rowFields>
  <rowItems count="8">
    <i>
      <x/>
    </i>
    <i>
      <x v="1"/>
    </i>
    <i>
      <x v="2"/>
    </i>
    <i>
      <x v="3"/>
    </i>
    <i>
      <x v="4"/>
    </i>
    <i>
      <x v="5"/>
    </i>
    <i>
      <x v="6"/>
    </i>
    <i t="grand">
      <x/>
    </i>
  </rowItems>
  <colFields count="1">
    <field x="-2"/>
  </colFields>
  <colItems count="13">
    <i>
      <x/>
    </i>
    <i i="1">
      <x v="1"/>
    </i>
    <i i="2">
      <x v="2"/>
    </i>
    <i i="3">
      <x v="3"/>
    </i>
    <i i="4">
      <x v="4"/>
    </i>
    <i i="5">
      <x v="5"/>
    </i>
    <i i="6">
      <x v="6"/>
    </i>
    <i i="7">
      <x v="7"/>
    </i>
    <i i="8">
      <x v="8"/>
    </i>
    <i i="9">
      <x v="9"/>
    </i>
    <i i="10">
      <x v="10"/>
    </i>
    <i i="11">
      <x v="11"/>
    </i>
    <i i="12">
      <x v="12"/>
    </i>
  </colItems>
  <pageFields count="2">
    <pageField fld="106" hier="-1"/>
    <pageField fld="19" hier="-1"/>
  </pageFields>
  <dataFields count="13">
    <dataField name="Pop" fld="62" baseField="0" baseItem="0" numFmtId="3"/>
    <dataField name="Pop_M" fld="64" baseField="0" baseItem="0" numFmtId="3"/>
    <dataField name="Pop_F" fld="65" baseField="0" baseItem="0" numFmtId="3"/>
    <dataField name="Unreg Pop" fld="107" baseField="0" baseItem="0" numFmtId="3"/>
    <dataField name="Unreg_M" fld="110" baseField="0" baseItem="0" numFmtId="3"/>
    <dataField name="Unreg_F" fld="111" baseField="0" baseItem="0" numFmtId="3"/>
    <dataField name="UM/TotM " fld="112" subtotal="average" baseField="3" baseItem="1" numFmtId="164"/>
    <dataField name="UF/TotF" fld="113" subtotal="average" baseField="3" baseItem="0" numFmtId="164"/>
    <dataField name="Unreg_0-4" fld="122" baseField="0" baseItem="0" numFmtId="3"/>
    <dataField name="UM  0-4" fld="124" baseField="0" baseItem="0" numFmtId="3"/>
    <dataField name="UF 0-4" fld="125" baseField="0" baseItem="0" numFmtId="3"/>
    <dataField name="UM 0-4/TotM" fld="126" subtotal="average" baseField="3" baseItem="1" numFmtId="164"/>
    <dataField name="UF 0-4/TotF" fld="127" subtotal="average" baseField="3" baseItem="1" numFmtId="164"/>
  </dataFields>
  <formats count="29">
    <format dxfId="55">
      <pivotArea outline="0" collapsedLevelsAreSubtotals="1" fieldPosition="0">
        <references count="1">
          <reference field="4294967294" count="6" selected="0">
            <x v="0"/>
            <x v="1"/>
            <x v="2"/>
            <x v="3"/>
            <x v="4"/>
            <x v="5"/>
          </reference>
        </references>
      </pivotArea>
    </format>
    <format dxfId="54">
      <pivotArea dataOnly="0" labelOnly="1" outline="0" fieldPosition="0">
        <references count="1">
          <reference field="4294967294" count="6">
            <x v="0"/>
            <x v="1"/>
            <x v="2"/>
            <x v="3"/>
            <x v="4"/>
            <x v="5"/>
          </reference>
        </references>
      </pivotArea>
    </format>
    <format dxfId="53">
      <pivotArea outline="0" collapsedLevelsAreSubtotals="1" fieldPosition="0">
        <references count="1">
          <reference field="4294967294" count="2" selected="0">
            <x v="6"/>
            <x v="7"/>
          </reference>
        </references>
      </pivotArea>
    </format>
    <format dxfId="52">
      <pivotArea outline="0" collapsedLevelsAreSubtotals="1" fieldPosition="0">
        <references count="1">
          <reference field="4294967294" count="3" selected="0">
            <x v="8"/>
            <x v="9"/>
            <x v="10"/>
          </reference>
        </references>
      </pivotArea>
    </format>
    <format dxfId="51">
      <pivotArea dataOnly="0" labelOnly="1" outline="0" fieldPosition="0">
        <references count="1">
          <reference field="4294967294" count="11">
            <x v="0"/>
            <x v="1"/>
            <x v="2"/>
            <x v="3"/>
            <x v="4"/>
            <x v="5"/>
            <x v="6"/>
            <x v="7"/>
            <x v="8"/>
            <x v="9"/>
            <x v="10"/>
          </reference>
        </references>
      </pivotArea>
    </format>
    <format dxfId="50">
      <pivotArea outline="0" collapsedLevelsAreSubtotals="1" fieldPosition="0">
        <references count="1">
          <reference field="4294967294" count="2" selected="0">
            <x v="6"/>
            <x v="7"/>
          </reference>
        </references>
      </pivotArea>
    </format>
    <format dxfId="49">
      <pivotArea dataOnly="0" labelOnly="1" outline="0" fieldPosition="0">
        <references count="1">
          <reference field="4294967294" count="2">
            <x v="6"/>
            <x v="7"/>
          </reference>
        </references>
      </pivotArea>
    </format>
    <format dxfId="48">
      <pivotArea outline="0" collapsedLevelsAreSubtotals="1" fieldPosition="0">
        <references count="1">
          <reference field="4294967294" count="1" selected="0">
            <x v="0"/>
          </reference>
        </references>
      </pivotArea>
    </format>
    <format dxfId="47">
      <pivotArea dataOnly="0" labelOnly="1" outline="0" fieldPosition="0">
        <references count="1">
          <reference field="4294967294" count="1">
            <x v="0"/>
          </reference>
        </references>
      </pivotArea>
    </format>
    <format dxfId="46">
      <pivotArea outline="0" collapsedLevelsAreSubtotals="1" fieldPosition="0">
        <references count="1">
          <reference field="4294967294" count="1" selected="0">
            <x v="3"/>
          </reference>
        </references>
      </pivotArea>
    </format>
    <format dxfId="45">
      <pivotArea dataOnly="0" labelOnly="1" outline="0" fieldPosition="0">
        <references count="1">
          <reference field="4294967294" count="1">
            <x v="3"/>
          </reference>
        </references>
      </pivotArea>
    </format>
    <format dxfId="44">
      <pivotArea outline="0" collapsedLevelsAreSubtotals="1" fieldPosition="0">
        <references count="1">
          <reference field="4294967294" count="2" selected="0">
            <x v="6"/>
            <x v="7"/>
          </reference>
        </references>
      </pivotArea>
    </format>
    <format dxfId="43">
      <pivotArea dataOnly="0" labelOnly="1" outline="0" fieldPosition="0">
        <references count="1">
          <reference field="4294967294" count="2">
            <x v="6"/>
            <x v="7"/>
          </reference>
        </references>
      </pivotArea>
    </format>
    <format dxfId="42">
      <pivotArea outline="0" collapsedLevelsAreSubtotals="1" fieldPosition="0">
        <references count="1">
          <reference field="4294967294" count="2" selected="0">
            <x v="4"/>
            <x v="5"/>
          </reference>
        </references>
      </pivotArea>
    </format>
    <format dxfId="41">
      <pivotArea dataOnly="0" labelOnly="1" outline="0" fieldPosition="0">
        <references count="1">
          <reference field="4294967294" count="2">
            <x v="4"/>
            <x v="5"/>
          </reference>
        </references>
      </pivotArea>
    </format>
    <format dxfId="40">
      <pivotArea outline="0" collapsedLevelsAreSubtotals="1" fieldPosition="0">
        <references count="1">
          <reference field="4294967294" count="2" selected="0">
            <x v="1"/>
            <x v="2"/>
          </reference>
        </references>
      </pivotArea>
    </format>
    <format dxfId="39">
      <pivotArea dataOnly="0" labelOnly="1" outline="0" fieldPosition="0">
        <references count="1">
          <reference field="4294967294" count="2">
            <x v="1"/>
            <x v="2"/>
          </reference>
        </references>
      </pivotArea>
    </format>
    <format dxfId="38">
      <pivotArea dataOnly="0" outline="0" fieldPosition="0">
        <references count="1">
          <reference field="4294967294" count="1">
            <x v="8"/>
          </reference>
        </references>
      </pivotArea>
    </format>
    <format dxfId="37">
      <pivotArea outline="0" collapsedLevelsAreSubtotals="1" fieldPosition="0">
        <references count="1">
          <reference field="4294967294" count="2" selected="0">
            <x v="9"/>
            <x v="10"/>
          </reference>
        </references>
      </pivotArea>
    </format>
    <format dxfId="36">
      <pivotArea dataOnly="0" labelOnly="1" outline="0" fieldPosition="0">
        <references count="1">
          <reference field="4294967294" count="2">
            <x v="9"/>
            <x v="10"/>
          </reference>
        </references>
      </pivotArea>
    </format>
    <format dxfId="35">
      <pivotArea field="3" type="button" dataOnly="0" labelOnly="1" outline="0" axis="axisRow" fieldPosition="0"/>
    </format>
    <format dxfId="34">
      <pivotArea dataOnly="0" labelOnly="1" fieldPosition="0">
        <references count="1">
          <reference field="3" count="0"/>
        </references>
      </pivotArea>
    </format>
    <format dxfId="33">
      <pivotArea dataOnly="0" labelOnly="1" grandRow="1" outline="0" fieldPosition="0"/>
    </format>
    <format dxfId="32">
      <pivotArea field="3" grandRow="1" outline="0" collapsedLevelsAreSubtotals="1" axis="axisRow" fieldPosition="0">
        <references count="1">
          <reference field="4294967294" count="1" selected="0">
            <x v="3"/>
          </reference>
        </references>
      </pivotArea>
    </format>
    <format dxfId="31">
      <pivotArea outline="0" collapsedLevelsAreSubtotals="1" fieldPosition="0">
        <references count="1">
          <reference field="4294967294" count="2" selected="0">
            <x v="11"/>
            <x v="12"/>
          </reference>
        </references>
      </pivotArea>
    </format>
    <format dxfId="30">
      <pivotArea outline="0" collapsedLevelsAreSubtotals="1" fieldPosition="0">
        <references count="1">
          <reference field="4294967294" count="2" selected="0">
            <x v="11"/>
            <x v="12"/>
          </reference>
        </references>
      </pivotArea>
    </format>
    <format dxfId="29">
      <pivotArea dataOnly="0" labelOnly="1" outline="0" fieldPosition="0">
        <references count="1">
          <reference field="4294967294" count="2">
            <x v="11"/>
            <x v="12"/>
          </reference>
        </references>
      </pivotArea>
    </format>
    <format dxfId="28">
      <pivotArea outline="0" collapsedLevelsAreSubtotals="1" fieldPosition="0">
        <references count="1">
          <reference field="4294967294" count="2" selected="0">
            <x v="11"/>
            <x v="12"/>
          </reference>
        </references>
      </pivotArea>
    </format>
    <format dxfId="27">
      <pivotArea dataOnly="0" labelOnly="1" outline="0" fieldPosition="0">
        <references count="1">
          <reference field="4294967294" count="2">
            <x v="11"/>
            <x v="1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733" row="1">
    <wetp:webextensionref xmlns:r="http://schemas.openxmlformats.org/officeDocument/2006/relationships" r:id="rId1"/>
  </wetp:taskpane>
</wetp:taskpanes>
</file>

<file path=xl/webextensions/webextension1.xml><?xml version="1.0" encoding="utf-8"?>
<we:webextension xmlns:we="http://schemas.microsoft.com/office/webextensions/webextension/2010/11" id="{A56D16EF-14D6-4FC6-98CB-4F0934CC7BAA}">
  <we:reference id="wa104168603" version="1.0.0.4" store="en-US" storeType="OMEX"/>
  <we:alternateReferences>
    <we:reference id="WA104168603" version="1.0.0.4" store="WA104168603" storeType="OMEX"/>
  </we:alternateReferences>
  <we:properties>
    <we:property name="savedSettings" value="{&quot;state&quot;:{&quot;seed&quot;:131702,&quot;currentseed&quot;:null,&quot;VisualizationName&quot;:&quot;Power Bubbles&quot;,&quot;category&quot;:&quot;Country&quot;,&quot;aggregate&quot;:&quot;Sum&quot;,&quot;measure&quot;:&quot;Unreg_Pop&quot;,&quot;minDate&quot;:null,&quot;toolbarVisible&quot;:true},&quot;date&quot;:&quot;Thu, 26 Feb 2015 04:03:43 UTC&quot;,&quot;appVersion&quot;:&quot;1.139.5529.17501, 20-02-2015 09:43:22&quot;}"/>
  </we:properties>
  <we:bindings/>
  <we:snapshot xmlns:r="http://schemas.openxmlformats.org/officeDocument/2006/relationships"/>
</we:webextension>
</file>

<file path=xl/worksheets/_rels/sheet1.xml.rels><?xml version="1.0" encoding="UTF-8" standalone="yes"?>
<Relationships xmlns="http://schemas.openxmlformats.org/package/2006/relationships"><Relationship Id="rId1" Type="http://schemas.openxmlformats.org/officeDocument/2006/relationships/hyperlink" Target="http://www.worldbank.org/en/topic/governance/brief/identification-for-development"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www.rti-rating.org/view_country.php?country_name=Australia" TargetMode="External"/><Relationship Id="rId21" Type="http://schemas.openxmlformats.org/officeDocument/2006/relationships/hyperlink" Target="http://www.rti-rating.org/view_country.php?country_name=Trinidad%20and%20Tobago" TargetMode="External"/><Relationship Id="rId34" Type="http://schemas.openxmlformats.org/officeDocument/2006/relationships/hyperlink" Target="http://www.rti-rating.org/view_country.php?country_name=Malta" TargetMode="External"/><Relationship Id="rId42" Type="http://schemas.openxmlformats.org/officeDocument/2006/relationships/hyperlink" Target="http://www.rti-rating.org/view_country.php?country_name=Ecuador" TargetMode="External"/><Relationship Id="rId47" Type="http://schemas.openxmlformats.org/officeDocument/2006/relationships/hyperlink" Target="http://www.rti-rating.org/view_country.php?country_name=Zimbabwe" TargetMode="External"/><Relationship Id="rId50" Type="http://schemas.openxmlformats.org/officeDocument/2006/relationships/hyperlink" Target="http://www.rti-rating.org/view_country.php?country_name=Saint%20Vincent%20and%20the%20Grenadines" TargetMode="External"/><Relationship Id="rId55" Type="http://schemas.openxmlformats.org/officeDocument/2006/relationships/hyperlink" Target="http://www.rti-rating.org/view_country.php?country_name=Israel" TargetMode="External"/><Relationship Id="rId63" Type="http://schemas.openxmlformats.org/officeDocument/2006/relationships/hyperlink" Target="http://www.rti-rating.org/view_country.php?country_name=Iceland" TargetMode="External"/><Relationship Id="rId68" Type="http://schemas.openxmlformats.org/officeDocument/2006/relationships/hyperlink" Target="http://www.rti-rating.org/view_country.php?country_name=Uzbekistan" TargetMode="External"/><Relationship Id="rId76" Type="http://schemas.openxmlformats.org/officeDocument/2006/relationships/hyperlink" Target="http://www.rti-rating.org/view_country.php?country_name=Liberia" TargetMode="External"/><Relationship Id="rId84" Type="http://schemas.openxmlformats.org/officeDocument/2006/relationships/hyperlink" Target="http://www.rti-rating.org/view_country.php?country_name=Macedonia" TargetMode="External"/><Relationship Id="rId89" Type="http://schemas.openxmlformats.org/officeDocument/2006/relationships/hyperlink" Target="http://www.rti-rating.org/view_country.php?country_name=South%20Africa" TargetMode="External"/><Relationship Id="rId97" Type="http://schemas.openxmlformats.org/officeDocument/2006/relationships/hyperlink" Target="http://www.rti-rating.org/view_country.php?country_name=Bosnia%20and%20Herzegovina" TargetMode="External"/><Relationship Id="rId7" Type="http://schemas.openxmlformats.org/officeDocument/2006/relationships/hyperlink" Target="http://www.rti-rating.org/view_country.php?country_name=Uganda" TargetMode="External"/><Relationship Id="rId71" Type="http://schemas.openxmlformats.org/officeDocument/2006/relationships/hyperlink" Target="http://www.rti-rating.org/view_country.php?country_name=Jordan" TargetMode="External"/><Relationship Id="rId92" Type="http://schemas.openxmlformats.org/officeDocument/2006/relationships/hyperlink" Target="http://www.rti-rating.org/view_country.php?country_name=Kosovo" TargetMode="External"/><Relationship Id="rId2" Type="http://schemas.openxmlformats.org/officeDocument/2006/relationships/hyperlink" Target="http://www.rti-rating.org/view_country.php?country_name=Liechtenstein" TargetMode="External"/><Relationship Id="rId16" Type="http://schemas.openxmlformats.org/officeDocument/2006/relationships/hyperlink" Target="http://www.rti-rating.org/view_country.php?country_name=Bulgaria" TargetMode="External"/><Relationship Id="rId29" Type="http://schemas.openxmlformats.org/officeDocument/2006/relationships/hyperlink" Target="http://www.rti-rating.org/view_country.php?country_name=Honduras" TargetMode="External"/><Relationship Id="rId11" Type="http://schemas.openxmlformats.org/officeDocument/2006/relationships/hyperlink" Target="http://www.rti-rating.org/view_country.php?country_name=Estonia" TargetMode="External"/><Relationship Id="rId24" Type="http://schemas.openxmlformats.org/officeDocument/2006/relationships/hyperlink" Target="http://www.rti-rating.org/view_country.php?country_name=Hungary" TargetMode="External"/><Relationship Id="rId32" Type="http://schemas.openxmlformats.org/officeDocument/2006/relationships/hyperlink" Target="http://www.rti-rating.org/view_country.php?country_name=Canada" TargetMode="External"/><Relationship Id="rId37" Type="http://schemas.openxmlformats.org/officeDocument/2006/relationships/hyperlink" Target="http://www.rti-rating.org/view_country.php?country_name=Ivory%20Coast" TargetMode="External"/><Relationship Id="rId40" Type="http://schemas.openxmlformats.org/officeDocument/2006/relationships/hyperlink" Target="http://www.rti-rating.org/view_country.php?country_name=Spain" TargetMode="External"/><Relationship Id="rId45" Type="http://schemas.openxmlformats.org/officeDocument/2006/relationships/hyperlink" Target="http://www.rti-rating.org/view_country.php?country_name=Turkey" TargetMode="External"/><Relationship Id="rId53" Type="http://schemas.openxmlformats.org/officeDocument/2006/relationships/hyperlink" Target="http://www.rti-rating.org/view_country.php?country_name=Guyana" TargetMode="External"/><Relationship Id="rId58" Type="http://schemas.openxmlformats.org/officeDocument/2006/relationships/hyperlink" Target="http://www.rti-rating.org/view_country.php?country_name=Greece" TargetMode="External"/><Relationship Id="rId66" Type="http://schemas.openxmlformats.org/officeDocument/2006/relationships/hyperlink" Target="http://www.rti-rating.org/view_country.php?country_name=Dominican%20Republic" TargetMode="External"/><Relationship Id="rId74" Type="http://schemas.openxmlformats.org/officeDocument/2006/relationships/hyperlink" Target="http://www.rti-rating.org/view_country.php?country_name=Slovenia" TargetMode="External"/><Relationship Id="rId79" Type="http://schemas.openxmlformats.org/officeDocument/2006/relationships/hyperlink" Target="http://www.rti-rating.org/view_country.php?country_name=Mexico" TargetMode="External"/><Relationship Id="rId87" Type="http://schemas.openxmlformats.org/officeDocument/2006/relationships/hyperlink" Target="http://www.rti-rating.org/view_country.php?country_name=Nicaragua" TargetMode="External"/><Relationship Id="rId5" Type="http://schemas.openxmlformats.org/officeDocument/2006/relationships/hyperlink" Target="http://www.rti-rating.org/view_country.php?country_name=Russia" TargetMode="External"/><Relationship Id="rId61" Type="http://schemas.openxmlformats.org/officeDocument/2006/relationships/hyperlink" Target="http://www.rti-rating.org/view_country.php?country_name=Denmark" TargetMode="External"/><Relationship Id="rId82" Type="http://schemas.openxmlformats.org/officeDocument/2006/relationships/hyperlink" Target="http://www.rti-rating.org/view_country.php?country_name=Ukraine" TargetMode="External"/><Relationship Id="rId90" Type="http://schemas.openxmlformats.org/officeDocument/2006/relationships/hyperlink" Target="http://www.rti-rating.org/view_country.php?country_name=Brazil" TargetMode="External"/><Relationship Id="rId95" Type="http://schemas.openxmlformats.org/officeDocument/2006/relationships/hyperlink" Target="http://www.rti-rating.org/view_country.php?country_name=Yemen" TargetMode="External"/><Relationship Id="rId19" Type="http://schemas.openxmlformats.org/officeDocument/2006/relationships/hyperlink" Target="http://www.rti-rating.org/view_country.php?country_name=Montenegro" TargetMode="External"/><Relationship Id="rId14" Type="http://schemas.openxmlformats.org/officeDocument/2006/relationships/hyperlink" Target="http://www.rti-rating.org/view_country.php?country_name=Ireland" TargetMode="External"/><Relationship Id="rId22" Type="http://schemas.openxmlformats.org/officeDocument/2006/relationships/hyperlink" Target="http://www.rti-rating.org/view_country.php?country_name=Jamaica" TargetMode="External"/><Relationship Id="rId27" Type="http://schemas.openxmlformats.org/officeDocument/2006/relationships/hyperlink" Target="http://www.rti-rating.org/view_country.php?country_name=Netherlands" TargetMode="External"/><Relationship Id="rId30" Type="http://schemas.openxmlformats.org/officeDocument/2006/relationships/hyperlink" Target="http://www.rti-rating.org/view_country.php?country_name=South%20Korea" TargetMode="External"/><Relationship Id="rId35" Type="http://schemas.openxmlformats.org/officeDocument/2006/relationships/hyperlink" Target="http://www.rti-rating.org/view_country.php?country_name=Rwanda" TargetMode="External"/><Relationship Id="rId43" Type="http://schemas.openxmlformats.org/officeDocument/2006/relationships/hyperlink" Target="http://www.rti-rating.org/view_country.php?country_name=Portugal" TargetMode="External"/><Relationship Id="rId48" Type="http://schemas.openxmlformats.org/officeDocument/2006/relationships/hyperlink" Target="http://www.rti-rating.org/view_country.php?country_name=Slovakia" TargetMode="External"/><Relationship Id="rId56" Type="http://schemas.openxmlformats.org/officeDocument/2006/relationships/hyperlink" Target="http://www.rti-rating.org/view_country.php?country_name=Pakistan" TargetMode="External"/><Relationship Id="rId64" Type="http://schemas.openxmlformats.org/officeDocument/2006/relationships/hyperlink" Target="http://www.rti-rating.org/view_country.php?country_name=Poland" TargetMode="External"/><Relationship Id="rId69" Type="http://schemas.openxmlformats.org/officeDocument/2006/relationships/hyperlink" Target="http://www.rti-rating.org/view_country.php?country_name=Taiwan" TargetMode="External"/><Relationship Id="rId77" Type="http://schemas.openxmlformats.org/officeDocument/2006/relationships/hyperlink" Target="http://www.rti-rating.org/view_country.php?country_name=Sierra%20Leone" TargetMode="External"/><Relationship Id="rId100" Type="http://schemas.openxmlformats.org/officeDocument/2006/relationships/hyperlink" Target="http://www.rti-rating.org/view_country.php?country_name=Panama" TargetMode="External"/><Relationship Id="rId8" Type="http://schemas.openxmlformats.org/officeDocument/2006/relationships/hyperlink" Target="http://www.rti-rating.org/view_country.php?country_name=Armenia" TargetMode="External"/><Relationship Id="rId51" Type="http://schemas.openxmlformats.org/officeDocument/2006/relationships/hyperlink" Target="http://www.rti-rating.org/view_country.php?country_name=Albania" TargetMode="External"/><Relationship Id="rId72" Type="http://schemas.openxmlformats.org/officeDocument/2006/relationships/hyperlink" Target="http://www.rti-rating.org/view_country.php?country_name=Germany" TargetMode="External"/><Relationship Id="rId80" Type="http://schemas.openxmlformats.org/officeDocument/2006/relationships/hyperlink" Target="http://www.rti-rating.org/view_country.php?country_name=Antigua" TargetMode="External"/><Relationship Id="rId85" Type="http://schemas.openxmlformats.org/officeDocument/2006/relationships/hyperlink" Target="http://www.rti-rating.org/view_country.php?country_name=Croatia" TargetMode="External"/><Relationship Id="rId93" Type="http://schemas.openxmlformats.org/officeDocument/2006/relationships/hyperlink" Target="http://www.rti-rating.org/view_country.php?country_name=Finland" TargetMode="External"/><Relationship Id="rId98" Type="http://schemas.openxmlformats.org/officeDocument/2006/relationships/hyperlink" Target="http://www.rti-rating.org/view_country.php?country_name=Indonesia" TargetMode="External"/><Relationship Id="rId3" Type="http://schemas.openxmlformats.org/officeDocument/2006/relationships/hyperlink" Target="http://www.rti-rating.org/view_country.php?country_name=Austria" TargetMode="External"/><Relationship Id="rId12" Type="http://schemas.openxmlformats.org/officeDocument/2006/relationships/hyperlink" Target="http://www.rti-rating.org/view_country.php?country_name=Chile" TargetMode="External"/><Relationship Id="rId17" Type="http://schemas.openxmlformats.org/officeDocument/2006/relationships/hyperlink" Target="http://www.rti-rating.org/view_country.php?country_name=Uruguay" TargetMode="External"/><Relationship Id="rId25" Type="http://schemas.openxmlformats.org/officeDocument/2006/relationships/hyperlink" Target="http://www.rti-rating.org/view_country.php?country_name=Belize" TargetMode="External"/><Relationship Id="rId33" Type="http://schemas.openxmlformats.org/officeDocument/2006/relationships/hyperlink" Target="http://www.rti-rating.org/view_country.php?country_name=Norway" TargetMode="External"/><Relationship Id="rId38" Type="http://schemas.openxmlformats.org/officeDocument/2006/relationships/hyperlink" Target="http://www.rti-rating.org/view_country.php?country_name=Angola" TargetMode="External"/><Relationship Id="rId46" Type="http://schemas.openxmlformats.org/officeDocument/2006/relationships/hyperlink" Target="http://www.rti-rating.org/view_country.php?country_name=Latvia" TargetMode="External"/><Relationship Id="rId59" Type="http://schemas.openxmlformats.org/officeDocument/2006/relationships/hyperlink" Target="http://www.rti-rating.org/view_country.php?country_name=France" TargetMode="External"/><Relationship Id="rId67" Type="http://schemas.openxmlformats.org/officeDocument/2006/relationships/hyperlink" Target="http://www.rti-rating.org/view_country.php?country_name=Belgium" TargetMode="External"/><Relationship Id="rId20" Type="http://schemas.openxmlformats.org/officeDocument/2006/relationships/hyperlink" Target="http://www.rti-rating.org/view_country.php?country_name=United%20States%20of%20America" TargetMode="External"/><Relationship Id="rId41" Type="http://schemas.openxmlformats.org/officeDocument/2006/relationships/hyperlink" Target="http://www.rti-rating.org/view_country.php?country_name=Niger" TargetMode="External"/><Relationship Id="rId54" Type="http://schemas.openxmlformats.org/officeDocument/2006/relationships/hyperlink" Target="http://www.rti-rating.org/view_country.php?country_name=Argentina" TargetMode="External"/><Relationship Id="rId62" Type="http://schemas.openxmlformats.org/officeDocument/2006/relationships/hyperlink" Target="http://www.rti-rating.org/view_country.php?country_name=Guinea" TargetMode="External"/><Relationship Id="rId70" Type="http://schemas.openxmlformats.org/officeDocument/2006/relationships/hyperlink" Target="http://www.rti-rating.org/view_country.php?country_name=Italy" TargetMode="External"/><Relationship Id="rId75" Type="http://schemas.openxmlformats.org/officeDocument/2006/relationships/hyperlink" Target="http://www.rti-rating.org/view_country.php?country_name=India" TargetMode="External"/><Relationship Id="rId83" Type="http://schemas.openxmlformats.org/officeDocument/2006/relationships/hyperlink" Target="http://www.rti-rating.org/view_country.php?country_name=Azerbaijan" TargetMode="External"/><Relationship Id="rId88" Type="http://schemas.openxmlformats.org/officeDocument/2006/relationships/hyperlink" Target="http://www.rti-rating.org/view_country.php?country_name=Moldova" TargetMode="External"/><Relationship Id="rId91" Type="http://schemas.openxmlformats.org/officeDocument/2006/relationships/hyperlink" Target="http://www.rti-rating.org/view_country.php?country_name=Bangladesh" TargetMode="External"/><Relationship Id="rId96" Type="http://schemas.openxmlformats.org/officeDocument/2006/relationships/hyperlink" Target="http://www.rti-rating.org/view_country.php?country_name=Colombia" TargetMode="External"/><Relationship Id="rId1" Type="http://schemas.openxmlformats.org/officeDocument/2006/relationships/hyperlink" Target="http://www.rti-rating.org/view_country.php?country_name=Tajikistan" TargetMode="External"/><Relationship Id="rId6" Type="http://schemas.openxmlformats.org/officeDocument/2006/relationships/hyperlink" Target="http://www.rti-rating.org/view_country.php?country_name=Georgia" TargetMode="External"/><Relationship Id="rId15" Type="http://schemas.openxmlformats.org/officeDocument/2006/relationships/hyperlink" Target="http://www.rti-rating.org/view_country.php?country_name=Sweden" TargetMode="External"/><Relationship Id="rId23" Type="http://schemas.openxmlformats.org/officeDocument/2006/relationships/hyperlink" Target="http://www.rti-rating.org/view_country.php?country_name=Nigeria" TargetMode="External"/><Relationship Id="rId28" Type="http://schemas.openxmlformats.org/officeDocument/2006/relationships/hyperlink" Target="http://www.rti-rating.org/view_country.php?country_name=Romania" TargetMode="External"/><Relationship Id="rId36" Type="http://schemas.openxmlformats.org/officeDocument/2006/relationships/hyperlink" Target="http://www.rti-rating.org/view_country.php?country_name=Switzerland" TargetMode="External"/><Relationship Id="rId49" Type="http://schemas.openxmlformats.org/officeDocument/2006/relationships/hyperlink" Target="http://www.rti-rating.org/view_country.php?country_name=China" TargetMode="External"/><Relationship Id="rId57" Type="http://schemas.openxmlformats.org/officeDocument/2006/relationships/hyperlink" Target="http://www.rti-rating.org/view_country.php?country_name=Japan" TargetMode="External"/><Relationship Id="rId10" Type="http://schemas.openxmlformats.org/officeDocument/2006/relationships/hyperlink" Target="http://www.rti-rating.org/view_country.php?country_name=New%20Zealand" TargetMode="External"/><Relationship Id="rId31" Type="http://schemas.openxmlformats.org/officeDocument/2006/relationships/hyperlink" Target="http://www.rti-rating.org/view_country.php?country_name=Mongolia" TargetMode="External"/><Relationship Id="rId44" Type="http://schemas.openxmlformats.org/officeDocument/2006/relationships/hyperlink" Target="http://www.rti-rating.org/view_country.php?country_name=Czech%20Republic" TargetMode="External"/><Relationship Id="rId52" Type="http://schemas.openxmlformats.org/officeDocument/2006/relationships/hyperlink" Target="http://www.rti-rating.org/view_country.php?country_name=Cook%20Islands" TargetMode="External"/><Relationship Id="rId60" Type="http://schemas.openxmlformats.org/officeDocument/2006/relationships/hyperlink" Target="http://www.rti-rating.org/view_country.php?country_name=Lithuania" TargetMode="External"/><Relationship Id="rId65" Type="http://schemas.openxmlformats.org/officeDocument/2006/relationships/hyperlink" Target="http://www.rti-rating.org/view_country.php?country_name=Paraguay" TargetMode="External"/><Relationship Id="rId73" Type="http://schemas.openxmlformats.org/officeDocument/2006/relationships/hyperlink" Target="http://www.rti-rating.org/view_country.php?country_name=Serbia" TargetMode="External"/><Relationship Id="rId78" Type="http://schemas.openxmlformats.org/officeDocument/2006/relationships/hyperlink" Target="http://www.rti-rating.org/view_country.php?country_name=El%20Salvador" TargetMode="External"/><Relationship Id="rId81" Type="http://schemas.openxmlformats.org/officeDocument/2006/relationships/hyperlink" Target="http://www.rti-rating.org/view_country.php?country_name=Maldives" TargetMode="External"/><Relationship Id="rId86" Type="http://schemas.openxmlformats.org/officeDocument/2006/relationships/hyperlink" Target="http://www.rti-rating.org/view_country.php?country_name=Ethiopia" TargetMode="External"/><Relationship Id="rId94" Type="http://schemas.openxmlformats.org/officeDocument/2006/relationships/hyperlink" Target="http://www.rti-rating.org/view_country.php?country_name=Nepal" TargetMode="External"/><Relationship Id="rId99" Type="http://schemas.openxmlformats.org/officeDocument/2006/relationships/hyperlink" Target="http://www.rti-rating.org/view_country.php?country_name=Kyrgyzstan" TargetMode="External"/><Relationship Id="rId101" Type="http://schemas.openxmlformats.org/officeDocument/2006/relationships/hyperlink" Target="http://www.rti-rating.org/country_data.php" TargetMode="External"/><Relationship Id="rId4" Type="http://schemas.openxmlformats.org/officeDocument/2006/relationships/hyperlink" Target="http://www.rti-rating.org/view_country.php?country_name=United%20Kingdom" TargetMode="External"/><Relationship Id="rId9" Type="http://schemas.openxmlformats.org/officeDocument/2006/relationships/hyperlink" Target="http://www.rti-rating.org/view_country.php?country_name=Guatemala" TargetMode="External"/><Relationship Id="rId13" Type="http://schemas.openxmlformats.org/officeDocument/2006/relationships/hyperlink" Target="http://www.rti-rating.org/view_country.php?country_name=Peru" TargetMode="External"/><Relationship Id="rId18" Type="http://schemas.openxmlformats.org/officeDocument/2006/relationships/hyperlink" Target="http://www.rti-rating.org/view_country.php?country_name=Tunisia" TargetMode="External"/><Relationship Id="rId39" Type="http://schemas.openxmlformats.org/officeDocument/2006/relationships/hyperlink" Target="http://www.rti-rating.org/view_country.php?country_name=Thailand" TargetMode="External"/></Relationships>
</file>

<file path=xl/worksheets/_rels/sheet11.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5.vml"/></Relationships>
</file>

<file path=xl/worksheets/_rels/sheet2.xml.rels><?xml version="1.0" encoding="UTF-8" standalone="yes"?>
<Relationships xmlns="http://schemas.openxmlformats.org/package/2006/relationships"><Relationship Id="rId1522" Type="http://schemas.openxmlformats.org/officeDocument/2006/relationships/hyperlink" Target="http://www.worldbank.org/content/dam/Worldbank/Event/social-protection/Building_Robust_Identification_Systems_Session_Packet.pdf" TargetMode="External"/><Relationship Id="rId1827" Type="http://schemas.openxmlformats.org/officeDocument/2006/relationships/hyperlink" Target="http://www.electionguide.org/countries/id/26/" TargetMode="External"/><Relationship Id="rId21" Type="http://schemas.openxmlformats.org/officeDocument/2006/relationships/hyperlink" Target="http://en.wikipedia.org/wiki/Botswana" TargetMode="External"/><Relationship Id="rId170" Type="http://schemas.openxmlformats.org/officeDocument/2006/relationships/hyperlink" Target="http://en.wikipedia.org/wiki/Bolivia" TargetMode="External"/><Relationship Id="rId268" Type="http://schemas.openxmlformats.org/officeDocument/2006/relationships/hyperlink" Target="http://en.wikipedia.org/wiki/Polish_identity_card" TargetMode="External"/><Relationship Id="rId475" Type="http://schemas.openxmlformats.org/officeDocument/2006/relationships/hyperlink" Target="http://www.arjo-identity.com/en/e_id_cards_solutions_system_integration.php" TargetMode="External"/><Relationship Id="rId682" Type="http://schemas.openxmlformats.org/officeDocument/2006/relationships/hyperlink" Target="http://www.shabait.com/haddas-ertra" TargetMode="External"/><Relationship Id="rId128" Type="http://schemas.openxmlformats.org/officeDocument/2006/relationships/hyperlink" Target="http://en.wikipedia.org/wiki/Saudi_Arabia" TargetMode="External"/><Relationship Id="rId335" Type="http://schemas.openxmlformats.org/officeDocument/2006/relationships/hyperlink" Target="http://www.sante.gouv.ga/" TargetMode="External"/><Relationship Id="rId542" Type="http://schemas.openxmlformats.org/officeDocument/2006/relationships/hyperlink" Target="http://www.registrecivil.ad/" TargetMode="External"/><Relationship Id="rId987" Type="http://schemas.openxmlformats.org/officeDocument/2006/relationships/hyperlink" Target="http://www.cartaodecidadao.pt/index.php%3Foption=com_content&amp;task=view&amp;id=17&amp;Itemid=26&amp;lang=pt.html" TargetMode="External"/><Relationship Id="rId1172" Type="http://schemas.openxmlformats.org/officeDocument/2006/relationships/hyperlink" Target="http://idpc.gov.mt/" TargetMode="External"/><Relationship Id="rId402" Type="http://schemas.openxmlformats.org/officeDocument/2006/relationships/hyperlink" Target="http://www.irn.mj.pt/IRN/sections/irn/a_registral/registo-civil/docs-do-civil/registo-de-nascimento/" TargetMode="External"/><Relationship Id="rId847" Type="http://schemas.openxmlformats.org/officeDocument/2006/relationships/hyperlink" Target="http://www.spyghana.com/world-bank-provides-us29-15m-build-robust-national-identification-system/" TargetMode="External"/><Relationship Id="rId1032" Type="http://schemas.openxmlformats.org/officeDocument/2006/relationships/hyperlink" Target="https://eservice.egov.sc/eGateway/homepage.aspx" TargetMode="External"/><Relationship Id="rId1477" Type="http://schemas.openxmlformats.org/officeDocument/2006/relationships/hyperlink" Target="http://portal.www.gov.qa/" TargetMode="External"/><Relationship Id="rId1684" Type="http://schemas.openxmlformats.org/officeDocument/2006/relationships/hyperlink" Target="http://esa.un.org/unpd/wpp/Download/Standard/Population/" TargetMode="External"/><Relationship Id="rId1891" Type="http://schemas.openxmlformats.org/officeDocument/2006/relationships/hyperlink" Target="http://www.ine.gov.ve/index.php?option=com_content&amp;view=category&amp;id=95&amp;Itemid=9" TargetMode="External"/><Relationship Id="rId707" Type="http://schemas.openxmlformats.org/officeDocument/2006/relationships/hyperlink" Target="http://www.eregistry.agc.gov.bn/WorkAreaSecurity/WorkFunctionSecurity/WebViewSecurity/loginPage.aspx?ReturnUrl=%2fWorkAreaTrademark%2fWorkFunctionFiling%2fWebViewFiling%2fDoTrademarkFiling.aspx" TargetMode="External"/><Relationship Id="rId914" Type="http://schemas.openxmlformats.org/officeDocument/2006/relationships/hyperlink" Target="http://www.koreabang.com/2014/stories/korean-government-reorganizes-resident-registration-number-system.html" TargetMode="External"/><Relationship Id="rId1337" Type="http://schemas.openxmlformats.org/officeDocument/2006/relationships/hyperlink" Target="http://www.humanrightsinitiative.org/programs/ai/rti/international/laws_&amp;_papers.htm" TargetMode="External"/><Relationship Id="rId1544" Type="http://schemas.openxmlformats.org/officeDocument/2006/relationships/hyperlink" Target="http://newsroom.mastercard.com/press-releases/mastercard-to-power-nigerian-identity-card-program/" TargetMode="External"/><Relationship Id="rId1751" Type="http://schemas.openxmlformats.org/officeDocument/2006/relationships/hyperlink" Target="http://esa.un.org/unpd/wpp/Download/Standard/Population/" TargetMode="External"/><Relationship Id="rId1989" Type="http://schemas.openxmlformats.org/officeDocument/2006/relationships/hyperlink" Target="http://www.corteelectoral.gub.uy/gxpsites/page.aspx?3,26,294,O,S,0," TargetMode="External"/><Relationship Id="rId43" Type="http://schemas.openxmlformats.org/officeDocument/2006/relationships/hyperlink" Target="http://en.wikipedia.org/wiki/Egypt" TargetMode="External"/><Relationship Id="rId1404" Type="http://schemas.openxmlformats.org/officeDocument/2006/relationships/hyperlink" Target="http://www.privrednakomora.me/centralni-registar-preduzeca/spisak?title=" TargetMode="External"/><Relationship Id="rId1611" Type="http://schemas.openxmlformats.org/officeDocument/2006/relationships/hyperlink" Target="http://esa.un.org/unpd/wpp/Download/Standard/Population/" TargetMode="External"/><Relationship Id="rId1849" Type="http://schemas.openxmlformats.org/officeDocument/2006/relationships/hyperlink" Target="http://publica.gobiernoabierto.gob.sv/institutions/registro-nacional-de-las-personas-naturales/information_standards/estadisticas?page=1" TargetMode="External"/><Relationship Id="rId192" Type="http://schemas.openxmlformats.org/officeDocument/2006/relationships/hyperlink" Target="http://en.wikipedia.org/wiki/Thailand" TargetMode="External"/><Relationship Id="rId1709" Type="http://schemas.openxmlformats.org/officeDocument/2006/relationships/hyperlink" Target="http://esa.un.org/unpd/wpp/Download/Standard/Population/" TargetMode="External"/><Relationship Id="rId1916" Type="http://schemas.openxmlformats.org/officeDocument/2006/relationships/hyperlink" Target="https://data.srs.kg/data/" TargetMode="External"/><Relationship Id="rId497" Type="http://schemas.openxmlformats.org/officeDocument/2006/relationships/hyperlink" Target="http://www.moj.gov.et/Default.aspx" TargetMode="External"/><Relationship Id="rId357" Type="http://schemas.openxmlformats.org/officeDocument/2006/relationships/hyperlink" Target="http://www.mohsw.gov.lr/" TargetMode="External"/><Relationship Id="rId1194" Type="http://schemas.openxmlformats.org/officeDocument/2006/relationships/hyperlink" Target="http://www.rti-rating.org/files/pdf/Antigua.pdf" TargetMode="External"/><Relationship Id="rId217" Type="http://schemas.openxmlformats.org/officeDocument/2006/relationships/hyperlink" Target="http://www.registraduria.gov.co/" TargetMode="External"/><Relationship Id="rId564" Type="http://schemas.openxmlformats.org/officeDocument/2006/relationships/hyperlink" Target="http://www.cubagob.cu/" TargetMode="External"/><Relationship Id="rId771" Type="http://schemas.openxmlformats.org/officeDocument/2006/relationships/hyperlink" Target="http://www.siem.gob.mx/siem/portal/consultas/ligas.asp?Tem=1" TargetMode="External"/><Relationship Id="rId869" Type="http://schemas.openxmlformats.org/officeDocument/2006/relationships/hyperlink" Target="http://www.semlex.com/en/references/references-clients.html" TargetMode="External"/><Relationship Id="rId1499" Type="http://schemas.openxmlformats.org/officeDocument/2006/relationships/hyperlink" Target="http://en.wikipedia.org/wiki/Government_of_North_Korea" TargetMode="External"/><Relationship Id="rId424" Type="http://schemas.openxmlformats.org/officeDocument/2006/relationships/hyperlink" Target="http://www.cbs.gov.sd/" TargetMode="External"/><Relationship Id="rId631" Type="http://schemas.openxmlformats.org/officeDocument/2006/relationships/hyperlink" Target="http://www.immigration.go.ug/" TargetMode="External"/><Relationship Id="rId729" Type="http://schemas.openxmlformats.org/officeDocument/2006/relationships/hyperlink" Target="http://www.icommerceregistry.com/" TargetMode="External"/><Relationship Id="rId1054" Type="http://schemas.openxmlformats.org/officeDocument/2006/relationships/hyperlink" Target="http://www.rti-rating.org/files/pdf/Yemen.pdf" TargetMode="External"/><Relationship Id="rId1261" Type="http://schemas.openxmlformats.org/officeDocument/2006/relationships/hyperlink" Target="http://www.azop.hr/" TargetMode="External"/><Relationship Id="rId1359" Type="http://schemas.openxmlformats.org/officeDocument/2006/relationships/hyperlink" Target="https://ettevotjaportaal.rik.ee/" TargetMode="External"/><Relationship Id="rId936" Type="http://schemas.openxmlformats.org/officeDocument/2006/relationships/hyperlink" Target="http://www.interieur.gov.dz/Dynamics/frmItem.aspx?html=30&amp;s=2" TargetMode="External"/><Relationship Id="rId1121" Type="http://schemas.openxmlformats.org/officeDocument/2006/relationships/hyperlink" Target="http://www.rti-rating.org/files/pdf/Mongolia.pdf" TargetMode="External"/><Relationship Id="rId1219" Type="http://schemas.openxmlformats.org/officeDocument/2006/relationships/hyperlink" Target="https://www.ris.bka.gv.at/GeltendeFassung.wxe?Abfrage=bundesnormen&amp;Gesetzesnummer=10001597" TargetMode="External"/><Relationship Id="rId1566" Type="http://schemas.openxmlformats.org/officeDocument/2006/relationships/hyperlink" Target="http://www.misdac-rdc.net/" TargetMode="External"/><Relationship Id="rId1773" Type="http://schemas.openxmlformats.org/officeDocument/2006/relationships/hyperlink" Target="http://www.depd.gov.bn/SitePages/Vital%20Statistics.aspx" TargetMode="External"/><Relationship Id="rId1980" Type="http://schemas.openxmlformats.org/officeDocument/2006/relationships/hyperlink" Target="http://www.idea.int/vt/countryview.cfm?id=221" TargetMode="External"/><Relationship Id="rId65" Type="http://schemas.openxmlformats.org/officeDocument/2006/relationships/hyperlink" Target="http://en.wikipedia.org/wiki/Iceland" TargetMode="External"/><Relationship Id="rId1426" Type="http://schemas.openxmlformats.org/officeDocument/2006/relationships/hyperlink" Target="https://eservice.egov.sc/BizRegistration/WebSearchBusiness.aspx" TargetMode="External"/><Relationship Id="rId1633" Type="http://schemas.openxmlformats.org/officeDocument/2006/relationships/hyperlink" Target="http://esa.un.org/unpd/wpp/Download/Standard/Population/" TargetMode="External"/><Relationship Id="rId1840" Type="http://schemas.openxmlformats.org/officeDocument/2006/relationships/hyperlink" Target="http://www.depd.gov.bn/SitePages/Population.aspx" TargetMode="External"/><Relationship Id="rId1700" Type="http://schemas.openxmlformats.org/officeDocument/2006/relationships/hyperlink" Target="http://esa.un.org/unpd/wpp/Download/Standard/Population/" TargetMode="External"/><Relationship Id="rId1938" Type="http://schemas.openxmlformats.org/officeDocument/2006/relationships/hyperlink" Target="http://www.stats.govt.nz/browse_for_stats/population/census_counts/2013CensusUsuallyResidentPopulationCounts_HOTP2013Census.aspx" TargetMode="External"/><Relationship Id="rId281" Type="http://schemas.openxmlformats.org/officeDocument/2006/relationships/hyperlink" Target="http://en.wikipedia.org/wiki/Brazilian_Identity_Card" TargetMode="External"/><Relationship Id="rId141" Type="http://schemas.openxmlformats.org/officeDocument/2006/relationships/hyperlink" Target="http://en.wikipedia.org/wiki/Swaziland" TargetMode="External"/><Relationship Id="rId379" Type="http://schemas.openxmlformats.org/officeDocument/2006/relationships/hyperlink" Target="http://csd.pmo.gov.mu/English/registration/Pages/birth.aspx" TargetMode="External"/><Relationship Id="rId586" Type="http://schemas.openxmlformats.org/officeDocument/2006/relationships/hyperlink" Target="http://www.rgd.gov.jm/" TargetMode="External"/><Relationship Id="rId793" Type="http://schemas.openxmlformats.org/officeDocument/2006/relationships/hyperlink" Target="http://trade.gov.mv/" TargetMode="External"/><Relationship Id="rId7" Type="http://schemas.openxmlformats.org/officeDocument/2006/relationships/hyperlink" Target="http://en.wikipedia.org/wiki/Argentina" TargetMode="External"/><Relationship Id="rId239" Type="http://schemas.openxmlformats.org/officeDocument/2006/relationships/hyperlink" Target="http://www.jce.do/web" TargetMode="External"/><Relationship Id="rId446" Type="http://schemas.openxmlformats.org/officeDocument/2006/relationships/hyperlink" Target="http://tramites.gub.uy/ampliados?id=99" TargetMode="External"/><Relationship Id="rId653" Type="http://schemas.openxmlformats.org/officeDocument/2006/relationships/hyperlink" Target="http://stlucianic.org/news/10/96/National-Insurance-Registration-Card/d,nic_news/" TargetMode="External"/><Relationship Id="rId1076" Type="http://schemas.openxmlformats.org/officeDocument/2006/relationships/hyperlink" Target="http://www.tunisie.gov.tn/SYNC_1615697015.pdf" TargetMode="External"/><Relationship Id="rId1283" Type="http://schemas.openxmlformats.org/officeDocument/2006/relationships/hyperlink" Target="http://www.rti-rating.org/files/pdf/Iceland.pdf" TargetMode="External"/><Relationship Id="rId1490" Type="http://schemas.openxmlformats.org/officeDocument/2006/relationships/hyperlink" Target="http://www.goss.org/index.php/ministries/foreign-affairs" TargetMode="External"/><Relationship Id="rId306" Type="http://schemas.openxmlformats.org/officeDocument/2006/relationships/hyperlink" Target="http://www.mohca.gov.bt/" TargetMode="External"/><Relationship Id="rId860" Type="http://schemas.openxmlformats.org/officeDocument/2006/relationships/hyperlink" Target="http://documents.worldbank.org/curated/en/2011/04/14089715/bangladesh-identification-system-enhancing-access-services-idea-project" TargetMode="External"/><Relationship Id="rId958" Type="http://schemas.openxmlformats.org/officeDocument/2006/relationships/hyperlink" Target="http://www.cameroon-info.net/stories/0,61787,@,cameroun-carte-nationale-d-identite-penurie-de-materiel-dans-les-commissariats.html" TargetMode="External"/><Relationship Id="rId1143" Type="http://schemas.openxmlformats.org/officeDocument/2006/relationships/hyperlink" Target="http://www.legislation.govt.nz/act/public/1993/0028/latest/DLM296639.html" TargetMode="External"/><Relationship Id="rId1588" Type="http://schemas.openxmlformats.org/officeDocument/2006/relationships/hyperlink" Target="http://esa.un.org/unpd/wpp/Download/Standard/Population/" TargetMode="External"/><Relationship Id="rId1795" Type="http://schemas.openxmlformats.org/officeDocument/2006/relationships/hyperlink" Target="http://unstats.un.org/unsd/demographic/CRVS/CR_coverage.htm" TargetMode="External"/><Relationship Id="rId87" Type="http://schemas.openxmlformats.org/officeDocument/2006/relationships/hyperlink" Target="http://en.wikipedia.org/wiki/Luxembourg" TargetMode="External"/><Relationship Id="rId513" Type="http://schemas.openxmlformats.org/officeDocument/2006/relationships/hyperlink" Target="http://depabd.mai.gov.ro/documente_necesare.html" TargetMode="External"/><Relationship Id="rId720" Type="http://schemas.openxmlformats.org/officeDocument/2006/relationships/hyperlink" Target="http://www.ethiopia.gov.et/" TargetMode="External"/><Relationship Id="rId818" Type="http://schemas.openxmlformats.org/officeDocument/2006/relationships/hyperlink" Target="http://ww2.ssm-mycoid.com.my/omni/omni" TargetMode="External"/><Relationship Id="rId1350" Type="http://schemas.openxmlformats.org/officeDocument/2006/relationships/hyperlink" Target="http://www.cnil.fr/fileadmin/documents/en/Act78-17VA.pdf" TargetMode="External"/><Relationship Id="rId1448" Type="http://schemas.openxmlformats.org/officeDocument/2006/relationships/hyperlink" Target="http://www.mci.gov.sa/en/LawsRegulations/SystemsAndRegulations/CommercialRegistrationSystem/Pages/14-3.aspx" TargetMode="External"/><Relationship Id="rId1655" Type="http://schemas.openxmlformats.org/officeDocument/2006/relationships/hyperlink" Target="http://esa.un.org/unpd/wpp/Download/Standard/Population/" TargetMode="External"/><Relationship Id="rId1003" Type="http://schemas.openxmlformats.org/officeDocument/2006/relationships/hyperlink" Target="http://www.civilstatus.gov.om/english/services_IDCard.asp" TargetMode="External"/><Relationship Id="rId1210" Type="http://schemas.openxmlformats.org/officeDocument/2006/relationships/hyperlink" Target="http://www.rti-rating.org/files/pdf/Liberia.pdf" TargetMode="External"/><Relationship Id="rId1308" Type="http://schemas.openxmlformats.org/officeDocument/2006/relationships/hyperlink" Target="http://www.kisa.kr/eng/main.jsp" TargetMode="External"/><Relationship Id="rId1862" Type="http://schemas.openxmlformats.org/officeDocument/2006/relationships/hyperlink" Target="http://www.electionguide.org/countries/id/115/" TargetMode="External"/><Relationship Id="rId1515" Type="http://schemas.openxmlformats.org/officeDocument/2006/relationships/hyperlink" Target="http://cnsnews.com/news/article/un-will-fund-biometric-voter-id-yemen" TargetMode="External"/><Relationship Id="rId1722" Type="http://schemas.openxmlformats.org/officeDocument/2006/relationships/hyperlink" Target="http://esa.un.org/unpd/wpp/Download/Standard/Population/" TargetMode="External"/><Relationship Id="rId14" Type="http://schemas.openxmlformats.org/officeDocument/2006/relationships/hyperlink" Target="http://en.wikipedia.org/wiki/Bangladesh" TargetMode="External"/><Relationship Id="rId163" Type="http://schemas.openxmlformats.org/officeDocument/2006/relationships/hyperlink" Target="http://en.wikipedia.org/wiki/Vietnam" TargetMode="External"/><Relationship Id="rId370" Type="http://schemas.openxmlformats.org/officeDocument/2006/relationships/hyperlink" Target="http://www.llv.li/" TargetMode="External"/><Relationship Id="rId230" Type="http://schemas.openxmlformats.org/officeDocument/2006/relationships/hyperlink" Target="http://www.renapo.gob.mx/" TargetMode="External"/><Relationship Id="rId468" Type="http://schemas.openxmlformats.org/officeDocument/2006/relationships/hyperlink" Target="http://en.wikipedia.org/wiki/C%C3%A9dula_de_identidad" TargetMode="External"/><Relationship Id="rId675" Type="http://schemas.openxmlformats.org/officeDocument/2006/relationships/hyperlink" Target="http://www.ohada-rdc.cd/rccm.html" TargetMode="External"/><Relationship Id="rId882" Type="http://schemas.openxmlformats.org/officeDocument/2006/relationships/hyperlink" Target="http://findbiometrics.com/archive/new-citizenship-id-cards-in-bhutan/" TargetMode="External"/><Relationship Id="rId1098" Type="http://schemas.openxmlformats.org/officeDocument/2006/relationships/hyperlink" Target="http://greybook.seylii.org/se/2003-9" TargetMode="External"/><Relationship Id="rId328" Type="http://schemas.openxmlformats.org/officeDocument/2006/relationships/hyperlink" Target="http://www.refworld.org/docid/524970044.html" TargetMode="External"/><Relationship Id="rId535" Type="http://schemas.openxmlformats.org/officeDocument/2006/relationships/hyperlink" Target="http://www.poliisi.fi/poliisi/home.nsf/pages/F082D8AB29097DB5C2256C29002BA66C?opendocument" TargetMode="External"/><Relationship Id="rId742" Type="http://schemas.openxmlformats.org/officeDocument/2006/relationships/hyperlink" Target="http://www.justice.gov.il/mojeng/" TargetMode="External"/><Relationship Id="rId1165" Type="http://schemas.openxmlformats.org/officeDocument/2006/relationships/hyperlink" Target="http://www.rti-rating.org/files/pdf/Maldives.pdf" TargetMode="External"/><Relationship Id="rId1372" Type="http://schemas.openxmlformats.org/officeDocument/2006/relationships/hyperlink" Target="https://www.id.uz/" TargetMode="External"/><Relationship Id="rId602" Type="http://schemas.openxmlformats.org/officeDocument/2006/relationships/hyperlink" Target="http://www.rmimissa.org/ssidcard.html" TargetMode="External"/><Relationship Id="rId1025" Type="http://schemas.openxmlformats.org/officeDocument/2006/relationships/hyperlink" Target="http://www.servicepublic.gouv.sn/" TargetMode="External"/><Relationship Id="rId1232" Type="http://schemas.openxmlformats.org/officeDocument/2006/relationships/hyperlink" Target="http://www.oaic.gov.au/" TargetMode="External"/><Relationship Id="rId1677" Type="http://schemas.openxmlformats.org/officeDocument/2006/relationships/hyperlink" Target="http://esa.un.org/unpd/wpp/Download/Standard/Population/" TargetMode="External"/><Relationship Id="rId1884" Type="http://schemas.openxmlformats.org/officeDocument/2006/relationships/hyperlink" Target="http://www.electionguide.org/countries/id/147/" TargetMode="External"/><Relationship Id="rId907" Type="http://schemas.openxmlformats.org/officeDocument/2006/relationships/hyperlink" Target="http://www.nbn.org.il/aliyahpedia/government-services/post-aliyah-government-processing/biometric-smart-ids/" TargetMode="External"/><Relationship Id="rId1537" Type="http://schemas.openxmlformats.org/officeDocument/2006/relationships/hyperlink" Target="http://www.secureidnews.com/news-item/monaco-deploying-e-ids/?tag=government" TargetMode="External"/><Relationship Id="rId1744" Type="http://schemas.openxmlformats.org/officeDocument/2006/relationships/hyperlink" Target="http://esa.un.org/unpd/wpp/Download/Standard/Population/" TargetMode="External"/><Relationship Id="rId1951" Type="http://schemas.openxmlformats.org/officeDocument/2006/relationships/hyperlink" Target="http://thecommonwealth.org/sites/default/files/project/documents/Rwanda_Elections_2013_Commonwealth_Expert_Team_Report.pdf" TargetMode="External"/><Relationship Id="rId36" Type="http://schemas.openxmlformats.org/officeDocument/2006/relationships/hyperlink" Target="http://en.wikipedia.org/wiki/Cyprus" TargetMode="External"/><Relationship Id="rId1604" Type="http://schemas.openxmlformats.org/officeDocument/2006/relationships/hyperlink" Target="http://esa.un.org/unpd/wpp/Download/Standard/Population/" TargetMode="External"/><Relationship Id="rId185" Type="http://schemas.openxmlformats.org/officeDocument/2006/relationships/hyperlink" Target="http://en.wikipedia.org/wiki/Maldives" TargetMode="External"/><Relationship Id="rId1811" Type="http://schemas.openxmlformats.org/officeDocument/2006/relationships/hyperlink" Target="http://www.statistik.at/web_en/statistics/PeopleSociety/population/population_stock_and_population_change/total_population_annual_average/index.html" TargetMode="External"/><Relationship Id="rId1909" Type="http://schemas.openxmlformats.org/officeDocument/2006/relationships/hyperlink" Target="http://www.electionguide.org/countries/id/104/" TargetMode="External"/><Relationship Id="rId392" Type="http://schemas.openxmlformats.org/officeDocument/2006/relationships/hyperlink" Target="http://www.dia.govt.nz/Births-deaths-and-marriages" TargetMode="External"/><Relationship Id="rId697" Type="http://schemas.openxmlformats.org/officeDocument/2006/relationships/hyperlink" Target="http://www.parliament.am/law_docs/301210HO246eng.pdf" TargetMode="External"/><Relationship Id="rId252" Type="http://schemas.openxmlformats.org/officeDocument/2006/relationships/hyperlink" Target="http://en.wikipedia.org/wiki/Israeli_identity_card" TargetMode="External"/><Relationship Id="rId1187" Type="http://schemas.openxmlformats.org/officeDocument/2006/relationships/hyperlink" Target="http://www.wipo.int/edocs/lexdocs/laws/en/sd/sd001en.pdf" TargetMode="External"/><Relationship Id="rId112" Type="http://schemas.openxmlformats.org/officeDocument/2006/relationships/hyperlink" Target="http://en.wikipedia.org/wiki/Pakistan" TargetMode="External"/><Relationship Id="rId557" Type="http://schemas.openxmlformats.org/officeDocument/2006/relationships/hyperlink" Target="http://www.spm.gov.cm/administrations-publiques/administrations-publiques/article/delivrance-de-la-carte-nationale-didentite-le-chef-de-letat-prescrit-des-mesures-de-facilitation.html" TargetMode="External"/><Relationship Id="rId764" Type="http://schemas.openxmlformats.org/officeDocument/2006/relationships/hyperlink" Target="https://core.cro.ie/Main/index.jsp" TargetMode="External"/><Relationship Id="rId971" Type="http://schemas.openxmlformats.org/officeDocument/2006/relationships/hyperlink" Target="http://www.dui-sv.com/" TargetMode="External"/><Relationship Id="rId1394" Type="http://schemas.openxmlformats.org/officeDocument/2006/relationships/hyperlink" Target="http://www.companies.govt.nz/" TargetMode="External"/><Relationship Id="rId1699" Type="http://schemas.openxmlformats.org/officeDocument/2006/relationships/hyperlink" Target="http://esa.un.org/unpd/wpp/Download/Standard/Population/" TargetMode="External"/><Relationship Id="rId2000" Type="http://schemas.openxmlformats.org/officeDocument/2006/relationships/printerSettings" Target="../printerSettings/printerSettings1.bin"/><Relationship Id="rId417" Type="http://schemas.openxmlformats.org/officeDocument/2006/relationships/hyperlink" Target="http://www.minv.sk/" TargetMode="External"/><Relationship Id="rId624" Type="http://schemas.openxmlformats.org/officeDocument/2006/relationships/hyperlink" Target="http://en.wikipedia.org/wiki/National_identity_card_(Sri_Lanka)" TargetMode="External"/><Relationship Id="rId831" Type="http://schemas.openxmlformats.org/officeDocument/2006/relationships/hyperlink" Target="https://www.gi-de.com/en/products_and_solutions/products/national_id_cards/National-ID-cards-for-secure-identification-6530.jsp" TargetMode="External"/><Relationship Id="rId1047" Type="http://schemas.openxmlformats.org/officeDocument/2006/relationships/hyperlink" Target="http://www.rti-rating.org/files/pdf/Thailand.pdf" TargetMode="External"/><Relationship Id="rId1254" Type="http://schemas.openxmlformats.org/officeDocument/2006/relationships/hyperlink" Target="http://www.rti-rating.org/files/pdf/Estonia.pdf" TargetMode="External"/><Relationship Id="rId1461" Type="http://schemas.openxmlformats.org/officeDocument/2006/relationships/hyperlink" Target="https://dichvuthongtin.dkkd.gov.vn/auth/Public/LogOn.aspx?ReturnUrl=%2fauth%2fdefault.aspx" TargetMode="External"/><Relationship Id="rId929" Type="http://schemas.openxmlformats.org/officeDocument/2006/relationships/hyperlink" Target="https://www.buergerkarte.at/" TargetMode="External"/><Relationship Id="rId1114" Type="http://schemas.openxmlformats.org/officeDocument/2006/relationships/hyperlink" Target="https://www.agpd.es/portalwebAGPD/index-ides-idphp.php" TargetMode="External"/><Relationship Id="rId1321" Type="http://schemas.openxmlformats.org/officeDocument/2006/relationships/hyperlink" Target="http://www.rti-rating.org/files/pdf/Macedonia.pdf" TargetMode="External"/><Relationship Id="rId1559" Type="http://schemas.openxmlformats.org/officeDocument/2006/relationships/hyperlink" Target="http://www.sdnp.org.mw/constitut/chapter4.html" TargetMode="External"/><Relationship Id="rId1766" Type="http://schemas.openxmlformats.org/officeDocument/2006/relationships/hyperlink" Target="http://www.indexmundi.com/taiwan/population.html" TargetMode="External"/><Relationship Id="rId1973" Type="http://schemas.openxmlformats.org/officeDocument/2006/relationships/hyperlink" Target="http://www.idea.int/vt/countryview.cfm?id=197" TargetMode="External"/><Relationship Id="rId58" Type="http://schemas.openxmlformats.org/officeDocument/2006/relationships/hyperlink" Target="http://en.wikipedia.org/wiki/Guatemala" TargetMode="External"/><Relationship Id="rId1419" Type="http://schemas.openxmlformats.org/officeDocument/2006/relationships/hyperlink" Target="http://egrul.nalog.ru/" TargetMode="External"/><Relationship Id="rId1626" Type="http://schemas.openxmlformats.org/officeDocument/2006/relationships/hyperlink" Target="http://esa.un.org/unpd/wpp/Download/Standard/Population/" TargetMode="External"/><Relationship Id="rId1833" Type="http://schemas.openxmlformats.org/officeDocument/2006/relationships/hyperlink" Target="http://www.electionguide.org/countries/id/42/" TargetMode="External"/><Relationship Id="rId1900" Type="http://schemas.openxmlformats.org/officeDocument/2006/relationships/hyperlink" Target="http://www.idea.int/vt/countryview.cfm?id=69" TargetMode="External"/><Relationship Id="rId274" Type="http://schemas.openxmlformats.org/officeDocument/2006/relationships/hyperlink" Target="http://en.wikipedia.org/wiki/Macedonian_identity_card" TargetMode="External"/><Relationship Id="rId481" Type="http://schemas.openxmlformats.org/officeDocument/2006/relationships/hyperlink" Target="http://findbiometrics.com/the-role-of-biometrics-in-containing-ebola/" TargetMode="External"/><Relationship Id="rId134" Type="http://schemas.openxmlformats.org/officeDocument/2006/relationships/hyperlink" Target="http://en.wikipedia.org/wiki/Slovakia" TargetMode="External"/><Relationship Id="rId579" Type="http://schemas.openxmlformats.org/officeDocument/2006/relationships/hyperlink" Target="http://www.renap.gob.gt/" TargetMode="External"/><Relationship Id="rId786" Type="http://schemas.openxmlformats.org/officeDocument/2006/relationships/hyperlink" Target="https://www.companies.org.ls/lesotho-companies-br/viewInstance/view.html?id=13c857736aeecb0a09b5d94dcd0806b170c5668ce9c7d06a7134cf9abc5fa084&amp;_timestamp=2130401047677064" TargetMode="External"/><Relationship Id="rId993" Type="http://schemas.openxmlformats.org/officeDocument/2006/relationships/hyperlink" Target="http://www.digid.nl/" TargetMode="External"/><Relationship Id="rId341" Type="http://schemas.openxmlformats.org/officeDocument/2006/relationships/hyperlink" Target="http://www.refworld.org/docid/45f14739b.html" TargetMode="External"/><Relationship Id="rId439" Type="http://schemas.openxmlformats.org/officeDocument/2006/relationships/hyperlink" Target="http://cis-legislation.com/document.fwx?rgn=26669" TargetMode="External"/><Relationship Id="rId646" Type="http://schemas.openxmlformats.org/officeDocument/2006/relationships/hyperlink" Target="http://www.icisleri.gov.tr/" TargetMode="External"/><Relationship Id="rId1069" Type="http://schemas.openxmlformats.org/officeDocument/2006/relationships/hyperlink" Target="http://datospersonales.gub.uy/inicio/institucional/que-es-la-urcdp/" TargetMode="External"/><Relationship Id="rId1276" Type="http://schemas.openxmlformats.org/officeDocument/2006/relationships/hyperlink" Target="http://www.aki.ee/" TargetMode="External"/><Relationship Id="rId1483" Type="http://schemas.openxmlformats.org/officeDocument/2006/relationships/hyperlink" Target="http://www.minaffecirdc.cd/" TargetMode="External"/><Relationship Id="rId201" Type="http://schemas.openxmlformats.org/officeDocument/2006/relationships/hyperlink" Target="http://idbdocs.iadb.org/wsdocs/getdocument.aspx?docnum=1959580" TargetMode="External"/><Relationship Id="rId506" Type="http://schemas.openxmlformats.org/officeDocument/2006/relationships/hyperlink" Target="http://www.hanz18plus.org.nz/" TargetMode="External"/><Relationship Id="rId853" Type="http://schemas.openxmlformats.org/officeDocument/2006/relationships/hyperlink" Target="http://www.sdw2014.com/creo_files/logos/sdw2014_event_guide_min_web.pdf" TargetMode="External"/><Relationship Id="rId1136" Type="http://schemas.openxmlformats.org/officeDocument/2006/relationships/hyperlink" Target="http://www.legislationline.org/documents/action/popup/id/6395" TargetMode="External"/><Relationship Id="rId1690" Type="http://schemas.openxmlformats.org/officeDocument/2006/relationships/hyperlink" Target="http://esa.un.org/unpd/wpp/Download/Standard/Population/" TargetMode="External"/><Relationship Id="rId1788" Type="http://schemas.openxmlformats.org/officeDocument/2006/relationships/hyperlink" Target="http://www.dsec.gov.mo/" TargetMode="External"/><Relationship Id="rId1995" Type="http://schemas.openxmlformats.org/officeDocument/2006/relationships/hyperlink" Target="http://www.idea.int/vt/countryview.cfm?id=247" TargetMode="External"/><Relationship Id="rId713" Type="http://schemas.openxmlformats.org/officeDocument/2006/relationships/hyperlink" Target="http://www.doingbusiness.org/data/exploreeconomies/central-african-republic/starting-a-business/" TargetMode="External"/><Relationship Id="rId920" Type="http://schemas.openxmlformats.org/officeDocument/2006/relationships/hyperlink" Target="http://www.llv.li/" TargetMode="External"/><Relationship Id="rId1343" Type="http://schemas.openxmlformats.org/officeDocument/2006/relationships/hyperlink" Target="http://www.humanrightsinitiative.org/programs/ai/rti/international/laws_&amp;_papers.htm" TargetMode="External"/><Relationship Id="rId1550" Type="http://schemas.openxmlformats.org/officeDocument/2006/relationships/hyperlink" Target="http://www.nri.org.pg/news/drspeachcompletetext_020914.htm" TargetMode="External"/><Relationship Id="rId1648" Type="http://schemas.openxmlformats.org/officeDocument/2006/relationships/hyperlink" Target="http://esa.un.org/unpd/wpp/Download/Standard/Population/" TargetMode="External"/><Relationship Id="rId1203" Type="http://schemas.openxmlformats.org/officeDocument/2006/relationships/hyperlink" Target="http://www.rti-rating.org/files/pdf/Bosnia%20and%20Herzegovina.pdf" TargetMode="External"/><Relationship Id="rId1410" Type="http://schemas.openxmlformats.org/officeDocument/2006/relationships/hyperlink" Target="http://www.mific.gob.ni/PORTAL/DIRECTORIOEMPRESARIAL/tabid/590/language/es-NI/Default.aspx" TargetMode="External"/><Relationship Id="rId1508" Type="http://schemas.openxmlformats.org/officeDocument/2006/relationships/hyperlink" Target="http://www.secureidnews.com/news-item/thailand-introduces-national-id-with-biometric-technology" TargetMode="External"/><Relationship Id="rId1855" Type="http://schemas.openxmlformats.org/officeDocument/2006/relationships/hyperlink" Target="http://www.gov.hk/en/about/abouthk/factsheets/docs/population.pdf" TargetMode="External"/><Relationship Id="rId1715" Type="http://schemas.openxmlformats.org/officeDocument/2006/relationships/hyperlink" Target="http://esa.un.org/unpd/wpp/Download/Standard/Population/" TargetMode="External"/><Relationship Id="rId1922" Type="http://schemas.openxmlformats.org/officeDocument/2006/relationships/hyperlink" Target="http://www.electionguide.org/countries/id/131/" TargetMode="External"/><Relationship Id="rId296" Type="http://schemas.openxmlformats.org/officeDocument/2006/relationships/hyperlink" Target="http://en.m.wikipedia.org/wiki/List_of_company_registers" TargetMode="External"/><Relationship Id="rId156" Type="http://schemas.openxmlformats.org/officeDocument/2006/relationships/hyperlink" Target="http://en.wikipedia.org/wiki/Ukraine" TargetMode="External"/><Relationship Id="rId363" Type="http://schemas.openxmlformats.org/officeDocument/2006/relationships/hyperlink" Target="http://www.searo.who.int/entity/child_adolescent/data/fs_dprk.pdf" TargetMode="External"/><Relationship Id="rId570" Type="http://schemas.openxmlformats.org/officeDocument/2006/relationships/hyperlink" Target="http://www.registrocivil.gob.ec/?p=1654" TargetMode="External"/><Relationship Id="rId223" Type="http://schemas.openxmlformats.org/officeDocument/2006/relationships/hyperlink" Target="http://www.renap.gob.gt/" TargetMode="External"/><Relationship Id="rId430" Type="http://schemas.openxmlformats.org/officeDocument/2006/relationships/hyperlink" Target="https://www.e-services.taipei.gov.tw/hypage.cgi?HYPAGE=form.htm&amp;s_uid=160011" TargetMode="External"/><Relationship Id="rId668" Type="http://schemas.openxmlformats.org/officeDocument/2006/relationships/hyperlink" Target="http://www.ccibenin.org/index.php/repertoire-entreprises.html" TargetMode="External"/><Relationship Id="rId875" Type="http://schemas.openxmlformats.org/officeDocument/2006/relationships/hyperlink" Target="http://972mag.com/pilot-for-israels-national-biometric-database-program-begins/75330/" TargetMode="External"/><Relationship Id="rId1060" Type="http://schemas.openxmlformats.org/officeDocument/2006/relationships/hyperlink" Target="http://www.legislation.gov.uk/ukpga/1998/29/contents" TargetMode="External"/><Relationship Id="rId1298" Type="http://schemas.openxmlformats.org/officeDocument/2006/relationships/hyperlink" Target="http://www.naih.hu/files/Privacy_Act-CXII-of-2011_EN_201310.pdf" TargetMode="External"/><Relationship Id="rId528" Type="http://schemas.openxmlformats.org/officeDocument/2006/relationships/hyperlink" Target="https://cpr.dk/cpr/site.aspx?p=34" TargetMode="External"/><Relationship Id="rId735" Type="http://schemas.openxmlformats.org/officeDocument/2006/relationships/hyperlink" Target="http://www.gq.undp.org/content/dam/equatorial_guinea/Reduccion%20de%20la%20Pobreza/Investment%20Climate%20Report%20EG%20English.%20Version%20Final..pdf" TargetMode="External"/><Relationship Id="rId942" Type="http://schemas.openxmlformats.org/officeDocument/2006/relationships/hyperlink" Target="http://www.registraduria.gov.co/-El-parche-del-regi-.html" TargetMode="External"/><Relationship Id="rId1158" Type="http://schemas.openxmlformats.org/officeDocument/2006/relationships/hyperlink" Target="http://www.datatilsynet.no/English/" TargetMode="External"/><Relationship Id="rId1365" Type="http://schemas.openxmlformats.org/officeDocument/2006/relationships/hyperlink" Target="http://stat.uz/egrpo/egrpo_about/index.php" TargetMode="External"/><Relationship Id="rId1572" Type="http://schemas.openxmlformats.org/officeDocument/2006/relationships/hyperlink" Target="http://esa.un.org/unpd/wpp/Download/Standard/Population/" TargetMode="External"/><Relationship Id="rId1018" Type="http://schemas.openxmlformats.org/officeDocument/2006/relationships/hyperlink" Target="http://www.dnielectronico.es/" TargetMode="External"/><Relationship Id="rId1225" Type="http://schemas.openxmlformats.org/officeDocument/2006/relationships/hyperlink" Target="http://www.coe.int/t/dghl/standardsetting/dataprotection/National%20laws/BiH_DP_LAW.pdf" TargetMode="External"/><Relationship Id="rId1432" Type="http://schemas.openxmlformats.org/officeDocument/2006/relationships/hyperlink" Target="http://www.gov.sz/index.php?option=com_content&amp;id=377&amp;Itemid=141" TargetMode="External"/><Relationship Id="rId1877" Type="http://schemas.openxmlformats.org/officeDocument/2006/relationships/hyperlink" Target="http://www.electionguide.org/countries/id/121/" TargetMode="External"/><Relationship Id="rId71" Type="http://schemas.openxmlformats.org/officeDocument/2006/relationships/hyperlink" Target="http://en.wikipedia.org/wiki/Italy" TargetMode="External"/><Relationship Id="rId802" Type="http://schemas.openxmlformats.org/officeDocument/2006/relationships/hyperlink" Target="http://www.e.gov.kw/sites/kgoenglish/portal/pages/visitors/DoingBusinessInKuwait/GoverningBody_OverView.aspx" TargetMode="External"/><Relationship Id="rId1737" Type="http://schemas.openxmlformats.org/officeDocument/2006/relationships/hyperlink" Target="http://esa.un.org/unpd/wpp/Download/Standard/Population/" TargetMode="External"/><Relationship Id="rId1944" Type="http://schemas.openxmlformats.org/officeDocument/2006/relationships/hyperlink" Target="http://www.idea.int/vt/countryview.cfm?id=176" TargetMode="External"/><Relationship Id="rId29" Type="http://schemas.openxmlformats.org/officeDocument/2006/relationships/hyperlink" Target="http://en.wikipedia.org/wiki/Chile" TargetMode="External"/><Relationship Id="rId178" Type="http://schemas.openxmlformats.org/officeDocument/2006/relationships/hyperlink" Target="http://en.wikipedia.org/wiki/Gambia" TargetMode="External"/><Relationship Id="rId1804" Type="http://schemas.openxmlformats.org/officeDocument/2006/relationships/hyperlink" Target="http://eng.stat.gov.tw/lp.asp?ctNode=2265&amp;CtUnit=1072&amp;BaseDSD=36&amp;mp=5" TargetMode="External"/><Relationship Id="rId385" Type="http://schemas.openxmlformats.org/officeDocument/2006/relationships/hyperlink" Target="http://www.mairie.mc/poles/pratique/declaration-de-naissance-ou-de-reconnaissance" TargetMode="External"/><Relationship Id="rId592" Type="http://schemas.openxmlformats.org/officeDocument/2006/relationships/hyperlink" Target="http://grs.gov.kg/" TargetMode="External"/><Relationship Id="rId245" Type="http://schemas.openxmlformats.org/officeDocument/2006/relationships/hyperlink" Target="http://www.gambis.gm/" TargetMode="External"/><Relationship Id="rId452" Type="http://schemas.openxmlformats.org/officeDocument/2006/relationships/hyperlink" Target="http://www.homeaffairs.gov.zm/?q=national_registration_passport_and_citizenship_department" TargetMode="External"/><Relationship Id="rId897" Type="http://schemas.openxmlformats.org/officeDocument/2006/relationships/hyperlink" Target="http://www.datys.cu/" TargetMode="External"/><Relationship Id="rId1082" Type="http://schemas.openxmlformats.org/officeDocument/2006/relationships/hyperlink" Target="http://www.gtb.gov.tr/" TargetMode="External"/><Relationship Id="rId105" Type="http://schemas.openxmlformats.org/officeDocument/2006/relationships/hyperlink" Target="http://en.wikipedia.org/wiki/Kingdom_of_the_Netherlands" TargetMode="External"/><Relationship Id="rId312" Type="http://schemas.openxmlformats.org/officeDocument/2006/relationships/hyperlink" Target="http://www.mh.government.bg/" TargetMode="External"/><Relationship Id="rId757" Type="http://schemas.openxmlformats.org/officeDocument/2006/relationships/hyperlink" Target="http://www.doingbusiness.org/data/exploreeconomies/eritrea/starting-a-business" TargetMode="External"/><Relationship Id="rId964" Type="http://schemas.openxmlformats.org/officeDocument/2006/relationships/hyperlink" Target="http://mup.hr/42.aspx" TargetMode="External"/><Relationship Id="rId1387" Type="http://schemas.openxmlformats.org/officeDocument/2006/relationships/hyperlink" Target="http://www.drc.gov.lk/" TargetMode="External"/><Relationship Id="rId1594" Type="http://schemas.openxmlformats.org/officeDocument/2006/relationships/hyperlink" Target="http://esa.un.org/unpd/wpp/Download/Standard/Population/" TargetMode="External"/><Relationship Id="rId93" Type="http://schemas.openxmlformats.org/officeDocument/2006/relationships/hyperlink" Target="http://en.wikipedia.org/wiki/Mauritania" TargetMode="External"/><Relationship Id="rId617" Type="http://schemas.openxmlformats.org/officeDocument/2006/relationships/hyperlink" Target="http://en.wikipedia.org/wiki/Saudi_Arabian_National_ID_Card" TargetMode="External"/><Relationship Id="rId824" Type="http://schemas.openxmlformats.org/officeDocument/2006/relationships/hyperlink" Target="http://www.gemalto.com/govt/customer-cases/finland" TargetMode="External"/><Relationship Id="rId1247" Type="http://schemas.openxmlformats.org/officeDocument/2006/relationships/hyperlink" Target="http://www.rti-rating.org/files/pdf/Ivory%20Coast.pdf" TargetMode="External"/><Relationship Id="rId1454" Type="http://schemas.openxmlformats.org/officeDocument/2006/relationships/hyperlink" Target="http://www.cfetogo.org/presentation" TargetMode="External"/><Relationship Id="rId1661" Type="http://schemas.openxmlformats.org/officeDocument/2006/relationships/hyperlink" Target="http://esa.un.org/unpd/wpp/Download/Standard/Population/" TargetMode="External"/><Relationship Id="rId1899" Type="http://schemas.openxmlformats.org/officeDocument/2006/relationships/hyperlink" Target="http://www.electionguide.org/countries/id/61/" TargetMode="External"/><Relationship Id="rId1107" Type="http://schemas.openxmlformats.org/officeDocument/2006/relationships/hyperlink" Target="http://www.admin.ch/ch/e/rs/2/235.11.en.pdf" TargetMode="External"/><Relationship Id="rId1314" Type="http://schemas.openxmlformats.org/officeDocument/2006/relationships/hyperlink" Target="http://www.kuvendikosoves.org/common/docs/ligjet/2010-172-eng.pdf" TargetMode="External"/><Relationship Id="rId1521" Type="http://schemas.openxmlformats.org/officeDocument/2006/relationships/hyperlink" Target="http://www.worldbank.org/content/dam/Worldbank/Event/social-protection/Building_Robust_Identification_Systems_Session_Packet.pdf" TargetMode="External"/><Relationship Id="rId1759" Type="http://schemas.openxmlformats.org/officeDocument/2006/relationships/hyperlink" Target="http://www.indexmundi.com/liechtenstein/age_structure.html" TargetMode="External"/><Relationship Id="rId1966" Type="http://schemas.openxmlformats.org/officeDocument/2006/relationships/hyperlink" Target="http://www.idea.int/vt/countryview.cfm?id=206" TargetMode="External"/><Relationship Id="rId1619" Type="http://schemas.openxmlformats.org/officeDocument/2006/relationships/hyperlink" Target="http://esa.un.org/unpd/wpp/Download/Standard/Population/" TargetMode="External"/><Relationship Id="rId1826" Type="http://schemas.openxmlformats.org/officeDocument/2006/relationships/hyperlink" Target="http://www.electionguide.org/countries/id/24/" TargetMode="External"/><Relationship Id="rId20" Type="http://schemas.openxmlformats.org/officeDocument/2006/relationships/hyperlink" Target="http://en.wikipedia.org/wiki/Bosnia_and_Herzegovina" TargetMode="External"/><Relationship Id="rId267" Type="http://schemas.openxmlformats.org/officeDocument/2006/relationships/hyperlink" Target="http://en.wikipedia.org/wiki/Dutch_identity_card" TargetMode="External"/><Relationship Id="rId474" Type="http://schemas.openxmlformats.org/officeDocument/2006/relationships/hyperlink" Target="http://www.lumidigm.com/civil-id/" TargetMode="External"/><Relationship Id="rId127" Type="http://schemas.openxmlformats.org/officeDocument/2006/relationships/hyperlink" Target="http://en.wikipedia.org/wiki/San_Marino" TargetMode="External"/><Relationship Id="rId681" Type="http://schemas.openxmlformats.org/officeDocument/2006/relationships/hyperlink" Target="http://www.supercias.gob.ec/portal/" TargetMode="External"/><Relationship Id="rId779" Type="http://schemas.openxmlformats.org/officeDocument/2006/relationships/hyperlink" Target="http://www.salyk.kz/ru/Pages/findtaxpayers.aspx" TargetMode="External"/><Relationship Id="rId986" Type="http://schemas.openxmlformats.org/officeDocument/2006/relationships/hyperlink" Target="http://www.nidmc.gov.np/" TargetMode="External"/><Relationship Id="rId334" Type="http://schemas.openxmlformats.org/officeDocument/2006/relationships/hyperlink" Target="http://www.moh.gov.gm/" TargetMode="External"/><Relationship Id="rId541" Type="http://schemas.openxmlformats.org/officeDocument/2006/relationships/hyperlink" Target="http://www.rijksoverheid.nl/onderwerpen/paspoort-en-identificatie/paspoort-en-identiteitskaart" TargetMode="External"/><Relationship Id="rId639" Type="http://schemas.openxmlformats.org/officeDocument/2006/relationships/hyperlink" Target="http://www.refworld.org/docid/469cd6993b3.html" TargetMode="External"/><Relationship Id="rId1171" Type="http://schemas.openxmlformats.org/officeDocument/2006/relationships/hyperlink" Target="http://inicio.ifai.org.mx/English/1%20Data%20Protection%20Law.pdf" TargetMode="External"/><Relationship Id="rId1269" Type="http://schemas.openxmlformats.org/officeDocument/2006/relationships/hyperlink" Target="http://www.tse.go.cr/pdf/normativa/leydeprotecciondelapersona.pdf" TargetMode="External"/><Relationship Id="rId1476" Type="http://schemas.openxmlformats.org/officeDocument/2006/relationships/hyperlink" Target="https://www.verksamt.se/" TargetMode="External"/><Relationship Id="rId401" Type="http://schemas.openxmlformats.org/officeDocument/2006/relationships/hyperlink" Target="https://www.msw.gov.pl/" TargetMode="External"/><Relationship Id="rId846" Type="http://schemas.openxmlformats.org/officeDocument/2006/relationships/hyperlink" Target="http://www.innovatrics.com/references/civil-identification" TargetMode="External"/><Relationship Id="rId1031" Type="http://schemas.openxmlformats.org/officeDocument/2006/relationships/hyperlink" Target="http://www.goss.org/index.php/ministries/interior" TargetMode="External"/><Relationship Id="rId1129" Type="http://schemas.openxmlformats.org/officeDocument/2006/relationships/hyperlink" Target="http://www.rti-rating.org/files/pdf/Pakistan.pdf" TargetMode="External"/><Relationship Id="rId1683" Type="http://schemas.openxmlformats.org/officeDocument/2006/relationships/hyperlink" Target="http://esa.un.org/unpd/wpp/Download/Standard/Population/" TargetMode="External"/><Relationship Id="rId1890" Type="http://schemas.openxmlformats.org/officeDocument/2006/relationships/hyperlink" Target="http://www.electionguide.org/countries/id/211/" TargetMode="External"/><Relationship Id="rId1988" Type="http://schemas.openxmlformats.org/officeDocument/2006/relationships/hyperlink" Target="http://www.census.gov/hhes/www/socdemo/voting/publications/p20/2014/tables.html" TargetMode="External"/><Relationship Id="rId706" Type="http://schemas.openxmlformats.org/officeDocument/2006/relationships/hyperlink" Target="http://www.eregistry.agc.gov.bn/WorkAreaBusiness/WorkFunctionSearch/WebViewSearch/DoRcbNumberSearch.aspx" TargetMode="External"/><Relationship Id="rId913" Type="http://schemas.openxmlformats.org/officeDocument/2006/relationships/hyperlink" Target="http://www.g-pin.go.kr/center/main/index.gpin" TargetMode="External"/><Relationship Id="rId1336" Type="http://schemas.openxmlformats.org/officeDocument/2006/relationships/hyperlink" Target="http://www.humanrightsinitiative.org/programs/ai/rti/international/laws_&amp;_papers.htm" TargetMode="External"/><Relationship Id="rId1543" Type="http://schemas.openxmlformats.org/officeDocument/2006/relationships/hyperlink" Target="http://www.worldbank.org/content/dam/Worldbank/Event/social-protection/Building_Robust_Identification_Systems_Session_Packet.pdf" TargetMode="External"/><Relationship Id="rId1750" Type="http://schemas.openxmlformats.org/officeDocument/2006/relationships/hyperlink" Target="http://esa.un.org/unpd/wpp/Download/Standard/Population/" TargetMode="External"/><Relationship Id="rId42" Type="http://schemas.openxmlformats.org/officeDocument/2006/relationships/hyperlink" Target="http://en.wikipedia.org/wiki/Ecuador" TargetMode="External"/><Relationship Id="rId1403" Type="http://schemas.openxmlformats.org/officeDocument/2006/relationships/hyperlink" Target="http://cci.gov.tm/tpp/zakony-turkmenistana" TargetMode="External"/><Relationship Id="rId1610" Type="http://schemas.openxmlformats.org/officeDocument/2006/relationships/hyperlink" Target="http://esa.un.org/unpd/wpp/Download/Standard/Population/" TargetMode="External"/><Relationship Id="rId1848" Type="http://schemas.openxmlformats.org/officeDocument/2006/relationships/hyperlink" Target="http://transparencia.jce.gob.do/DesktopModules/Bring2mind/DMX/Download.aspx?EntryId=1849&amp;Command=Core_Download&amp;language=es-ES&amp;PortalId=1&amp;TabId=190" TargetMode="External"/><Relationship Id="rId191" Type="http://schemas.openxmlformats.org/officeDocument/2006/relationships/hyperlink" Target="http://en.wikipedia.org/wiki/Suriname" TargetMode="External"/><Relationship Id="rId1708" Type="http://schemas.openxmlformats.org/officeDocument/2006/relationships/hyperlink" Target="http://esa.un.org/unpd/wpp/Download/Standard/Population/" TargetMode="External"/><Relationship Id="rId1915" Type="http://schemas.openxmlformats.org/officeDocument/2006/relationships/hyperlink" Target="http://www.electionguide.org/countries/id/253/" TargetMode="External"/><Relationship Id="rId289" Type="http://schemas.openxmlformats.org/officeDocument/2006/relationships/hyperlink" Target="http://en.wikipedia.org/wiki/Personal_Public_Service_Number" TargetMode="External"/><Relationship Id="rId496" Type="http://schemas.openxmlformats.org/officeDocument/2006/relationships/hyperlink" Target="http://www.rg.gov.zw/" TargetMode="External"/><Relationship Id="rId149" Type="http://schemas.openxmlformats.org/officeDocument/2006/relationships/hyperlink" Target="http://en.wikipedia.org/wiki/Tonga" TargetMode="External"/><Relationship Id="rId356" Type="http://schemas.openxmlformats.org/officeDocument/2006/relationships/hyperlink" Target="http://www.paci.gov.kw/en/" TargetMode="External"/><Relationship Id="rId563" Type="http://schemas.openxmlformats.org/officeDocument/2006/relationships/hyperlink" Target="http://www.oni.ci/" TargetMode="External"/><Relationship Id="rId770" Type="http://schemas.openxmlformats.org/officeDocument/2006/relationships/hyperlink" Target="http://www.rci.gouv.mc/rc/" TargetMode="External"/><Relationship Id="rId1193" Type="http://schemas.openxmlformats.org/officeDocument/2006/relationships/hyperlink" Target="http://www.rti-rating.org/files/pdf/Angola.pdf" TargetMode="External"/><Relationship Id="rId216" Type="http://schemas.openxmlformats.org/officeDocument/2006/relationships/hyperlink" Target="http://idbdocs.iadb.org/wsdocs/getdocument.aspx?docnum=1959542" TargetMode="External"/><Relationship Id="rId423" Type="http://schemas.openxmlformats.org/officeDocument/2006/relationships/hyperlink" Target="http://www.rgdept.lk/" TargetMode="External"/><Relationship Id="rId868" Type="http://schemas.openxmlformats.org/officeDocument/2006/relationships/hyperlink" Target="http://www.semlex.com/en/references/references-clients.html" TargetMode="External"/><Relationship Id="rId1053" Type="http://schemas.openxmlformats.org/officeDocument/2006/relationships/hyperlink" Target="http://www.rti-rating.org/files/pdf/Uruguay.pdf" TargetMode="External"/><Relationship Id="rId1260" Type="http://schemas.openxmlformats.org/officeDocument/2006/relationships/hyperlink" Target="http://www.rti-rating.org/files/pdf/Greece.pdf" TargetMode="External"/><Relationship Id="rId1498" Type="http://schemas.openxmlformats.org/officeDocument/2006/relationships/hyperlink" Target="http://www.fsmgov.org/forms.html" TargetMode="External"/><Relationship Id="rId630" Type="http://schemas.openxmlformats.org/officeDocument/2006/relationships/hyperlink" Target="http://www.tunisie.gov.tn/index.php?option=com_content&amp;task=view&amp;id=1578&amp;Itemid=538&amp;lang=french" TargetMode="External"/><Relationship Id="rId728" Type="http://schemas.openxmlformats.org/officeDocument/2006/relationships/hyperlink" Target="http://www.doingbusiness.org/data/exploreeconomies/eritrea/starting-a-business" TargetMode="External"/><Relationship Id="rId935" Type="http://schemas.openxmlformats.org/officeDocument/2006/relationships/hyperlink" Target="http://www.uidai.gov.in/" TargetMode="External"/><Relationship Id="rId1358" Type="http://schemas.openxmlformats.org/officeDocument/2006/relationships/hyperlink" Target="http://www.right2info.org/resources/publications/laws-1/niger-law-on-access-to-public-documents" TargetMode="External"/><Relationship Id="rId1565" Type="http://schemas.openxmlformats.org/officeDocument/2006/relationships/hyperlink" Target="http://en.wikipedia.org/wiki/Taiwan" TargetMode="External"/><Relationship Id="rId1772" Type="http://schemas.openxmlformats.org/officeDocument/2006/relationships/hyperlink" Target="http://www.unicef.org/infobycountry/barbados_statistics.html" TargetMode="External"/><Relationship Id="rId64" Type="http://schemas.openxmlformats.org/officeDocument/2006/relationships/hyperlink" Target="http://en.wikipedia.org/wiki/Hungary" TargetMode="External"/><Relationship Id="rId1120" Type="http://schemas.openxmlformats.org/officeDocument/2006/relationships/hyperlink" Target="http://www.rti-rating.org/files/pdf/Moldova.pdf" TargetMode="External"/><Relationship Id="rId1218" Type="http://schemas.openxmlformats.org/officeDocument/2006/relationships/hyperlink" Target="http://www.oaic.gov.au/privacy/privacy-act/the-privacy-act" TargetMode="External"/><Relationship Id="rId1425" Type="http://schemas.openxmlformats.org/officeDocument/2006/relationships/hyperlink" Target="http://www.mci.gov.sa/en/ServicesDirectory/Pages/Services.aspx?Category=Commercial%20register" TargetMode="External"/><Relationship Id="rId1632" Type="http://schemas.openxmlformats.org/officeDocument/2006/relationships/hyperlink" Target="http://esa.un.org/unpd/wpp/Download/Standard/Population/" TargetMode="External"/><Relationship Id="rId1937" Type="http://schemas.openxmlformats.org/officeDocument/2006/relationships/hyperlink" Target="http://www.cbs.nl/en-GB/menu/themas/bevolking/cijfers/extra/bevolkingsteller.htm" TargetMode="External"/><Relationship Id="rId280" Type="http://schemas.openxmlformats.org/officeDocument/2006/relationships/hyperlink" Target="http://en.wikipedia.org/wiki/Documento_Nacional_de_Identidad_(Argentina)" TargetMode="External"/><Relationship Id="rId140" Type="http://schemas.openxmlformats.org/officeDocument/2006/relationships/hyperlink" Target="http://en.wikipedia.org/wiki/Sudan" TargetMode="External"/><Relationship Id="rId378" Type="http://schemas.openxmlformats.org/officeDocument/2006/relationships/hyperlink" Target="https://secure2.gov.mt/certifikati/Birth.aspx" TargetMode="External"/><Relationship Id="rId585" Type="http://schemas.openxmlformats.org/officeDocument/2006/relationships/hyperlink" Target="http://iraqinationality.gov.iq/about_ar.htm" TargetMode="External"/><Relationship Id="rId792" Type="http://schemas.openxmlformats.org/officeDocument/2006/relationships/hyperlink" Target="http://www.rgd.gov.gh/en/services/searches.php" TargetMode="External"/><Relationship Id="rId6" Type="http://schemas.openxmlformats.org/officeDocument/2006/relationships/hyperlink" Target="http://en.wikipedia.org/wiki/Antigua_and_Barbuda" TargetMode="External"/><Relationship Id="rId238" Type="http://schemas.openxmlformats.org/officeDocument/2006/relationships/hyperlink" Target="http://idbdocs.iadb.org/wsdocs/getdocument.aspx?docnum=1959558" TargetMode="External"/><Relationship Id="rId445" Type="http://schemas.openxmlformats.org/officeDocument/2006/relationships/hyperlink" Target="http://www.cdc.gov/nchs/nvss.htm" TargetMode="External"/><Relationship Id="rId652" Type="http://schemas.openxmlformats.org/officeDocument/2006/relationships/hyperlink" Target="http://www.newelectoralframework.gov.kn/default.asp?ContentType=References" TargetMode="External"/><Relationship Id="rId1075" Type="http://schemas.openxmlformats.org/officeDocument/2006/relationships/hyperlink" Target="http://www.ttparliament.org/legislations/a2011-13.pdf" TargetMode="External"/><Relationship Id="rId1282" Type="http://schemas.openxmlformats.org/officeDocument/2006/relationships/hyperlink" Target="http://www.rti-rating.org/files/pdf/Hungary.pdf" TargetMode="External"/><Relationship Id="rId305" Type="http://schemas.openxmlformats.org/officeDocument/2006/relationships/hyperlink" Target="http://www.brussels.be/artdet.cfm/4840" TargetMode="External"/><Relationship Id="rId512" Type="http://schemas.openxmlformats.org/officeDocument/2006/relationships/hyperlink" Target="http://egov.kz/wps/portal/Content?contentPath=/egovcontent/citizen_migration/passport_id_card/article/iin_info&amp;lang=en" TargetMode="External"/><Relationship Id="rId957" Type="http://schemas.openxmlformats.org/officeDocument/2006/relationships/hyperlink" Target="http://imigresen.gov.bn/IM%20WSS/KPP1.html" TargetMode="External"/><Relationship Id="rId1142" Type="http://schemas.openxmlformats.org/officeDocument/2006/relationships/hyperlink" Target="http://www.right2info.org/resources/publications/nepal-rti" TargetMode="External"/><Relationship Id="rId1587" Type="http://schemas.openxmlformats.org/officeDocument/2006/relationships/hyperlink" Target="http://esa.un.org/unpd/wpp/Download/Standard/Population/" TargetMode="External"/><Relationship Id="rId1794" Type="http://schemas.openxmlformats.org/officeDocument/2006/relationships/hyperlink" Target="http://unstats.un.org/unsd/demographic/CRVS/CR_coverage.htm" TargetMode="External"/><Relationship Id="rId86" Type="http://schemas.openxmlformats.org/officeDocument/2006/relationships/hyperlink" Target="http://en.wikipedia.org/wiki/Lithuania" TargetMode="External"/><Relationship Id="rId151" Type="http://schemas.openxmlformats.org/officeDocument/2006/relationships/hyperlink" Target="http://en.wikipedia.org/wiki/Tunisia" TargetMode="External"/><Relationship Id="rId389" Type="http://schemas.openxmlformats.org/officeDocument/2006/relationships/hyperlink" Target="http://www.mha.gov.na/" TargetMode="External"/><Relationship Id="rId596" Type="http://schemas.openxmlformats.org/officeDocument/2006/relationships/hyperlink" Target="http://en.wikipedia.org/wiki/Lebanese_identity_card" TargetMode="External"/><Relationship Id="rId817" Type="http://schemas.openxmlformats.org/officeDocument/2006/relationships/hyperlink" Target="https://e-submit.crm.com.mk/sso/login.aspx?ReturnUrl=https%3a%2f%2fwww.crm.com.mk%3a443%2fDS%2fusers%2fPaContent.aspx" TargetMode="External"/><Relationship Id="rId1002" Type="http://schemas.openxmlformats.org/officeDocument/2006/relationships/hyperlink" Target="http://www.nrk.no/norge/lover-nasjonalt-id-kort-i-2015-1.8264549" TargetMode="External"/><Relationship Id="rId1447" Type="http://schemas.openxmlformats.org/officeDocument/2006/relationships/hyperlink" Target="http://www.revenue.gov.ws/images/VAGST_Register_Fact_Sheet_English.pdf" TargetMode="External"/><Relationship Id="rId1654" Type="http://schemas.openxmlformats.org/officeDocument/2006/relationships/hyperlink" Target="http://esa.un.org/unpd/wpp/Download/Standard/Population/" TargetMode="External"/><Relationship Id="rId1861" Type="http://schemas.openxmlformats.org/officeDocument/2006/relationships/hyperlink" Target="http://www.electionguide.org/countries/id/109/" TargetMode="External"/><Relationship Id="rId249" Type="http://schemas.openxmlformats.org/officeDocument/2006/relationships/hyperlink" Target="http://en.wikipedia.org/wiki/Indonesian_identity_card" TargetMode="External"/><Relationship Id="rId456" Type="http://schemas.openxmlformats.org/officeDocument/2006/relationships/hyperlink" Target="http://unstats.un.org/unsd/demographic/CRVS/VS_availability.htm" TargetMode="External"/><Relationship Id="rId663" Type="http://schemas.openxmlformats.org/officeDocument/2006/relationships/hyperlink" Target="http://www.moi.gov.ps/En/" TargetMode="External"/><Relationship Id="rId870" Type="http://schemas.openxmlformats.org/officeDocument/2006/relationships/hyperlink" Target="http://www.cto.int/media/events/pst-ev/2013/e-Gove/Matthias%20K.%20Kohler.pdf" TargetMode="External"/><Relationship Id="rId1086" Type="http://schemas.openxmlformats.org/officeDocument/2006/relationships/hyperlink" Target="http://www.rti-rating.org/files/pdf/Serbia.pdf" TargetMode="External"/><Relationship Id="rId1293" Type="http://schemas.openxmlformats.org/officeDocument/2006/relationships/hyperlink" Target="http://www.rti-rating.org/files/pdf/Kosovo.pdf" TargetMode="External"/><Relationship Id="rId1307" Type="http://schemas.openxmlformats.org/officeDocument/2006/relationships/hyperlink" Target="http://koreanlii.or.kr/w/images/0/0e/KoreanDPAct2011.pdf" TargetMode="External"/><Relationship Id="rId1514" Type="http://schemas.openxmlformats.org/officeDocument/2006/relationships/hyperlink" Target="http://www.biometricupdate.com/tag/smart-cards/page/2" TargetMode="External"/><Relationship Id="rId1721" Type="http://schemas.openxmlformats.org/officeDocument/2006/relationships/hyperlink" Target="http://esa.un.org/unpd/wpp/Download/Standard/Population/" TargetMode="External"/><Relationship Id="rId1959" Type="http://schemas.openxmlformats.org/officeDocument/2006/relationships/hyperlink" Target="http://www.idea.int/vt/countryview.cfm?id=190" TargetMode="External"/><Relationship Id="rId13" Type="http://schemas.openxmlformats.org/officeDocument/2006/relationships/hyperlink" Target="http://en.wikipedia.org/wiki/Bahrain" TargetMode="External"/><Relationship Id="rId109" Type="http://schemas.openxmlformats.org/officeDocument/2006/relationships/hyperlink" Target="http://en.wikipedia.org/wiki/Nigeria" TargetMode="External"/><Relationship Id="rId316" Type="http://schemas.openxmlformats.org/officeDocument/2006/relationships/hyperlink" Target="http://www.cameroon-embassy.nl/?page_id=126" TargetMode="External"/><Relationship Id="rId523" Type="http://schemas.openxmlformats.org/officeDocument/2006/relationships/hyperlink" Target="http://www.mia.gov.lr/" TargetMode="External"/><Relationship Id="rId968" Type="http://schemas.openxmlformats.org/officeDocument/2006/relationships/hyperlink" Target="http://www.jce.gob.do/Dependencias/Cedulaci%C3%B3n/ServiciosyRequisitos.aspx" TargetMode="External"/><Relationship Id="rId1153" Type="http://schemas.openxmlformats.org/officeDocument/2006/relationships/hyperlink" Target="http://www.datepersonale.md/" TargetMode="External"/><Relationship Id="rId1598" Type="http://schemas.openxmlformats.org/officeDocument/2006/relationships/hyperlink" Target="http://esa.un.org/unpd/wpp/Download/Standard/Population/" TargetMode="External"/><Relationship Id="rId1819" Type="http://schemas.openxmlformats.org/officeDocument/2006/relationships/hyperlink" Target="http://www.electionguide.org/countries/id/80/" TargetMode="External"/><Relationship Id="rId97" Type="http://schemas.openxmlformats.org/officeDocument/2006/relationships/hyperlink" Target="http://en.wikipedia.org/wiki/Monaco" TargetMode="External"/><Relationship Id="rId730" Type="http://schemas.openxmlformats.org/officeDocument/2006/relationships/hyperlink" Target="http://www.doingbusiness.org/data/exploreeconomies/eritrea/starting-a-business" TargetMode="External"/><Relationship Id="rId828" Type="http://schemas.openxmlformats.org/officeDocument/2006/relationships/hyperlink" Target="http://www.gemalto.com/govt/customer-cases/bahrain" TargetMode="External"/><Relationship Id="rId1013" Type="http://schemas.openxmlformats.org/officeDocument/2006/relationships/hyperlink" Target="http://www.govt.lc/services/apply-for-certificate-of-identity" TargetMode="External"/><Relationship Id="rId1360" Type="http://schemas.openxmlformats.org/officeDocument/2006/relationships/hyperlink" Target="https://e-estonia.com/component/e-business-register/" TargetMode="External"/><Relationship Id="rId1458" Type="http://schemas.openxmlformats.org/officeDocument/2006/relationships/hyperlink" Target="https://www.ura.go.ug/xlsUpdRegistrationAction.do" TargetMode="External"/><Relationship Id="rId1665" Type="http://schemas.openxmlformats.org/officeDocument/2006/relationships/hyperlink" Target="http://esa.un.org/unpd/wpp/Download/Standard/Population/" TargetMode="External"/><Relationship Id="rId1872" Type="http://schemas.openxmlformats.org/officeDocument/2006/relationships/hyperlink" Target="http://www.electionguide.org/countries/id/92/" TargetMode="External"/><Relationship Id="rId162" Type="http://schemas.openxmlformats.org/officeDocument/2006/relationships/hyperlink" Target="http://en.wikipedia.org/wiki/Vanuatu" TargetMode="External"/><Relationship Id="rId467" Type="http://schemas.openxmlformats.org/officeDocument/2006/relationships/hyperlink" Target="http://en.wikipedia.org/wiki/Resident_Identity_Card" TargetMode="External"/><Relationship Id="rId1097" Type="http://schemas.openxmlformats.org/officeDocument/2006/relationships/hyperlink" Target="http://www.refworld.org/pdfid/4b5718f52.pdf" TargetMode="External"/><Relationship Id="rId1220" Type="http://schemas.openxmlformats.org/officeDocument/2006/relationships/hyperlink" Target="http://www.coe.int/t/dghl/standardsetting/dataprotection/National%20laws/AZERBAIJAN_DP_LAW.pdf" TargetMode="External"/><Relationship Id="rId1318" Type="http://schemas.openxmlformats.org/officeDocument/2006/relationships/hyperlink" Target="http://www.dvi.gov.lv/en/legal-acts/personal-data-protection-law" TargetMode="External"/><Relationship Id="rId1525" Type="http://schemas.openxmlformats.org/officeDocument/2006/relationships/hyperlink" Target="https://eservice.egov.sc/eGateway/public/GatewayConcept.aspx" TargetMode="External"/><Relationship Id="rId674" Type="http://schemas.openxmlformats.org/officeDocument/2006/relationships/hyperlink" Target="http://www.confecamaras.org.co/" TargetMode="External"/><Relationship Id="rId881" Type="http://schemas.openxmlformats.org/officeDocument/2006/relationships/hyperlink" Target="http://www.trueb.ee/services-and-products/documents/id-cards" TargetMode="External"/><Relationship Id="rId979" Type="http://schemas.openxmlformats.org/officeDocument/2006/relationships/hyperlink" Target="http://www.gov.hk/en/residents/immigration/idcard/hkic/smartid.htm" TargetMode="External"/><Relationship Id="rId1732" Type="http://schemas.openxmlformats.org/officeDocument/2006/relationships/hyperlink" Target="http://esa.un.org/unpd/wpp/Download/Standard/Population/" TargetMode="External"/><Relationship Id="rId24" Type="http://schemas.openxmlformats.org/officeDocument/2006/relationships/hyperlink" Target="http://en.wikipedia.org/wiki/Bulgaria" TargetMode="External"/><Relationship Id="rId327" Type="http://schemas.openxmlformats.org/officeDocument/2006/relationships/hyperlink" Target="http://www.cso.gov.eg/" TargetMode="External"/><Relationship Id="rId534" Type="http://schemas.openxmlformats.org/officeDocument/2006/relationships/hyperlink" Target="http://www.politsei.ee/et/teenused/isikut-toendavad-dokumendid/id-kaart/" TargetMode="External"/><Relationship Id="rId741" Type="http://schemas.openxmlformats.org/officeDocument/2006/relationships/hyperlink" Target="http://www.mca.gov.in/" TargetMode="External"/><Relationship Id="rId839" Type="http://schemas.openxmlformats.org/officeDocument/2006/relationships/hyperlink" Target="http://www.iris.com.my/Trusted_ID/projects.html" TargetMode="External"/><Relationship Id="rId1164" Type="http://schemas.openxmlformats.org/officeDocument/2006/relationships/hyperlink" Target="http://www.congress.gov.ph/download/basic_16/HB00019.pdf" TargetMode="External"/><Relationship Id="rId1371" Type="http://schemas.openxmlformats.org/officeDocument/2006/relationships/hyperlink" Target="http://agesic.gub.uy/" TargetMode="External"/><Relationship Id="rId1469" Type="http://schemas.openxmlformats.org/officeDocument/2006/relationships/hyperlink" Target="http://www.doingbusiness.org/data/exploreeconomies/zimbabwe/starting-a-business" TargetMode="External"/><Relationship Id="rId173" Type="http://schemas.openxmlformats.org/officeDocument/2006/relationships/hyperlink" Target="http://en.wikipedia.org/wiki/Cameroon" TargetMode="External"/><Relationship Id="rId380" Type="http://schemas.openxmlformats.org/officeDocument/2006/relationships/hyperlink" Target="http://www.justice.gov.mr/" TargetMode="External"/><Relationship Id="rId601" Type="http://schemas.openxmlformats.org/officeDocument/2006/relationships/hyperlink" Target="http://homeaffairs.gov.mt/en/MHAS-Departments/Land%20Public%20Registry/Pages/ID-MO.aspx" TargetMode="External"/><Relationship Id="rId1024" Type="http://schemas.openxmlformats.org/officeDocument/2006/relationships/hyperlink" Target="http://www.moi.gov.sa/" TargetMode="External"/><Relationship Id="rId1231" Type="http://schemas.openxmlformats.org/officeDocument/2006/relationships/hyperlink" Target="http://www.leychile.cl/Navegar?idNorma=141599" TargetMode="External"/><Relationship Id="rId1676" Type="http://schemas.openxmlformats.org/officeDocument/2006/relationships/hyperlink" Target="http://esa.un.org/unpd/wpp/Download/Standard/Population/" TargetMode="External"/><Relationship Id="rId1883" Type="http://schemas.openxmlformats.org/officeDocument/2006/relationships/hyperlink" Target="http://www.electionguide.org/countries/id/146/" TargetMode="External"/><Relationship Id="rId240" Type="http://schemas.openxmlformats.org/officeDocument/2006/relationships/hyperlink" Target="http://www.statistics-suriname.org/index.php/en/Nieuws/Basic-Indicators.html" TargetMode="External"/><Relationship Id="rId478" Type="http://schemas.openxmlformats.org/officeDocument/2006/relationships/hyperlink" Target="http://www.biometricupdate.com/service-directory/civil-id" TargetMode="External"/><Relationship Id="rId685" Type="http://schemas.openxmlformats.org/officeDocument/2006/relationships/hyperlink" Target="http://belizecompaniesregistry.gov.bz/" TargetMode="External"/><Relationship Id="rId892" Type="http://schemas.openxmlformats.org/officeDocument/2006/relationships/hyperlink" Target="http://www.biometricupdate.com/201312/cambodia-introducing-eids" TargetMode="External"/><Relationship Id="rId906" Type="http://schemas.openxmlformats.org/officeDocument/2006/relationships/hyperlink" Target="http://www.gi-de.com/en/about_g_d/press/press_releases/Giesecke-%26-Devrient-Wins-Another-Major-Contract-from-Iraq-g28224.jsp" TargetMode="External"/><Relationship Id="rId1329" Type="http://schemas.openxmlformats.org/officeDocument/2006/relationships/hyperlink" Target="http://www.cnpd.public.lu/fr/index.html" TargetMode="External"/><Relationship Id="rId1536" Type="http://schemas.openxmlformats.org/officeDocument/2006/relationships/hyperlink" Target="http://www.identitymalta.com/id-cards/" TargetMode="External"/><Relationship Id="rId1743" Type="http://schemas.openxmlformats.org/officeDocument/2006/relationships/hyperlink" Target="http://esa.un.org/unpd/wpp/Download/Standard/Population/" TargetMode="External"/><Relationship Id="rId1950" Type="http://schemas.openxmlformats.org/officeDocument/2006/relationships/hyperlink" Target="http://www.idea.int/vt/countryview.cfm?id=189" TargetMode="External"/><Relationship Id="rId35" Type="http://schemas.openxmlformats.org/officeDocument/2006/relationships/hyperlink" Target="http://en.wikipedia.org/wiki/Cuba" TargetMode="External"/><Relationship Id="rId100" Type="http://schemas.openxmlformats.org/officeDocument/2006/relationships/hyperlink" Target="http://en.wikipedia.org/wiki/Morocco" TargetMode="External"/><Relationship Id="rId338" Type="http://schemas.openxmlformats.org/officeDocument/2006/relationships/hyperlink" Target="https://standesamtauskunft.de/default.aspx" TargetMode="External"/><Relationship Id="rId545" Type="http://schemas.openxmlformats.org/officeDocument/2006/relationships/hyperlink" Target="http://mvd.gov.by/ru/main.aspx?guid=152273" TargetMode="External"/><Relationship Id="rId752" Type="http://schemas.openxmlformats.org/officeDocument/2006/relationships/hyperlink" Target="http://www.refworld.org/docid/4804c0dd23.html" TargetMode="External"/><Relationship Id="rId1175" Type="http://schemas.openxmlformats.org/officeDocument/2006/relationships/hyperlink" Target="http://www.justice.gouv.ml/documentation/Code_des_Personnes_et_de_la_Famille.pdf" TargetMode="External"/><Relationship Id="rId1382" Type="http://schemas.openxmlformats.org/officeDocument/2006/relationships/hyperlink" Target="http://vfsc.vu/index.php/services/forming-a-company" TargetMode="External"/><Relationship Id="rId1603" Type="http://schemas.openxmlformats.org/officeDocument/2006/relationships/hyperlink" Target="http://esa.un.org/unpd/wpp/Download/Standard/Population/" TargetMode="External"/><Relationship Id="rId1810" Type="http://schemas.openxmlformats.org/officeDocument/2006/relationships/hyperlink" Target="http://www.ipu.org/parline-e/reports/2371_B.htm" TargetMode="External"/><Relationship Id="rId184" Type="http://schemas.openxmlformats.org/officeDocument/2006/relationships/hyperlink" Target="http://en.wikipedia.org/wiki/Malaysia" TargetMode="External"/><Relationship Id="rId391" Type="http://schemas.openxmlformats.org/officeDocument/2006/relationships/hyperlink" Target="http://www.refworld.org/docid/4f4f3d4a2.html" TargetMode="External"/><Relationship Id="rId405" Type="http://schemas.openxmlformats.org/officeDocument/2006/relationships/hyperlink" Target="https://www.migration.gov.rw/" TargetMode="External"/><Relationship Id="rId612" Type="http://schemas.openxmlformats.org/officeDocument/2006/relationships/hyperlink" Target="http://www.policianacional.gov.py/" TargetMode="External"/><Relationship Id="rId1035" Type="http://schemas.openxmlformats.org/officeDocument/2006/relationships/hyperlink" Target="http://www.saime.gob.ve/servicio_categories/1cedulacion/" TargetMode="External"/><Relationship Id="rId1242" Type="http://schemas.openxmlformats.org/officeDocument/2006/relationships/hyperlink" Target="http://portal.mj.gov.br/" TargetMode="External"/><Relationship Id="rId1687" Type="http://schemas.openxmlformats.org/officeDocument/2006/relationships/hyperlink" Target="http://esa.un.org/unpd/wpp/Download/Standard/Population/" TargetMode="External"/><Relationship Id="rId1894" Type="http://schemas.openxmlformats.org/officeDocument/2006/relationships/hyperlink" Target="http://www.electionguide.org/countries/id/50/" TargetMode="External"/><Relationship Id="rId1908" Type="http://schemas.openxmlformats.org/officeDocument/2006/relationships/hyperlink" Target="http://www.electionguide.org/countries/id/103/" TargetMode="External"/><Relationship Id="rId251" Type="http://schemas.openxmlformats.org/officeDocument/2006/relationships/hyperlink" Target="http://en.wikipedia.org/wiki/Computerised_National_Identity_Card" TargetMode="External"/><Relationship Id="rId489" Type="http://schemas.openxmlformats.org/officeDocument/2006/relationships/hyperlink" Target="http://www.cartaodecidadao.pt/" TargetMode="External"/><Relationship Id="rId696" Type="http://schemas.openxmlformats.org/officeDocument/2006/relationships/hyperlink" Target="http://www.afip.gob.ar/english/taxInformation.asp" TargetMode="External"/><Relationship Id="rId917" Type="http://schemas.openxmlformats.org/officeDocument/2006/relationships/hyperlink" Target="http://biometrika.srs.kg/" TargetMode="External"/><Relationship Id="rId1102" Type="http://schemas.openxmlformats.org/officeDocument/2006/relationships/hyperlink" Target="http://www.legislationline.org/documents/action/popup/id/3828" TargetMode="External"/><Relationship Id="rId1547" Type="http://schemas.openxmlformats.org/officeDocument/2006/relationships/hyperlink" Target="http://survincity.com/2012/02/started-the-production-of-the-passport-with-the/" TargetMode="External"/><Relationship Id="rId1754" Type="http://schemas.openxmlformats.org/officeDocument/2006/relationships/hyperlink" Target="http://www.livepopulation.com/country/dominica.html" TargetMode="External"/><Relationship Id="rId1961" Type="http://schemas.openxmlformats.org/officeDocument/2006/relationships/hyperlink" Target="http://www.idea.int/vt/countryview.cfm?id=203" TargetMode="External"/><Relationship Id="rId46" Type="http://schemas.openxmlformats.org/officeDocument/2006/relationships/hyperlink" Target="http://en.wikipedia.org/wiki/Eritrea" TargetMode="External"/><Relationship Id="rId349" Type="http://schemas.openxmlformats.org/officeDocument/2006/relationships/hyperlink" Target="http://www.egov.gov.iq/egov-iraq/index.jsp?sid=1&amp;id=344&amp;pid=343&amp;lng=en" TargetMode="External"/><Relationship Id="rId556" Type="http://schemas.openxmlformats.org/officeDocument/2006/relationships/hyperlink" Target="http://www.burundi-gov.bi/Composition-du-Gouvernement-de-la" TargetMode="External"/><Relationship Id="rId763" Type="http://schemas.openxmlformats.org/officeDocument/2006/relationships/hyperlink" Target="http://www.doingbusiness.org/data/exploreeconomies/iraq/starting-a-business" TargetMode="External"/><Relationship Id="rId1186" Type="http://schemas.openxmlformats.org/officeDocument/2006/relationships/hyperlink" Target="http://www.coe.int/t/dghl/standardsetting/dataprotection/National%20laws/san_marino_en.asp" TargetMode="External"/><Relationship Id="rId1393" Type="http://schemas.openxmlformats.org/officeDocument/2006/relationships/hyperlink" Target="http://www.kvk.nl/" TargetMode="External"/><Relationship Id="rId1407" Type="http://schemas.openxmlformats.org/officeDocument/2006/relationships/hyperlink" Target="http://dica.gov.mm.x-aas.net/" TargetMode="External"/><Relationship Id="rId1614" Type="http://schemas.openxmlformats.org/officeDocument/2006/relationships/hyperlink" Target="http://esa.un.org/unpd/wpp/Download/Standard/Population/" TargetMode="External"/><Relationship Id="rId1821" Type="http://schemas.openxmlformats.org/officeDocument/2006/relationships/hyperlink" Target="http://www.electionguide.org/countries/id/112/" TargetMode="External"/><Relationship Id="rId111" Type="http://schemas.openxmlformats.org/officeDocument/2006/relationships/hyperlink" Target="http://en.wikipedia.org/wiki/Oman" TargetMode="External"/><Relationship Id="rId195" Type="http://schemas.openxmlformats.org/officeDocument/2006/relationships/hyperlink" Target="http://en.wikipedia.org/wiki/Kosovo" TargetMode="External"/><Relationship Id="rId209" Type="http://schemas.openxmlformats.org/officeDocument/2006/relationships/hyperlink" Target="http://en.wikipedia.org/wiki/Category:National_identity_cards_by_country" TargetMode="External"/><Relationship Id="rId416" Type="http://schemas.openxmlformats.org/officeDocument/2006/relationships/hyperlink" Target="http://www.ica.gov.sg/page.aspx?pageid=144" TargetMode="External"/><Relationship Id="rId970" Type="http://schemas.openxmlformats.org/officeDocument/2006/relationships/hyperlink" Target="http://www.cso.gov.eg/" TargetMode="External"/><Relationship Id="rId1046" Type="http://schemas.openxmlformats.org/officeDocument/2006/relationships/hyperlink" Target="http://www.rti-rating.org/files/pdf/Tajikistan.pdf" TargetMode="External"/><Relationship Id="rId1253" Type="http://schemas.openxmlformats.org/officeDocument/2006/relationships/hyperlink" Target="http://www.rti-rating.org/files/pdf/El%20Salvador.pdf" TargetMode="External"/><Relationship Id="rId1698" Type="http://schemas.openxmlformats.org/officeDocument/2006/relationships/hyperlink" Target="http://esa.un.org/unpd/wpp/Download/Standard/Population/" TargetMode="External"/><Relationship Id="rId1919" Type="http://schemas.openxmlformats.org/officeDocument/2006/relationships/hyperlink" Target="http://www.electionguide.org/countries/id/125/" TargetMode="External"/><Relationship Id="rId623" Type="http://schemas.openxmlformats.org/officeDocument/2006/relationships/hyperlink" Target="http://en.wikipedia.org/wiki/National_Identification_Card_(Republic_of_China)" TargetMode="External"/><Relationship Id="rId830" Type="http://schemas.openxmlformats.org/officeDocument/2006/relationships/hyperlink" Target="https://www.gi-de.com/en/products_and_solutions/products/national_id_cards/National-ID-cards-for-secure-identification-6530.jsp" TargetMode="External"/><Relationship Id="rId928" Type="http://schemas.openxmlformats.org/officeDocument/2006/relationships/hyperlink" Target="http://www.nuevodni.gov.ar/" TargetMode="External"/><Relationship Id="rId1460" Type="http://schemas.openxmlformats.org/officeDocument/2006/relationships/hyperlink" Target="https://www.id.uz/info/13" TargetMode="External"/><Relationship Id="rId1558" Type="http://schemas.openxmlformats.org/officeDocument/2006/relationships/hyperlink" Target="http://www.zin.rs/en/poslovanje/index.html" TargetMode="External"/><Relationship Id="rId1765" Type="http://schemas.openxmlformats.org/officeDocument/2006/relationships/hyperlink" Target="http://www.indexmundi.com/san_marino/population.html" TargetMode="External"/><Relationship Id="rId57" Type="http://schemas.openxmlformats.org/officeDocument/2006/relationships/hyperlink" Target="http://en.wikipedia.org/wiki/Grenada" TargetMode="External"/><Relationship Id="rId262" Type="http://schemas.openxmlformats.org/officeDocument/2006/relationships/hyperlink" Target="http://en.wikipedia.org/wiki/French_national_identity_card" TargetMode="External"/><Relationship Id="rId567" Type="http://schemas.openxmlformats.org/officeDocument/2006/relationships/hyperlink" Target="http://www.presidence.dj/" TargetMode="External"/><Relationship Id="rId1113" Type="http://schemas.openxmlformats.org/officeDocument/2006/relationships/hyperlink" Target="https://www.ip-rs.si/?id=195" TargetMode="External"/><Relationship Id="rId1197" Type="http://schemas.openxmlformats.org/officeDocument/2006/relationships/hyperlink" Target="http://www.rti-rating.org/files/pdf/Australia.pdf" TargetMode="External"/><Relationship Id="rId1320" Type="http://schemas.openxmlformats.org/officeDocument/2006/relationships/hyperlink" Target="http://www.rti-rating.org/files/pdf/Lithuania.pdf" TargetMode="External"/><Relationship Id="rId1418" Type="http://schemas.openxmlformats.org/officeDocument/2006/relationships/hyperlink" Target="http://qatarchamber.com/site/" TargetMode="External"/><Relationship Id="rId1972" Type="http://schemas.openxmlformats.org/officeDocument/2006/relationships/hyperlink" Target="http://www.electionguide.org/countries/id/205/" TargetMode="External"/><Relationship Id="rId122" Type="http://schemas.openxmlformats.org/officeDocument/2006/relationships/hyperlink" Target="http://en.wikipedia.org/wiki/Russia" TargetMode="External"/><Relationship Id="rId774" Type="http://schemas.openxmlformats.org/officeDocument/2006/relationships/hyperlink" Target="http://www.japantimes.co.jp/news/2015/01/07/national/ready-for-your-my-number-id-many-japanese-firms-arent/" TargetMode="External"/><Relationship Id="rId981" Type="http://schemas.openxmlformats.org/officeDocument/2006/relationships/hyperlink" Target="http://www.dukcapil.kemendagri.go.id/detail/program-penerapan-kartu-tanda-penduduk-elektronik" TargetMode="External"/><Relationship Id="rId1057" Type="http://schemas.openxmlformats.org/officeDocument/2006/relationships/hyperlink" Target="http://www.legislation.gov.uk/ukpga/2000/36/contents" TargetMode="External"/><Relationship Id="rId1625" Type="http://schemas.openxmlformats.org/officeDocument/2006/relationships/hyperlink" Target="http://esa.un.org/unpd/wpp/Download/Standard/Population/" TargetMode="External"/><Relationship Id="rId1832" Type="http://schemas.openxmlformats.org/officeDocument/2006/relationships/hyperlink" Target="http://www.electionguide.org/countries/id/43/" TargetMode="External"/><Relationship Id="rId427" Type="http://schemas.openxmlformats.org/officeDocument/2006/relationships/hyperlink" Target="http://www.skatteverket.se/4.18e1b10334ebe8bc80001262.html" TargetMode="External"/><Relationship Id="rId634" Type="http://schemas.openxmlformats.org/officeDocument/2006/relationships/hyperlink" Target="http://www.gov.sz/index.php?option=com_content&amp;view=article&amp;id=311&amp;Itemid=441" TargetMode="External"/><Relationship Id="rId841" Type="http://schemas.openxmlformats.org/officeDocument/2006/relationships/hyperlink" Target="http://www.gemalto.com/govt/customer-cases/lithuania" TargetMode="External"/><Relationship Id="rId1264" Type="http://schemas.openxmlformats.org/officeDocument/2006/relationships/hyperlink" Target="http://www.datatilsynet.dk/" TargetMode="External"/><Relationship Id="rId1471" Type="http://schemas.openxmlformats.org/officeDocument/2006/relationships/hyperlink" Target="http://omanlawblog.curtis.com/2008/06/oman-law-digest-2008-commercial.html" TargetMode="External"/><Relationship Id="rId1569" Type="http://schemas.openxmlformats.org/officeDocument/2006/relationships/hyperlink" Target="http://esa.un.org/unpd/wpp/Download/Standard/Population/" TargetMode="External"/><Relationship Id="rId273" Type="http://schemas.openxmlformats.org/officeDocument/2006/relationships/hyperlink" Target="http://en.wikipedia.org/wiki/Bosnian-Herzegovinian_identity_card" TargetMode="External"/><Relationship Id="rId480" Type="http://schemas.openxmlformats.org/officeDocument/2006/relationships/hyperlink" Target="http://www.semlex.com/en/references/references-clients.html" TargetMode="External"/><Relationship Id="rId701" Type="http://schemas.openxmlformats.org/officeDocument/2006/relationships/hyperlink" Target="http://www.facil.dnrc.gov.br/" TargetMode="External"/><Relationship Id="rId939" Type="http://schemas.openxmlformats.org/officeDocument/2006/relationships/hyperlink" Target="http://www.nidw.gov.bd/" TargetMode="External"/><Relationship Id="rId1124" Type="http://schemas.openxmlformats.org/officeDocument/2006/relationships/hyperlink" Target="http://www.rti-rating.org/files/pdf/New%20Zealand.pdf" TargetMode="External"/><Relationship Id="rId1331" Type="http://schemas.openxmlformats.org/officeDocument/2006/relationships/hyperlink" Target="http://privacy.mk/en/node/46" TargetMode="External"/><Relationship Id="rId1776" Type="http://schemas.openxmlformats.org/officeDocument/2006/relationships/hyperlink" Target="http://www.resultados.gob.ar/balotage/dat99/DPR99999A.htm" TargetMode="External"/><Relationship Id="rId1983" Type="http://schemas.openxmlformats.org/officeDocument/2006/relationships/hyperlink" Target="http://www.stat.gov.tm/content/activity/duzgunnama/" TargetMode="External"/><Relationship Id="rId68" Type="http://schemas.openxmlformats.org/officeDocument/2006/relationships/hyperlink" Target="http://en.wikipedia.org/wiki/Iraq" TargetMode="External"/><Relationship Id="rId133" Type="http://schemas.openxmlformats.org/officeDocument/2006/relationships/hyperlink" Target="http://en.wikipedia.org/wiki/Singapore" TargetMode="External"/><Relationship Id="rId340" Type="http://schemas.openxmlformats.org/officeDocument/2006/relationships/hyperlink" Target="http://www.e-gif.gov.gr/portal/page/portal/ermis/KepIndex" TargetMode="External"/><Relationship Id="rId578" Type="http://schemas.openxmlformats.org/officeDocument/2006/relationships/hyperlink" Target="http://www.gov.gd/ministries/works.html" TargetMode="External"/><Relationship Id="rId785" Type="http://schemas.openxmlformats.org/officeDocument/2006/relationships/hyperlink" Target="http://www.databank.com.lb/default.asp" TargetMode="External"/><Relationship Id="rId992" Type="http://schemas.openxmlformats.org/officeDocument/2006/relationships/hyperlink" Target="https://www.nimc.gov.ng/" TargetMode="External"/><Relationship Id="rId1429" Type="http://schemas.openxmlformats.org/officeDocument/2006/relationships/hyperlink" Target="http://www.somalichamber.so/" TargetMode="External"/><Relationship Id="rId1636" Type="http://schemas.openxmlformats.org/officeDocument/2006/relationships/hyperlink" Target="http://esa.un.org/unpd/wpp/Download/Standard/Population/" TargetMode="External"/><Relationship Id="rId1843" Type="http://schemas.openxmlformats.org/officeDocument/2006/relationships/hyperlink" Target="http://www.ine.cvhttp/www.ine.cv/dadostats/dados.aspx?d=1" TargetMode="External"/><Relationship Id="rId200" Type="http://schemas.openxmlformats.org/officeDocument/2006/relationships/hyperlink" Target="http://www.skra.is/" TargetMode="External"/><Relationship Id="rId438" Type="http://schemas.openxmlformats.org/officeDocument/2006/relationships/hyperlink" Target="http://www.nvi.gov.tr/Hizmetler/Nufus,Dogumislem.html" TargetMode="External"/><Relationship Id="rId645" Type="http://schemas.openxmlformats.org/officeDocument/2006/relationships/hyperlink" Target="http://www.ttconnect.gov.tt/gortt/portal/ttconnect/Non-sidentDetail/?WCM_GLOBAL_CONTEXT=/gortt/wcm/connect/GorTT%20Web%20Content/ttconnect/citizen/topic/governmentandpolitics/documents+and+policies/obtaining+a+national+identification+card" TargetMode="External"/><Relationship Id="rId852" Type="http://schemas.openxmlformats.org/officeDocument/2006/relationships/hyperlink" Target="http://lestimes.com/ministry-stops-issuing-passports-ids/" TargetMode="External"/><Relationship Id="rId1068" Type="http://schemas.openxmlformats.org/officeDocument/2006/relationships/hyperlink" Target="http://www.ftc.gov/about-ftc" TargetMode="External"/><Relationship Id="rId1275" Type="http://schemas.openxmlformats.org/officeDocument/2006/relationships/hyperlink" Target="http://www.moc.gov.gh/e-ghana-project/116-about-us/259-dpc.html" TargetMode="External"/><Relationship Id="rId1482" Type="http://schemas.openxmlformats.org/officeDocument/2006/relationships/hyperlink" Target="http://www.mfa.gov.et/" TargetMode="External"/><Relationship Id="rId1703" Type="http://schemas.openxmlformats.org/officeDocument/2006/relationships/hyperlink" Target="http://esa.un.org/unpd/wpp/Download/Standard/Population/" TargetMode="External"/><Relationship Id="rId1910" Type="http://schemas.openxmlformats.org/officeDocument/2006/relationships/hyperlink" Target="http://www.electionguide.org/countries/id/106/" TargetMode="External"/><Relationship Id="rId284" Type="http://schemas.openxmlformats.org/officeDocument/2006/relationships/hyperlink" Target="http://en.wikipedia.org/wiki/Personal_identification_number_(Denmark)" TargetMode="External"/><Relationship Id="rId491" Type="http://schemas.openxmlformats.org/officeDocument/2006/relationships/hyperlink" Target="http://unstats.un.org/unsd/demographic/CRVS/Technical%20report%20SADC%20final%20v2.pdf" TargetMode="External"/><Relationship Id="rId505" Type="http://schemas.openxmlformats.org/officeDocument/2006/relationships/hyperlink" Target="http://www.mip.gov.mm/" TargetMode="External"/><Relationship Id="rId712" Type="http://schemas.openxmlformats.org/officeDocument/2006/relationships/hyperlink" Target="http://www.sozoala.com/palabre/reflexions/r20100318001.htm" TargetMode="External"/><Relationship Id="rId1135" Type="http://schemas.openxmlformats.org/officeDocument/2006/relationships/hyperlink" Target="http://www.rti-rating.org/files/pdf/Romania.pdf" TargetMode="External"/><Relationship Id="rId1342" Type="http://schemas.openxmlformats.org/officeDocument/2006/relationships/hyperlink" Target="http://www.humanrightsinitiative.org/programs/ai/rti/international/laws_papers/kenya/draft_foi-bill_2005.pdf" TargetMode="External"/><Relationship Id="rId1787" Type="http://schemas.openxmlformats.org/officeDocument/2006/relationships/hyperlink" Target="http://www.lip.gov.ly/portal/page?_pageid=854,2038572&amp;service=2&amp;_dad=portal&amp;_schema=PORTAL" TargetMode="External"/><Relationship Id="rId1994" Type="http://schemas.openxmlformats.org/officeDocument/2006/relationships/hyperlink" Target="http://www.idea.int/vt/countryview.cfm?id=243" TargetMode="External"/><Relationship Id="rId79" Type="http://schemas.openxmlformats.org/officeDocument/2006/relationships/hyperlink" Target="http://en.wikipedia.org/wiki/Kuwait" TargetMode="External"/><Relationship Id="rId144" Type="http://schemas.openxmlformats.org/officeDocument/2006/relationships/hyperlink" Target="http://en.wikipedia.org/wiki/Syria" TargetMode="External"/><Relationship Id="rId589" Type="http://schemas.openxmlformats.org/officeDocument/2006/relationships/hyperlink" Target="http://www.mogaha.go.kr/eng/a01/engMain.do" TargetMode="External"/><Relationship Id="rId796" Type="http://schemas.openxmlformats.org/officeDocument/2006/relationships/hyperlink" Target="http://www.fsmroc.fm/corps.php" TargetMode="External"/><Relationship Id="rId1202" Type="http://schemas.openxmlformats.org/officeDocument/2006/relationships/hyperlink" Target="http://www.rti-rating.org/files/pdf/Belize.pdf" TargetMode="External"/><Relationship Id="rId1647" Type="http://schemas.openxmlformats.org/officeDocument/2006/relationships/hyperlink" Target="http://esa.un.org/unpd/wpp/Download/Standard/Population/" TargetMode="External"/><Relationship Id="rId1854" Type="http://schemas.openxmlformats.org/officeDocument/2006/relationships/hyperlink" Target="https://www.renap.gob.gt/sites/default/files/ESTADISTICAS%20PROCESO%20DPI%20AL%202015-12-31.pdf" TargetMode="External"/><Relationship Id="rId351" Type="http://schemas.openxmlformats.org/officeDocument/2006/relationships/hyperlink" Target="http://www.cspd.gov.jo/" TargetMode="External"/><Relationship Id="rId449" Type="http://schemas.openxmlformats.org/officeDocument/2006/relationships/hyperlink" Target="http://www.tracuuphapluat.info/2012/06/huong-dan-thu-tuc-ang-ky-lam-giay-khai.html" TargetMode="External"/><Relationship Id="rId656" Type="http://schemas.openxmlformats.org/officeDocument/2006/relationships/hyperlink" Target="http://www.moi.gov.sa/" TargetMode="External"/><Relationship Id="rId863" Type="http://schemas.openxmlformats.org/officeDocument/2006/relationships/hyperlink" Target="http://www.hidglobal.com/sites/hidglobal.com/files/resource_files/hid-gov-id-usa-cs-en.pdf" TargetMode="External"/><Relationship Id="rId1079" Type="http://schemas.openxmlformats.org/officeDocument/2006/relationships/hyperlink" Target="http://www.paclii.org/vu/legis/consol_act/eta256/" TargetMode="External"/><Relationship Id="rId1286" Type="http://schemas.openxmlformats.org/officeDocument/2006/relationships/hyperlink" Target="http://www.rti-rating.org/files/pdf/Ireland.pdf" TargetMode="External"/><Relationship Id="rId1493" Type="http://schemas.openxmlformats.org/officeDocument/2006/relationships/hyperlink" Target="http://www.dha.gov.za/index.php/civic-services/travel-documents" TargetMode="External"/><Relationship Id="rId1507" Type="http://schemas.openxmlformats.org/officeDocument/2006/relationships/hyperlink" Target="http://www.hidglobal.com/sites/hidglobal.com/files/resource_files/hid-gov-id-usa-cs-en.pdf" TargetMode="External"/><Relationship Id="rId1714" Type="http://schemas.openxmlformats.org/officeDocument/2006/relationships/hyperlink" Target="http://esa.un.org/unpd/wpp/Download/Standard/Population/" TargetMode="External"/><Relationship Id="rId211" Type="http://schemas.openxmlformats.org/officeDocument/2006/relationships/hyperlink" Target="http://idbdocs.iadb.org/wsdocs/getdocument.aspx?docnum=1963774" TargetMode="External"/><Relationship Id="rId295" Type="http://schemas.openxmlformats.org/officeDocument/2006/relationships/hyperlink" Target="http://www.moi.gov.al/" TargetMode="External"/><Relationship Id="rId309" Type="http://schemas.openxmlformats.org/officeDocument/2006/relationships/hyperlink" Target="http://www.gov.bw/en/Ministries--Authorities/Ministries/Ministry-of-Labour--Home-Affairs-MLHA/Tools--Services/Services--Forms/Birth-registration/" TargetMode="External"/><Relationship Id="rId516" Type="http://schemas.openxmlformats.org/officeDocument/2006/relationships/hyperlink" Target="http://en.wikipedia.org/wiki/Koseki" TargetMode="External"/><Relationship Id="rId1146" Type="http://schemas.openxmlformats.org/officeDocument/2006/relationships/hyperlink" Target="http://www.redipd.org/legislacion/common/legislacion/paraguay/Ley_1682_de_2001.pdf" TargetMode="External"/><Relationship Id="rId1798" Type="http://schemas.openxmlformats.org/officeDocument/2006/relationships/hyperlink" Target="http://www.unicef.org/protection/files/UNICEF_Birth_Registration_Handbook.pdf" TargetMode="External"/><Relationship Id="rId1921" Type="http://schemas.openxmlformats.org/officeDocument/2006/relationships/hyperlink" Target="http://www.electionguide.org/countries/id/128/" TargetMode="External"/><Relationship Id="rId723" Type="http://schemas.openxmlformats.org/officeDocument/2006/relationships/hyperlink" Target="https://www.ytj.fi/english/" TargetMode="External"/><Relationship Id="rId930" Type="http://schemas.openxmlformats.org/officeDocument/2006/relationships/hyperlink" Target="http://www.ekeng.am/?page_id=69" TargetMode="External"/><Relationship Id="rId1006" Type="http://schemas.openxmlformats.org/officeDocument/2006/relationships/hyperlink" Target="http://www.tramitesparaguay.gov.py/cedula-de-identidad-connacionales-naturalizados/" TargetMode="External"/><Relationship Id="rId1353" Type="http://schemas.openxmlformats.org/officeDocument/2006/relationships/hyperlink" Target="http://www.iuscomp.org/gla/statutes/BDSG.htm" TargetMode="External"/><Relationship Id="rId1560" Type="http://schemas.openxmlformats.org/officeDocument/2006/relationships/hyperlink" Target="http://www.cndp.ma/" TargetMode="External"/><Relationship Id="rId1658" Type="http://schemas.openxmlformats.org/officeDocument/2006/relationships/hyperlink" Target="http://esa.un.org/unpd/wpp/Download/Standard/Population/" TargetMode="External"/><Relationship Id="rId1865" Type="http://schemas.openxmlformats.org/officeDocument/2006/relationships/hyperlink" Target="http://www.comelec.gov.ph/?r=Archives/RegularElections/2016NLE/Statistics/Philippine2016VotersProfile/ByAgeGroup" TargetMode="External"/><Relationship Id="rId155" Type="http://schemas.openxmlformats.org/officeDocument/2006/relationships/hyperlink" Target="http://en.wikipedia.org/wiki/Uganda" TargetMode="External"/><Relationship Id="rId362" Type="http://schemas.openxmlformats.org/officeDocument/2006/relationships/hyperlink" Target="http://www.gwangjuguide.or.kr/2010/05/giving-birth-in-korea/?ckattempt=1" TargetMode="External"/><Relationship Id="rId1213" Type="http://schemas.openxmlformats.org/officeDocument/2006/relationships/hyperlink" Target="http://www.right2info.org/resources/publications/Angola-%20Access%20to%20Adm%20doc.doc" TargetMode="External"/><Relationship Id="rId1297" Type="http://schemas.openxmlformats.org/officeDocument/2006/relationships/hyperlink" Target="http://www.wipo.int/wipolex/en/text.jsp?file_id=187035" TargetMode="External"/><Relationship Id="rId1420" Type="http://schemas.openxmlformats.org/officeDocument/2006/relationships/hyperlink" Target="http://www.fsrc.kn/" TargetMode="External"/><Relationship Id="rId1518" Type="http://schemas.openxmlformats.org/officeDocument/2006/relationships/hyperlink" Target="http://www.gemalto.com/brochures-site/download-site/Documents/gov-ID-programs.pdf" TargetMode="External"/><Relationship Id="rId222" Type="http://schemas.openxmlformats.org/officeDocument/2006/relationships/hyperlink" Target="http://www.rnpn.gob.sv/" TargetMode="External"/><Relationship Id="rId667" Type="http://schemas.openxmlformats.org/officeDocument/2006/relationships/hyperlink" Target="http://www.right2info.org/laws/constitutional-provisions-laws-and-regulations" TargetMode="External"/><Relationship Id="rId874" Type="http://schemas.openxmlformats.org/officeDocument/2006/relationships/hyperlink" Target="http://www.mp-i.hu/en/about-us" TargetMode="External"/><Relationship Id="rId1725" Type="http://schemas.openxmlformats.org/officeDocument/2006/relationships/hyperlink" Target="http://esa.un.org/unpd/wpp/Download/Standard/Population/" TargetMode="External"/><Relationship Id="rId1932" Type="http://schemas.openxmlformats.org/officeDocument/2006/relationships/hyperlink" Target="http://www.idea.int/vt/countryview.cfm?id=147" TargetMode="External"/><Relationship Id="rId17" Type="http://schemas.openxmlformats.org/officeDocument/2006/relationships/hyperlink" Target="http://en.wikipedia.org/wiki/Belgium" TargetMode="External"/><Relationship Id="rId527" Type="http://schemas.openxmlformats.org/officeDocument/2006/relationships/hyperlink" Target="http://www.gouvernementdutchad.org/fr/" TargetMode="External"/><Relationship Id="rId734" Type="http://schemas.openxmlformats.org/officeDocument/2006/relationships/hyperlink" Target="http://www.rgd.gov.gh/" TargetMode="External"/><Relationship Id="rId941" Type="http://schemas.openxmlformats.org/officeDocument/2006/relationships/hyperlink" Target="http://www.mps.gov.cn/" TargetMode="External"/><Relationship Id="rId1157" Type="http://schemas.openxmlformats.org/officeDocument/2006/relationships/hyperlink" Target="https://www.privacy.org.nz/" TargetMode="External"/><Relationship Id="rId1364" Type="http://schemas.openxmlformats.org/officeDocument/2006/relationships/hyperlink" Target="http://www.pacra.org.zm/" TargetMode="External"/><Relationship Id="rId1571" Type="http://schemas.openxmlformats.org/officeDocument/2006/relationships/hyperlink" Target="http://esa.un.org/unpd/wpp/Download/Standard/Population/" TargetMode="External"/><Relationship Id="rId70" Type="http://schemas.openxmlformats.org/officeDocument/2006/relationships/hyperlink" Target="http://en.wikipedia.org/wiki/Israel" TargetMode="External"/><Relationship Id="rId166" Type="http://schemas.openxmlformats.org/officeDocument/2006/relationships/hyperlink" Target="http://en.wikipedia.org/wiki/Zimbabwe" TargetMode="External"/><Relationship Id="rId373" Type="http://schemas.openxmlformats.org/officeDocument/2006/relationships/hyperlink" Target="http://www.madagascar.gov.mg/" TargetMode="External"/><Relationship Id="rId580" Type="http://schemas.openxmlformats.org/officeDocument/2006/relationships/hyperlink" Target="http://www.governo.bissau.net/" TargetMode="External"/><Relationship Id="rId801" Type="http://schemas.openxmlformats.org/officeDocument/2006/relationships/hyperlink" Target="http://www.doingbusiness.org/data/exploreeconomies/kosovo/starting-a-business" TargetMode="External"/><Relationship Id="rId1017" Type="http://schemas.openxmlformats.org/officeDocument/2006/relationships/hyperlink" Target="http://www.nida.go.tz/en/" TargetMode="External"/><Relationship Id="rId1224" Type="http://schemas.openxmlformats.org/officeDocument/2006/relationships/hyperlink" Target="http://www.afapdp.org/wp-content/uploads/2012/01/B%C3%A9nin-LOI-SUR-PROTECTION-DES-DONNEES-A-CARACTERE-PERSONNEL-20092.pdf" TargetMode="External"/><Relationship Id="rId1431" Type="http://schemas.openxmlformats.org/officeDocument/2006/relationships/hyperlink" Target="http://www.surinamechamber.com/index.php/welcome/index/16" TargetMode="External"/><Relationship Id="rId1669" Type="http://schemas.openxmlformats.org/officeDocument/2006/relationships/hyperlink" Target="http://esa.un.org/unpd/wpp/Download/Standard/Population/" TargetMode="External"/><Relationship Id="rId1876" Type="http://schemas.openxmlformats.org/officeDocument/2006/relationships/hyperlink" Target="http://www.electionguide.org/countries/id/118/" TargetMode="External"/><Relationship Id="rId1" Type="http://schemas.openxmlformats.org/officeDocument/2006/relationships/hyperlink" Target="http://en.wikipedia.org/wiki/Afghanistan" TargetMode="External"/><Relationship Id="rId233" Type="http://schemas.openxmlformats.org/officeDocument/2006/relationships/hyperlink" Target="http://idbdocs.iadb.org/wsdocs/getdocument.aspx?docnum=1959542" TargetMode="External"/><Relationship Id="rId440" Type="http://schemas.openxmlformats.org/officeDocument/2006/relationships/hyperlink" Target="http://www.tuvaluislands.com/const_tuvalu.htm" TargetMode="External"/><Relationship Id="rId678" Type="http://schemas.openxmlformats.org/officeDocument/2006/relationships/hyperlink" Target="http://www.cepici.gouv.ci/secteur_cle.php?id=1&amp;lang=" TargetMode="External"/><Relationship Id="rId885" Type="http://schemas.openxmlformats.org/officeDocument/2006/relationships/hyperlink" Target="http://nip-global.com/advanced-technological-systems-and-solution-provider" TargetMode="External"/><Relationship Id="rId1070" Type="http://schemas.openxmlformats.org/officeDocument/2006/relationships/hyperlink" Target="http://www.mediacommission.co.zw/" TargetMode="External"/><Relationship Id="rId1529" Type="http://schemas.openxmlformats.org/officeDocument/2006/relationships/hyperlink" Target="http://www.morpho.com/references/identity/the-nina-card-a-technological-challenge-an-industrial-success?lang=en" TargetMode="External"/><Relationship Id="rId1736" Type="http://schemas.openxmlformats.org/officeDocument/2006/relationships/hyperlink" Target="http://esa.un.org/unpd/wpp/Download/Standard/Population/" TargetMode="External"/><Relationship Id="rId1943" Type="http://schemas.openxmlformats.org/officeDocument/2006/relationships/hyperlink" Target="http://www.idea.int/vt/countryview.cfm?id=173" TargetMode="External"/><Relationship Id="rId28" Type="http://schemas.openxmlformats.org/officeDocument/2006/relationships/hyperlink" Target="http://en.wikipedia.org/wiki/Chad" TargetMode="External"/><Relationship Id="rId300" Type="http://schemas.openxmlformats.org/officeDocument/2006/relationships/hyperlink" Target="http://www.ab.gov.ag/" TargetMode="External"/><Relationship Id="rId538" Type="http://schemas.openxmlformats.org/officeDocument/2006/relationships/hyperlink" Target="http://www.interno.gov.it/" TargetMode="External"/><Relationship Id="rId745" Type="http://schemas.openxmlformats.org/officeDocument/2006/relationships/hyperlink" Target="http://apiguinee.gov.gn/" TargetMode="External"/><Relationship Id="rId952" Type="http://schemas.openxmlformats.org/officeDocument/2006/relationships/hyperlink" Target="http://psc.egov.bg/en/psc-electronic-identification" TargetMode="External"/><Relationship Id="rId1168" Type="http://schemas.openxmlformats.org/officeDocument/2006/relationships/hyperlink" Target="http://www.pdp.gov.my/images/LAWS_OF_MALAYSIA_PDPA.pdf" TargetMode="External"/><Relationship Id="rId1375" Type="http://schemas.openxmlformats.org/officeDocument/2006/relationships/hyperlink" Target="http://www.serve.gov.tl/?q=pt/node/11/" TargetMode="External"/><Relationship Id="rId1582" Type="http://schemas.openxmlformats.org/officeDocument/2006/relationships/hyperlink" Target="http://esa.un.org/unpd/wpp/Download/Standard/Population/" TargetMode="External"/><Relationship Id="rId1803" Type="http://schemas.openxmlformats.org/officeDocument/2006/relationships/hyperlink" Target="http://www.unicef.org/gambia/Every_childs_birth_right_-_inequities_and_trends_in_birth_registration_-_2013_report.pdf" TargetMode="External"/><Relationship Id="rId81" Type="http://schemas.openxmlformats.org/officeDocument/2006/relationships/hyperlink" Target="http://en.wikipedia.org/wiki/Latvia" TargetMode="External"/><Relationship Id="rId177" Type="http://schemas.openxmlformats.org/officeDocument/2006/relationships/hyperlink" Target="http://en.wikipedia.org/wiki/C%C3%B4te_d%27Ivoire" TargetMode="External"/><Relationship Id="rId384" Type="http://schemas.openxmlformats.org/officeDocument/2006/relationships/hyperlink" Target="http://www.registru.md/rsp_en/" TargetMode="External"/><Relationship Id="rId591" Type="http://schemas.openxmlformats.org/officeDocument/2006/relationships/hyperlink" Target="http://e.gov.kw/PACI_en/Pages/ServiceContent/521KuRegistrationForTheFirstTime.aspx" TargetMode="External"/><Relationship Id="rId605" Type="http://schemas.openxmlformats.org/officeDocument/2006/relationships/hyperlink" Target="http://en.wikipedia.org/wiki/List_of_smart_cards" TargetMode="External"/><Relationship Id="rId812" Type="http://schemas.openxmlformats.org/officeDocument/2006/relationships/hyperlink" Target="http://www.apimali.gov.ml/api/en/index.php?page=start-a-business" TargetMode="External"/><Relationship Id="rId1028" Type="http://schemas.openxmlformats.org/officeDocument/2006/relationships/hyperlink" Target="http://www.egov.gov.sg/" TargetMode="External"/><Relationship Id="rId1235" Type="http://schemas.openxmlformats.org/officeDocument/2006/relationships/hyperlink" Target="http://www.cpdp.bg/" TargetMode="External"/><Relationship Id="rId1442" Type="http://schemas.openxmlformats.org/officeDocument/2006/relationships/hyperlink" Target="http://www.pol.una.py/cie/sites/default/files/files/reg_unico_contribuyente.pdf" TargetMode="External"/><Relationship Id="rId1887" Type="http://schemas.openxmlformats.org/officeDocument/2006/relationships/hyperlink" Target="http://www.bbc.com/news/world-middle-east-35075702" TargetMode="External"/><Relationship Id="rId244" Type="http://schemas.openxmlformats.org/officeDocument/2006/relationships/hyperlink" Target="http://www.onidex.gov.ve/" TargetMode="External"/><Relationship Id="rId689" Type="http://schemas.openxmlformats.org/officeDocument/2006/relationships/hyperlink" Target="http://www.firmenabc.at/" TargetMode="External"/><Relationship Id="rId896" Type="http://schemas.openxmlformats.org/officeDocument/2006/relationships/hyperlink" Target="http://www.safran-group.com/videos/cat.php?cat=3&amp;sig=b77ec425d50s" TargetMode="External"/><Relationship Id="rId1081" Type="http://schemas.openxmlformats.org/officeDocument/2006/relationships/hyperlink" Target="http://www.inpdp.nat.tn/version-francaise/accueil.html" TargetMode="External"/><Relationship Id="rId1302" Type="http://schemas.openxmlformats.org/officeDocument/2006/relationships/hyperlink" Target="http://www.justice.gov.il/NR/rdonlyres/C5205E15-3FE9-4037-BA0F-62212B40773A/18334/ProtectionofPrivacyLaw57411981unofficialtranslatio.pdf" TargetMode="External"/><Relationship Id="rId1747" Type="http://schemas.openxmlformats.org/officeDocument/2006/relationships/hyperlink" Target="http://esa.un.org/unpd/wpp/Download/Standard/Population/" TargetMode="External"/><Relationship Id="rId1954" Type="http://schemas.openxmlformats.org/officeDocument/2006/relationships/hyperlink" Target="http://www.idea.int/vt/countryview.cfm?id=235" TargetMode="External"/><Relationship Id="rId39" Type="http://schemas.openxmlformats.org/officeDocument/2006/relationships/hyperlink" Target="http://en.wikipedia.org/wiki/Djibouti" TargetMode="External"/><Relationship Id="rId451" Type="http://schemas.openxmlformats.org/officeDocument/2006/relationships/hyperlink" Target="http://www.yemen.gov.ye/portal/moi/%D8%A7%D9%84%D8%B1%D8%A6%D9%8A%D8%B3%D9%8A%D8%A9/tabid/224/Default.aspx" TargetMode="External"/><Relationship Id="rId549" Type="http://schemas.openxmlformats.org/officeDocument/2006/relationships/hyperlink" Target="http://www.shabait.com/articles/q-a-a/3558-public-registration-office-and-the-public-mutual-cooperation-for-efficient-services-" TargetMode="External"/><Relationship Id="rId756" Type="http://schemas.openxmlformats.org/officeDocument/2006/relationships/hyperlink" Target="http://e-beszamolo.kim.gov.hu/kereses-Default.aspx" TargetMode="External"/><Relationship Id="rId1179" Type="http://schemas.openxmlformats.org/officeDocument/2006/relationships/hyperlink" Target="http://www.justice.gov.mg/" TargetMode="External"/><Relationship Id="rId1386" Type="http://schemas.openxmlformats.org/officeDocument/2006/relationships/hyperlink" Target="http://www.cipc.co.za/" TargetMode="External"/><Relationship Id="rId1593" Type="http://schemas.openxmlformats.org/officeDocument/2006/relationships/hyperlink" Target="http://esa.un.org/unpd/wpp/Download/Standard/Population/" TargetMode="External"/><Relationship Id="rId1607" Type="http://schemas.openxmlformats.org/officeDocument/2006/relationships/hyperlink" Target="http://esa.un.org/unpd/wpp/Download/Standard/Population/" TargetMode="External"/><Relationship Id="rId1814" Type="http://schemas.openxmlformats.org/officeDocument/2006/relationships/hyperlink" Target="http://www.electionguide.org/countries/id/18/" TargetMode="External"/><Relationship Id="rId104" Type="http://schemas.openxmlformats.org/officeDocument/2006/relationships/hyperlink" Target="http://en.wikipedia.org/wiki/Nepal" TargetMode="External"/><Relationship Id="rId188" Type="http://schemas.openxmlformats.org/officeDocument/2006/relationships/hyperlink" Target="http://en.wikipedia.org/wiki/Philippines" TargetMode="External"/><Relationship Id="rId311" Type="http://schemas.openxmlformats.org/officeDocument/2006/relationships/hyperlink" Target="http://www.imigresen.gov.bn/" TargetMode="External"/><Relationship Id="rId395" Type="http://schemas.openxmlformats.org/officeDocument/2006/relationships/hyperlink" Target="http://www.planusa.org/docs/reports/2014-Birth-Registration-in-Emergencies.pdf" TargetMode="External"/><Relationship Id="rId409" Type="http://schemas.openxmlformats.org/officeDocument/2006/relationships/hyperlink" Target="http://www.australia.gov.au/topics/law-and-justice/births-deaths-and-marriages-registries" TargetMode="External"/><Relationship Id="rId963" Type="http://schemas.openxmlformats.org/officeDocument/2006/relationships/hyperlink" Target="http://www.oni.ci/" TargetMode="External"/><Relationship Id="rId1039" Type="http://schemas.openxmlformats.org/officeDocument/2006/relationships/hyperlink" Target="http://www.hidglobal.com/government/citizen-id/united-states" TargetMode="External"/><Relationship Id="rId1246" Type="http://schemas.openxmlformats.org/officeDocument/2006/relationships/hyperlink" Target="http://wsp.presidencia.gov.co/Normativa/Leyes/Documents/LEY%201581%20DEL%2017%20DE%20OCTUBRE%20DE%202012.pdf" TargetMode="External"/><Relationship Id="rId1898" Type="http://schemas.openxmlformats.org/officeDocument/2006/relationships/hyperlink" Target="http://www.electionguide.org/countries/id/60/" TargetMode="External"/><Relationship Id="rId92" Type="http://schemas.openxmlformats.org/officeDocument/2006/relationships/hyperlink" Target="http://en.wikipedia.org/wiki/Marshall_Islands" TargetMode="External"/><Relationship Id="rId616" Type="http://schemas.openxmlformats.org/officeDocument/2006/relationships/hyperlink" Target="http://en.wikipedia.org/wiki/Serbian_identity_card" TargetMode="External"/><Relationship Id="rId823" Type="http://schemas.openxmlformats.org/officeDocument/2006/relationships/hyperlink" Target="http://www.morpho.com/references/identity/new-id-for-albania?lang=en" TargetMode="External"/><Relationship Id="rId1453" Type="http://schemas.openxmlformats.org/officeDocument/2006/relationships/hyperlink" Target="http://serve.gov.tl/sites/default/files/files/3_Decreto-Lei_7-2006%20-%20C%C3%B3digo_de_Regist_Comercial.pdf" TargetMode="External"/><Relationship Id="rId1660" Type="http://schemas.openxmlformats.org/officeDocument/2006/relationships/hyperlink" Target="http://esa.un.org/unpd/wpp/Download/Standard/Population/" TargetMode="External"/><Relationship Id="rId1758" Type="http://schemas.openxmlformats.org/officeDocument/2006/relationships/hyperlink" Target="https://ask.rks-gov.net/eng/" TargetMode="External"/><Relationship Id="rId255" Type="http://schemas.openxmlformats.org/officeDocument/2006/relationships/hyperlink" Target="http://en.wikipedia.org/wiki/Burmese_nationality_law" TargetMode="External"/><Relationship Id="rId462" Type="http://schemas.openxmlformats.org/officeDocument/2006/relationships/hyperlink" Target="http://www.morpho.com/references/?lang=en" TargetMode="External"/><Relationship Id="rId1092" Type="http://schemas.openxmlformats.org/officeDocument/2006/relationships/hyperlink" Target="http://www.rti-rating.org/files/pdf/Sweden.pdf" TargetMode="External"/><Relationship Id="rId1106" Type="http://schemas.openxmlformats.org/officeDocument/2006/relationships/hyperlink" Target="http://www.legislationline.org/topics/country/1/topic/3" TargetMode="External"/><Relationship Id="rId1313" Type="http://schemas.openxmlformats.org/officeDocument/2006/relationships/hyperlink" Target="http://www.amdp-rks.org/" TargetMode="External"/><Relationship Id="rId1397" Type="http://schemas.openxmlformats.org/officeDocument/2006/relationships/hyperlink" Target="http://www.secp.gov.pk/notification/pdf/2009/Cos_85.pdf" TargetMode="External"/><Relationship Id="rId1520" Type="http://schemas.openxmlformats.org/officeDocument/2006/relationships/hyperlink" Target="http://www.gemalto.com/govt/customer-cases/sweden" TargetMode="External"/><Relationship Id="rId1965" Type="http://schemas.openxmlformats.org/officeDocument/2006/relationships/hyperlink" Target="http://www.siec.gov.sb/index.php/journalist/18-siec-releases-provisional-voters-list" TargetMode="External"/><Relationship Id="rId115" Type="http://schemas.openxmlformats.org/officeDocument/2006/relationships/hyperlink" Target="http://en.wikipedia.org/wiki/Papua_New_Guinea" TargetMode="External"/><Relationship Id="rId322" Type="http://schemas.openxmlformats.org/officeDocument/2006/relationships/hyperlink" Target="http://www.moi.gov.cy/" TargetMode="External"/><Relationship Id="rId767" Type="http://schemas.openxmlformats.org/officeDocument/2006/relationships/hyperlink" Target="http://www.jamaicatax.gov.jm/index.php/2012-05-11-17-40-29/taxpayer-registration-number-trn" TargetMode="External"/><Relationship Id="rId974" Type="http://schemas.openxmlformats.org/officeDocument/2006/relationships/hyperlink" Target="http://www.gov.gd/egov/news/2014/feb14/26_02_14/item_7/government_lauches_mpid.html" TargetMode="External"/><Relationship Id="rId1618" Type="http://schemas.openxmlformats.org/officeDocument/2006/relationships/hyperlink" Target="http://esa.un.org/unpd/wpp/Download/Standard/Population/" TargetMode="External"/><Relationship Id="rId1825" Type="http://schemas.openxmlformats.org/officeDocument/2006/relationships/hyperlink" Target="http://www.electionguide.org/countries/id/22/" TargetMode="External"/><Relationship Id="rId2003" Type="http://schemas.openxmlformats.org/officeDocument/2006/relationships/comments" Target="../comments1.xml"/><Relationship Id="rId199" Type="http://schemas.openxmlformats.org/officeDocument/2006/relationships/hyperlink" Target="http://www.identity-cards.net/" TargetMode="External"/><Relationship Id="rId627" Type="http://schemas.openxmlformats.org/officeDocument/2006/relationships/hyperlink" Target="http://en.wikipedia.org/wiki/Identity_documents_in_Sweden" TargetMode="External"/><Relationship Id="rId834" Type="http://schemas.openxmlformats.org/officeDocument/2006/relationships/hyperlink" Target="https://www.datacard.com/case-study/guinea-bissau" TargetMode="External"/><Relationship Id="rId1257" Type="http://schemas.openxmlformats.org/officeDocument/2006/relationships/hyperlink" Target="http://www.rti-rating.org/files/pdf/France.pdf" TargetMode="External"/><Relationship Id="rId1464" Type="http://schemas.openxmlformats.org/officeDocument/2006/relationships/hyperlink" Target="https://www.acra.gov.sg/home/" TargetMode="External"/><Relationship Id="rId1671" Type="http://schemas.openxmlformats.org/officeDocument/2006/relationships/hyperlink" Target="http://esa.un.org/unpd/wpp/Download/Standard/Population/" TargetMode="External"/><Relationship Id="rId266" Type="http://schemas.openxmlformats.org/officeDocument/2006/relationships/hyperlink" Target="http://en.wikipedia.org/wiki/Italian_electronic_identity_card" TargetMode="External"/><Relationship Id="rId473" Type="http://schemas.openxmlformats.org/officeDocument/2006/relationships/hyperlink" Target="http://www.planetbiometrics.com/civil-id/" TargetMode="External"/><Relationship Id="rId680" Type="http://schemas.openxmlformats.org/officeDocument/2006/relationships/hyperlink" Target="http://www.doingbusiness.org/data/exploreeconomies/ecuador/starting-a-business/" TargetMode="External"/><Relationship Id="rId901" Type="http://schemas.openxmlformats.org/officeDocument/2006/relationships/hyperlink" Target="http://www.haitilibre.com/en/news-1152-haiti-elections-the-national-identification-office-deploys-its-mobile-units.html" TargetMode="External"/><Relationship Id="rId1117" Type="http://schemas.openxmlformats.org/officeDocument/2006/relationships/hyperlink" Target="http://www.wipo.int/edocs/lexdocs/laws/en/kn/kn001en.pdf" TargetMode="External"/><Relationship Id="rId1324" Type="http://schemas.openxmlformats.org/officeDocument/2006/relationships/hyperlink" Target="http://www.right2info.org/resources/publications/laws-1/J-1999-O-0486.pdf" TargetMode="External"/><Relationship Id="rId1531" Type="http://schemas.openxmlformats.org/officeDocument/2006/relationships/hyperlink" Target="http://www.gemalto.com/govt/customer-cases/mongolia" TargetMode="External"/><Relationship Id="rId1769" Type="http://schemas.openxmlformats.org/officeDocument/2006/relationships/hyperlink" Target="http://www.unicef.org/infobycountry/antiguabarbuda_statistics.html" TargetMode="External"/><Relationship Id="rId1976" Type="http://schemas.openxmlformats.org/officeDocument/2006/relationships/hyperlink" Target="http://www.electionguide.org/countries/id/209/" TargetMode="External"/><Relationship Id="rId30" Type="http://schemas.openxmlformats.org/officeDocument/2006/relationships/hyperlink" Target="http://en.wikipedia.org/wiki/China" TargetMode="External"/><Relationship Id="rId126" Type="http://schemas.openxmlformats.org/officeDocument/2006/relationships/hyperlink" Target="http://en.wikipedia.org/wiki/Samoa" TargetMode="External"/><Relationship Id="rId333" Type="http://schemas.openxmlformats.org/officeDocument/2006/relationships/hyperlink" Target="http://www.maistraatti.fi/" TargetMode="External"/><Relationship Id="rId540" Type="http://schemas.openxmlformats.org/officeDocument/2006/relationships/hyperlink" Target="http://www.rijksoverheid.nl/onderwerpen/paspoort-en-identificatie/biometrie-gezichtsopname-en-vingerafdrukken" TargetMode="External"/><Relationship Id="rId778" Type="http://schemas.openxmlformats.org/officeDocument/2006/relationships/hyperlink" Target="http://www.moic.gov.la/" TargetMode="External"/><Relationship Id="rId985" Type="http://schemas.openxmlformats.org/officeDocument/2006/relationships/hyperlink" Target="http://www.nadra.gov.pk/" TargetMode="External"/><Relationship Id="rId1170" Type="http://schemas.openxmlformats.org/officeDocument/2006/relationships/hyperlink" Target="https://www.icta.mu/documents/laws/dpa.pdf" TargetMode="External"/><Relationship Id="rId1629" Type="http://schemas.openxmlformats.org/officeDocument/2006/relationships/hyperlink" Target="http://esa.un.org/unpd/wpp/Download/Standard/Population/" TargetMode="External"/><Relationship Id="rId1836" Type="http://schemas.openxmlformats.org/officeDocument/2006/relationships/hyperlink" Target="http://www.electionguide.org/countries/id/31/" TargetMode="External"/><Relationship Id="rId638" Type="http://schemas.openxmlformats.org/officeDocument/2006/relationships/hyperlink" Target="http://www.schweizerpass.admin.ch/pass/de/home.html" TargetMode="External"/><Relationship Id="rId845" Type="http://schemas.openxmlformats.org/officeDocument/2006/relationships/hyperlink" Target="http://www.gemalto.com/brochures-site/download-site/Documents/gov-ID-programs.pdf" TargetMode="External"/><Relationship Id="rId1030" Type="http://schemas.openxmlformats.org/officeDocument/2006/relationships/hyperlink" Target="http://waaberiproject.org/news-articles/biometric-identification-cards-for-somalis/" TargetMode="External"/><Relationship Id="rId1268" Type="http://schemas.openxmlformats.org/officeDocument/2006/relationships/hyperlink" Target="http://www.dpa.gr/" TargetMode="External"/><Relationship Id="rId1475" Type="http://schemas.openxmlformats.org/officeDocument/2006/relationships/hyperlink" Target="http://evem.gov.si/info/e-postopki/" TargetMode="External"/><Relationship Id="rId1682" Type="http://schemas.openxmlformats.org/officeDocument/2006/relationships/hyperlink" Target="http://esa.un.org/unpd/wpp/Download/Standard/Population/" TargetMode="External"/><Relationship Id="rId1903" Type="http://schemas.openxmlformats.org/officeDocument/2006/relationships/hyperlink" Target="http://www.electionguide.org/countries/id/73/" TargetMode="External"/><Relationship Id="rId277" Type="http://schemas.openxmlformats.org/officeDocument/2006/relationships/hyperlink" Target="http://en.wikipedia.org/wiki/Montenegrin_identity_card" TargetMode="External"/><Relationship Id="rId400" Type="http://schemas.openxmlformats.org/officeDocument/2006/relationships/hyperlink" Target="http://www.slq.qld.gov.au/resources/family-history/atsi/finding/birth,-death-and-marriage" TargetMode="External"/><Relationship Id="rId484" Type="http://schemas.openxmlformats.org/officeDocument/2006/relationships/hyperlink" Target="http://www.anrpts.mr/" TargetMode="External"/><Relationship Id="rId705" Type="http://schemas.openxmlformats.org/officeDocument/2006/relationships/hyperlink" Target="http://www.fipa.gov.ba/publikacije_materijali/zakoni/10%20FBiH%20Law%20on%20Registartion%20of%20Business%20Entities.pdf" TargetMode="External"/><Relationship Id="rId1128" Type="http://schemas.openxmlformats.org/officeDocument/2006/relationships/hyperlink" Target="http://www.rti-rating.org/files/pdf/Norway.pdf" TargetMode="External"/><Relationship Id="rId1335" Type="http://schemas.openxmlformats.org/officeDocument/2006/relationships/hyperlink" Target="http://www.humanrightsinitiative.org/programs/ai/rti/international/laws_papers/ghana/ghana_rti_bill_2009.pdf" TargetMode="External"/><Relationship Id="rId1542" Type="http://schemas.openxmlformats.org/officeDocument/2006/relationships/hyperlink" Target="http://www.worldbank.org/content/dam/Worldbank/Event/social-protection/Building_Robust_Identification_Systems_Session_Packet.pdf" TargetMode="External"/><Relationship Id="rId1987" Type="http://schemas.openxmlformats.org/officeDocument/2006/relationships/hyperlink" Target="http://www.electoralcommission.org.uk/our-work/our-research/electoral-data" TargetMode="External"/><Relationship Id="rId137" Type="http://schemas.openxmlformats.org/officeDocument/2006/relationships/hyperlink" Target="http://en.wikipedia.org/wiki/Somalia" TargetMode="External"/><Relationship Id="rId344" Type="http://schemas.openxmlformats.org/officeDocument/2006/relationships/hyperlink" Target="http://www.refworld.org/docid/485ba863c.html" TargetMode="External"/><Relationship Id="rId691" Type="http://schemas.openxmlformats.org/officeDocument/2006/relationships/hyperlink" Target="http://www.fornecedores.minfin.gv.ao/" TargetMode="External"/><Relationship Id="rId789" Type="http://schemas.openxmlformats.org/officeDocument/2006/relationships/hyperlink" Target="http://www.ipim.gov.mo/ipim_service_detail.php?tid=2615" TargetMode="External"/><Relationship Id="rId912" Type="http://schemas.openxmlformats.org/officeDocument/2006/relationships/hyperlink" Target="http://www.dailynk.com/english/read.php?cataId=nk01500&amp;num=6087" TargetMode="External"/><Relationship Id="rId996" Type="http://schemas.openxmlformats.org/officeDocument/2006/relationships/hyperlink" Target="http://renapo.gob.mx/swb/swb/RENAPO/home" TargetMode="External"/><Relationship Id="rId1847" Type="http://schemas.openxmlformats.org/officeDocument/2006/relationships/hyperlink" Target="http://www.dst.dk/en/Statistik/Publikationer/VisPub?cid=20195" TargetMode="External"/><Relationship Id="rId41" Type="http://schemas.openxmlformats.org/officeDocument/2006/relationships/hyperlink" Target="http://en.wikipedia.org/wiki/Dominican_Republic" TargetMode="External"/><Relationship Id="rId551" Type="http://schemas.openxmlformats.org/officeDocument/2006/relationships/hyperlink" Target="http://psh.gov.ge/index.php?lang_id=ENG&amp;sec_id=286" TargetMode="External"/><Relationship Id="rId649" Type="http://schemas.openxmlformats.org/officeDocument/2006/relationships/hyperlink" Target="https://www.minterior.gub.uy/webs/dnic" TargetMode="External"/><Relationship Id="rId856" Type="http://schemas.openxmlformats.org/officeDocument/2006/relationships/hyperlink" Target="http://www.businessdailyafrica.com/Rollout-of-digital-IDs-starts-in-Feb/-/539546/2497388/-/ujohpp/-/index.html" TargetMode="External"/><Relationship Id="rId1181" Type="http://schemas.openxmlformats.org/officeDocument/2006/relationships/hyperlink" Target="http://www.cndp.ma/" TargetMode="External"/><Relationship Id="rId1279" Type="http://schemas.openxmlformats.org/officeDocument/2006/relationships/hyperlink" Target="http://www.rti-rating.org/files/pdf/Guinea.pdf" TargetMode="External"/><Relationship Id="rId1402" Type="http://schemas.openxmlformats.org/officeDocument/2006/relationships/hyperlink" Target="http://www.servicepublic.gouv.sn/index.php/demarche_administrative/demarche/1/112" TargetMode="External"/><Relationship Id="rId1486" Type="http://schemas.openxmlformats.org/officeDocument/2006/relationships/hyperlink" Target="http://dmsu.gov.ua/posluhy/pasport-gromadyanina-ukrajini" TargetMode="External"/><Relationship Id="rId1707" Type="http://schemas.openxmlformats.org/officeDocument/2006/relationships/hyperlink" Target="http://esa.un.org/unpd/wpp/Download/Standard/Population/" TargetMode="External"/><Relationship Id="rId190" Type="http://schemas.openxmlformats.org/officeDocument/2006/relationships/hyperlink" Target="http://en.wikipedia.org/wiki/Sri_lanka" TargetMode="External"/><Relationship Id="rId204" Type="http://schemas.openxmlformats.org/officeDocument/2006/relationships/hyperlink" Target="https://www.ecensus.com.ph/Default.aspx" TargetMode="External"/><Relationship Id="rId288" Type="http://schemas.openxmlformats.org/officeDocument/2006/relationships/hyperlink" Target="http://en.wikipedia.org/wiki/Aadhaar" TargetMode="External"/><Relationship Id="rId411" Type="http://schemas.openxmlformats.org/officeDocument/2006/relationships/hyperlink" Target="http://www.gov.st/content.php?intMenuID=16" TargetMode="External"/><Relationship Id="rId509" Type="http://schemas.openxmlformats.org/officeDocument/2006/relationships/hyperlink" Target="http://www.cra.gov.ly/" TargetMode="External"/><Relationship Id="rId1041" Type="http://schemas.openxmlformats.org/officeDocument/2006/relationships/hyperlink" Target="http://www.odessatalk.com/2012/10/biometric-passports-and-id-cards-ukraine" TargetMode="External"/><Relationship Id="rId1139" Type="http://schemas.openxmlformats.org/officeDocument/2006/relationships/hyperlink" Target="http://www.ccin.mc/legislation/lois/act-1-165-on-the-protection-of-personal-data.pdf" TargetMode="External"/><Relationship Id="rId1346" Type="http://schemas.openxmlformats.org/officeDocument/2006/relationships/hyperlink" Target="http://www.thestkittsnevisobserver.com/2013/04/26/privacy-bill.html" TargetMode="External"/><Relationship Id="rId1693" Type="http://schemas.openxmlformats.org/officeDocument/2006/relationships/hyperlink" Target="http://esa.un.org/unpd/wpp/Download/Standard/Population/" TargetMode="External"/><Relationship Id="rId1914" Type="http://schemas.openxmlformats.org/officeDocument/2006/relationships/hyperlink" Target="http://www.electionguide.org/countries/id/113/" TargetMode="External"/><Relationship Id="rId1998" Type="http://schemas.openxmlformats.org/officeDocument/2006/relationships/hyperlink" Target="http://www.idea.int/vt/countryview.cfm?id=29" TargetMode="External"/><Relationship Id="rId495" Type="http://schemas.openxmlformats.org/officeDocument/2006/relationships/hyperlink" Target="http://www.zambia.gov.zm/" TargetMode="External"/><Relationship Id="rId716" Type="http://schemas.openxmlformats.org/officeDocument/2006/relationships/hyperlink" Target="http://wwwinfo.mfcr.cz/" TargetMode="External"/><Relationship Id="rId923" Type="http://schemas.openxmlformats.org/officeDocument/2006/relationships/hyperlink" Target="http://www.mvr.gov.mk/DesktopDefault.aspx?tabindex=5&amp;tabid=187&amp;parent=100" TargetMode="External"/><Relationship Id="rId1553" Type="http://schemas.openxmlformats.org/officeDocument/2006/relationships/hyperlink" Target="http://www.stlucianewsonline.com/elections-commission-resumes-issuing-national-id-cards/" TargetMode="External"/><Relationship Id="rId1760" Type="http://schemas.openxmlformats.org/officeDocument/2006/relationships/hyperlink" Target="http://www.indexmundi.com/marshall_islands/population.html" TargetMode="External"/><Relationship Id="rId1858" Type="http://schemas.openxmlformats.org/officeDocument/2006/relationships/hyperlink" Target="http://www.electionguide.org/countries/id/102/" TargetMode="External"/><Relationship Id="rId52" Type="http://schemas.openxmlformats.org/officeDocument/2006/relationships/hyperlink" Target="http://en.wikipedia.org/wiki/Gabon" TargetMode="External"/><Relationship Id="rId148" Type="http://schemas.openxmlformats.org/officeDocument/2006/relationships/hyperlink" Target="http://en.wikipedia.org/wiki/Togo" TargetMode="External"/><Relationship Id="rId355" Type="http://schemas.openxmlformats.org/officeDocument/2006/relationships/hyperlink" Target="https://www.rks-gov.net/" TargetMode="External"/><Relationship Id="rId562" Type="http://schemas.openxmlformats.org/officeDocument/2006/relationships/hyperlink" Target="http://www.tse.go.cr/servicios.htm" TargetMode="External"/><Relationship Id="rId1192" Type="http://schemas.openxmlformats.org/officeDocument/2006/relationships/hyperlink" Target="http://www.rti-rating.org/files/pdf/Albania.pdf" TargetMode="External"/><Relationship Id="rId1206" Type="http://schemas.openxmlformats.org/officeDocument/2006/relationships/hyperlink" Target="http://www.rti-rating.org/files/pdf/Canada.pdf" TargetMode="External"/><Relationship Id="rId1413" Type="http://schemas.openxmlformats.org/officeDocument/2006/relationships/hyperlink" Target="http://www.secp.gov.pk/ns/index.asp" TargetMode="External"/><Relationship Id="rId1620" Type="http://schemas.openxmlformats.org/officeDocument/2006/relationships/hyperlink" Target="http://esa.un.org/unpd/wpp/Download/Standard/Population/" TargetMode="External"/><Relationship Id="rId215" Type="http://schemas.openxmlformats.org/officeDocument/2006/relationships/hyperlink" Target="http://www.registrocivil.cl/" TargetMode="External"/><Relationship Id="rId422" Type="http://schemas.openxmlformats.org/officeDocument/2006/relationships/hyperlink" Target="http://www.mjusticia.gob.es/cs/Satellite/en/1200666550200/Tramite_C/1214483957117/Detalle.html" TargetMode="External"/><Relationship Id="rId867" Type="http://schemas.openxmlformats.org/officeDocument/2006/relationships/hyperlink" Target="http://www.morpho.com/IMG/pdf/Morpho_Civis.pdf" TargetMode="External"/><Relationship Id="rId1052" Type="http://schemas.openxmlformats.org/officeDocument/2006/relationships/hyperlink" Target="http://www.rti-rating.org/files/pdf/United%20States%20of%20America.pdf" TargetMode="External"/><Relationship Id="rId1497" Type="http://schemas.openxmlformats.org/officeDocument/2006/relationships/hyperlink" Target="http://palaugov.org/passport-office/" TargetMode="External"/><Relationship Id="rId1718" Type="http://schemas.openxmlformats.org/officeDocument/2006/relationships/hyperlink" Target="http://esa.un.org/unpd/wpp/Download/Standard/Population/" TargetMode="External"/><Relationship Id="rId1925" Type="http://schemas.openxmlformats.org/officeDocument/2006/relationships/hyperlink" Target="http://www.idea.int/vt/countryview.cfm?id=143" TargetMode="External"/><Relationship Id="rId299" Type="http://schemas.openxmlformats.org/officeDocument/2006/relationships/hyperlink" Target="http://www.minjusdh.gov.ao/" TargetMode="External"/><Relationship Id="rId727" Type="http://schemas.openxmlformats.org/officeDocument/2006/relationships/hyperlink" Target="https://www.unternehmensregister.de/ureg/" TargetMode="External"/><Relationship Id="rId934" Type="http://schemas.openxmlformats.org/officeDocument/2006/relationships/hyperlink" Target="http://www.gambis.gm/" TargetMode="External"/><Relationship Id="rId1357" Type="http://schemas.openxmlformats.org/officeDocument/2006/relationships/hyperlink" Target="http://jis.gov.jm/data-protection-law-to-be-promulgated-this-year" TargetMode="External"/><Relationship Id="rId1564" Type="http://schemas.openxmlformats.org/officeDocument/2006/relationships/hyperlink" Target="http://www.nationmaster.com/" TargetMode="External"/><Relationship Id="rId1771" Type="http://schemas.openxmlformats.org/officeDocument/2006/relationships/hyperlink" Target="http://unstats.un.org/unsd/vitalstatkb/Attachment26.aspx" TargetMode="External"/><Relationship Id="rId63" Type="http://schemas.openxmlformats.org/officeDocument/2006/relationships/hyperlink" Target="http://en.wikipedia.org/wiki/Honduras" TargetMode="External"/><Relationship Id="rId159" Type="http://schemas.openxmlformats.org/officeDocument/2006/relationships/hyperlink" Target="http://en.wikipedia.org/wiki/United_States" TargetMode="External"/><Relationship Id="rId366" Type="http://schemas.openxmlformats.org/officeDocument/2006/relationships/hyperlink" Target="http://www.moha.gov.la/" TargetMode="External"/><Relationship Id="rId573" Type="http://schemas.openxmlformats.org/officeDocument/2006/relationships/hyperlink" Target="http://www.rnpn.gob.sv/rnpn/" TargetMode="External"/><Relationship Id="rId780" Type="http://schemas.openxmlformats.org/officeDocument/2006/relationships/hyperlink" Target="http://www.ecitizen.go.ke/service.html" TargetMode="External"/><Relationship Id="rId1217" Type="http://schemas.openxmlformats.org/officeDocument/2006/relationships/hyperlink" Target="http://www.protecciondedatos.com.ar/law25326.htm" TargetMode="External"/><Relationship Id="rId1424" Type="http://schemas.openxmlformats.org/officeDocument/2006/relationships/hyperlink" Target="http://www.gue-stp.net/spip.php?article11" TargetMode="External"/><Relationship Id="rId1631" Type="http://schemas.openxmlformats.org/officeDocument/2006/relationships/hyperlink" Target="http://esa.un.org/unpd/wpp/Download/Standard/Population/" TargetMode="External"/><Relationship Id="rId1869" Type="http://schemas.openxmlformats.org/officeDocument/2006/relationships/hyperlink" Target="https://www.secureidentityalliance.org/index.php/resources/preview?path=15-12-17-Civil-Registry-Consolidation-Digital-Identity-SIA-Final.pdf" TargetMode="External"/><Relationship Id="rId226" Type="http://schemas.openxmlformats.org/officeDocument/2006/relationships/hyperlink" Target="http://www.rnp.hn/" TargetMode="External"/><Relationship Id="rId433" Type="http://schemas.openxmlformats.org/officeDocument/2006/relationships/hyperlink" Target="http://www.moi.go.th/" TargetMode="External"/><Relationship Id="rId878" Type="http://schemas.openxmlformats.org/officeDocument/2006/relationships/hyperlink" Target="https://www.luxtrust.lu/fr" TargetMode="External"/><Relationship Id="rId1063" Type="http://schemas.openxmlformats.org/officeDocument/2006/relationships/hyperlink" Target="http://lawfirm.vn/?a=doc&amp;id=1936" TargetMode="External"/><Relationship Id="rId1270" Type="http://schemas.openxmlformats.org/officeDocument/2006/relationships/hyperlink" Target="http://www.right2info.org/resources/publications/laws-1/croatia-personal-data-protection-act/at_download/file" TargetMode="External"/><Relationship Id="rId1729" Type="http://schemas.openxmlformats.org/officeDocument/2006/relationships/hyperlink" Target="http://esa.un.org/unpd/wpp/Download/Standard/Population/" TargetMode="External"/><Relationship Id="rId1936" Type="http://schemas.openxmlformats.org/officeDocument/2006/relationships/hyperlink" Target="http://www.biometricupdate.com/201307/nepalese-biometric-voter-registry-reaches-12-1-million" TargetMode="External"/><Relationship Id="rId640" Type="http://schemas.openxmlformats.org/officeDocument/2006/relationships/hyperlink" Target="http://www.ris.gov.tw/" TargetMode="External"/><Relationship Id="rId738" Type="http://schemas.openxmlformats.org/officeDocument/2006/relationships/hyperlink" Target="http://www1.biznet.hr/HgkWeb/do/language?lang=en_GB" TargetMode="External"/><Relationship Id="rId945" Type="http://schemas.openxmlformats.org/officeDocument/2006/relationships/hyperlink" Target="http://www.chileatiende.cl/" TargetMode="External"/><Relationship Id="rId1368" Type="http://schemas.openxmlformats.org/officeDocument/2006/relationships/hyperlink" Target="http://www.ttconnect.gov.tt/gortt/portal/ttconnect/Business" TargetMode="External"/><Relationship Id="rId1575" Type="http://schemas.openxmlformats.org/officeDocument/2006/relationships/hyperlink" Target="http://esa.un.org/unpd/wpp/Download/Standard/Population/" TargetMode="External"/><Relationship Id="rId1782" Type="http://schemas.openxmlformats.org/officeDocument/2006/relationships/hyperlink" Target="http://www.gov.hk/en/about/abouthk/factsheets/docs/population.pdf" TargetMode="External"/><Relationship Id="rId74" Type="http://schemas.openxmlformats.org/officeDocument/2006/relationships/hyperlink" Target="http://en.wikipedia.org/wiki/Jordan" TargetMode="External"/><Relationship Id="rId377" Type="http://schemas.openxmlformats.org/officeDocument/2006/relationships/hyperlink" Target="http://www.primature.gov.ml/index.php?option=com_content&amp;view=article&amp;id=10337&amp;Itemid=100013" TargetMode="External"/><Relationship Id="rId500" Type="http://schemas.openxmlformats.org/officeDocument/2006/relationships/hyperlink" Target="https://www.nimc.gov.ng/" TargetMode="External"/><Relationship Id="rId584" Type="http://schemas.openxmlformats.org/officeDocument/2006/relationships/hyperlink" Target="http://www.moi.ir/" TargetMode="External"/><Relationship Id="rId805" Type="http://schemas.openxmlformats.org/officeDocument/2006/relationships/hyperlink" Target="http://www.obfc.org.ls/legislation/COMPANIES%20REGS%202012%20PRINTING%2024.4.2012%20FINAL.pdf" TargetMode="External"/><Relationship Id="rId1130" Type="http://schemas.openxmlformats.org/officeDocument/2006/relationships/hyperlink" Target="http://www.rti-rating.org/files/pdf/Panama.pdf" TargetMode="External"/><Relationship Id="rId1228" Type="http://schemas.openxmlformats.org/officeDocument/2006/relationships/hyperlink" Target="http://www.afapdp.org/wp-content/uploads/2012/01/Burkina-Faso-Loi-portant-protection-des-donn%C3%A9es-%C3%A0-caract%C3%A8re-personnel-20042.pdf" TargetMode="External"/><Relationship Id="rId1435" Type="http://schemas.openxmlformats.org/officeDocument/2006/relationships/hyperlink" Target="http://www.at.gov.mz/eng/Internacional-Trade/FAQ-s/NUIT" TargetMode="External"/><Relationship Id="rId5" Type="http://schemas.openxmlformats.org/officeDocument/2006/relationships/hyperlink" Target="http://en.wikipedia.org/wiki/Angola" TargetMode="External"/><Relationship Id="rId237" Type="http://schemas.openxmlformats.org/officeDocument/2006/relationships/hyperlink" Target="http://www.reniec.gob.pe/portal/intro.htm" TargetMode="External"/><Relationship Id="rId791" Type="http://schemas.openxmlformats.org/officeDocument/2006/relationships/hyperlink" Target="http://www.edbm.gov.mg/" TargetMode="External"/><Relationship Id="rId889" Type="http://schemas.openxmlformats.org/officeDocument/2006/relationships/hyperlink" Target="http://siteresources.worldbank.org/EXTABCDE/Resources/7455676-1315933592317/8143947-1335963402037/8622235-1336401589879/Yanez-Pagans-PPT.pdf" TargetMode="External"/><Relationship Id="rId1074" Type="http://schemas.openxmlformats.org/officeDocument/2006/relationships/hyperlink" Target="http://timor-leste.gov.tl/wp-content/uploads/2010/03/Constituicao_RDTL_PT.pdf" TargetMode="External"/><Relationship Id="rId1642" Type="http://schemas.openxmlformats.org/officeDocument/2006/relationships/hyperlink" Target="http://esa.un.org/unpd/wpp/Download/Standard/Population/" TargetMode="External"/><Relationship Id="rId1947" Type="http://schemas.openxmlformats.org/officeDocument/2006/relationships/hyperlink" Target="http://prezydent2015.pkw.gov.pl/aktualnosci/7_Statystyka" TargetMode="External"/><Relationship Id="rId444" Type="http://schemas.openxmlformats.org/officeDocument/2006/relationships/hyperlink" Target="https://www.gov.uk/register-birth" TargetMode="External"/><Relationship Id="rId651" Type="http://schemas.openxmlformats.org/officeDocument/2006/relationships/hyperlink" Target="http://www.radioaustralia.net.au/international/2005-10-17/vanuatu-mp-proposes-plans-for-a-national-identity-card/756152" TargetMode="External"/><Relationship Id="rId749" Type="http://schemas.openxmlformats.org/officeDocument/2006/relationships/hyperlink" Target="http://www.doingbusiness.org/data/exploreeconomies/guyana/starting-a-business" TargetMode="External"/><Relationship Id="rId1281" Type="http://schemas.openxmlformats.org/officeDocument/2006/relationships/hyperlink" Target="http://www.rti-rating.org/files/pdf/Honduras.pdf" TargetMode="External"/><Relationship Id="rId1379" Type="http://schemas.openxmlformats.org/officeDocument/2006/relationships/hyperlink" Target="http://mersis.gumrukticaret.gov.tr/Login/tabid/110/Default.aspx?returnurl=%2f" TargetMode="External"/><Relationship Id="rId1502" Type="http://schemas.openxmlformats.org/officeDocument/2006/relationships/hyperlink" Target="http://tuoitrenews.vn/society/10504/id-numbers-to-replace-personal-papers" TargetMode="External"/><Relationship Id="rId1586" Type="http://schemas.openxmlformats.org/officeDocument/2006/relationships/hyperlink" Target="http://esa.un.org/unpd/wpp/Download/Standard/Population/" TargetMode="External"/><Relationship Id="rId1807" Type="http://schemas.openxmlformats.org/officeDocument/2006/relationships/hyperlink" Target="http://www.electionguide.org/countries/id/7/" TargetMode="External"/><Relationship Id="rId290" Type="http://schemas.openxmlformats.org/officeDocument/2006/relationships/hyperlink" Target="http://en.wikipedia.org/wiki/Resident_registration_number" TargetMode="External"/><Relationship Id="rId304" Type="http://schemas.openxmlformats.org/officeDocument/2006/relationships/hyperlink" Target="http://www.wikiprocedure.com/" TargetMode="External"/><Relationship Id="rId388" Type="http://schemas.openxmlformats.org/officeDocument/2006/relationships/hyperlink" Target="http://www.mip.gov.mm/" TargetMode="External"/><Relationship Id="rId511" Type="http://schemas.openxmlformats.org/officeDocument/2006/relationships/hyperlink" Target="http://www.dsi.gov.mo/idcard03_e.jsp" TargetMode="External"/><Relationship Id="rId609" Type="http://schemas.openxmlformats.org/officeDocument/2006/relationships/hyperlink" Target="http://www.civilstatus.gov.om/english/services_IDCard.asp" TargetMode="External"/><Relationship Id="rId956" Type="http://schemas.openxmlformats.org/officeDocument/2006/relationships/hyperlink" Target="http://www.electoral.barbados.gov.bb/nationalregqualifications.html" TargetMode="External"/><Relationship Id="rId1141" Type="http://schemas.openxmlformats.org/officeDocument/2006/relationships/hyperlink" Target="http://www.adk-media.org/wp-content/uploads/2013/11/loi-09-08.pdf" TargetMode="External"/><Relationship Id="rId1239" Type="http://schemas.openxmlformats.org/officeDocument/2006/relationships/hyperlink" Target="http://www.azlp.gov.ba/" TargetMode="External"/><Relationship Id="rId1793" Type="http://schemas.openxmlformats.org/officeDocument/2006/relationships/hyperlink" Target="http://unstats.un.org/unsd/demographic/CRVS/CR_coverage.htm" TargetMode="External"/><Relationship Id="rId85" Type="http://schemas.openxmlformats.org/officeDocument/2006/relationships/hyperlink" Target="http://en.wikipedia.org/wiki/Liechtenstein" TargetMode="External"/><Relationship Id="rId150" Type="http://schemas.openxmlformats.org/officeDocument/2006/relationships/hyperlink" Target="http://en.wikipedia.org/wiki/Trinidad_and_Tobago" TargetMode="External"/><Relationship Id="rId595" Type="http://schemas.openxmlformats.org/officeDocument/2006/relationships/hyperlink" Target="http://www.moim.gov.lb/" TargetMode="External"/><Relationship Id="rId816" Type="http://schemas.openxmlformats.org/officeDocument/2006/relationships/hyperlink" Target="http://egov.kz/wps/portal/index" TargetMode="External"/><Relationship Id="rId1001" Type="http://schemas.openxmlformats.org/officeDocument/2006/relationships/hyperlink" Target="http://www.cse.gob.ni/" TargetMode="External"/><Relationship Id="rId1446" Type="http://schemas.openxmlformats.org/officeDocument/2006/relationships/hyperlink" Target="https://ru.wikipedia.org/" TargetMode="External"/><Relationship Id="rId1653" Type="http://schemas.openxmlformats.org/officeDocument/2006/relationships/hyperlink" Target="http://esa.un.org/unpd/wpp/Download/Standard/Population/" TargetMode="External"/><Relationship Id="rId1860" Type="http://schemas.openxmlformats.org/officeDocument/2006/relationships/hyperlink" Target="http://www.idea.int/vt/countryview.cfm?id=110" TargetMode="External"/><Relationship Id="rId248" Type="http://schemas.openxmlformats.org/officeDocument/2006/relationships/hyperlink" Target="http://en.wikipedia.org/wiki/Belgian_national_identity_card" TargetMode="External"/><Relationship Id="rId455" Type="http://schemas.openxmlformats.org/officeDocument/2006/relationships/hyperlink" Target="http://unstats.un.org/unsd/demographic/CRVS/default.htm" TargetMode="External"/><Relationship Id="rId662" Type="http://schemas.openxmlformats.org/officeDocument/2006/relationships/hyperlink" Target="http://www.nri.org.pg/news/drspeachcompletetext_020914.htm" TargetMode="External"/><Relationship Id="rId1085" Type="http://schemas.openxmlformats.org/officeDocument/2006/relationships/hyperlink" Target="http://www.rti-rating.org/files/pdf/Saint%20Vincent%20and%20the%20Grenadines.pdf" TargetMode="External"/><Relationship Id="rId1292" Type="http://schemas.openxmlformats.org/officeDocument/2006/relationships/hyperlink" Target="http://www.rti-rating.org/files/pdf/South%20Korea.pdf" TargetMode="External"/><Relationship Id="rId1306" Type="http://schemas.openxmlformats.org/officeDocument/2006/relationships/hyperlink" Target="http://www.cickenya.org/index.php/legislation/item/download/298_d79313b69240bf9c9403613edacc41b1" TargetMode="External"/><Relationship Id="rId1513" Type="http://schemas.openxmlformats.org/officeDocument/2006/relationships/hyperlink" Target="http://www.icao.int/meetings/mrtd-tashkent-2014/documents/session3_3-manuchehr.pdf" TargetMode="External"/><Relationship Id="rId1720" Type="http://schemas.openxmlformats.org/officeDocument/2006/relationships/hyperlink" Target="http://esa.un.org/unpd/wpp/Download/Standard/Population/" TargetMode="External"/><Relationship Id="rId1958" Type="http://schemas.openxmlformats.org/officeDocument/2006/relationships/hyperlink" Target="http://www.idea.int/vt/countryview.cfm?id=205" TargetMode="External"/><Relationship Id="rId12" Type="http://schemas.openxmlformats.org/officeDocument/2006/relationships/hyperlink" Target="http://en.wikipedia.org/wiki/The_Bahamas" TargetMode="External"/><Relationship Id="rId108" Type="http://schemas.openxmlformats.org/officeDocument/2006/relationships/hyperlink" Target="http://en.wikipedia.org/wiki/Niger" TargetMode="External"/><Relationship Id="rId315" Type="http://schemas.openxmlformats.org/officeDocument/2006/relationships/hyperlink" Target="http://www.interior.gov.kh/" TargetMode="External"/><Relationship Id="rId522" Type="http://schemas.openxmlformats.org/officeDocument/2006/relationships/hyperlink" Target="http://www.bahamas.gov.bs/wps/portal/public/!ut/p/b1/04_Sj9CPykssy0xPLMnMz0vMAfGjzOKNDdx9HR1NLHzdQ8IMDDwNDRyDgg0DDfyNDYEKIoEKDHAARwNC-sP1o_ArMYIqwGOFn0d-bqp-QW6EQZaJoyIA1iL9zQ!!/dl4/d5/L2dBISEvZ0FBIS9nQSEh/" TargetMode="External"/><Relationship Id="rId967" Type="http://schemas.openxmlformats.org/officeDocument/2006/relationships/hyperlink" Target="http://electoraloffice.gov.dm/" TargetMode="External"/><Relationship Id="rId1152" Type="http://schemas.openxmlformats.org/officeDocument/2006/relationships/hyperlink" Target="http://ec.europa.eu/justice/policies/privacy/docs/implementation/ro_law_677_2001_en_unofficial.pdf" TargetMode="External"/><Relationship Id="rId1597" Type="http://schemas.openxmlformats.org/officeDocument/2006/relationships/hyperlink" Target="http://esa.un.org/unpd/wpp/Download/Standard/Population/" TargetMode="External"/><Relationship Id="rId1818" Type="http://schemas.openxmlformats.org/officeDocument/2006/relationships/hyperlink" Target="http://www.electionguide.org/countries/id/51/" TargetMode="External"/><Relationship Id="rId96" Type="http://schemas.openxmlformats.org/officeDocument/2006/relationships/hyperlink" Target="http://en.wikipedia.org/wiki/Federated_States_of_Micronesia" TargetMode="External"/><Relationship Id="rId161" Type="http://schemas.openxmlformats.org/officeDocument/2006/relationships/hyperlink" Target="http://en.wikipedia.org/wiki/Uzbekistan" TargetMode="External"/><Relationship Id="rId399" Type="http://schemas.openxmlformats.org/officeDocument/2006/relationships/hyperlink" Target="http://www.palausupremecourt.net/faq_main.cshtml" TargetMode="External"/><Relationship Id="rId827" Type="http://schemas.openxmlformats.org/officeDocument/2006/relationships/hyperlink" Target="http://www.gemalto.com/govt/customer-cases/hongkong" TargetMode="External"/><Relationship Id="rId1012" Type="http://schemas.openxmlformats.org/officeDocument/2006/relationships/hyperlink" Target="http://www.gov.vc/index.php?option=com_content&amp;view=article&amp;id=289&amp;Itemid=209" TargetMode="External"/><Relationship Id="rId1457" Type="http://schemas.openxmlformats.org/officeDocument/2006/relationships/hyperlink" Target="http://www.ttconnect.gov.tt/" TargetMode="External"/><Relationship Id="rId1664" Type="http://schemas.openxmlformats.org/officeDocument/2006/relationships/hyperlink" Target="http://esa.un.org/unpd/wpp/Download/Standard/Population/" TargetMode="External"/><Relationship Id="rId1871" Type="http://schemas.openxmlformats.org/officeDocument/2006/relationships/hyperlink" Target="http://www.electionguide.org/countries/id/91/" TargetMode="External"/><Relationship Id="rId259" Type="http://schemas.openxmlformats.org/officeDocument/2006/relationships/hyperlink" Target="http://en.wikipedia.org/wiki/Czech_national_identity_card" TargetMode="External"/><Relationship Id="rId466" Type="http://schemas.openxmlformats.org/officeDocument/2006/relationships/hyperlink" Target="https://www.gi-de.com/en/products_and_solutions/products/national_id_cards/National-ID-cards-for-secure-identification-6530.jsp" TargetMode="External"/><Relationship Id="rId673" Type="http://schemas.openxmlformats.org/officeDocument/2006/relationships/hyperlink" Target="http://qyj.saic.gov.cn/index.html" TargetMode="External"/><Relationship Id="rId880" Type="http://schemas.openxmlformats.org/officeDocument/2006/relationships/hyperlink" Target="http://www.trueb.ee/services-and-products/documents/id-cards" TargetMode="External"/><Relationship Id="rId1096" Type="http://schemas.openxmlformats.org/officeDocument/2006/relationships/hyperlink" Target="http://www.wipo.int/edocs/lexdocs/laws/fr/sn/sn009fr.pdf" TargetMode="External"/><Relationship Id="rId1317" Type="http://schemas.openxmlformats.org/officeDocument/2006/relationships/hyperlink" Target="http://www.dvi.gov.lv/" TargetMode="External"/><Relationship Id="rId1524" Type="http://schemas.openxmlformats.org/officeDocument/2006/relationships/hyperlink" Target="http://www.trueb.ee/services-and-products/documents/id-cards" TargetMode="External"/><Relationship Id="rId1731" Type="http://schemas.openxmlformats.org/officeDocument/2006/relationships/hyperlink" Target="http://esa.un.org/unpd/wpp/Download/Standard/Population/" TargetMode="External"/><Relationship Id="rId1969" Type="http://schemas.openxmlformats.org/officeDocument/2006/relationships/hyperlink" Target="http://www.idea.int/vt/countryview.cfm?id=72" TargetMode="External"/><Relationship Id="rId23" Type="http://schemas.openxmlformats.org/officeDocument/2006/relationships/hyperlink" Target="http://en.wikipedia.org/wiki/Brunei" TargetMode="External"/><Relationship Id="rId119" Type="http://schemas.openxmlformats.org/officeDocument/2006/relationships/hyperlink" Target="http://en.wikipedia.org/wiki/Portugal" TargetMode="External"/><Relationship Id="rId326" Type="http://schemas.openxmlformats.org/officeDocument/2006/relationships/hyperlink" Target="http://www.unicef.org/about/annualreport/files/Djibouti_COAR_2013.prf" TargetMode="External"/><Relationship Id="rId533" Type="http://schemas.openxmlformats.org/officeDocument/2006/relationships/hyperlink" Target="http://www.registrocivil.cl/" TargetMode="External"/><Relationship Id="rId978" Type="http://schemas.openxmlformats.org/officeDocument/2006/relationships/hyperlink" Target="http://www.rnp.hn/" TargetMode="External"/><Relationship Id="rId1163" Type="http://schemas.openxmlformats.org/officeDocument/2006/relationships/hyperlink" Target="http://www.dataprotection.ro/" TargetMode="External"/><Relationship Id="rId1370" Type="http://schemas.openxmlformats.org/officeDocument/2006/relationships/hyperlink" Target="https://ewf.companieshouse.gov.uk/runpage?page=welcome" TargetMode="External"/><Relationship Id="rId1829" Type="http://schemas.openxmlformats.org/officeDocument/2006/relationships/hyperlink" Target="http://www.electionguide.org/countries/id/36/" TargetMode="External"/><Relationship Id="rId740" Type="http://schemas.openxmlformats.org/officeDocument/2006/relationships/hyperlink" Target="https://www.cro.ie/" TargetMode="External"/><Relationship Id="rId838" Type="http://schemas.openxmlformats.org/officeDocument/2006/relationships/hyperlink" Target="http://www.secureidnews.com/news-item/armenia-picks-pwpw-s-a-for-biometric-passports-e-ids/" TargetMode="External"/><Relationship Id="rId1023" Type="http://schemas.openxmlformats.org/officeDocument/2006/relationships/hyperlink" Target="http://www.academia.edu/288876/Smart_ID_Card_In_Thailand_From_a_Buddhist_Perspective" TargetMode="External"/><Relationship Id="rId1468" Type="http://schemas.openxmlformats.org/officeDocument/2006/relationships/hyperlink" Target="http://www.doingbusiness.org/data/exploreeconomies/swaziland/starting-a-business" TargetMode="External"/><Relationship Id="rId1675" Type="http://schemas.openxmlformats.org/officeDocument/2006/relationships/hyperlink" Target="http://esa.un.org/unpd/wpp/Download/Standard/Population/" TargetMode="External"/><Relationship Id="rId1882" Type="http://schemas.openxmlformats.org/officeDocument/2006/relationships/hyperlink" Target="http://www.electionguide.org/countries/id/133/" TargetMode="External"/><Relationship Id="rId172" Type="http://schemas.openxmlformats.org/officeDocument/2006/relationships/hyperlink" Target="http://en.wikipedia.org/wiki/Cambodia" TargetMode="External"/><Relationship Id="rId477" Type="http://schemas.openxmlformats.org/officeDocument/2006/relationships/hyperlink" Target="https://www.eff.org/issues/national-ids" TargetMode="External"/><Relationship Id="rId600" Type="http://schemas.openxmlformats.org/officeDocument/2006/relationships/hyperlink" Target="http://www.matcl.gov.ml/" TargetMode="External"/><Relationship Id="rId684" Type="http://schemas.openxmlformats.org/officeDocument/2006/relationships/hyperlink" Target="http://www.cnr.gob.sv/index.php?option=com_content&amp;view=article&amp;id=88:matriculas&amp;catid=78:tema-1&amp;Itemid=140" TargetMode="External"/><Relationship Id="rId1230" Type="http://schemas.openxmlformats.org/officeDocument/2006/relationships/hyperlink" Target="http://www.afapdp.org/wp-content/uploads/2012/01/Cap-vert-Lei-n%C2%B0133-V-2001-do-22-janeiro-20011.pdf" TargetMode="External"/><Relationship Id="rId1328" Type="http://schemas.openxmlformats.org/officeDocument/2006/relationships/hyperlink" Target="https://ada.lt/go.php/lit/English" TargetMode="External"/><Relationship Id="rId1535" Type="http://schemas.openxmlformats.org/officeDocument/2006/relationships/hyperlink" Target="http://www.trueb.ee/services-and-products/documents/id-cards" TargetMode="External"/><Relationship Id="rId337" Type="http://schemas.openxmlformats.org/officeDocument/2006/relationships/hyperlink" Target="http://www.eservices.gov.gh/BDR/SitePages/bdr-home.aspx" TargetMode="External"/><Relationship Id="rId891" Type="http://schemas.openxmlformats.org/officeDocument/2006/relationships/hyperlink" Target="http://www.iwacu-burundi.org/blogs/english/the-new-national-biometric-identity-card-soon-in-place/" TargetMode="External"/><Relationship Id="rId905" Type="http://schemas.openxmlformats.org/officeDocument/2006/relationships/hyperlink" Target="http://www.iraqinationality.gov.iq/national_id_en.htm" TargetMode="External"/><Relationship Id="rId989" Type="http://schemas.openxmlformats.org/officeDocument/2006/relationships/hyperlink" Target="http://www.registru.md/" TargetMode="External"/><Relationship Id="rId1742" Type="http://schemas.openxmlformats.org/officeDocument/2006/relationships/hyperlink" Target="http://esa.un.org/unpd/wpp/Download/Standard/Population/" TargetMode="External"/><Relationship Id="rId34" Type="http://schemas.openxmlformats.org/officeDocument/2006/relationships/hyperlink" Target="http://en.wikipedia.org/wiki/Croatia" TargetMode="External"/><Relationship Id="rId544" Type="http://schemas.openxmlformats.org/officeDocument/2006/relationships/hyperlink" Target="http://mvd.gov.by/ru/main.aspx?guid=12611" TargetMode="External"/><Relationship Id="rId751" Type="http://schemas.openxmlformats.org/officeDocument/2006/relationships/hyperlink" Target="http://registre.mci.gouv.ht/index.php" TargetMode="External"/><Relationship Id="rId849" Type="http://schemas.openxmlformats.org/officeDocument/2006/relationships/hyperlink" Target="http://www.securitydocumentworld.com/article-details/i/11860/" TargetMode="External"/><Relationship Id="rId1174" Type="http://schemas.openxmlformats.org/officeDocument/2006/relationships/hyperlink" Target="http://www.afapdp.org/wp-content/uploads/2015/01/Madagascar-L-2014-038-du-09-01-15-sur-la-protection-des-donn%C3%A9es-%C3%A0-caract%C3%A8re-personnel.pdf" TargetMode="External"/><Relationship Id="rId1381" Type="http://schemas.openxmlformats.org/officeDocument/2006/relationships/hyperlink" Target="http://empresas.gub.uy/" TargetMode="External"/><Relationship Id="rId1479" Type="http://schemas.openxmlformats.org/officeDocument/2006/relationships/hyperlink" Target="http://www.vfsc.vu/Download/laws/international_companies_act.pdf" TargetMode="External"/><Relationship Id="rId1602" Type="http://schemas.openxmlformats.org/officeDocument/2006/relationships/hyperlink" Target="http://esa.un.org/unpd/wpp/Download/Standard/Population/" TargetMode="External"/><Relationship Id="rId1686" Type="http://schemas.openxmlformats.org/officeDocument/2006/relationships/hyperlink" Target="http://esa.un.org/unpd/wpp/Download/Standard/Population/" TargetMode="External"/><Relationship Id="rId183" Type="http://schemas.openxmlformats.org/officeDocument/2006/relationships/hyperlink" Target="http://en.wikipedia.org/wiki/Madagascar" TargetMode="External"/><Relationship Id="rId390" Type="http://schemas.openxmlformats.org/officeDocument/2006/relationships/hyperlink" Target="http://www.refworld.org/docid/53284a9913.html" TargetMode="External"/><Relationship Id="rId404" Type="http://schemas.openxmlformats.org/officeDocument/2006/relationships/hyperlink" Target="http://www.mos.ru/authority/zags/" TargetMode="External"/><Relationship Id="rId611" Type="http://schemas.openxmlformats.org/officeDocument/2006/relationships/hyperlink" Target="http://www.reniec.gob.pe/portal/homeDepartamento.htm" TargetMode="External"/><Relationship Id="rId1034" Type="http://schemas.openxmlformats.org/officeDocument/2006/relationships/hyperlink" Target="http://www.rg.gov.zw/services/national" TargetMode="External"/><Relationship Id="rId1241" Type="http://schemas.openxmlformats.org/officeDocument/2006/relationships/hyperlink" Target="http://cnilbenin.bj/" TargetMode="External"/><Relationship Id="rId1339" Type="http://schemas.openxmlformats.org/officeDocument/2006/relationships/hyperlink" Target="http://www.humanrightsinitiative.org/programs/ai/rti/international/laws_&amp;_papers.htm" TargetMode="External"/><Relationship Id="rId1893" Type="http://schemas.openxmlformats.org/officeDocument/2006/relationships/hyperlink" Target="http://www.electionguide.org/countries/id/49/" TargetMode="External"/><Relationship Id="rId1907" Type="http://schemas.openxmlformats.org/officeDocument/2006/relationships/hyperlink" Target="http://www.electionguide.org/countries/id/87/" TargetMode="External"/><Relationship Id="rId250" Type="http://schemas.openxmlformats.org/officeDocument/2006/relationships/hyperlink" Target="http://en.wikipedia.org/wiki/Hong_Kong_Identity_Card" TargetMode="External"/><Relationship Id="rId488" Type="http://schemas.openxmlformats.org/officeDocument/2006/relationships/hyperlink" Target="http://www.jpn.gov.my/" TargetMode="External"/><Relationship Id="rId695" Type="http://schemas.openxmlformats.org/officeDocument/2006/relationships/hyperlink" Target="http://me3con.com/?p=264" TargetMode="External"/><Relationship Id="rId709" Type="http://schemas.openxmlformats.org/officeDocument/2006/relationships/hyperlink" Target="http://www.cfce.cm/nos-prestations" TargetMode="External"/><Relationship Id="rId916" Type="http://schemas.openxmlformats.org/officeDocument/2006/relationships/hyperlink" Target="http://www.paci.gov.kw/en/" TargetMode="External"/><Relationship Id="rId1101" Type="http://schemas.openxmlformats.org/officeDocument/2006/relationships/hyperlink" Target="http://ec.europa.eu/justice/policies/privacy/docs/implementation/slovakia_428_02_en.pdf" TargetMode="External"/><Relationship Id="rId1546" Type="http://schemas.openxmlformats.org/officeDocument/2006/relationships/hyperlink" Target="http://www.riserid.eu/fileadmin/user_upload/Datei/5_konferenz/S5_13_Electronic_ID_Card_Romania_Balasa.pdf" TargetMode="External"/><Relationship Id="rId1753" Type="http://schemas.openxmlformats.org/officeDocument/2006/relationships/hyperlink" Target="http://www.estadistica.ad/" TargetMode="External"/><Relationship Id="rId1960" Type="http://schemas.openxmlformats.org/officeDocument/2006/relationships/hyperlink" Target="http://www.idea.int/vt/countryview.cfm?id=195" TargetMode="External"/><Relationship Id="rId45" Type="http://schemas.openxmlformats.org/officeDocument/2006/relationships/hyperlink" Target="http://en.wikipedia.org/wiki/Equatorial_Guinea" TargetMode="External"/><Relationship Id="rId110" Type="http://schemas.openxmlformats.org/officeDocument/2006/relationships/hyperlink" Target="http://en.wikipedia.org/wiki/Norway" TargetMode="External"/><Relationship Id="rId348" Type="http://schemas.openxmlformats.org/officeDocument/2006/relationships/hyperlink" Target="http://www.jakarta.go.id/web/news/2009/11/Akta-Kelahiran" TargetMode="External"/><Relationship Id="rId555" Type="http://schemas.openxmlformats.org/officeDocument/2006/relationships/hyperlink" Target="http://www.matds.gov.bf/index.php/le-ministere/les-services-centraux/dgmec" TargetMode="External"/><Relationship Id="rId762" Type="http://schemas.openxmlformats.org/officeDocument/2006/relationships/hyperlink" Target="http://bsr-mot.com/English/search.htm" TargetMode="External"/><Relationship Id="rId1185" Type="http://schemas.openxmlformats.org/officeDocument/2006/relationships/hyperlink" Target="http://legalaffairs.govt.lc/" TargetMode="External"/><Relationship Id="rId1392" Type="http://schemas.openxmlformats.org/officeDocument/2006/relationships/hyperlink" Target="https://gcis.nat.gov.tw/pub/cmpy/cmpyInfoListAction.do" TargetMode="External"/><Relationship Id="rId1406" Type="http://schemas.openxmlformats.org/officeDocument/2006/relationships/hyperlink" Target="http://www.portaldogoverno.gov.mz/Servicos/NegInvestiment/reg/sociedades/" TargetMode="External"/><Relationship Id="rId1613" Type="http://schemas.openxmlformats.org/officeDocument/2006/relationships/hyperlink" Target="http://esa.un.org/unpd/wpp/Download/Standard/Population/" TargetMode="External"/><Relationship Id="rId1820" Type="http://schemas.openxmlformats.org/officeDocument/2006/relationships/hyperlink" Target="http://www.electionguide.org/countries/id/83/" TargetMode="External"/><Relationship Id="rId194" Type="http://schemas.openxmlformats.org/officeDocument/2006/relationships/hyperlink" Target="http://en.wikipedia.org/wiki/Macau" TargetMode="External"/><Relationship Id="rId208" Type="http://schemas.openxmlformats.org/officeDocument/2006/relationships/hyperlink" Target="http://www.pricegen.com/the-global-civil-registration/" TargetMode="External"/><Relationship Id="rId415" Type="http://schemas.openxmlformats.org/officeDocument/2006/relationships/hyperlink" Target="http://health.gov.sl/" TargetMode="External"/><Relationship Id="rId622" Type="http://schemas.openxmlformats.org/officeDocument/2006/relationships/hyperlink" Target="http://www.mps.gov.vn/web/guest/english" TargetMode="External"/><Relationship Id="rId1045" Type="http://schemas.openxmlformats.org/officeDocument/2006/relationships/hyperlink" Target="http://www.rti-rating.org/files/pdf/Taiwan.pdf" TargetMode="External"/><Relationship Id="rId1252" Type="http://schemas.openxmlformats.org/officeDocument/2006/relationships/hyperlink" Target="http://www.rti-rating.org/files/pdf/Ecuador.pdf" TargetMode="External"/><Relationship Id="rId1697" Type="http://schemas.openxmlformats.org/officeDocument/2006/relationships/hyperlink" Target="http://esa.un.org/unpd/wpp/Download/Standard/Population/" TargetMode="External"/><Relationship Id="rId1918" Type="http://schemas.openxmlformats.org/officeDocument/2006/relationships/hyperlink" Target="http://www.idea.int/vt/countryview.cfm?id=128" TargetMode="External"/><Relationship Id="rId261" Type="http://schemas.openxmlformats.org/officeDocument/2006/relationships/hyperlink" Target="http://en.wikipedia.org/wiki/Finnish_identity_card" TargetMode="External"/><Relationship Id="rId499" Type="http://schemas.openxmlformats.org/officeDocument/2006/relationships/hyperlink" Target="http://www.freerepublic.com/focus/news/2307076/posts" TargetMode="External"/><Relationship Id="rId927" Type="http://schemas.openxmlformats.org/officeDocument/2006/relationships/hyperlink" Target="http://www.cidadao.gov.ao/VerServico.aspx?id=231" TargetMode="External"/><Relationship Id="rId1112" Type="http://schemas.openxmlformats.org/officeDocument/2006/relationships/hyperlink" Target="https://dataprotection.gov.sk/uoou/en" TargetMode="External"/><Relationship Id="rId1557" Type="http://schemas.openxmlformats.org/officeDocument/2006/relationships/hyperlink" Target="http://af.reuters.com/article/topNews/idAFJOE6450D020100506" TargetMode="External"/><Relationship Id="rId1764" Type="http://schemas.openxmlformats.org/officeDocument/2006/relationships/hyperlink" Target="http://www.indexmundi.com/saint_kitts_and_nevis/population.html" TargetMode="External"/><Relationship Id="rId1971" Type="http://schemas.openxmlformats.org/officeDocument/2006/relationships/hyperlink" Target="http://www.idea.int/vt/countryview.cfm?id=207" TargetMode="External"/><Relationship Id="rId56" Type="http://schemas.openxmlformats.org/officeDocument/2006/relationships/hyperlink" Target="http://en.wikipedia.org/wiki/Greece" TargetMode="External"/><Relationship Id="rId359" Type="http://schemas.openxmlformats.org/officeDocument/2006/relationships/hyperlink" Target="http://egov.kz/wps/portal/Content?contentPath=/egovcontent/_family/child_/article/childbirth&amp;lang=en" TargetMode="External"/><Relationship Id="rId566" Type="http://schemas.openxmlformats.org/officeDocument/2006/relationships/hyperlink" Target="http://en.wikipedia.org/wiki/Cypriot_identity_card" TargetMode="External"/><Relationship Id="rId773" Type="http://schemas.openxmlformats.org/officeDocument/2006/relationships/hyperlink" Target="http://www1.touki.or.jp/gateway.html" TargetMode="External"/><Relationship Id="rId1196" Type="http://schemas.openxmlformats.org/officeDocument/2006/relationships/hyperlink" Target="http://www.rti-rating.org/files/pdf/Armenia.pdf" TargetMode="External"/><Relationship Id="rId1417" Type="http://schemas.openxmlformats.org/officeDocument/2006/relationships/hyperlink" Target="https://www.sunarp.gob.pe/qsomos.asp" TargetMode="External"/><Relationship Id="rId1624" Type="http://schemas.openxmlformats.org/officeDocument/2006/relationships/hyperlink" Target="http://esa.un.org/unpd/wpp/Download/Standard/Population/" TargetMode="External"/><Relationship Id="rId1831" Type="http://schemas.openxmlformats.org/officeDocument/2006/relationships/hyperlink" Target="http://www.electionguide.org/countries/id/38/" TargetMode="External"/><Relationship Id="rId121" Type="http://schemas.openxmlformats.org/officeDocument/2006/relationships/hyperlink" Target="http://en.wikipedia.org/wiki/Romania" TargetMode="External"/><Relationship Id="rId219" Type="http://schemas.openxmlformats.org/officeDocument/2006/relationships/hyperlink" Target="http://www.tse.go.cr/devolucion_inscripciones.htm" TargetMode="External"/><Relationship Id="rId426" Type="http://schemas.openxmlformats.org/officeDocument/2006/relationships/hyperlink" Target="http://www.gov.sz/index.php?option=com_content&amp;view=article&amp;catid=81%3Ahome-affairs&amp;id=1368%3Acivil-registration&amp;Itemid=304" TargetMode="External"/><Relationship Id="rId633" Type="http://schemas.openxmlformats.org/officeDocument/2006/relationships/hyperlink" Target="http://www.dopa.go.th/" TargetMode="External"/><Relationship Id="rId980" Type="http://schemas.openxmlformats.org/officeDocument/2006/relationships/hyperlink" Target="https://ugyintezes.magyarorszag.hu/ugyek/410010/Szemelyi_okmanyok20091202.html?ugy=szemazig.html" TargetMode="External"/><Relationship Id="rId1056" Type="http://schemas.openxmlformats.org/officeDocument/2006/relationships/hyperlink" Target="http://www.foia.gov.tt/" TargetMode="External"/><Relationship Id="rId1263" Type="http://schemas.openxmlformats.org/officeDocument/2006/relationships/hyperlink" Target="http://www.uoou.cz/" TargetMode="External"/><Relationship Id="rId1929" Type="http://schemas.openxmlformats.org/officeDocument/2006/relationships/hyperlink" Target="http://www.idea.int/vt/countryview.cfm?id=51" TargetMode="External"/><Relationship Id="rId840" Type="http://schemas.openxmlformats.org/officeDocument/2006/relationships/hyperlink" Target="http://www.gemalto.com/govt/customer-cases/kuwait" TargetMode="External"/><Relationship Id="rId938" Type="http://schemas.openxmlformats.org/officeDocument/2006/relationships/hyperlink" Target="http://www.lexpressguinee.com/fichiers/blog16-999.php?pseudo=rub2&amp;code=calb4317&amp;langue=fr" TargetMode="External"/><Relationship Id="rId1470" Type="http://schemas.openxmlformats.org/officeDocument/2006/relationships/hyperlink" Target="http://www.ocr.gov.np/images/pdf/the-companies-act%202006-english.pdf" TargetMode="External"/><Relationship Id="rId1568" Type="http://schemas.openxmlformats.org/officeDocument/2006/relationships/hyperlink" Target="http://esa.un.org/unpd/wpp/Download/Standard/Population/" TargetMode="External"/><Relationship Id="rId1775" Type="http://schemas.openxmlformats.org/officeDocument/2006/relationships/hyperlink" Target="http://www.electionguide.org/countries/id/10/" TargetMode="External"/><Relationship Id="rId67" Type="http://schemas.openxmlformats.org/officeDocument/2006/relationships/hyperlink" Target="http://en.wikipedia.org/wiki/Indonesia" TargetMode="External"/><Relationship Id="rId272" Type="http://schemas.openxmlformats.org/officeDocument/2006/relationships/hyperlink" Target="http://en.wikipedia.org/wiki/Belarusian_passport" TargetMode="External"/><Relationship Id="rId577" Type="http://schemas.openxmlformats.org/officeDocument/2006/relationships/hyperlink" Target="http://www.astynomia.gr/index.php?option=ozo_content&amp;perform=view&amp;id=139&amp;Itemid=132&amp;lang" TargetMode="External"/><Relationship Id="rId700" Type="http://schemas.openxmlformats.org/officeDocument/2006/relationships/hyperlink" Target="http://ard.gov.af/index.php/2012-06-04-16-53-00/2013-07-20-04-50-44/standard-issue-of-tin" TargetMode="External"/><Relationship Id="rId1123" Type="http://schemas.openxmlformats.org/officeDocument/2006/relationships/hyperlink" Target="http://www.rti-rating.org/files/pdf/Nepal.pdf" TargetMode="External"/><Relationship Id="rId1330" Type="http://schemas.openxmlformats.org/officeDocument/2006/relationships/hyperlink" Target="http://www.gpdp.gov.mo/paw2014/index_en.html" TargetMode="External"/><Relationship Id="rId1428" Type="http://schemas.openxmlformats.org/officeDocument/2006/relationships/hyperlink" Target="http://www.ajpes.eu/O_AJPES/Predstavitev/Javne_storitve" TargetMode="External"/><Relationship Id="rId1635" Type="http://schemas.openxmlformats.org/officeDocument/2006/relationships/hyperlink" Target="http://esa.un.org/unpd/wpp/Download/Standard/Population/" TargetMode="External"/><Relationship Id="rId1982" Type="http://schemas.openxmlformats.org/officeDocument/2006/relationships/hyperlink" Target="http://www.idea.int/vt/countryview.cfm?id=220" TargetMode="External"/><Relationship Id="rId132" Type="http://schemas.openxmlformats.org/officeDocument/2006/relationships/hyperlink" Target="http://en.wikipedia.org/wiki/Sierra_Leone" TargetMode="External"/><Relationship Id="rId784" Type="http://schemas.openxmlformats.org/officeDocument/2006/relationships/hyperlink" Target="https://register.minjust.gov.kg/register/SearchAction.seam" TargetMode="External"/><Relationship Id="rId991" Type="http://schemas.openxmlformats.org/officeDocument/2006/relationships/hyperlink" Target="http://www.reniec.gob.pe/portal/homeDepartamento.htm" TargetMode="External"/><Relationship Id="rId1067" Type="http://schemas.openxmlformats.org/officeDocument/2006/relationships/hyperlink" Target="https://ico.org.uk/about-the-ico/" TargetMode="External"/><Relationship Id="rId1842" Type="http://schemas.openxmlformats.org/officeDocument/2006/relationships/hyperlink" Target="http://www.electionguide.org/countries/id/39/" TargetMode="External"/><Relationship Id="rId437" Type="http://schemas.openxmlformats.org/officeDocument/2006/relationships/hyperlink" Target="http://www.commune-tunis.gov.tn/publish/content/article.asp?ID=646" TargetMode="External"/><Relationship Id="rId644" Type="http://schemas.openxmlformats.org/officeDocument/2006/relationships/hyperlink" Target="http://www.mic.gov.to/palace-office/1834-tonga-to-distribute-first-ever-national-id-card" TargetMode="External"/><Relationship Id="rId851" Type="http://schemas.openxmlformats.org/officeDocument/2006/relationships/hyperlink" Target="http://nip-global.com/advanced-technological-systems-and-solution-provider" TargetMode="External"/><Relationship Id="rId1274" Type="http://schemas.openxmlformats.org/officeDocument/2006/relationships/hyperlink" Target="http://www.afapdp.org/archives/1319" TargetMode="External"/><Relationship Id="rId1481" Type="http://schemas.openxmlformats.org/officeDocument/2006/relationships/hyperlink" Target="http://www.interieur.gov.dz/Dynamics/frmItem.aspx?html=57&amp;s=2" TargetMode="External"/><Relationship Id="rId1579" Type="http://schemas.openxmlformats.org/officeDocument/2006/relationships/hyperlink" Target="http://esa.un.org/unpd/wpp/Download/Standard/Population/" TargetMode="External"/><Relationship Id="rId1702" Type="http://schemas.openxmlformats.org/officeDocument/2006/relationships/hyperlink" Target="http://esa.un.org/unpd/wpp/Download/Standard/Population/" TargetMode="External"/><Relationship Id="rId283" Type="http://schemas.openxmlformats.org/officeDocument/2006/relationships/hyperlink" Target="http://en.wikipedia.org/wiki/National_identification_numbering_in_Iceland" TargetMode="External"/><Relationship Id="rId490" Type="http://schemas.openxmlformats.org/officeDocument/2006/relationships/hyperlink" Target="http://en.wikipedia.org/wiki/W%C3%B3jt" TargetMode="External"/><Relationship Id="rId504" Type="http://schemas.openxmlformats.org/officeDocument/2006/relationships/hyperlink" Target="http://www.registrargeneral.gov.mw/cms/drg/?id=11" TargetMode="External"/><Relationship Id="rId711" Type="http://schemas.openxmlformats.org/officeDocument/2006/relationships/hyperlink" Target="http://www.mj.gov.cv/index.php/estrutura-mtie/2012-02-14-13-02-17" TargetMode="External"/><Relationship Id="rId949" Type="http://schemas.openxmlformats.org/officeDocument/2006/relationships/hyperlink" Target="http://www.segip.gob.bo/web/" TargetMode="External"/><Relationship Id="rId1134" Type="http://schemas.openxmlformats.org/officeDocument/2006/relationships/hyperlink" Target="http://www.rti-rating.org/files/pdf/Portugal.pdf" TargetMode="External"/><Relationship Id="rId1341" Type="http://schemas.openxmlformats.org/officeDocument/2006/relationships/hyperlink" Target="http://www.humanrightsinitiative.org/programs/ai/rti/international/laws_&amp;_papers.htm" TargetMode="External"/><Relationship Id="rId1786" Type="http://schemas.openxmlformats.org/officeDocument/2006/relationships/hyperlink" Target="http://www.sesrtcic.org/files/article/506.pdf" TargetMode="External"/><Relationship Id="rId1993" Type="http://schemas.openxmlformats.org/officeDocument/2006/relationships/hyperlink" Target="https://www.elections.ps/tabid/938/language/en-US/Default.aspx?rid=2&amp;ep=6" TargetMode="External"/><Relationship Id="rId78" Type="http://schemas.openxmlformats.org/officeDocument/2006/relationships/hyperlink" Target="http://en.wikipedia.org/wiki/South_Korea" TargetMode="External"/><Relationship Id="rId143" Type="http://schemas.openxmlformats.org/officeDocument/2006/relationships/hyperlink" Target="http://en.wikipedia.org/wiki/Switzerland" TargetMode="External"/><Relationship Id="rId350" Type="http://schemas.openxmlformats.org/officeDocument/2006/relationships/hyperlink" Target="http://www.interno.gov.it/mininterno/export/sites/default/it/temi/servizi_demografici/scheda_003.html" TargetMode="External"/><Relationship Id="rId588" Type="http://schemas.openxmlformats.org/officeDocument/2006/relationships/hyperlink" Target="http://www.korea-dpr.com/citizen.html" TargetMode="External"/><Relationship Id="rId795" Type="http://schemas.openxmlformats.org/officeDocument/2006/relationships/hyperlink" Target="https://www.register-iri.com/miCorporate/index.cfm/Corporate/search" TargetMode="External"/><Relationship Id="rId809" Type="http://schemas.openxmlformats.org/officeDocument/2006/relationships/hyperlink" Target="http://www.edbm.gov.mg/One-Stop-Shop/Company-creation" TargetMode="External"/><Relationship Id="rId1201" Type="http://schemas.openxmlformats.org/officeDocument/2006/relationships/hyperlink" Target="http://www.rti-rating.org/files/pdf/Belgium.pdf" TargetMode="External"/><Relationship Id="rId1439" Type="http://schemas.openxmlformats.org/officeDocument/2006/relationships/hyperlink" Target="http://www.doingbusiness.org/data/exploreeconomies/niger/starting-a-business" TargetMode="External"/><Relationship Id="rId1646" Type="http://schemas.openxmlformats.org/officeDocument/2006/relationships/hyperlink" Target="http://esa.un.org/unpd/wpp/Download/Standard/Population/" TargetMode="External"/><Relationship Id="rId1853" Type="http://schemas.openxmlformats.org/officeDocument/2006/relationships/hyperlink" Target="https://www.destatis.de/EN/FactsFigures/SocietyState/Population/CurrentPopulation/Tables/Census_SexAndCitizenship.html" TargetMode="External"/><Relationship Id="rId9" Type="http://schemas.openxmlformats.org/officeDocument/2006/relationships/hyperlink" Target="http://en.wikipedia.org/wiki/Australia" TargetMode="External"/><Relationship Id="rId210" Type="http://schemas.openxmlformats.org/officeDocument/2006/relationships/hyperlink" Target="http://www.elections.gov.bz/" TargetMode="External"/><Relationship Id="rId448" Type="http://schemas.openxmlformats.org/officeDocument/2006/relationships/hyperlink" Target="https://governmentofvanuatu.gov.vu/internal-affairs.html" TargetMode="External"/><Relationship Id="rId655" Type="http://schemas.openxmlformats.org/officeDocument/2006/relationships/hyperlink" Target="http://www.dipartimento.interni.sm/on-line/home/uffici/ufficio-di-stato-civile-servizi-demografici-ed-elettorali.html" TargetMode="External"/><Relationship Id="rId862" Type="http://schemas.openxmlformats.org/officeDocument/2006/relationships/hyperlink" Target="http://juki-card.com/about/index.html" TargetMode="External"/><Relationship Id="rId1078" Type="http://schemas.openxmlformats.org/officeDocument/2006/relationships/hyperlink" Target="http://www.nita.go.ug/sites/default/files/publications/Draft%20Data%20Protection%20and%20PrivacyBill%20-%20Revised%20PDF.pdf" TargetMode="External"/><Relationship Id="rId1285" Type="http://schemas.openxmlformats.org/officeDocument/2006/relationships/hyperlink" Target="http://www.rti-rating.org/files/pdf/Indonesia.pdf" TargetMode="External"/><Relationship Id="rId1492" Type="http://schemas.openxmlformats.org/officeDocument/2006/relationships/hyperlink" Target="http://www.moi.gov.sa/" TargetMode="External"/><Relationship Id="rId1506" Type="http://schemas.openxmlformats.org/officeDocument/2006/relationships/hyperlink" Target="http://www.muhlbauer.com/29593/Solutions-Products/Solutions/ID-documents/index.aspx" TargetMode="External"/><Relationship Id="rId1713" Type="http://schemas.openxmlformats.org/officeDocument/2006/relationships/hyperlink" Target="http://esa.un.org/unpd/wpp/Download/Standard/Population/" TargetMode="External"/><Relationship Id="rId1920" Type="http://schemas.openxmlformats.org/officeDocument/2006/relationships/hyperlink" Target="http://www.dsec.gov.mo/Statistic.aspx?NodeGuid=8d4d5779-c0d3-42f0-ae71-8b747bdc8d88" TargetMode="External"/><Relationship Id="rId294" Type="http://schemas.openxmlformats.org/officeDocument/2006/relationships/hyperlink" Target="http://moi.gov.af/en/page/7180" TargetMode="External"/><Relationship Id="rId308" Type="http://schemas.openxmlformats.org/officeDocument/2006/relationships/hyperlink" Target="http://www.gouv.bj/" TargetMode="External"/><Relationship Id="rId515" Type="http://schemas.openxmlformats.org/officeDocument/2006/relationships/hyperlink" Target="http://www.soumu.go.jp/english/lab/index.html" TargetMode="External"/><Relationship Id="rId722" Type="http://schemas.openxmlformats.org/officeDocument/2006/relationships/hyperlink" Target="https://www.egov.gov.fj/pages/Authentication/FIJIlogin.aspx?ReturnUrl=%2fg2b%2fJustice%2frcbs%2fdefault.aspx" TargetMode="External"/><Relationship Id="rId1145" Type="http://schemas.openxmlformats.org/officeDocument/2006/relationships/hyperlink" Target="http://www.coe.int/t/dghl/standardsetting/dataprotection/National%20laws/NORWAY_DPACT2000.pdf" TargetMode="External"/><Relationship Id="rId1352" Type="http://schemas.openxmlformats.org/officeDocument/2006/relationships/hyperlink" Target="http://www.coe.int/t/dghl/standardsetting/dataprotection/National%20laws/Georgia%20(Law%20of...)%20on%20Personal%20Data%20Protection%20as%20amended%2014%2005%202013.pdf" TargetMode="External"/><Relationship Id="rId1797" Type="http://schemas.openxmlformats.org/officeDocument/2006/relationships/hyperlink" Target="http://www.unicef.org/protection/files/UNICEF_Birth_Registration_Handbook.pdf" TargetMode="External"/><Relationship Id="rId89" Type="http://schemas.openxmlformats.org/officeDocument/2006/relationships/hyperlink" Target="http://en.wikipedia.org/wiki/Malawi" TargetMode="External"/><Relationship Id="rId154" Type="http://schemas.openxmlformats.org/officeDocument/2006/relationships/hyperlink" Target="http://en.wikipedia.org/wiki/Tuvalu" TargetMode="External"/><Relationship Id="rId361" Type="http://schemas.openxmlformats.org/officeDocument/2006/relationships/hyperlink" Target="http://www.unicef.org/pacificislands/English_BIRTH_REGISLAYOUT.pdf" TargetMode="External"/><Relationship Id="rId599" Type="http://schemas.openxmlformats.org/officeDocument/2006/relationships/hyperlink" Target="http://www.mvr.gov.mk/DesktopDefault.aspx?tabindex=5&amp;tabid=187&amp;parent=100" TargetMode="External"/><Relationship Id="rId1005" Type="http://schemas.openxmlformats.org/officeDocument/2006/relationships/hyperlink" Target="http://www.nri.org.pg/news/drspeachcompletetext_020914.htm" TargetMode="External"/><Relationship Id="rId1212" Type="http://schemas.openxmlformats.org/officeDocument/2006/relationships/hyperlink" Target="http://www.legislationline.org/documents/action/popup/id/6493" TargetMode="External"/><Relationship Id="rId1657" Type="http://schemas.openxmlformats.org/officeDocument/2006/relationships/hyperlink" Target="http://esa.un.org/unpd/wpp/Download/Standard/Population/" TargetMode="External"/><Relationship Id="rId1864" Type="http://schemas.openxmlformats.org/officeDocument/2006/relationships/hyperlink" Target="https://www.paci.gov.kw/STAT/SubCategories/Index?CategoryId=8" TargetMode="External"/><Relationship Id="rId459" Type="http://schemas.openxmlformats.org/officeDocument/2006/relationships/hyperlink" Target="https://www.gi-de.com/en/products_and_solutions/products/national_id_cards/National-ID-cards-for-secure-identification-6530.jsp" TargetMode="External"/><Relationship Id="rId666" Type="http://schemas.openxmlformats.org/officeDocument/2006/relationships/hyperlink" Target="https://www.freedomhouse.org/" TargetMode="External"/><Relationship Id="rId873" Type="http://schemas.openxmlformats.org/officeDocument/2006/relationships/hyperlink" Target="http://www.id.ee/index.php?id=30651" TargetMode="External"/><Relationship Id="rId1089" Type="http://schemas.openxmlformats.org/officeDocument/2006/relationships/hyperlink" Target="http://www.rti-rating.org/files/pdf/Slovenia.pdf" TargetMode="External"/><Relationship Id="rId1296" Type="http://schemas.openxmlformats.org/officeDocument/2006/relationships/hyperlink" Target="http://www.personuvernd.is/" TargetMode="External"/><Relationship Id="rId1517" Type="http://schemas.openxmlformats.org/officeDocument/2006/relationships/hyperlink" Target="http://www.gemalto.com/govt/customer-cases/south-africa" TargetMode="External"/><Relationship Id="rId1724" Type="http://schemas.openxmlformats.org/officeDocument/2006/relationships/hyperlink" Target="http://esa.un.org/unpd/wpp/Download/Standard/Population/" TargetMode="External"/><Relationship Id="rId16" Type="http://schemas.openxmlformats.org/officeDocument/2006/relationships/hyperlink" Target="http://en.wikipedia.org/wiki/Belarus" TargetMode="External"/><Relationship Id="rId221" Type="http://schemas.openxmlformats.org/officeDocument/2006/relationships/hyperlink" Target="http://idbdocs.iadb.org/wsdocs/getdocument.aspx?docnum=1959542" TargetMode="External"/><Relationship Id="rId319" Type="http://schemas.openxmlformats.org/officeDocument/2006/relationships/hyperlink" Target="http://www.unicef.org/evaldatabase/index_68198.html" TargetMode="External"/><Relationship Id="rId526" Type="http://schemas.openxmlformats.org/officeDocument/2006/relationships/hyperlink" Target="http://www.registraduria.gov.co/-El-parche-del-regi-.html" TargetMode="External"/><Relationship Id="rId1156" Type="http://schemas.openxmlformats.org/officeDocument/2006/relationships/hyperlink" Target="https://cbpweb.nl/en" TargetMode="External"/><Relationship Id="rId1363" Type="http://schemas.openxmlformats.org/officeDocument/2006/relationships/hyperlink" Target="http://webarchive.nationalarchives.gov.uk/20140711134921/http:/www.companieshouse.gov.uk/links/usaLink.shtml" TargetMode="External"/><Relationship Id="rId1931" Type="http://schemas.openxmlformats.org/officeDocument/2006/relationships/hyperlink" Target="http://www.idea.int/vt/countryview.cfm?id=139" TargetMode="External"/><Relationship Id="rId733" Type="http://schemas.openxmlformats.org/officeDocument/2006/relationships/hyperlink" Target="http://www.acci.gr/acci/Home/tabid/28/language/el-GR/Default.aspx" TargetMode="External"/><Relationship Id="rId940" Type="http://schemas.openxmlformats.org/officeDocument/2006/relationships/hyperlink" Target="http://eid.belgium.be/" TargetMode="External"/><Relationship Id="rId1016" Type="http://schemas.openxmlformats.org/officeDocument/2006/relationships/hyperlink" Target="http://en.wikipedia.org/wiki/Biometrics_use_by_the_South_African_government" TargetMode="External"/><Relationship Id="rId1570" Type="http://schemas.openxmlformats.org/officeDocument/2006/relationships/hyperlink" Target="http://esa.un.org/unpd/wpp/Download/Standard/Population/" TargetMode="External"/><Relationship Id="rId1668" Type="http://schemas.openxmlformats.org/officeDocument/2006/relationships/hyperlink" Target="http://esa.un.org/unpd/wpp/Download/Standard/Population/" TargetMode="External"/><Relationship Id="rId1875" Type="http://schemas.openxmlformats.org/officeDocument/2006/relationships/hyperlink" Target="http://www.electionguide.org/countries/id/93/" TargetMode="External"/><Relationship Id="rId165" Type="http://schemas.openxmlformats.org/officeDocument/2006/relationships/hyperlink" Target="http://en.wikipedia.org/wiki/Zambia" TargetMode="External"/><Relationship Id="rId372" Type="http://schemas.openxmlformats.org/officeDocument/2006/relationships/hyperlink" Target="http://eudo-citizenship.eu/NationalDB/docs/MAC%20Law_Registers_Birth_eng.pdf" TargetMode="External"/><Relationship Id="rId677" Type="http://schemas.openxmlformats.org/officeDocument/2006/relationships/hyperlink" Target="https://www.rnpdigital.com/shopping/login.jspx" TargetMode="External"/><Relationship Id="rId800" Type="http://schemas.openxmlformats.org/officeDocument/2006/relationships/hyperlink" Target="http://www.paclii.org/ki/legis/consol_act/co160/" TargetMode="External"/><Relationship Id="rId1223" Type="http://schemas.openxmlformats.org/officeDocument/2006/relationships/hyperlink" Target="http://www.legislationline.org/download/action/download/id/5514/file/Belgium_Privacy_Act_1992_as_of_2014_en.pdf" TargetMode="External"/><Relationship Id="rId1430" Type="http://schemas.openxmlformats.org/officeDocument/2006/relationships/hyperlink" Target="http://www.tpsudan.gov.sd/index.php/ar/financial_guide/" TargetMode="External"/><Relationship Id="rId1528" Type="http://schemas.openxmlformats.org/officeDocument/2006/relationships/hyperlink" Target="https://www.crc4d.com/downloads/2014-04-establishing-21st-century-identity-management-sierra-Leone.pdf" TargetMode="External"/><Relationship Id="rId232" Type="http://schemas.openxmlformats.org/officeDocument/2006/relationships/hyperlink" Target="http://www.managua.gob.ni/index.php?s=3050" TargetMode="External"/><Relationship Id="rId884" Type="http://schemas.openxmlformats.org/officeDocument/2006/relationships/hyperlink" Target="https://www.gi-de.com/en/products_and_solutions/products/national_id_cards/National-ID-cards-for-secure-identification-6530.jsp" TargetMode="External"/><Relationship Id="rId1735" Type="http://schemas.openxmlformats.org/officeDocument/2006/relationships/hyperlink" Target="http://esa.un.org/unpd/wpp/Download/Standard/Population/" TargetMode="External"/><Relationship Id="rId1942" Type="http://schemas.openxmlformats.org/officeDocument/2006/relationships/hyperlink" Target="http://www.idea.int/vt/countryview.cfm?id=185" TargetMode="External"/><Relationship Id="rId27" Type="http://schemas.openxmlformats.org/officeDocument/2006/relationships/hyperlink" Target="http://en.wikipedia.org/wiki/Cape_Verde" TargetMode="External"/><Relationship Id="rId537" Type="http://schemas.openxmlformats.org/officeDocument/2006/relationships/hyperlink" Target="https://www.skra.is/english/english/" TargetMode="External"/><Relationship Id="rId744" Type="http://schemas.openxmlformats.org/officeDocument/2006/relationships/hyperlink" Target="http://www.doingbusiness.org/data/exploreeconomies/guatemala/starting-a-business/" TargetMode="External"/><Relationship Id="rId951" Type="http://schemas.openxmlformats.org/officeDocument/2006/relationships/hyperlink" Target="http://www.dnt.adv.br/noticias/especificacoes-da-nova-identidade-o-ric-preveem-dois-chips-e-certificado-digital/" TargetMode="External"/><Relationship Id="rId1167" Type="http://schemas.openxmlformats.org/officeDocument/2006/relationships/hyperlink" Target="http://www.rti-rating.org/files/pdf/Mexico.pdf" TargetMode="External"/><Relationship Id="rId1374" Type="http://schemas.openxmlformats.org/officeDocument/2006/relationships/hyperlink" Target="http://andoz.tj/index.php/ru/elektronnye-uslugi/informatsiya-po-gosudarstvennomu-reestru/reestr-yuridicheskikh-lits" TargetMode="External"/><Relationship Id="rId1581" Type="http://schemas.openxmlformats.org/officeDocument/2006/relationships/hyperlink" Target="http://esa.un.org/unpd/wpp/Download/Standard/Population/" TargetMode="External"/><Relationship Id="rId1679" Type="http://schemas.openxmlformats.org/officeDocument/2006/relationships/hyperlink" Target="http://esa.un.org/unpd/wpp/Download/Standard/Population/" TargetMode="External"/><Relationship Id="rId1802" Type="http://schemas.openxmlformats.org/officeDocument/2006/relationships/hyperlink" Target="http://www.unicef.org/pacificislands/Solomon_Islands_Birth_Registration_.pdf" TargetMode="External"/><Relationship Id="rId80" Type="http://schemas.openxmlformats.org/officeDocument/2006/relationships/hyperlink" Target="http://en.wikipedia.org/wiki/Kyrgyzstan" TargetMode="External"/><Relationship Id="rId176" Type="http://schemas.openxmlformats.org/officeDocument/2006/relationships/hyperlink" Target="http://en.wikipedia.org/wiki/Democratic_Republic_of_the_Congo" TargetMode="External"/><Relationship Id="rId383" Type="http://schemas.openxmlformats.org/officeDocument/2006/relationships/hyperlink" Target="http://adoption.com/wiki/Adopting_from_Marshall_Islands" TargetMode="External"/><Relationship Id="rId590" Type="http://schemas.openxmlformats.org/officeDocument/2006/relationships/hyperlink" Target="http://www.mpb-ks.org/" TargetMode="External"/><Relationship Id="rId604" Type="http://schemas.openxmlformats.org/officeDocument/2006/relationships/hyperlink" Target="https://burtgel.gov.mn/index.php?option=com_content&amp;view=article&amp;id=112&amp;Itemid=141" TargetMode="External"/><Relationship Id="rId811" Type="http://schemas.openxmlformats.org/officeDocument/2006/relationships/hyperlink" Target="http://www.doingbusiness.org/data/exploreeconomies/maldives/starting-a-business" TargetMode="External"/><Relationship Id="rId1027" Type="http://schemas.openxmlformats.org/officeDocument/2006/relationships/hyperlink" Target="http://www.sl.undp.org/content/sierraleone/en/home/presscenter/articles/2014/02/21/civil-registration-to-benefit-citizens-and-improve-service-delivery/" TargetMode="External"/><Relationship Id="rId1234" Type="http://schemas.openxmlformats.org/officeDocument/2006/relationships/hyperlink" Target="http://www.privacycommission.be/" TargetMode="External"/><Relationship Id="rId1441" Type="http://schemas.openxmlformats.org/officeDocument/2006/relationships/hyperlink" Target="http://www.irc.gov.pg/PDF_files/2014-11-08%20-%20TIN1%20-%20Registration.pdf" TargetMode="External"/><Relationship Id="rId1886" Type="http://schemas.openxmlformats.org/officeDocument/2006/relationships/hyperlink" Target="http://www.sesrtcic.org/files/article/506.pdf" TargetMode="External"/><Relationship Id="rId243" Type="http://schemas.openxmlformats.org/officeDocument/2006/relationships/hyperlink" Target="http://www.cne.gob.ve/" TargetMode="External"/><Relationship Id="rId450" Type="http://schemas.openxmlformats.org/officeDocument/2006/relationships/hyperlink" Target="http://unstats.un.org/unsd/vitalstatkb/Attachment327.aspx" TargetMode="External"/><Relationship Id="rId688" Type="http://schemas.openxmlformats.org/officeDocument/2006/relationships/hyperlink" Target="http://www.fsrc.gov.ag/" TargetMode="External"/><Relationship Id="rId895" Type="http://schemas.openxmlformats.org/officeDocument/2006/relationships/hyperlink" Target="http://www.lesoftonline.net/articles/lumanu-recherche-un-demi-milliard-de-dollars-pour-l%E2%80%99onip" TargetMode="External"/><Relationship Id="rId909" Type="http://schemas.openxmlformats.org/officeDocument/2006/relationships/hyperlink" Target="http://www.egovja.com/content/national-identification-system-nids" TargetMode="External"/><Relationship Id="rId1080" Type="http://schemas.openxmlformats.org/officeDocument/2006/relationships/hyperlink" Target="http://www.oic.go.th/" TargetMode="External"/><Relationship Id="rId1301" Type="http://schemas.openxmlformats.org/officeDocument/2006/relationships/hyperlink" Target="http://www.irishstatutebook.ie/1988/en/act/pub/0025/index.html" TargetMode="External"/><Relationship Id="rId1539" Type="http://schemas.openxmlformats.org/officeDocument/2006/relationships/hyperlink" Target="http://www.gemalto.com/govt/customer-cases/qatar-id" TargetMode="External"/><Relationship Id="rId1746" Type="http://schemas.openxmlformats.org/officeDocument/2006/relationships/hyperlink" Target="http://esa.un.org/unpd/wpp/Download/Standard/Population/" TargetMode="External"/><Relationship Id="rId1953" Type="http://schemas.openxmlformats.org/officeDocument/2006/relationships/hyperlink" Target="http://www.idea.int/vt/countryview.cfm?id=129" TargetMode="External"/><Relationship Id="rId38" Type="http://schemas.openxmlformats.org/officeDocument/2006/relationships/hyperlink" Target="http://en.wikipedia.org/wiki/Denmark" TargetMode="External"/><Relationship Id="rId103" Type="http://schemas.openxmlformats.org/officeDocument/2006/relationships/hyperlink" Target="http://en.wikipedia.org/wiki/Nauru" TargetMode="External"/><Relationship Id="rId310" Type="http://schemas.openxmlformats.org/officeDocument/2006/relationships/hyperlink" Target="http://www.ebr.org/" TargetMode="External"/><Relationship Id="rId548" Type="http://schemas.openxmlformats.org/officeDocument/2006/relationships/hyperlink" Target="http://justica.gov.br/" TargetMode="External"/><Relationship Id="rId755" Type="http://schemas.openxmlformats.org/officeDocument/2006/relationships/hyperlink" Target="https://www.eregistry.gov.hk/icris-ext/apps/por01a/index?locale=zh_CN" TargetMode="External"/><Relationship Id="rId962" Type="http://schemas.openxmlformats.org/officeDocument/2006/relationships/hyperlink" Target="http://www.tse.go.cr/servicios.htm" TargetMode="External"/><Relationship Id="rId1178" Type="http://schemas.openxmlformats.org/officeDocument/2006/relationships/hyperlink" Target="http://www.unesco.org/culture/natlaws/media/pdf/suriname/sur_archiveact_06_dutorof.pdf" TargetMode="External"/><Relationship Id="rId1385" Type="http://schemas.openxmlformats.org/officeDocument/2006/relationships/hyperlink" Target="http://www.apr.gov.rs/Default.aspx?alias=www.apr.gov.rs/eng" TargetMode="External"/><Relationship Id="rId1592" Type="http://schemas.openxmlformats.org/officeDocument/2006/relationships/hyperlink" Target="http://esa.un.org/unpd/wpp/Download/Standard/Population/" TargetMode="External"/><Relationship Id="rId1606" Type="http://schemas.openxmlformats.org/officeDocument/2006/relationships/hyperlink" Target="http://esa.un.org/unpd/wpp/Download/Standard/Population/" TargetMode="External"/><Relationship Id="rId1813" Type="http://schemas.openxmlformats.org/officeDocument/2006/relationships/hyperlink" Target="http://www.electionguide.org/countries/id/17/" TargetMode="External"/><Relationship Id="rId91" Type="http://schemas.openxmlformats.org/officeDocument/2006/relationships/hyperlink" Target="http://en.wikipedia.org/wiki/Malta" TargetMode="External"/><Relationship Id="rId187" Type="http://schemas.openxmlformats.org/officeDocument/2006/relationships/hyperlink" Target="http://en.wikipedia.org/wiki/Myanmar" TargetMode="External"/><Relationship Id="rId394" Type="http://schemas.openxmlformats.org/officeDocument/2006/relationships/hyperlink" Target="http://www.population.gov.ng/" TargetMode="External"/><Relationship Id="rId408" Type="http://schemas.openxmlformats.org/officeDocument/2006/relationships/hyperlink" Target="http://www.mjca.gov.ws/" TargetMode="External"/><Relationship Id="rId615" Type="http://schemas.openxmlformats.org/officeDocument/2006/relationships/hyperlink" Target="http://en.wikipedia.org/wiki/National_Registration_Identity_Card" TargetMode="External"/><Relationship Id="rId822" Type="http://schemas.openxmlformats.org/officeDocument/2006/relationships/hyperlink" Target="http://www.morpho.com/references/identity/aadhaar-biometrics-sparks-economic-and-social-revolution?lang=en" TargetMode="External"/><Relationship Id="rId1038" Type="http://schemas.openxmlformats.org/officeDocument/2006/relationships/hyperlink" Target="http://www.immigration.go.ug/" TargetMode="External"/><Relationship Id="rId1245" Type="http://schemas.openxmlformats.org/officeDocument/2006/relationships/hyperlink" Target="http://www.sic.gov.co/" TargetMode="External"/><Relationship Id="rId1452" Type="http://schemas.openxmlformats.org/officeDocument/2006/relationships/hyperlink" Target="http://www.egov.sy/law/ar" TargetMode="External"/><Relationship Id="rId1897" Type="http://schemas.openxmlformats.org/officeDocument/2006/relationships/hyperlink" Target="http://www.electionguide.org/countries/id/56/" TargetMode="External"/><Relationship Id="rId254" Type="http://schemas.openxmlformats.org/officeDocument/2006/relationships/hyperlink" Target="http://en.wikipedia.org/wiki/ICAO" TargetMode="External"/><Relationship Id="rId699" Type="http://schemas.openxmlformats.org/officeDocument/2006/relationships/hyperlink" Target="http://apps.who.int/fctc/reporting/party_reports/azerbaijan_annex2_tax_code_of_azerbaijan_2010_eng.pdf" TargetMode="External"/><Relationship Id="rId1091" Type="http://schemas.openxmlformats.org/officeDocument/2006/relationships/hyperlink" Target="http://www.rti-rating.org/files/pdf/Spain.pdf" TargetMode="External"/><Relationship Id="rId1105" Type="http://schemas.openxmlformats.org/officeDocument/2006/relationships/hyperlink" Target="http://www.wipo.int/edocs/lexdocs/laws/en/sd/sd001en.pdf" TargetMode="External"/><Relationship Id="rId1312" Type="http://schemas.openxmlformats.org/officeDocument/2006/relationships/hyperlink" Target="http://www.garanteprivacy.it/" TargetMode="External"/><Relationship Id="rId1757" Type="http://schemas.openxmlformats.org/officeDocument/2006/relationships/hyperlink" Target="http://www.nidw.gov.bd/" TargetMode="External"/><Relationship Id="rId1964" Type="http://schemas.openxmlformats.org/officeDocument/2006/relationships/hyperlink" Target="http://www.idea.int/vt/countryview.cfm?id=200" TargetMode="External"/><Relationship Id="rId49" Type="http://schemas.openxmlformats.org/officeDocument/2006/relationships/hyperlink" Target="http://en.wikipedia.org/wiki/Fiji" TargetMode="External"/><Relationship Id="rId114" Type="http://schemas.openxmlformats.org/officeDocument/2006/relationships/hyperlink" Target="http://en.wikipedia.org/wiki/Panama" TargetMode="External"/><Relationship Id="rId461" Type="http://schemas.openxmlformats.org/officeDocument/2006/relationships/hyperlink" Target="http://www.oberthur.com/otsolutions/digital-identity/?lang=en" TargetMode="External"/><Relationship Id="rId559" Type="http://schemas.openxmlformats.org/officeDocument/2006/relationships/hyperlink" Target="http://www.journal-des-elections.net/docs/code_electoral_definitif_2011.pdf" TargetMode="External"/><Relationship Id="rId766" Type="http://schemas.openxmlformats.org/officeDocument/2006/relationships/hyperlink" Target="https://www.orcjamaica.com/profile/" TargetMode="External"/><Relationship Id="rId1189" Type="http://schemas.openxmlformats.org/officeDocument/2006/relationships/hyperlink" Target="http://www.mondaq.com/x/231644/data+protection/Data+Protection+Laws+of+the+World+Handbook+Second+Edition+Trinidad+And+Tobago" TargetMode="External"/><Relationship Id="rId1396" Type="http://schemas.openxmlformats.org/officeDocument/2006/relationships/hyperlink" Target="http://www.brreg.no/english/" TargetMode="External"/><Relationship Id="rId1617" Type="http://schemas.openxmlformats.org/officeDocument/2006/relationships/hyperlink" Target="http://esa.un.org/unpd/wpp/Download/Standard/Population/" TargetMode="External"/><Relationship Id="rId1824" Type="http://schemas.openxmlformats.org/officeDocument/2006/relationships/hyperlink" Target="http://www.electionguide.org/countries/id/21/" TargetMode="External"/><Relationship Id="rId198" Type="http://schemas.openxmlformats.org/officeDocument/2006/relationships/hyperlink" Target="https://www.tractis.com/help/?p=3670" TargetMode="External"/><Relationship Id="rId321" Type="http://schemas.openxmlformats.org/officeDocument/2006/relationships/hyperlink" Target="http://www.mup.hr/" TargetMode="External"/><Relationship Id="rId419" Type="http://schemas.openxmlformats.org/officeDocument/2006/relationships/hyperlink" Target="http://www.commerce.gov.sb/Gov/PresentGov.html" TargetMode="External"/><Relationship Id="rId626" Type="http://schemas.openxmlformats.org/officeDocument/2006/relationships/hyperlink" Target="http://es.wikipedia.org/wiki/N%C3%BAmero_de_identificaci%C3%B3n_fiscal" TargetMode="External"/><Relationship Id="rId973" Type="http://schemas.openxmlformats.org/officeDocument/2006/relationships/hyperlink" Target="http://www.interieur.gouv.ga/4-services-aux-usagers/216-la-carte-nationale-d-identite/" TargetMode="External"/><Relationship Id="rId1049" Type="http://schemas.openxmlformats.org/officeDocument/2006/relationships/hyperlink" Target="http://www.rti-rating.org/files/pdf/Turkey.pdf" TargetMode="External"/><Relationship Id="rId1256" Type="http://schemas.openxmlformats.org/officeDocument/2006/relationships/hyperlink" Target="http://www.rti-rating.org/files/pdf/Finland.pdf" TargetMode="External"/><Relationship Id="rId2002" Type="http://schemas.openxmlformats.org/officeDocument/2006/relationships/vmlDrawing" Target="../drawings/vmlDrawing1.vml"/><Relationship Id="rId833" Type="http://schemas.openxmlformats.org/officeDocument/2006/relationships/hyperlink" Target="https://www.datacard.com/knowledge-center/case-studies" TargetMode="External"/><Relationship Id="rId1116" Type="http://schemas.openxmlformats.org/officeDocument/2006/relationships/hyperlink" Target="http://www.edoeb.admin.ch/index.html?lang=en" TargetMode="External"/><Relationship Id="rId1463" Type="http://schemas.openxmlformats.org/officeDocument/2006/relationships/hyperlink" Target="http://www.saudi.gov.sa/" TargetMode="External"/><Relationship Id="rId1670" Type="http://schemas.openxmlformats.org/officeDocument/2006/relationships/hyperlink" Target="http://esa.un.org/unpd/wpp/Download/Standard/Population/" TargetMode="External"/><Relationship Id="rId1768" Type="http://schemas.openxmlformats.org/officeDocument/2006/relationships/hyperlink" Target="http://www.unicef.org/esaro/5440_angola_eight-citizens.html" TargetMode="External"/><Relationship Id="rId265" Type="http://schemas.openxmlformats.org/officeDocument/2006/relationships/hyperlink" Target="http://en.wikipedia.org/wiki/Hungarian_identity_card" TargetMode="External"/><Relationship Id="rId472" Type="http://schemas.openxmlformats.org/officeDocument/2006/relationships/hyperlink" Target="http://www.maticatech.com/markets/" TargetMode="External"/><Relationship Id="rId900" Type="http://schemas.openxmlformats.org/officeDocument/2006/relationships/hyperlink" Target="http://thenewtoday.gd/local-news/2014/11/27/mpid-to-serve-as-national-id/" TargetMode="External"/><Relationship Id="rId1323" Type="http://schemas.openxmlformats.org/officeDocument/2006/relationships/hyperlink" Target="http://www3.lrs.lt/pls/inter3/dokpaieska.showdoc_l?p_id=435305&amp;p_query=&amp;p_tr2=2" TargetMode="External"/><Relationship Id="rId1530" Type="http://schemas.openxmlformats.org/officeDocument/2006/relationships/hyperlink" Target="http://www.morpho.com/references/identity/mauritania-a-single-integrated-system?lang=en" TargetMode="External"/><Relationship Id="rId1628" Type="http://schemas.openxmlformats.org/officeDocument/2006/relationships/hyperlink" Target="http://esa.un.org/unpd/wpp/Download/Standard/Population/" TargetMode="External"/><Relationship Id="rId1975" Type="http://schemas.openxmlformats.org/officeDocument/2006/relationships/hyperlink" Target="http://www.idea.int/vt/countryview.cfm?id=210" TargetMode="External"/><Relationship Id="rId125" Type="http://schemas.openxmlformats.org/officeDocument/2006/relationships/hyperlink" Target="http://en.wikipedia.org/wiki/Saint_Vincent_and_the_Grenadines" TargetMode="External"/><Relationship Id="rId332" Type="http://schemas.openxmlformats.org/officeDocument/2006/relationships/hyperlink" Target="http://www.africanchildforum.org/site/index.php/resource-center/perception-and-practice-a-review-of-birth-registration.html" TargetMode="External"/><Relationship Id="rId777" Type="http://schemas.openxmlformats.org/officeDocument/2006/relationships/hyperlink" Target="http://www.nts.go.kr/eng/about/about_01.asp?top_code=A001&amp;sub_code=AS01&amp;ssub_code=ASA1" TargetMode="External"/><Relationship Id="rId984" Type="http://schemas.openxmlformats.org/officeDocument/2006/relationships/hyperlink" Target="http://www.anrpts.mr/" TargetMode="External"/><Relationship Id="rId1835" Type="http://schemas.openxmlformats.org/officeDocument/2006/relationships/hyperlink" Target="http://www.electionguide.org/countries/id/29/" TargetMode="External"/><Relationship Id="rId637" Type="http://schemas.openxmlformats.org/officeDocument/2006/relationships/hyperlink" Target="http://www.gov.sr/sr/ministerie-van-biza/diensten/cbb/diensten-en-producten.aspx" TargetMode="External"/><Relationship Id="rId844" Type="http://schemas.openxmlformats.org/officeDocument/2006/relationships/hyperlink" Target="http://m.gi-de.com/are/en/about_g_d/press/press_releases/Republic-of-Kosovo-Introduces-Contactless-ID-Card-%E2%80%93-G%26D-Supplies-End-To-End-Solution-g27008.jsp" TargetMode="External"/><Relationship Id="rId1267" Type="http://schemas.openxmlformats.org/officeDocument/2006/relationships/hyperlink" Target="http://personaldata.ge/en/home" TargetMode="External"/><Relationship Id="rId1474" Type="http://schemas.openxmlformats.org/officeDocument/2006/relationships/hyperlink" Target="http://www.durs.gov.si/si/storitve/vpis_v_davcni_register_in_davcna_stevilka/vpis_v_davcni_register_in_davcna_stevilka_pojasnila/davcna_stevilka_splosno/" TargetMode="External"/><Relationship Id="rId1681" Type="http://schemas.openxmlformats.org/officeDocument/2006/relationships/hyperlink" Target="http://esa.un.org/unpd/wpp/Download/Standard/Population/" TargetMode="External"/><Relationship Id="rId1902" Type="http://schemas.openxmlformats.org/officeDocument/2006/relationships/hyperlink" Target="http://africanelections.tripod.com/er.html" TargetMode="External"/><Relationship Id="rId276" Type="http://schemas.openxmlformats.org/officeDocument/2006/relationships/hyperlink" Target="http://en.wikipedia.org/wiki/Mon%C3%A9gasque_identity_card" TargetMode="External"/><Relationship Id="rId483" Type="http://schemas.openxmlformats.org/officeDocument/2006/relationships/hyperlink" Target="http://www.planetbiometrics.com/article-details/i/2057/" TargetMode="External"/><Relationship Id="rId690" Type="http://schemas.openxmlformats.org/officeDocument/2006/relationships/hyperlink" Target="http://www.roc.gov.bd/" TargetMode="External"/><Relationship Id="rId704" Type="http://schemas.openxmlformats.org/officeDocument/2006/relationships/hyperlink" Target="http://bizreg.pravosudje.ba/" TargetMode="External"/><Relationship Id="rId911" Type="http://schemas.openxmlformats.org/officeDocument/2006/relationships/hyperlink" Target="http://en.wikipedia.org/wiki/List_of_national_identity_card_policies_by_country" TargetMode="External"/><Relationship Id="rId1127" Type="http://schemas.openxmlformats.org/officeDocument/2006/relationships/hyperlink" Target="http://www.rti-rating.org/files/pdf/Nigeria.pdf" TargetMode="External"/><Relationship Id="rId1334" Type="http://schemas.openxmlformats.org/officeDocument/2006/relationships/hyperlink" Target="http://www.humanrightsinitiative.org/programs/ai/rti/international/laws_papers/lesotho/ari_bill_2000.pdf" TargetMode="External"/><Relationship Id="rId1541" Type="http://schemas.openxmlformats.org/officeDocument/2006/relationships/hyperlink" Target="https://www.gi-de.com/en/products_and_solutions/products/national_id_cards/National-ID-cards-for-secure-identification-6530.jsp" TargetMode="External"/><Relationship Id="rId1779" Type="http://schemas.openxmlformats.org/officeDocument/2006/relationships/hyperlink" Target="https://www.ecoi.net/file_upload/1788_1322492169_eritrea-statistical-factsheet.pdf" TargetMode="External"/><Relationship Id="rId1986" Type="http://schemas.openxmlformats.org/officeDocument/2006/relationships/hyperlink" Target="http://dataportal.fcsa.gov.ae/en" TargetMode="External"/><Relationship Id="rId40" Type="http://schemas.openxmlformats.org/officeDocument/2006/relationships/hyperlink" Target="http://en.wikipedia.org/wiki/Dominica" TargetMode="External"/><Relationship Id="rId136" Type="http://schemas.openxmlformats.org/officeDocument/2006/relationships/hyperlink" Target="http://en.wikipedia.org/wiki/Solomon_Islands" TargetMode="External"/><Relationship Id="rId343" Type="http://schemas.openxmlformats.org/officeDocument/2006/relationships/hyperlink" Target="http://www.oni.gouv.ht/" TargetMode="External"/><Relationship Id="rId550" Type="http://schemas.openxmlformats.org/officeDocument/2006/relationships/hyperlink" Target="http://aceproject.org/main/english/em/emx_b025.htm" TargetMode="External"/><Relationship Id="rId788" Type="http://schemas.openxmlformats.org/officeDocument/2006/relationships/hyperlink" Target="http://www.legilux.public.lu/entr/search/index.php" TargetMode="External"/><Relationship Id="rId995" Type="http://schemas.openxmlformats.org/officeDocument/2006/relationships/hyperlink" Target="http://www.maurice-info.mu/wp-content/uploads/2013/09/new-id-card.pdf" TargetMode="External"/><Relationship Id="rId1180" Type="http://schemas.openxmlformats.org/officeDocument/2006/relationships/hyperlink" Target="http://dataprotection.govmu.org/English/Pages/default.aspx" TargetMode="External"/><Relationship Id="rId1401" Type="http://schemas.openxmlformats.org/officeDocument/2006/relationships/hyperlink" Target="http://www.servicepublic.gouv.sn/index.php/demarche_administrative/demarche/1/196" TargetMode="External"/><Relationship Id="rId1639" Type="http://schemas.openxmlformats.org/officeDocument/2006/relationships/hyperlink" Target="http://esa.un.org/unpd/wpp/Download/Standard/Population/" TargetMode="External"/><Relationship Id="rId1846" Type="http://schemas.openxmlformats.org/officeDocument/2006/relationships/hyperlink" Target="http://www.ekloges.gov.cy/" TargetMode="External"/><Relationship Id="rId203" Type="http://schemas.openxmlformats.org/officeDocument/2006/relationships/hyperlink" Target="http://www.bahamas.gov.bs/" TargetMode="External"/><Relationship Id="rId648" Type="http://schemas.openxmlformats.org/officeDocument/2006/relationships/hyperlink" Target="http://www.id.gov.ae/en/home.aspx" TargetMode="External"/><Relationship Id="rId855" Type="http://schemas.openxmlformats.org/officeDocument/2006/relationships/hyperlink" Target="http://www.trueb.ee/services-and-products/documents/id-cards" TargetMode="External"/><Relationship Id="rId1040" Type="http://schemas.openxmlformats.org/officeDocument/2006/relationships/hyperlink" Target="http://www.unpan.org/PublicAdministrationNews/tabid/117/mctl/ArticleView/ModuleID/1471/articleId/23273/default.aspx" TargetMode="External"/><Relationship Id="rId1278" Type="http://schemas.openxmlformats.org/officeDocument/2006/relationships/hyperlink" Target="http://www.rti-rating.org/files/pdf/Guatemala.pdf" TargetMode="External"/><Relationship Id="rId1485" Type="http://schemas.openxmlformats.org/officeDocument/2006/relationships/hyperlink" Target="https://www.dfa.ie/passports-citizenship/" TargetMode="External"/><Relationship Id="rId1692" Type="http://schemas.openxmlformats.org/officeDocument/2006/relationships/hyperlink" Target="http://esa.un.org/unpd/wpp/Download/Standard/Population/" TargetMode="External"/><Relationship Id="rId1706" Type="http://schemas.openxmlformats.org/officeDocument/2006/relationships/hyperlink" Target="http://esa.un.org/unpd/wpp/Download/Standard/Population/" TargetMode="External"/><Relationship Id="rId1913" Type="http://schemas.openxmlformats.org/officeDocument/2006/relationships/hyperlink" Target="http://www.electionguide.org/countries/id/111/" TargetMode="External"/><Relationship Id="rId287" Type="http://schemas.openxmlformats.org/officeDocument/2006/relationships/hyperlink" Target="http://en.wikipedia.org/wiki/Ghana_Card" TargetMode="External"/><Relationship Id="rId410" Type="http://schemas.openxmlformats.org/officeDocument/2006/relationships/hyperlink" Target="http://www.dipartimento.interni.sm/on-line/home.html" TargetMode="External"/><Relationship Id="rId494" Type="http://schemas.openxmlformats.org/officeDocument/2006/relationships/hyperlink" Target="http://www.cra.gov.ye/indexen.php?sub=ID_new" TargetMode="External"/><Relationship Id="rId508" Type="http://schemas.openxmlformats.org/officeDocument/2006/relationships/hyperlink" Target="http://www.dnr.gov.mv/index.html" TargetMode="External"/><Relationship Id="rId715" Type="http://schemas.openxmlformats.org/officeDocument/2006/relationships/hyperlink" Target="http://www.mcit.gov.cy/mcit/drcor/drcor.nsf/index_en/index_en?opendocument" TargetMode="External"/><Relationship Id="rId922" Type="http://schemas.openxmlformats.org/officeDocument/2006/relationships/hyperlink" Target="http://portal.gov.mo/web/guest/info_detail?infoid=252978" TargetMode="External"/><Relationship Id="rId1138" Type="http://schemas.openxmlformats.org/officeDocument/2006/relationships/hyperlink" Target="http://datepersonale.md/en/legi/" TargetMode="External"/><Relationship Id="rId1345" Type="http://schemas.openxmlformats.org/officeDocument/2006/relationships/hyperlink" Target="http://www.commerce.gov.bb/" TargetMode="External"/><Relationship Id="rId1552" Type="http://schemas.openxmlformats.org/officeDocument/2006/relationships/hyperlink" Target="http://www.reniec.gob.pe/portal/pdf/01_dnie.pdf" TargetMode="External"/><Relationship Id="rId1997" Type="http://schemas.openxmlformats.org/officeDocument/2006/relationships/hyperlink" Target="http://www.unicef.org/zambia/5109_8455.html" TargetMode="External"/><Relationship Id="rId147" Type="http://schemas.openxmlformats.org/officeDocument/2006/relationships/hyperlink" Target="http://en.wikipedia.org/wiki/East_Timor" TargetMode="External"/><Relationship Id="rId354" Type="http://schemas.openxmlformats.org/officeDocument/2006/relationships/hyperlink" Target="http://www.mirp.go.ke/" TargetMode="External"/><Relationship Id="rId799" Type="http://schemas.openxmlformats.org/officeDocument/2006/relationships/hyperlink" Target="http://www.doingbusiness.org/data/exploreeconomies/kenya/starting-a-business" TargetMode="External"/><Relationship Id="rId1191" Type="http://schemas.openxmlformats.org/officeDocument/2006/relationships/hyperlink" Target="http://www.ypwatch.org/page.php?id=1045" TargetMode="External"/><Relationship Id="rId1205" Type="http://schemas.openxmlformats.org/officeDocument/2006/relationships/hyperlink" Target="http://www.rti-rating.org/files/pdf/Bulgaria.pdf" TargetMode="External"/><Relationship Id="rId1857" Type="http://schemas.openxmlformats.org/officeDocument/2006/relationships/hyperlink" Target="http://www.statice.is/publications/publication-detail?id=55767" TargetMode="External"/><Relationship Id="rId51" Type="http://schemas.openxmlformats.org/officeDocument/2006/relationships/hyperlink" Target="http://en.wikipedia.org/wiki/France" TargetMode="External"/><Relationship Id="rId561" Type="http://schemas.openxmlformats.org/officeDocument/2006/relationships/hyperlink" Target="http://www.presidence.cg/accueil/" TargetMode="External"/><Relationship Id="rId659" Type="http://schemas.openxmlformats.org/officeDocument/2006/relationships/hyperlink" Target="http://www.mnz.gov.si/si/mnz_za_vas/osebni_dokumenti_in_prebivalisce/" TargetMode="External"/><Relationship Id="rId866" Type="http://schemas.openxmlformats.org/officeDocument/2006/relationships/hyperlink" Target="https://www.gi-de.com/en/products_and_solutions/products/national_id_cards/National-ID-cards-for-secure-identification-6530.jsp" TargetMode="External"/><Relationship Id="rId1289" Type="http://schemas.openxmlformats.org/officeDocument/2006/relationships/hyperlink" Target="http://www.rti-rating.org/files/pdf/Jamaica.pdf" TargetMode="External"/><Relationship Id="rId1412" Type="http://schemas.openxmlformats.org/officeDocument/2006/relationships/hyperlink" Target="https://www.business.gov.om/wps/portal/ecr/services/findbusinessinformation/searchcompanylisting" TargetMode="External"/><Relationship Id="rId1496" Type="http://schemas.openxmlformats.org/officeDocument/2006/relationships/hyperlink" Target="http://www.gov.na/passports" TargetMode="External"/><Relationship Id="rId1717" Type="http://schemas.openxmlformats.org/officeDocument/2006/relationships/hyperlink" Target="http://esa.un.org/unpd/wpp/Download/Standard/Population/" TargetMode="External"/><Relationship Id="rId1924" Type="http://schemas.openxmlformats.org/officeDocument/2006/relationships/hyperlink" Target="http://www.electionguide.org/countries/id/134/" TargetMode="External"/><Relationship Id="rId214" Type="http://schemas.openxmlformats.org/officeDocument/2006/relationships/hyperlink" Target="http://portal.mj.gov.br/data/Pages/MJ01CEB978PTBRIE.htm" TargetMode="External"/><Relationship Id="rId298" Type="http://schemas.openxmlformats.org/officeDocument/2006/relationships/hyperlink" Target="http://www.registrecivil.ad/" TargetMode="External"/><Relationship Id="rId421" Type="http://schemas.openxmlformats.org/officeDocument/2006/relationships/hyperlink" Target="http://www.refworld.org/docid/51e4fdd34.html" TargetMode="External"/><Relationship Id="rId519" Type="http://schemas.openxmlformats.org/officeDocument/2006/relationships/hyperlink" Target="http://www.nidw.gov.bd/" TargetMode="External"/><Relationship Id="rId1051" Type="http://schemas.openxmlformats.org/officeDocument/2006/relationships/hyperlink" Target="http://www.rti-rating.org/files/pdf/Ukraine.pdf" TargetMode="External"/><Relationship Id="rId1149" Type="http://schemas.openxmlformats.org/officeDocument/2006/relationships/hyperlink" Target="http://www.giodo.gov.pl/144/id_art/171/j/en/" TargetMode="External"/><Relationship Id="rId1356" Type="http://schemas.openxmlformats.org/officeDocument/2006/relationships/hyperlink" Target="http://www.itu.int/ITU-D/projects/ITU_EC_ACP/hipcar/in-country_assistance/Grenada/HIPCAR-Grenada_Cybercrime_Report_Final_Draft_April2012.pdf" TargetMode="External"/><Relationship Id="rId158" Type="http://schemas.openxmlformats.org/officeDocument/2006/relationships/hyperlink" Target="http://en.wikipedia.org/wiki/United_Kingdom" TargetMode="External"/><Relationship Id="rId726" Type="http://schemas.openxmlformats.org/officeDocument/2006/relationships/hyperlink" Target="http://www.prh.fi/en/index.html" TargetMode="External"/><Relationship Id="rId933" Type="http://schemas.openxmlformats.org/officeDocument/2006/relationships/hyperlink" Target="http://www.id.ee/" TargetMode="External"/><Relationship Id="rId1009" Type="http://schemas.openxmlformats.org/officeDocument/2006/relationships/hyperlink" Target="http://www.antena3.ro/en/romania/identity-documents-will-be-changed-romanians-will-have-biometric-identity-cards-204963.html" TargetMode="External"/><Relationship Id="rId1563" Type="http://schemas.openxmlformats.org/officeDocument/2006/relationships/hyperlink" Target="http://www.theodora.com/wfb/" TargetMode="External"/><Relationship Id="rId1770" Type="http://schemas.openxmlformats.org/officeDocument/2006/relationships/hyperlink" Target="http://www.unicef.org/infobycountry/bahamas.html" TargetMode="External"/><Relationship Id="rId1868" Type="http://schemas.openxmlformats.org/officeDocument/2006/relationships/hyperlink" Target="http://www.ssb.no/196608/storting-elections.persons-entitled-to-vote-and-votes-cast-by-county-sy-3" TargetMode="External"/><Relationship Id="rId62" Type="http://schemas.openxmlformats.org/officeDocument/2006/relationships/hyperlink" Target="http://en.wikipedia.org/wiki/Haiti" TargetMode="External"/><Relationship Id="rId365" Type="http://schemas.openxmlformats.org/officeDocument/2006/relationships/hyperlink" Target="http://www.tm.gov.lv/lv/pakalpojumi/nozares-pakalpojumi-1/dzimsanas-fakta-registracija" TargetMode="External"/><Relationship Id="rId572" Type="http://schemas.openxmlformats.org/officeDocument/2006/relationships/hyperlink" Target="http://es.wikipedia.org/wiki/Documento_%C3%9Anico_de_Identidad" TargetMode="External"/><Relationship Id="rId1216" Type="http://schemas.openxmlformats.org/officeDocument/2006/relationships/hyperlink" Target="http://www.legislationline.org/download/action/download/id/5317/file/Armenia_Law_on_personal_data_2002_am2012_en.pdf" TargetMode="External"/><Relationship Id="rId1423" Type="http://schemas.openxmlformats.org/officeDocument/2006/relationships/hyperlink" Target="http://www.companies.gov.ws/" TargetMode="External"/><Relationship Id="rId1630" Type="http://schemas.openxmlformats.org/officeDocument/2006/relationships/hyperlink" Target="http://esa.un.org/unpd/wpp/Download/Standard/Population/" TargetMode="External"/><Relationship Id="rId225" Type="http://schemas.openxmlformats.org/officeDocument/2006/relationships/hyperlink" Target="http://opnew.op.gov.gy/" TargetMode="External"/><Relationship Id="rId432" Type="http://schemas.openxmlformats.org/officeDocument/2006/relationships/hyperlink" Target="http://www.rita.go.tz/page.php?pg=85&amp;lang=en" TargetMode="External"/><Relationship Id="rId877" Type="http://schemas.openxmlformats.org/officeDocument/2006/relationships/hyperlink" Target="http://www.guichet.public.lu/citoyens/fr/demarches-internet/index.html" TargetMode="External"/><Relationship Id="rId1062" Type="http://schemas.openxmlformats.org/officeDocument/2006/relationships/hyperlink" Target="http://www.parlamento.gub.uy/leyes/AccesoTextoLey.asp?Ley=18381&amp;Anchor=" TargetMode="External"/><Relationship Id="rId1728" Type="http://schemas.openxmlformats.org/officeDocument/2006/relationships/hyperlink" Target="http://esa.un.org/unpd/wpp/Download/Standard/Population/" TargetMode="External"/><Relationship Id="rId1935" Type="http://schemas.openxmlformats.org/officeDocument/2006/relationships/hyperlink" Target="http://www.idea.int/vt/countryview.cfm?id=167" TargetMode="External"/><Relationship Id="rId737" Type="http://schemas.openxmlformats.org/officeDocument/2006/relationships/hyperlink" Target="http://www.moea.gov.bt/departments/department.php?id=2" TargetMode="External"/><Relationship Id="rId944" Type="http://schemas.openxmlformats.org/officeDocument/2006/relationships/hyperlink" Target="http://www.mvcr.cz/clanek/informace-k-pouzivani-elektronickeho-podpisu.aspx" TargetMode="External"/><Relationship Id="rId1367" Type="http://schemas.openxmlformats.org/officeDocument/2006/relationships/hyperlink" Target="https://www.gov.uk/register-a-company-online" TargetMode="External"/><Relationship Id="rId1574" Type="http://schemas.openxmlformats.org/officeDocument/2006/relationships/hyperlink" Target="http://esa.un.org/unpd/wpp/Download/Standard/Population/" TargetMode="External"/><Relationship Id="rId1781" Type="http://schemas.openxmlformats.org/officeDocument/2006/relationships/hyperlink" Target="http://www.unicef.org/infobycountry/grenada_statistics.html" TargetMode="External"/><Relationship Id="rId73" Type="http://schemas.openxmlformats.org/officeDocument/2006/relationships/hyperlink" Target="http://en.wikipedia.org/wiki/Japan" TargetMode="External"/><Relationship Id="rId169" Type="http://schemas.openxmlformats.org/officeDocument/2006/relationships/hyperlink" Target="http://en.wikipedia.org/wiki/Benin" TargetMode="External"/><Relationship Id="rId376" Type="http://schemas.openxmlformats.org/officeDocument/2006/relationships/hyperlink" Target="https://citizen.egov.mv/G2CWeb/CMSPages/NCITG2C/Municipalty/English/RegisteringBirthOfAChildBornInMale_ENG_FNL.htm" TargetMode="External"/><Relationship Id="rId583" Type="http://schemas.openxmlformats.org/officeDocument/2006/relationships/hyperlink" Target="http://www.dukcapil.kemendagri.go.id/detail/program-penerapan-kartu-tanda-penduduk-elektronik" TargetMode="External"/><Relationship Id="rId790" Type="http://schemas.openxmlformats.org/officeDocument/2006/relationships/hyperlink" Target="http://www.crm.com.mk/DS/default.aspx?MainId=12" TargetMode="External"/><Relationship Id="rId804" Type="http://schemas.openxmlformats.org/officeDocument/2006/relationships/hyperlink" Target="http://www.doingbusiness.org/data/exploreeconomies/lao-pdr/starting-a-business/" TargetMode="External"/><Relationship Id="rId1227" Type="http://schemas.openxmlformats.org/officeDocument/2006/relationships/hyperlink" Target="http://store.aip-bg.org/laws/PDPA.pdf" TargetMode="External"/><Relationship Id="rId1434" Type="http://schemas.openxmlformats.org/officeDocument/2006/relationships/hyperlink" Target="http://www.doingbusiness.org/data/exploreeconomies/morocco/starting-a-business" TargetMode="External"/><Relationship Id="rId1641" Type="http://schemas.openxmlformats.org/officeDocument/2006/relationships/hyperlink" Target="http://esa.un.org/unpd/wpp/Download/Standard/Population/" TargetMode="External"/><Relationship Id="rId1879" Type="http://schemas.openxmlformats.org/officeDocument/2006/relationships/hyperlink" Target="http://www.idea.int/vt/countryview.cfm?id=137" TargetMode="External"/><Relationship Id="rId4" Type="http://schemas.openxmlformats.org/officeDocument/2006/relationships/hyperlink" Target="http://en.wikipedia.org/wiki/Andorra" TargetMode="External"/><Relationship Id="rId236" Type="http://schemas.openxmlformats.org/officeDocument/2006/relationships/hyperlink" Target="http://www.mjt.gov.py/" TargetMode="External"/><Relationship Id="rId443" Type="http://schemas.openxmlformats.org/officeDocument/2006/relationships/hyperlink" Target="http://www.government.ae/en/web/guest/having-a-new-baby-in-the-uae" TargetMode="External"/><Relationship Id="rId650" Type="http://schemas.openxmlformats.org/officeDocument/2006/relationships/hyperlink" Target="http://www.landinfo.no/asset/2380/1/2380_1.pdf" TargetMode="External"/><Relationship Id="rId888" Type="http://schemas.openxmlformats.org/officeDocument/2006/relationships/hyperlink" Target="http://dominicanewsonline.com/news/homepage/news/politics/roller-coaster-ride-national-id-cards/" TargetMode="External"/><Relationship Id="rId1073" Type="http://schemas.openxmlformats.org/officeDocument/2006/relationships/hyperlink" Target="http://www.asianlii.org/th/legis/consol_act/oia1997197/" TargetMode="External"/><Relationship Id="rId1280" Type="http://schemas.openxmlformats.org/officeDocument/2006/relationships/hyperlink" Target="http://www.rti-rating.org/files/pdf/Guyana.pdf" TargetMode="External"/><Relationship Id="rId1501" Type="http://schemas.openxmlformats.org/officeDocument/2006/relationships/hyperlink" Target="http://nip-global.com/advanced-technological-systems-and-solution-provider" TargetMode="External"/><Relationship Id="rId1739" Type="http://schemas.openxmlformats.org/officeDocument/2006/relationships/hyperlink" Target="http://esa.un.org/unpd/wpp/Download/Standard/Population/" TargetMode="External"/><Relationship Id="rId1946" Type="http://schemas.openxmlformats.org/officeDocument/2006/relationships/hyperlink" Target="http://www.idea.int/vt/countryview.cfm?id=174" TargetMode="External"/><Relationship Id="rId303" Type="http://schemas.openxmlformats.org/officeDocument/2006/relationships/hyperlink" Target="http://br.lgd.gov.bd/" TargetMode="External"/><Relationship Id="rId748" Type="http://schemas.openxmlformats.org/officeDocument/2006/relationships/hyperlink" Target="http://www.doingbusiness.org/data/exploreeconomies/guinea-bissau/starting-a-business" TargetMode="External"/><Relationship Id="rId955" Type="http://schemas.openxmlformats.org/officeDocument/2006/relationships/hyperlink" Target="http://www.shabait.com/news/local-news/6991-immigration-and-nationality-branch-in-northern-red-sea-region-strives-to-render-efficient-service" TargetMode="External"/><Relationship Id="rId1140" Type="http://schemas.openxmlformats.org/officeDocument/2006/relationships/hyperlink" Target="http://www.afapdp.org/wp-content/uploads/2012/01/Mont%C3%A9n%C3%A9gro-Personal-Data-Protection-Law-79-08-and-70-09.pdf" TargetMode="External"/><Relationship Id="rId1378" Type="http://schemas.openxmlformats.org/officeDocument/2006/relationships/hyperlink" Target="http://www.registre-commerce.tn/search/RCCSearch.do?action=getPage&amp;rg_type=PM&amp;search_mode=NORMAL" TargetMode="External"/><Relationship Id="rId1585" Type="http://schemas.openxmlformats.org/officeDocument/2006/relationships/hyperlink" Target="http://esa.un.org/unpd/wpp/Download/Standard/Population/" TargetMode="External"/><Relationship Id="rId1792" Type="http://schemas.openxmlformats.org/officeDocument/2006/relationships/hyperlink" Target="http://unstats.un.org/unsd/demographic/meetings/wshops/Civil_Registration_Dec07_Cairo/docs/Oman_Ministry_of_Health.pdf" TargetMode="External"/><Relationship Id="rId1806" Type="http://schemas.openxmlformats.org/officeDocument/2006/relationships/hyperlink" Target="http://www.morpho.com/en/country/morpho-albania" TargetMode="External"/><Relationship Id="rId84" Type="http://schemas.openxmlformats.org/officeDocument/2006/relationships/hyperlink" Target="http://en.wikipedia.org/wiki/Liberia" TargetMode="External"/><Relationship Id="rId387" Type="http://schemas.openxmlformats.org/officeDocument/2006/relationships/hyperlink" Target="http://www.portaldogoverno.gov.mz/" TargetMode="External"/><Relationship Id="rId510" Type="http://schemas.openxmlformats.org/officeDocument/2006/relationships/hyperlink" Target="http://www.vdtat.lt/new/index.php?menu=27" TargetMode="External"/><Relationship Id="rId594" Type="http://schemas.openxmlformats.org/officeDocument/2006/relationships/hyperlink" Target="http://www.pmlp.gov.lv/en/home/about-ocma/" TargetMode="External"/><Relationship Id="rId608" Type="http://schemas.openxmlformats.org/officeDocument/2006/relationships/hyperlink" Target="http://www.refworld.org/docid/3ae6ad5624.html" TargetMode="External"/><Relationship Id="rId815" Type="http://schemas.openxmlformats.org/officeDocument/2006/relationships/hyperlink" Target="http://www.monacostatistics.mc/Procedures-and-services/NIS-registration" TargetMode="External"/><Relationship Id="rId1238" Type="http://schemas.openxmlformats.org/officeDocument/2006/relationships/hyperlink" Target="http://www.bka.gv.at/" TargetMode="External"/><Relationship Id="rId1445" Type="http://schemas.openxmlformats.org/officeDocument/2006/relationships/hyperlink" Target="http://www.doingbusiness.org/data/exploreeconomies/st-lucia/starting-a-business" TargetMode="External"/><Relationship Id="rId1652" Type="http://schemas.openxmlformats.org/officeDocument/2006/relationships/hyperlink" Target="http://esa.un.org/unpd/wpp/Download/Standard/Population/" TargetMode="External"/><Relationship Id="rId247" Type="http://schemas.openxmlformats.org/officeDocument/2006/relationships/hyperlink" Target="http://en.wikipedia.org/wiki/Bilhete_de_identidade_(Mozambique)" TargetMode="External"/><Relationship Id="rId899" Type="http://schemas.openxmlformats.org/officeDocument/2006/relationships/hyperlink" Target="http://www.frca.org.fj/quick-links/frca-fnpf-joint-card/" TargetMode="External"/><Relationship Id="rId1000" Type="http://schemas.openxmlformats.org/officeDocument/2006/relationships/hyperlink" Target="http://www.mha.gov.na/web/guest/iddocs" TargetMode="External"/><Relationship Id="rId1084" Type="http://schemas.openxmlformats.org/officeDocument/2006/relationships/hyperlink" Target="http://www.rti-rating.org/files/pdf/Rwanda.pdf" TargetMode="External"/><Relationship Id="rId1305" Type="http://schemas.openxmlformats.org/officeDocument/2006/relationships/hyperlink" Target="http://www.cas.go.jp/jp/seisaku/hourei/data/APPI.pdf" TargetMode="External"/><Relationship Id="rId1957" Type="http://schemas.openxmlformats.org/officeDocument/2006/relationships/hyperlink" Target="http://www.idea.int/vt/countryview.cfm?id=204" TargetMode="External"/><Relationship Id="rId107" Type="http://schemas.openxmlformats.org/officeDocument/2006/relationships/hyperlink" Target="http://en.wikipedia.org/wiki/Nicaragua" TargetMode="External"/><Relationship Id="rId454" Type="http://schemas.openxmlformats.org/officeDocument/2006/relationships/hyperlink" Target="http://unstats.un.org/unsd/demographic/CRVS/GlobalCRVS.html" TargetMode="External"/><Relationship Id="rId661" Type="http://schemas.openxmlformats.org/officeDocument/2006/relationships/hyperlink" Target="http://www.somaligov.net/" TargetMode="External"/><Relationship Id="rId759" Type="http://schemas.openxmlformats.org/officeDocument/2006/relationships/hyperlink" Target="http://portal.ahu.web.id/" TargetMode="External"/><Relationship Id="rId966" Type="http://schemas.openxmlformats.org/officeDocument/2006/relationships/hyperlink" Target="http://www.presidence.dj/" TargetMode="External"/><Relationship Id="rId1291" Type="http://schemas.openxmlformats.org/officeDocument/2006/relationships/hyperlink" Target="http://www.rti-rating.org/files/pdf/Jordan.pdf" TargetMode="External"/><Relationship Id="rId1389" Type="http://schemas.openxmlformats.org/officeDocument/2006/relationships/hyperlink" Target="http://www.registry.mojss.org/index.html" TargetMode="External"/><Relationship Id="rId1512" Type="http://schemas.openxmlformats.org/officeDocument/2006/relationships/hyperlink" Target="http://www.businesswire.com/news/home/20130513005913/en/Oberthur-Technologies-Successfully-Delivered-End-to-End-ePassport-Solution" TargetMode="External"/><Relationship Id="rId1596" Type="http://schemas.openxmlformats.org/officeDocument/2006/relationships/hyperlink" Target="http://esa.un.org/unpd/wpp/Download/Standard/Population/" TargetMode="External"/><Relationship Id="rId1817" Type="http://schemas.openxmlformats.org/officeDocument/2006/relationships/hyperlink" Target="https://portal.uidai.gov.in/uidwebportal/dashboard.do" TargetMode="External"/><Relationship Id="rId11" Type="http://schemas.openxmlformats.org/officeDocument/2006/relationships/hyperlink" Target="http://en.wikipedia.org/wiki/Azerbaijan" TargetMode="External"/><Relationship Id="rId314" Type="http://schemas.openxmlformats.org/officeDocument/2006/relationships/hyperlink" Target="http://www.burundi-gov.bi/" TargetMode="External"/><Relationship Id="rId398" Type="http://schemas.openxmlformats.org/officeDocument/2006/relationships/hyperlink" Target="http://www.nadra.gov.pk/" TargetMode="External"/><Relationship Id="rId521" Type="http://schemas.openxmlformats.org/officeDocument/2006/relationships/hyperlink" Target="https://www.help.gv.at/Portal.Node/hlpd/public/content/54/Seite.540600.html" TargetMode="External"/><Relationship Id="rId619" Type="http://schemas.openxmlformats.org/officeDocument/2006/relationships/hyperlink" Target="http://www.dha.gov.za/index.php/civic-services/identity-documents" TargetMode="External"/><Relationship Id="rId1151" Type="http://schemas.openxmlformats.org/officeDocument/2006/relationships/hyperlink" Target="http://www.complinet.com/net_file_store/new_rulebooks/q/f/QFCRA_2845_VER1.pdf" TargetMode="External"/><Relationship Id="rId1249" Type="http://schemas.openxmlformats.org/officeDocument/2006/relationships/hyperlink" Target="http://www.rti-rating.org/files/pdf/Czech%20Republic.pdf" TargetMode="External"/><Relationship Id="rId95" Type="http://schemas.openxmlformats.org/officeDocument/2006/relationships/hyperlink" Target="http://en.wikipedia.org/wiki/Mexico" TargetMode="External"/><Relationship Id="rId160" Type="http://schemas.openxmlformats.org/officeDocument/2006/relationships/hyperlink" Target="http://en.wikipedia.org/wiki/Uruguay" TargetMode="External"/><Relationship Id="rId826" Type="http://schemas.openxmlformats.org/officeDocument/2006/relationships/hyperlink" Target="http://www.gemalto.com/govt/customer-cases/gabon-dig-civil-reg" TargetMode="External"/><Relationship Id="rId1011" Type="http://schemas.openxmlformats.org/officeDocument/2006/relationships/hyperlink" Target="http://portal.www.gov.qa/" TargetMode="External"/><Relationship Id="rId1109" Type="http://schemas.openxmlformats.org/officeDocument/2006/relationships/hyperlink" Target="http://www.cdp.sn/" TargetMode="External"/><Relationship Id="rId1456" Type="http://schemas.openxmlformats.org/officeDocument/2006/relationships/hyperlink" Target="http://www.doingbusiness.org/data/exploreeconomies/tunisia/" TargetMode="External"/><Relationship Id="rId1663" Type="http://schemas.openxmlformats.org/officeDocument/2006/relationships/hyperlink" Target="http://esa.un.org/unpd/wpp/Download/Standard/Population/" TargetMode="External"/><Relationship Id="rId1870" Type="http://schemas.openxmlformats.org/officeDocument/2006/relationships/hyperlink" Target="http://ecp.gov.pk/ER/VoterStatFER2012.aspx" TargetMode="External"/><Relationship Id="rId1968" Type="http://schemas.openxmlformats.org/officeDocument/2006/relationships/hyperlink" Target="http://necsouthsudan.org/" TargetMode="External"/><Relationship Id="rId258" Type="http://schemas.openxmlformats.org/officeDocument/2006/relationships/hyperlink" Target="http://en.wikipedia.org/wiki/Croatian_identity_card" TargetMode="External"/><Relationship Id="rId465" Type="http://schemas.openxmlformats.org/officeDocument/2006/relationships/hyperlink" Target="http://www.irisid.com/nationalidentity" TargetMode="External"/><Relationship Id="rId672" Type="http://schemas.openxmlformats.org/officeDocument/2006/relationships/hyperlink" Target="https://www.tuempresaenundia.cl/Default.aspx" TargetMode="External"/><Relationship Id="rId1095" Type="http://schemas.openxmlformats.org/officeDocument/2006/relationships/hyperlink" Target="http://www.gov.vc/pmoffice/images/stories/HIPCAR/privacy%20act%202003.pdf" TargetMode="External"/><Relationship Id="rId1316" Type="http://schemas.openxmlformats.org/officeDocument/2006/relationships/hyperlink" Target="http://www.rti-rating.org/files/pdf/Latvia.pdf" TargetMode="External"/><Relationship Id="rId1523" Type="http://schemas.openxmlformats.org/officeDocument/2006/relationships/hyperlink" Target="http://www.dnie.es/Asi_es_el_dni_electronico/index.html" TargetMode="External"/><Relationship Id="rId1730" Type="http://schemas.openxmlformats.org/officeDocument/2006/relationships/hyperlink" Target="http://esa.un.org/unpd/wpp/Download/Standard/Population/" TargetMode="External"/><Relationship Id="rId22" Type="http://schemas.openxmlformats.org/officeDocument/2006/relationships/hyperlink" Target="http://en.wikipedia.org/wiki/Brazil" TargetMode="External"/><Relationship Id="rId118" Type="http://schemas.openxmlformats.org/officeDocument/2006/relationships/hyperlink" Target="http://en.wikipedia.org/wiki/Poland" TargetMode="External"/><Relationship Id="rId325" Type="http://schemas.openxmlformats.org/officeDocument/2006/relationships/hyperlink" Target="http://www.ciudadano.co.cu/" TargetMode="External"/><Relationship Id="rId532" Type="http://schemas.openxmlformats.org/officeDocument/2006/relationships/hyperlink" Target="http://www.oni.ci/" TargetMode="External"/><Relationship Id="rId977" Type="http://schemas.openxmlformats.org/officeDocument/2006/relationships/hyperlink" Target="http://www.oni.gouv.ht/index.php?option=com_content&amp;view=article&amp;id=52&amp;Itemid=55" TargetMode="External"/><Relationship Id="rId1162" Type="http://schemas.openxmlformats.org/officeDocument/2006/relationships/hyperlink" Target="http://www.qfcra.com/en-us/SitePages/Home.aspx" TargetMode="External"/><Relationship Id="rId1828" Type="http://schemas.openxmlformats.org/officeDocument/2006/relationships/hyperlink" Target="http://www.electionguide.org/countries/id/35/" TargetMode="External"/><Relationship Id="rId171" Type="http://schemas.openxmlformats.org/officeDocument/2006/relationships/hyperlink" Target="http://en.wikipedia.org/wiki/Burkina_Faso" TargetMode="External"/><Relationship Id="rId837" Type="http://schemas.openxmlformats.org/officeDocument/2006/relationships/hyperlink" Target="http://tiempo.infonews.com/nota/133789/como-funciona-sibios-el-archivo-que-almacenara-todos-los-datos-personales" TargetMode="External"/><Relationship Id="rId1022" Type="http://schemas.openxmlformats.org/officeDocument/2006/relationships/hyperlink" Target="http://centralasiaonline.com/en_GB/articles/caii/features/main/2014/02/05/feature-01" TargetMode="External"/><Relationship Id="rId1467" Type="http://schemas.openxmlformats.org/officeDocument/2006/relationships/hyperlink" Target="http://www.chamber-commerce.net/dir/4424/Tuvalu-National-Chamber-of-Commerce-in-Vaiaku" TargetMode="External"/><Relationship Id="rId1674" Type="http://schemas.openxmlformats.org/officeDocument/2006/relationships/hyperlink" Target="http://esa.un.org/unpd/wpp/Download/Standard/Population/" TargetMode="External"/><Relationship Id="rId1881" Type="http://schemas.openxmlformats.org/officeDocument/2006/relationships/hyperlink" Target="http://www.electionguide.org/countries/id/129/" TargetMode="External"/><Relationship Id="rId269" Type="http://schemas.openxmlformats.org/officeDocument/2006/relationships/hyperlink" Target="http://en.wikipedia.org/wiki/Citizen_Card_(Portugal)" TargetMode="External"/><Relationship Id="rId476" Type="http://schemas.openxmlformats.org/officeDocument/2006/relationships/hyperlink" Target="http://www.habeasdata.org/" TargetMode="External"/><Relationship Id="rId683" Type="http://schemas.openxmlformats.org/officeDocument/2006/relationships/hyperlink" Target="http://www.tpegypt.gov.eg/Eng/EgyDirectory.aspx" TargetMode="External"/><Relationship Id="rId890" Type="http://schemas.openxmlformats.org/officeDocument/2006/relationships/hyperlink" Target="http://www.baliprocess.net/files/ConferenceDocumentation/2004/IdentityManagementWorkshop/BALI%20II%20Matrix.pdf" TargetMode="External"/><Relationship Id="rId904" Type="http://schemas.openxmlformats.org/officeDocument/2006/relationships/hyperlink" Target="http://www.moi.ir/" TargetMode="External"/><Relationship Id="rId1327" Type="http://schemas.openxmlformats.org/officeDocument/2006/relationships/hyperlink" Target="https://ada.lt/go.php/lit/English" TargetMode="External"/><Relationship Id="rId1534" Type="http://schemas.openxmlformats.org/officeDocument/2006/relationships/hyperlink" Target="https://www.thalesgroup.com/en/content/morocco-more-2-million-biometric-national-id-cards-issued" TargetMode="External"/><Relationship Id="rId1741" Type="http://schemas.openxmlformats.org/officeDocument/2006/relationships/hyperlink" Target="http://esa.un.org/unpd/wpp/Download/Standard/Population/" TargetMode="External"/><Relationship Id="rId1979" Type="http://schemas.openxmlformats.org/officeDocument/2006/relationships/hyperlink" Target="http://www.idea.int/vt/countryview.cfm?id=215" TargetMode="External"/><Relationship Id="rId33" Type="http://schemas.openxmlformats.org/officeDocument/2006/relationships/hyperlink" Target="http://en.wikipedia.org/wiki/Costa_Rica" TargetMode="External"/><Relationship Id="rId129" Type="http://schemas.openxmlformats.org/officeDocument/2006/relationships/hyperlink" Target="http://en.wikipedia.org/wiki/Senegal" TargetMode="External"/><Relationship Id="rId336" Type="http://schemas.openxmlformats.org/officeDocument/2006/relationships/hyperlink" Target="https://mdel.mon.service-public.fr/acte-etat-civil.html" TargetMode="External"/><Relationship Id="rId543" Type="http://schemas.openxmlformats.org/officeDocument/2006/relationships/hyperlink" Target="http://www.registrecivil.ad/" TargetMode="External"/><Relationship Id="rId988" Type="http://schemas.openxmlformats.org/officeDocument/2006/relationships/hyperlink" Target="http://www.cnie.ma/sinformer/Pages/ProceduresObtentionCNIE.aspx" TargetMode="External"/><Relationship Id="rId1173" Type="http://schemas.openxmlformats.org/officeDocument/2006/relationships/hyperlink" Target="http://inicio.ifai.org.mx/SitePages/English_Section.aspx" TargetMode="External"/><Relationship Id="rId1380" Type="http://schemas.openxmlformats.org/officeDocument/2006/relationships/hyperlink" Target="http://www.ursb.go.ug/" TargetMode="External"/><Relationship Id="rId1601" Type="http://schemas.openxmlformats.org/officeDocument/2006/relationships/hyperlink" Target="http://esa.un.org/unpd/wpp/Download/Standard/Population/" TargetMode="External"/><Relationship Id="rId1839" Type="http://schemas.openxmlformats.org/officeDocument/2006/relationships/hyperlink" Target="http://www.electionguide.org/countries/id/70/" TargetMode="External"/><Relationship Id="rId182" Type="http://schemas.openxmlformats.org/officeDocument/2006/relationships/hyperlink" Target="http://en.wikipedia.org/wiki/Libya" TargetMode="External"/><Relationship Id="rId403" Type="http://schemas.openxmlformats.org/officeDocument/2006/relationships/hyperlink" Target="http://www.sch.gov.qa/births-n-deaths" TargetMode="External"/><Relationship Id="rId750" Type="http://schemas.openxmlformats.org/officeDocument/2006/relationships/hyperlink" Target="http://legalaffairs.gov.gy/deeds-registry/registry-overview" TargetMode="External"/><Relationship Id="rId848" Type="http://schemas.openxmlformats.org/officeDocument/2006/relationships/hyperlink" Target="http://www.trueb.ee/services-and-products/documents/id-cards" TargetMode="External"/><Relationship Id="rId1033" Type="http://schemas.openxmlformats.org/officeDocument/2006/relationships/hyperlink" Target="http://www.zambia.gov.zm/index.php/citizens/2013-01-17-13-32-40/national-id" TargetMode="External"/><Relationship Id="rId1478" Type="http://schemas.openxmlformats.org/officeDocument/2006/relationships/hyperlink" Target="http://en.wikipedia.org/wiki/VAT_identification_number" TargetMode="External"/><Relationship Id="rId1685" Type="http://schemas.openxmlformats.org/officeDocument/2006/relationships/hyperlink" Target="http://esa.un.org/unpd/wpp/Download/Standard/Population/" TargetMode="External"/><Relationship Id="rId1892" Type="http://schemas.openxmlformats.org/officeDocument/2006/relationships/hyperlink" Target="http://www.registraduria.gov.co/32-795-962-colombianos-estan.html" TargetMode="External"/><Relationship Id="rId1906" Type="http://schemas.openxmlformats.org/officeDocument/2006/relationships/hyperlink" Target="http://www.idea.int/vt/countryview.cfm?id=89" TargetMode="External"/><Relationship Id="rId487" Type="http://schemas.openxmlformats.org/officeDocument/2006/relationships/hyperlink" Target="http://www.portaldogoverno.gov.mz/Servicos/IdentCivil/bi/" TargetMode="External"/><Relationship Id="rId610" Type="http://schemas.openxmlformats.org/officeDocument/2006/relationships/hyperlink" Target="http://www.tribunal-electoral.gob.pa/html/index.php?id=8" TargetMode="External"/><Relationship Id="rId694" Type="http://schemas.openxmlformats.org/officeDocument/2006/relationships/hyperlink" Target="https://www.e-taxes.gov.az/ebyn/commersialChecker.jsp" TargetMode="External"/><Relationship Id="rId708" Type="http://schemas.openxmlformats.org/officeDocument/2006/relationships/hyperlink" Target="http://www.doingbusiness.org/data/exploreeconomies/burkina-faso/starting-a-business/" TargetMode="External"/><Relationship Id="rId915" Type="http://schemas.openxmlformats.org/officeDocument/2006/relationships/hyperlink" Target="http://www.rks-gov.net/sq-AL/Qytetaret/Shtetesia/Pages/Leternjoftimi.aspx" TargetMode="External"/><Relationship Id="rId1240" Type="http://schemas.openxmlformats.org/officeDocument/2006/relationships/hyperlink" Target="http://www.bahamas.gov.bs/" TargetMode="External"/><Relationship Id="rId1338" Type="http://schemas.openxmlformats.org/officeDocument/2006/relationships/hyperlink" Target="http://www.humanrightsinitiative.org/programs/ai/rti/international/laws_&amp;_papers.htm" TargetMode="External"/><Relationship Id="rId1545" Type="http://schemas.openxmlformats.org/officeDocument/2006/relationships/hyperlink" Target="http://www.securitydocumentworld.com/article-details/i/11853/" TargetMode="External"/><Relationship Id="rId347" Type="http://schemas.openxmlformats.org/officeDocument/2006/relationships/hyperlink" Target="http://india.gov.in/howdo/howdoi.php?service=1" TargetMode="External"/><Relationship Id="rId999" Type="http://schemas.openxmlformats.org/officeDocument/2006/relationships/hyperlink" Target="http://www.mup.gov.me/rubrike/izdavanje-dokumenata/85194/159611.html" TargetMode="External"/><Relationship Id="rId1100" Type="http://schemas.openxmlformats.org/officeDocument/2006/relationships/hyperlink" Target="http://statutes.agc.gov.sg/aol/search/display/view.w3p;page=0;query=DocId%3A1b065f8f-0d31-4bca-b622-6b1a3c769d66%20Depth%3A0%20Status%3Ainforce;rec=0" TargetMode="External"/><Relationship Id="rId1184" Type="http://schemas.openxmlformats.org/officeDocument/2006/relationships/hyperlink" Target="http://www.edrm.net/resources/data-privacy-protection/data-protection-laws-2013/philippines" TargetMode="External"/><Relationship Id="rId1405" Type="http://schemas.openxmlformats.org/officeDocument/2006/relationships/hyperlink" Target="http://www.ompic.org.ma/index_en.htm" TargetMode="External"/><Relationship Id="rId1752" Type="http://schemas.openxmlformats.org/officeDocument/2006/relationships/hyperlink" Target="http://esa.un.org/unpd/wpp/Download/Standard/Population/" TargetMode="External"/><Relationship Id="rId44" Type="http://schemas.openxmlformats.org/officeDocument/2006/relationships/hyperlink" Target="http://en.wikipedia.org/wiki/El_Salvador" TargetMode="External"/><Relationship Id="rId554" Type="http://schemas.openxmlformats.org/officeDocument/2006/relationships/hyperlink" Target="http://electoraloffice.gov.dm/" TargetMode="External"/><Relationship Id="rId761" Type="http://schemas.openxmlformats.org/officeDocument/2006/relationships/hyperlink" Target="http://www.doingbusiness.org/data/exploreeconomies/eritrea/starting-a-business" TargetMode="External"/><Relationship Id="rId859" Type="http://schemas.openxmlformats.org/officeDocument/2006/relationships/hyperlink" Target="http://www.trueb.ch/fr/communiques-aux-medias/la-guinee-introduit-nouvelle-carte-didentite-en-polycarbonate" TargetMode="External"/><Relationship Id="rId1391" Type="http://schemas.openxmlformats.org/officeDocument/2006/relationships/hyperlink" Target="http://www.zefix.admin.ch/" TargetMode="External"/><Relationship Id="rId1489" Type="http://schemas.openxmlformats.org/officeDocument/2006/relationships/hyperlink" Target="http://tuvalu-legislation.tv/cms/images/LEGISLATION/PRINCIPAL/1979/1979-0001/PassportsAct_1.pdf" TargetMode="External"/><Relationship Id="rId1612" Type="http://schemas.openxmlformats.org/officeDocument/2006/relationships/hyperlink" Target="http://esa.un.org/unpd/wpp/Download/Standard/Population/" TargetMode="External"/><Relationship Id="rId1696" Type="http://schemas.openxmlformats.org/officeDocument/2006/relationships/hyperlink" Target="http://esa.un.org/unpd/wpp/Download/Standard/Population/" TargetMode="External"/><Relationship Id="rId1917" Type="http://schemas.openxmlformats.org/officeDocument/2006/relationships/hyperlink" Target="http://www.electionguide.org/countries/id/119/" TargetMode="External"/><Relationship Id="rId193" Type="http://schemas.openxmlformats.org/officeDocument/2006/relationships/hyperlink" Target="http://en.wikipedia.org/wiki/Venezuela" TargetMode="External"/><Relationship Id="rId207" Type="http://schemas.openxmlformats.org/officeDocument/2006/relationships/hyperlink" Target="http://www.companieshouse.gov.uk/links/introduction.shtml" TargetMode="External"/><Relationship Id="rId414" Type="http://schemas.openxmlformats.org/officeDocument/2006/relationships/hyperlink" Target="http://www.ics.gov.sc/civil-status/birth-registration" TargetMode="External"/><Relationship Id="rId498" Type="http://schemas.openxmlformats.org/officeDocument/2006/relationships/hyperlink" Target="http://nia.gov.gh/" TargetMode="External"/><Relationship Id="rId621" Type="http://schemas.openxmlformats.org/officeDocument/2006/relationships/hyperlink" Target="http://vi.wikipedia.org/wiki/Ch%E1%BB%A9ng_minh_nh%C3%A2n_d%C3%A2n" TargetMode="External"/><Relationship Id="rId1044" Type="http://schemas.openxmlformats.org/officeDocument/2006/relationships/hyperlink" Target="http://www.iom.int/seguridad-fronteriza/lit/cr/cr-results-2010.pdf" TargetMode="External"/><Relationship Id="rId1251" Type="http://schemas.openxmlformats.org/officeDocument/2006/relationships/hyperlink" Target="http://www.rti-rating.org/files/pdf/Dominican%20Republic.pdf" TargetMode="External"/><Relationship Id="rId1349" Type="http://schemas.openxmlformats.org/officeDocument/2006/relationships/hyperlink" Target="http://www.tietosuoja.fi/fi/index/lait/Henkilotietolaki.html" TargetMode="External"/><Relationship Id="rId260" Type="http://schemas.openxmlformats.org/officeDocument/2006/relationships/hyperlink" Target="http://en.wikipedia.org/wiki/Estonian_ID_card" TargetMode="External"/><Relationship Id="rId719" Type="http://schemas.openxmlformats.org/officeDocument/2006/relationships/hyperlink" Target="http://www.doingbusiness.org/data/exploreeconomies/ethiopia/starting-a-business" TargetMode="External"/><Relationship Id="rId926" Type="http://schemas.openxmlformats.org/officeDocument/2006/relationships/hyperlink" Target="http://psh.gov.ge/index.php?lang_id=GEO&amp;sec_id=305" TargetMode="External"/><Relationship Id="rId1111" Type="http://schemas.openxmlformats.org/officeDocument/2006/relationships/hyperlink" Target="http://www.pdpc.gov.sg/" TargetMode="External"/><Relationship Id="rId1556" Type="http://schemas.openxmlformats.org/officeDocument/2006/relationships/hyperlink" Target="http://www.sanmarino.sm/on-line/home/canali-tematici/pubblica-amministrazione.html" TargetMode="External"/><Relationship Id="rId1763" Type="http://schemas.openxmlformats.org/officeDocument/2006/relationships/hyperlink" Target="http://www.indexmundi.com/palau/population.html" TargetMode="External"/><Relationship Id="rId1970" Type="http://schemas.openxmlformats.org/officeDocument/2006/relationships/hyperlink" Target="http://www.idea.int/vt/countryview.cfm?id=131" TargetMode="External"/><Relationship Id="rId55" Type="http://schemas.openxmlformats.org/officeDocument/2006/relationships/hyperlink" Target="http://en.wikipedia.org/wiki/Ghana" TargetMode="External"/><Relationship Id="rId120" Type="http://schemas.openxmlformats.org/officeDocument/2006/relationships/hyperlink" Target="http://en.wikipedia.org/wiki/Qatar" TargetMode="External"/><Relationship Id="rId358" Type="http://schemas.openxmlformats.org/officeDocument/2006/relationships/hyperlink" Target="https://mepis.vrm.lt/kontaktai" TargetMode="External"/><Relationship Id="rId565" Type="http://schemas.openxmlformats.org/officeDocument/2006/relationships/hyperlink" Target="http://www.moi.gov.cy/moi/crmd/crmd.nsf/index_gr/index_gr?OpenDocument" TargetMode="External"/><Relationship Id="rId772" Type="http://schemas.openxmlformats.org/officeDocument/2006/relationships/hyperlink" Target="https://www.wbginvestmentclimate.org/publications/upload/Chad_A4-2.pdf" TargetMode="External"/><Relationship Id="rId1195" Type="http://schemas.openxmlformats.org/officeDocument/2006/relationships/hyperlink" Target="http://www.rti-rating.org/files/pdf/Argentina.pdf" TargetMode="External"/><Relationship Id="rId1209" Type="http://schemas.openxmlformats.org/officeDocument/2006/relationships/hyperlink" Target="http://www.rti-rating.org/files/pdf/Colombia.pdf" TargetMode="External"/><Relationship Id="rId1416" Type="http://schemas.openxmlformats.org/officeDocument/2006/relationships/hyperlink" Target="http://www.mic.gov.py/mic/site/inicio.php" TargetMode="External"/><Relationship Id="rId1623" Type="http://schemas.openxmlformats.org/officeDocument/2006/relationships/hyperlink" Target="http://esa.un.org/unpd/wpp/Download/Standard/Population/" TargetMode="External"/><Relationship Id="rId1830" Type="http://schemas.openxmlformats.org/officeDocument/2006/relationships/hyperlink" Target="http://www.electionguide.org/countries/id/37/" TargetMode="External"/><Relationship Id="rId218" Type="http://schemas.openxmlformats.org/officeDocument/2006/relationships/hyperlink" Target="http://idbdocs.iadb.org/wsdocs/getdocument.aspx?docnum=1959542" TargetMode="External"/><Relationship Id="rId425" Type="http://schemas.openxmlformats.org/officeDocument/2006/relationships/hyperlink" Target="http://www.gov.sr/sr/ministerie-van-biza/diensten/cbb/diensten-en-producten.aspx" TargetMode="External"/><Relationship Id="rId632" Type="http://schemas.openxmlformats.org/officeDocument/2006/relationships/hyperlink" Target="http://www.rpd.gov.lk/" TargetMode="External"/><Relationship Id="rId1055" Type="http://schemas.openxmlformats.org/officeDocument/2006/relationships/hyperlink" Target="http://www.rti-rating.org/files/pdf/Zimbabwe.pdf" TargetMode="External"/><Relationship Id="rId1262" Type="http://schemas.openxmlformats.org/officeDocument/2006/relationships/hyperlink" Target="http://www.dataprotection.gov.cy/" TargetMode="External"/><Relationship Id="rId1928" Type="http://schemas.openxmlformats.org/officeDocument/2006/relationships/hyperlink" Target="http://www.ine.mx/archivos3/portal/historico/contenido/Estadisticas_Lista_Nominal_y_Padron_Electoral/" TargetMode="External"/><Relationship Id="rId271" Type="http://schemas.openxmlformats.org/officeDocument/2006/relationships/hyperlink" Target="http://en.wikipedia.org/wiki/Albanian_Identity_Card" TargetMode="External"/><Relationship Id="rId937" Type="http://schemas.openxmlformats.org/officeDocument/2006/relationships/hyperlink" Target="http://nia.gov.gh/" TargetMode="External"/><Relationship Id="rId1122" Type="http://schemas.openxmlformats.org/officeDocument/2006/relationships/hyperlink" Target="http://www.rti-rating.org/files/pdf/Montenegro.pdf" TargetMode="External"/><Relationship Id="rId1567" Type="http://schemas.openxmlformats.org/officeDocument/2006/relationships/hyperlink" Target="http://esa.un.org/unpd/wpp/Download/Standard/Population/" TargetMode="External"/><Relationship Id="rId1774" Type="http://schemas.openxmlformats.org/officeDocument/2006/relationships/hyperlink" Target="http://www.unicef.cn/en/uploadfile/2014/1110/20141110052120900.pdf" TargetMode="External"/><Relationship Id="rId1981" Type="http://schemas.openxmlformats.org/officeDocument/2006/relationships/hyperlink" Target="http://www.idea.int/vt/countryview.cfm?id=224" TargetMode="External"/><Relationship Id="rId66" Type="http://schemas.openxmlformats.org/officeDocument/2006/relationships/hyperlink" Target="http://en.wikipedia.org/wiki/India" TargetMode="External"/><Relationship Id="rId131" Type="http://schemas.openxmlformats.org/officeDocument/2006/relationships/hyperlink" Target="http://en.wikipedia.org/wiki/Seychelles" TargetMode="External"/><Relationship Id="rId369" Type="http://schemas.openxmlformats.org/officeDocument/2006/relationships/hyperlink" Target="http://health.gov.ly/web/" TargetMode="External"/><Relationship Id="rId576" Type="http://schemas.openxmlformats.org/officeDocument/2006/relationships/hyperlink" Target="http://www.interieur.gouv.ga/4-services-aux-usagers/216-la-carte-nationale-d-identite/" TargetMode="External"/><Relationship Id="rId783" Type="http://schemas.openxmlformats.org/officeDocument/2006/relationships/hyperlink" Target="http://www.kuwaitchamber.org.kw/echamber/website/index.jsp" TargetMode="External"/><Relationship Id="rId990" Type="http://schemas.openxmlformats.org/officeDocument/2006/relationships/hyperlink" Target="http://www.jornalnoticias.co.mz/index.php/primeiro-plano/5760-domingos-jofane-director-nacional-de-identificacao-civil-bi-nao-esta-a-venda" TargetMode="External"/><Relationship Id="rId1427" Type="http://schemas.openxmlformats.org/officeDocument/2006/relationships/hyperlink" Target="http://www.oarg.gov.sl/Business%20Registry.html" TargetMode="External"/><Relationship Id="rId1634" Type="http://schemas.openxmlformats.org/officeDocument/2006/relationships/hyperlink" Target="http://esa.un.org/unpd/wpp/Download/Standard/Population/" TargetMode="External"/><Relationship Id="rId1841" Type="http://schemas.openxmlformats.org/officeDocument/2006/relationships/hyperlink" Target="http://www.electionguide.org/countries/id/34/" TargetMode="External"/><Relationship Id="rId229" Type="http://schemas.openxmlformats.org/officeDocument/2006/relationships/hyperlink" Target="http://www.moj.gov.jm/node/view/21" TargetMode="External"/><Relationship Id="rId436" Type="http://schemas.openxmlformats.org/officeDocument/2006/relationships/hyperlink" Target="http://www.foi.gov.to/index.php/ministries/justice" TargetMode="External"/><Relationship Id="rId643" Type="http://schemas.openxmlformats.org/officeDocument/2006/relationships/hyperlink" Target="http://mediaf.org/?p=1262" TargetMode="External"/><Relationship Id="rId1066" Type="http://schemas.openxmlformats.org/officeDocument/2006/relationships/hyperlink" Target="http://zpd.gov.ua/dszpd/en/publish/article/39559" TargetMode="External"/><Relationship Id="rId1273" Type="http://schemas.openxmlformats.org/officeDocument/2006/relationships/hyperlink" Target="http://www.datatilsynet.dk/english/the-act-on-processing-of-personal-data/read-the-act-on-processing-of-personal-data/compiled-version-of-the-act-on-processing-of-personal-data/" TargetMode="External"/><Relationship Id="rId1480" Type="http://schemas.openxmlformats.org/officeDocument/2006/relationships/hyperlink" Target="http://www.passport.gc.ca/" TargetMode="External"/><Relationship Id="rId1939" Type="http://schemas.openxmlformats.org/officeDocument/2006/relationships/hyperlink" Target="http://www.idea.int/vt/countryview.cfm?id=169" TargetMode="External"/><Relationship Id="rId850" Type="http://schemas.openxmlformats.org/officeDocument/2006/relationships/hyperlink" Target="http://www.acuity-mi.com/GNeID_2014_Intro_Preview.pdf" TargetMode="External"/><Relationship Id="rId948" Type="http://schemas.openxmlformats.org/officeDocument/2006/relationships/hyperlink" Target="http://www.personalausweisportal.de/" TargetMode="External"/><Relationship Id="rId1133" Type="http://schemas.openxmlformats.org/officeDocument/2006/relationships/hyperlink" Target="http://www.rti-rating.org/files/pdf/Poland.pdf" TargetMode="External"/><Relationship Id="rId1578" Type="http://schemas.openxmlformats.org/officeDocument/2006/relationships/hyperlink" Target="http://esa.un.org/unpd/wpp/Download/Standard/Population/" TargetMode="External"/><Relationship Id="rId1701" Type="http://schemas.openxmlformats.org/officeDocument/2006/relationships/hyperlink" Target="http://esa.un.org/unpd/wpp/Download/Standard/Population/" TargetMode="External"/><Relationship Id="rId1785" Type="http://schemas.openxmlformats.org/officeDocument/2006/relationships/hyperlink" Target="http://www.unicef.org/kosovoprogramme/UNICEF_Birth_Registration_2009_English.pdf" TargetMode="External"/><Relationship Id="rId1992" Type="http://schemas.openxmlformats.org/officeDocument/2006/relationships/hyperlink" Target="http://www.idea.int/vt/countryview.cfm?id=239" TargetMode="External"/><Relationship Id="rId77" Type="http://schemas.openxmlformats.org/officeDocument/2006/relationships/hyperlink" Target="http://en.wikipedia.org/wiki/North_Korea" TargetMode="External"/><Relationship Id="rId282" Type="http://schemas.openxmlformats.org/officeDocument/2006/relationships/hyperlink" Target="http://en.wikipedia.org/wiki/National_Registry_of_Identification_and_Civil_Status" TargetMode="External"/><Relationship Id="rId503" Type="http://schemas.openxmlformats.org/officeDocument/2006/relationships/hyperlink" Target="https://www.ecensus.com.ph/Default.aspx" TargetMode="External"/><Relationship Id="rId587" Type="http://schemas.openxmlformats.org/officeDocument/2006/relationships/hyperlink" Target="http://www.president.gov.ki/ministry-of-internal-affairs/" TargetMode="External"/><Relationship Id="rId710" Type="http://schemas.openxmlformats.org/officeDocument/2006/relationships/hyperlink" Target="http://www.novascotia.ca/sns/access/business.asp" TargetMode="External"/><Relationship Id="rId808" Type="http://schemas.openxmlformats.org/officeDocument/2006/relationships/hyperlink" Target="http://www.doingbusiness.org/data/exploreeconomies/macedonia-fyr/starting-a-business" TargetMode="External"/><Relationship Id="rId1340" Type="http://schemas.openxmlformats.org/officeDocument/2006/relationships/hyperlink" Target="http://www.humanrightsinitiative.org/programs/ai/rti/international/laws_&amp;_papers.htm" TargetMode="External"/><Relationship Id="rId1438" Type="http://schemas.openxmlformats.org/officeDocument/2006/relationships/hyperlink" Target="http://www.dgi.gob.ni/interna.php?sec=32" TargetMode="External"/><Relationship Id="rId1645" Type="http://schemas.openxmlformats.org/officeDocument/2006/relationships/hyperlink" Target="http://esa.un.org/unpd/wpp/Download/Standard/Population/" TargetMode="External"/><Relationship Id="rId8" Type="http://schemas.openxmlformats.org/officeDocument/2006/relationships/hyperlink" Target="http://en.wikipedia.org/wiki/Armenia" TargetMode="External"/><Relationship Id="rId142" Type="http://schemas.openxmlformats.org/officeDocument/2006/relationships/hyperlink" Target="http://en.wikipedia.org/wiki/Sweden" TargetMode="External"/><Relationship Id="rId447" Type="http://schemas.openxmlformats.org/officeDocument/2006/relationships/hyperlink" Target="http://www.gov.uz/ru/services/register/2137" TargetMode="External"/><Relationship Id="rId794" Type="http://schemas.openxmlformats.org/officeDocument/2006/relationships/hyperlink" Target="http://www.apimali.gov.ml/api/en/index.php?page=starting-a-business" TargetMode="External"/><Relationship Id="rId1077" Type="http://schemas.openxmlformats.org/officeDocument/2006/relationships/hyperlink" Target="http://www.resmigazete.gov.tr/eskiler/2014/11/20141105-1.htm" TargetMode="External"/><Relationship Id="rId1200" Type="http://schemas.openxmlformats.org/officeDocument/2006/relationships/hyperlink" Target="http://www.rti-rating.org/files/pdf/Bangladesh.pdf" TargetMode="External"/><Relationship Id="rId1852" Type="http://schemas.openxmlformats.org/officeDocument/2006/relationships/hyperlink" Target="http://www.insee.fr/fr/themes/document.asp?ref_id=if23" TargetMode="External"/><Relationship Id="rId654" Type="http://schemas.openxmlformats.org/officeDocument/2006/relationships/hyperlink" Target="http://www.oas.org/en/spa/depm/puica/proyectos.asp" TargetMode="External"/><Relationship Id="rId861" Type="http://schemas.openxmlformats.org/officeDocument/2006/relationships/hyperlink" Target="http://juki-card.com/" TargetMode="External"/><Relationship Id="rId959" Type="http://schemas.openxmlformats.org/officeDocument/2006/relationships/hyperlink" Target="http://www.jocomores.gouv.km/spip.php?article942" TargetMode="External"/><Relationship Id="rId1284" Type="http://schemas.openxmlformats.org/officeDocument/2006/relationships/hyperlink" Target="http://www.rti-rating.org/files/pdf/India.pdf" TargetMode="External"/><Relationship Id="rId1491" Type="http://schemas.openxmlformats.org/officeDocument/2006/relationships/hyperlink" Target="http://www.servicepublic.gouv.sn/index.php/demarche_administrative/demarche/1/1187" TargetMode="External"/><Relationship Id="rId1505" Type="http://schemas.openxmlformats.org/officeDocument/2006/relationships/hyperlink" Target="http://www.gemalto.com/brochures-site/download-site/Documents/gov-ID-programs.pdf" TargetMode="External"/><Relationship Id="rId1589" Type="http://schemas.openxmlformats.org/officeDocument/2006/relationships/hyperlink" Target="http://esa.un.org/unpd/wpp/Download/Standard/Population/" TargetMode="External"/><Relationship Id="rId1712" Type="http://schemas.openxmlformats.org/officeDocument/2006/relationships/hyperlink" Target="http://esa.un.org/unpd/wpp/Download/Standard/Population/" TargetMode="External"/><Relationship Id="rId293" Type="http://schemas.openxmlformats.org/officeDocument/2006/relationships/hyperlink" Target="http://en.wikipedia.org/w/index.php?title=Qatari_ID_Card&amp;action=edit&amp;redlink=1" TargetMode="External"/><Relationship Id="rId307" Type="http://schemas.openxmlformats.org/officeDocument/2006/relationships/hyperlink" Target="http://www.centar.ba/" TargetMode="External"/><Relationship Id="rId514" Type="http://schemas.openxmlformats.org/officeDocument/2006/relationships/hyperlink" Target="http://www.statewatch.org/analyses/no-107-national-ID-cards-questionnaire.pdf" TargetMode="External"/><Relationship Id="rId721" Type="http://schemas.openxmlformats.org/officeDocument/2006/relationships/hyperlink" Target="https://www.egov.gov.fj/g2b/Commerce/default.aspx" TargetMode="External"/><Relationship Id="rId1144" Type="http://schemas.openxmlformats.org/officeDocument/2006/relationships/hyperlink" Target="http://legislacion.asamblea.gob.ni/normaweb.nsf/9e314815a08d4a6206257265005d21f9/e5d37e9b4827fc06062579ed0076ce1d?OpenDocument" TargetMode="External"/><Relationship Id="rId1351" Type="http://schemas.openxmlformats.org/officeDocument/2006/relationships/hyperlink" Target="http://www.afapdp.org/wp-content/uploads/2012/01/Gabon-Loi-relative-%C3%A0-la-protection-des-donn%C3%A9es-personnelles-du-4-mai-20112.pdf" TargetMode="External"/><Relationship Id="rId1449" Type="http://schemas.openxmlformats.org/officeDocument/2006/relationships/hyperlink" Target="http://www.src.gov.sc/pages/pressreleases/2012/TINAccrossSRC.aspx" TargetMode="External"/><Relationship Id="rId1796" Type="http://schemas.openxmlformats.org/officeDocument/2006/relationships/hyperlink" Target="http://unstats.un.org/unsd/demographic/CRVS/CR_coverage.htm" TargetMode="External"/><Relationship Id="rId88" Type="http://schemas.openxmlformats.org/officeDocument/2006/relationships/hyperlink" Target="http://en.wikipedia.org/wiki/Republic_of_Macedonia" TargetMode="External"/><Relationship Id="rId153" Type="http://schemas.openxmlformats.org/officeDocument/2006/relationships/hyperlink" Target="http://en.wikipedia.org/wiki/Turkmenistan" TargetMode="External"/><Relationship Id="rId360" Type="http://schemas.openxmlformats.org/officeDocument/2006/relationships/hyperlink" Target="http://www.guichet.public.lu/citoyens/fr/certificats/etat-civil-authentification/etat-civil/acte-naissance/index.html" TargetMode="External"/><Relationship Id="rId598" Type="http://schemas.openxmlformats.org/officeDocument/2006/relationships/hyperlink" Target="http://www.llv.li/" TargetMode="External"/><Relationship Id="rId819" Type="http://schemas.openxmlformats.org/officeDocument/2006/relationships/hyperlink" Target="https://servicii.gov.md/CategoryDetails.aspx?cid=59d2ed3d-abaa-45ea-8b3e-cec1dc20ff7c" TargetMode="External"/><Relationship Id="rId1004" Type="http://schemas.openxmlformats.org/officeDocument/2006/relationships/hyperlink" Target="http://www.panamatramita.gob.pa/tramite/c%C3%A9dula-de-identidad-personal" TargetMode="External"/><Relationship Id="rId1211" Type="http://schemas.openxmlformats.org/officeDocument/2006/relationships/hyperlink" Target="http://www.afghan-web.com/politics/storage/law_on_mass_media.pdf" TargetMode="External"/><Relationship Id="rId1656" Type="http://schemas.openxmlformats.org/officeDocument/2006/relationships/hyperlink" Target="http://esa.un.org/unpd/wpp/Download/Standard/Population/" TargetMode="External"/><Relationship Id="rId1863" Type="http://schemas.openxmlformats.org/officeDocument/2006/relationships/hyperlink" Target="http://www.nec.go.kr/engvote_2013/05_resourcecenter/07_02.jsp?num=304&amp;pg=1&amp;col=&amp;sw=" TargetMode="External"/><Relationship Id="rId220" Type="http://schemas.openxmlformats.org/officeDocument/2006/relationships/hyperlink" Target="http://www.tse.go.cr/rciv.html" TargetMode="External"/><Relationship Id="rId458" Type="http://schemas.openxmlformats.org/officeDocument/2006/relationships/hyperlink" Target="http://moi.gov.af/en" TargetMode="External"/><Relationship Id="rId665" Type="http://schemas.openxmlformats.org/officeDocument/2006/relationships/hyperlink" Target="http://en.wikipedia.org/wiki/List_of_countries_by_percentage_of_population_living_in_poverty" TargetMode="External"/><Relationship Id="rId872" Type="http://schemas.openxmlformats.org/officeDocument/2006/relationships/hyperlink" Target="http://www.morpho.com/actualites-et-evenements/presse/morpho-chosen-to-supply-chile-s-new-id-documents" TargetMode="External"/><Relationship Id="rId1088" Type="http://schemas.openxmlformats.org/officeDocument/2006/relationships/hyperlink" Target="http://www.rti-rating.org/files/pdf/Slovakia.pdf" TargetMode="External"/><Relationship Id="rId1295" Type="http://schemas.openxmlformats.org/officeDocument/2006/relationships/hyperlink" Target="http://www.naih.hu/" TargetMode="External"/><Relationship Id="rId1309" Type="http://schemas.openxmlformats.org/officeDocument/2006/relationships/hyperlink" Target="http://www.pcpd.org.hk/" TargetMode="External"/><Relationship Id="rId1516" Type="http://schemas.openxmlformats.org/officeDocument/2006/relationships/hyperlink" Target="http://es.wikipedia.org/wiki/Documento_de_identidad" TargetMode="External"/><Relationship Id="rId1723" Type="http://schemas.openxmlformats.org/officeDocument/2006/relationships/hyperlink" Target="http://esa.un.org/unpd/wpp/Download/Standard/Population/" TargetMode="External"/><Relationship Id="rId1930" Type="http://schemas.openxmlformats.org/officeDocument/2006/relationships/hyperlink" Target="http://www.registru.md/date-statistice/referitor-la-persoanele-domiciliate-in-rm-prin-prisma-cetateniei" TargetMode="External"/><Relationship Id="rId15" Type="http://schemas.openxmlformats.org/officeDocument/2006/relationships/hyperlink" Target="http://en.wikipedia.org/wiki/Barbados" TargetMode="External"/><Relationship Id="rId318" Type="http://schemas.openxmlformats.org/officeDocument/2006/relationships/hyperlink" Target="http://www.primature-rca.org/" TargetMode="External"/><Relationship Id="rId525" Type="http://schemas.openxmlformats.org/officeDocument/2006/relationships/hyperlink" Target="http://www.mps.gov.cn/" TargetMode="External"/><Relationship Id="rId732" Type="http://schemas.openxmlformats.org/officeDocument/2006/relationships/hyperlink" Target="http://www.gov.gd/departments/supreme_court_registry.html" TargetMode="External"/><Relationship Id="rId1155" Type="http://schemas.openxmlformats.org/officeDocument/2006/relationships/hyperlink" Target="http://nic.gov.np/" TargetMode="External"/><Relationship Id="rId1362" Type="http://schemas.openxmlformats.org/officeDocument/2006/relationships/hyperlink" Target="http://www.companieshouse.gov.uk/" TargetMode="External"/><Relationship Id="rId99" Type="http://schemas.openxmlformats.org/officeDocument/2006/relationships/hyperlink" Target="http://en.wikipedia.org/wiki/Montenegro" TargetMode="External"/><Relationship Id="rId164" Type="http://schemas.openxmlformats.org/officeDocument/2006/relationships/hyperlink" Target="http://en.wikipedia.org/wiki/Yemen" TargetMode="External"/><Relationship Id="rId371" Type="http://schemas.openxmlformats.org/officeDocument/2006/relationships/hyperlink" Target="http://www.dsi.gov.mo/idcard03_e.jsp" TargetMode="External"/><Relationship Id="rId1015" Type="http://schemas.openxmlformats.org/officeDocument/2006/relationships/hyperlink" Target="https://www.slovensko.sk/sk/eid/_eid-karta" TargetMode="External"/><Relationship Id="rId1222" Type="http://schemas.openxmlformats.org/officeDocument/2006/relationships/hyperlink" Target="http://unpan1.un.org/intradoc/groups/public/documents/TASF/UNPAN024631.pdf" TargetMode="External"/><Relationship Id="rId1667" Type="http://schemas.openxmlformats.org/officeDocument/2006/relationships/hyperlink" Target="http://esa.un.org/unpd/wpp/Download/Standard/Population/" TargetMode="External"/><Relationship Id="rId1874" Type="http://schemas.openxmlformats.org/officeDocument/2006/relationships/hyperlink" Target="http://www.electionguide.org/countries/id/97/" TargetMode="External"/><Relationship Id="rId469" Type="http://schemas.openxmlformats.org/officeDocument/2006/relationships/hyperlink" Target="http://en.wikipedia.org/wiki/C%C3%A9dula_de_identidad" TargetMode="External"/><Relationship Id="rId676" Type="http://schemas.openxmlformats.org/officeDocument/2006/relationships/hyperlink" Target="https://www.rnpdigital.com/personas_juridicas/index.htm" TargetMode="External"/><Relationship Id="rId883" Type="http://schemas.openxmlformats.org/officeDocument/2006/relationships/hyperlink" Target="https://www.gi-de.com/en/products_and_solutions/products/national_id_cards/National-ID-cards-for-secure-identification-6530.jsp" TargetMode="External"/><Relationship Id="rId1099" Type="http://schemas.openxmlformats.org/officeDocument/2006/relationships/hyperlink" Target="http://www.statewatch.org/news/2013/mar/ecowas-dp-act.pdf" TargetMode="External"/><Relationship Id="rId1527" Type="http://schemas.openxmlformats.org/officeDocument/2006/relationships/hyperlink" Target="http://www.cetis.si/?viewPage=71" TargetMode="External"/><Relationship Id="rId1734" Type="http://schemas.openxmlformats.org/officeDocument/2006/relationships/hyperlink" Target="http://esa.un.org/unpd/wpp/Download/Standard/Population/" TargetMode="External"/><Relationship Id="rId1941" Type="http://schemas.openxmlformats.org/officeDocument/2006/relationships/hyperlink" Target="http://www.idea.int/vt/countryview.cfm?id=168" TargetMode="External"/><Relationship Id="rId26" Type="http://schemas.openxmlformats.org/officeDocument/2006/relationships/hyperlink" Target="http://en.wikipedia.org/wiki/Canada" TargetMode="External"/><Relationship Id="rId231" Type="http://schemas.openxmlformats.org/officeDocument/2006/relationships/hyperlink" Target="http://dgcnesyp.inegi.org.mx/cgiwin/ehm.exe/I" TargetMode="External"/><Relationship Id="rId329" Type="http://schemas.openxmlformats.org/officeDocument/2006/relationships/hyperlink" Target="http://www.egjustice.org/" TargetMode="External"/><Relationship Id="rId536" Type="http://schemas.openxmlformats.org/officeDocument/2006/relationships/hyperlink" Target="http://www.bmbah.hu/jomla/index.php?option=com_k2&amp;view=item&amp;layout=item&amp;id=390&amp;Itemid=459&amp;lang=hu" TargetMode="External"/><Relationship Id="rId1166" Type="http://schemas.openxmlformats.org/officeDocument/2006/relationships/hyperlink" Target="http://www.rti-rating.org/files/pdf/Malta.pdf" TargetMode="External"/><Relationship Id="rId1373" Type="http://schemas.openxmlformats.org/officeDocument/2006/relationships/hyperlink" Target="https://dichvuthongtin.dkkd.gov.vn/auth/Public/LogOn.aspx?ReturnUrl=%2fauth%2fdefault.aspx" TargetMode="External"/><Relationship Id="rId175" Type="http://schemas.openxmlformats.org/officeDocument/2006/relationships/hyperlink" Target="http://en.wikipedia.org/wiki/Congo" TargetMode="External"/><Relationship Id="rId743" Type="http://schemas.openxmlformats.org/officeDocument/2006/relationships/hyperlink" Target="http://www.infocamere.it/" TargetMode="External"/><Relationship Id="rId950" Type="http://schemas.openxmlformats.org/officeDocument/2006/relationships/hyperlink" Target="http://www.muptk.ba/index.php?option=com_content&amp;view=category&amp;layout=blog&amp;id=65&amp;Itemid=87" TargetMode="External"/><Relationship Id="rId1026" Type="http://schemas.openxmlformats.org/officeDocument/2006/relationships/hyperlink" Target="http://www.euprava.gov.rs/" TargetMode="External"/><Relationship Id="rId1580" Type="http://schemas.openxmlformats.org/officeDocument/2006/relationships/hyperlink" Target="http://esa.un.org/unpd/wpp/Download/Standard/Population/" TargetMode="External"/><Relationship Id="rId1678" Type="http://schemas.openxmlformats.org/officeDocument/2006/relationships/hyperlink" Target="http://esa.un.org/unpd/wpp/Download/Standard/Population/" TargetMode="External"/><Relationship Id="rId1801" Type="http://schemas.openxmlformats.org/officeDocument/2006/relationships/hyperlink" Target="http://www.unicef.org/protection/files/UNICEF_Birth_Registration_Handbook.pdf" TargetMode="External"/><Relationship Id="rId1885" Type="http://schemas.openxmlformats.org/officeDocument/2006/relationships/hyperlink" Target="http://www.idea.int/vt/countryview.cfm?id=146" TargetMode="External"/><Relationship Id="rId382" Type="http://schemas.openxmlformats.org/officeDocument/2006/relationships/hyperlink" Target="http://unstats.un.org/unsd/demographic/products/socind/default.htm" TargetMode="External"/><Relationship Id="rId603" Type="http://schemas.openxmlformats.org/officeDocument/2006/relationships/hyperlink" Target="http://www.ine.mx/es/web/portal/inicio?" TargetMode="External"/><Relationship Id="rId687" Type="http://schemas.openxmlformats.org/officeDocument/2006/relationships/hyperlink" Target="http://acbr.gov.af/" TargetMode="External"/><Relationship Id="rId810" Type="http://schemas.openxmlformats.org/officeDocument/2006/relationships/hyperlink" Target="http://www.doingbusiness.org/data/exploreeconomies/malawi/starting-a-business" TargetMode="External"/><Relationship Id="rId908" Type="http://schemas.openxmlformats.org/officeDocument/2006/relationships/hyperlink" Target="http://opm.gov.jm/opm-programmes/national-identification-system/" TargetMode="External"/><Relationship Id="rId1233" Type="http://schemas.openxmlformats.org/officeDocument/2006/relationships/hyperlink" Target="http://www.jus.gob.ar/datos-personales.aspx" TargetMode="External"/><Relationship Id="rId1440" Type="http://schemas.openxmlformats.org/officeDocument/2006/relationships/hyperlink" Target="https://www.dgi.gob.pa/noticias/reso_201-1194.pdf" TargetMode="External"/><Relationship Id="rId1538" Type="http://schemas.openxmlformats.org/officeDocument/2006/relationships/hyperlink" Target="http://www.gemalto.com/govt/customer-cases/portugal-id" TargetMode="External"/><Relationship Id="rId242" Type="http://schemas.openxmlformats.org/officeDocument/2006/relationships/hyperlink" Target="http://www.uruguay.gub.uy/dgrec/usuario/form_login.asp" TargetMode="External"/><Relationship Id="rId894" Type="http://schemas.openxmlformats.org/officeDocument/2006/relationships/hyperlink" Target="http://www.slideshare.net/alkhouri/critical-insights-from-a-practitioner-mindset-volume-3" TargetMode="External"/><Relationship Id="rId1177" Type="http://schemas.openxmlformats.org/officeDocument/2006/relationships/hyperlink" Target="http://www.culturalpolicies.net/web/sanmarino.php?aid=518" TargetMode="External"/><Relationship Id="rId1300" Type="http://schemas.openxmlformats.org/officeDocument/2006/relationships/hyperlink" Target="http://deity.gov.in/sites/upload_files/dit/files/downloads/itact2000/itbill2000.pdf" TargetMode="External"/><Relationship Id="rId1745" Type="http://schemas.openxmlformats.org/officeDocument/2006/relationships/hyperlink" Target="http://esa.un.org/unpd/wpp/Download/Standard/Population/" TargetMode="External"/><Relationship Id="rId1952" Type="http://schemas.openxmlformats.org/officeDocument/2006/relationships/hyperlink" Target="http://www.idea.int/vt/countryview.cfm?id=120" TargetMode="External"/><Relationship Id="rId37" Type="http://schemas.openxmlformats.org/officeDocument/2006/relationships/hyperlink" Target="http://en.wikipedia.org/wiki/Czech_Republic" TargetMode="External"/><Relationship Id="rId102" Type="http://schemas.openxmlformats.org/officeDocument/2006/relationships/hyperlink" Target="http://en.wikipedia.org/wiki/Namibia" TargetMode="External"/><Relationship Id="rId547" Type="http://schemas.openxmlformats.org/officeDocument/2006/relationships/hyperlink" Target="http://unstats.un.org/unsd/demographic/CRVS/Technical%20report%20SADC%20final%20v2.pdf" TargetMode="External"/><Relationship Id="rId754" Type="http://schemas.openxmlformats.org/officeDocument/2006/relationships/hyperlink" Target="http://www.dei.gob.hn/website/?cat=1443" TargetMode="External"/><Relationship Id="rId961" Type="http://schemas.openxmlformats.org/officeDocument/2006/relationships/hyperlink" Target="http://www.presidentrdc.cd/spip.php?article630" TargetMode="External"/><Relationship Id="rId1384" Type="http://schemas.openxmlformats.org/officeDocument/2006/relationships/hyperlink" Target="http://www.ticaretsicil.gov.tr/" TargetMode="External"/><Relationship Id="rId1591" Type="http://schemas.openxmlformats.org/officeDocument/2006/relationships/hyperlink" Target="http://esa.un.org/unpd/wpp/Download/Standard/Population/" TargetMode="External"/><Relationship Id="rId1605" Type="http://schemas.openxmlformats.org/officeDocument/2006/relationships/hyperlink" Target="http://esa.un.org/unpd/wpp/Download/Standard/Population/" TargetMode="External"/><Relationship Id="rId1689" Type="http://schemas.openxmlformats.org/officeDocument/2006/relationships/hyperlink" Target="http://esa.un.org/unpd/wpp/Download/Standard/Population/" TargetMode="External"/><Relationship Id="rId1812" Type="http://schemas.openxmlformats.org/officeDocument/2006/relationships/hyperlink" Target="https://www.infocenter.gov.az/content/?i=10&amp;title=statistika" TargetMode="External"/><Relationship Id="rId90" Type="http://schemas.openxmlformats.org/officeDocument/2006/relationships/hyperlink" Target="http://en.wikipedia.org/wiki/Mali" TargetMode="External"/><Relationship Id="rId186" Type="http://schemas.openxmlformats.org/officeDocument/2006/relationships/hyperlink" Target="http://en.wikipedia.org/wiki/Moldova" TargetMode="External"/><Relationship Id="rId393" Type="http://schemas.openxmlformats.org/officeDocument/2006/relationships/hyperlink" Target="http://www.government.nl/issues/family-law/birth-of-a-child" TargetMode="External"/><Relationship Id="rId407" Type="http://schemas.openxmlformats.org/officeDocument/2006/relationships/hyperlink" Target="http://www.nia.gov.kn/index.php/ministries/health/registrar-general" TargetMode="External"/><Relationship Id="rId614" Type="http://schemas.openxmlformats.org/officeDocument/2006/relationships/hyperlink" Target="http://www.moi.gov.qa/site/Arabic/index.html" TargetMode="External"/><Relationship Id="rId821" Type="http://schemas.openxmlformats.org/officeDocument/2006/relationships/hyperlink" Target="http://www.gra.gov.gh/docs/info/tin_act.pdf" TargetMode="External"/><Relationship Id="rId1037" Type="http://schemas.openxmlformats.org/officeDocument/2006/relationships/hyperlink" Target="http://www.interieur.gov.tn/" TargetMode="External"/><Relationship Id="rId1244" Type="http://schemas.openxmlformats.org/officeDocument/2006/relationships/hyperlink" Target="https://www.priv.gc.ca/" TargetMode="External"/><Relationship Id="rId1451" Type="http://schemas.openxmlformats.org/officeDocument/2006/relationships/hyperlink" Target="http://base.spinform.ru/show_doc.fwx?rgn=57789" TargetMode="External"/><Relationship Id="rId1896" Type="http://schemas.openxmlformats.org/officeDocument/2006/relationships/hyperlink" Target="http://www.electionguide.org/countries/id/55/" TargetMode="External"/><Relationship Id="rId253" Type="http://schemas.openxmlformats.org/officeDocument/2006/relationships/hyperlink" Target="http://www.nadra.gov.pk/" TargetMode="External"/><Relationship Id="rId460" Type="http://schemas.openxmlformats.org/officeDocument/2006/relationships/hyperlink" Target="http://www.gemalto.com/govt/identity" TargetMode="External"/><Relationship Id="rId698" Type="http://schemas.openxmlformats.org/officeDocument/2006/relationships/hyperlink" Target="https://ec.europa.eu/taxation_customs/tin/pdf/en/TIN_-_country_sheet_AT_en.pdf" TargetMode="External"/><Relationship Id="rId919" Type="http://schemas.openxmlformats.org/officeDocument/2006/relationships/hyperlink" Target="http://www.isf.gov.lb/ar/article/97/%D8%A7%D9%84%D8%AD%D8%B5%D9%88%D9%84-%D8%B9%D9%84%D9%89-%D8%A7%D9%84%D8%A8%D8%B5%D9%85%D8%A7%D8%AA" TargetMode="External"/><Relationship Id="rId1090" Type="http://schemas.openxmlformats.org/officeDocument/2006/relationships/hyperlink" Target="http://www.rti-rating.org/files/pdf/South%20Africa.pdf" TargetMode="External"/><Relationship Id="rId1104" Type="http://schemas.openxmlformats.org/officeDocument/2006/relationships/hyperlink" Target="http://www.wipo.int/edocs/lexdocs/laws/en/sd/sd001en.pdf" TargetMode="External"/><Relationship Id="rId1311" Type="http://schemas.openxmlformats.org/officeDocument/2006/relationships/hyperlink" Target="http://www.justice.gov.il/" TargetMode="External"/><Relationship Id="rId1549" Type="http://schemas.openxmlformats.org/officeDocument/2006/relationships/hyperlink" Target="http://www.prosecurityzone.com/News_Detail_Multi-biometric_national_id_system_for_panama_2455.asp" TargetMode="External"/><Relationship Id="rId1756" Type="http://schemas.openxmlformats.org/officeDocument/2006/relationships/hyperlink" Target="http://iec.org.af/2012-05-31-16-45-49/voter-registration" TargetMode="External"/><Relationship Id="rId1963" Type="http://schemas.openxmlformats.org/officeDocument/2006/relationships/hyperlink" Target="http://www.idea.int/vt/countryview.cfm?id=202" TargetMode="External"/><Relationship Id="rId48" Type="http://schemas.openxmlformats.org/officeDocument/2006/relationships/hyperlink" Target="http://en.wikipedia.org/wiki/Ethiopia" TargetMode="External"/><Relationship Id="rId113" Type="http://schemas.openxmlformats.org/officeDocument/2006/relationships/hyperlink" Target="http://en.wikipedia.org/wiki/Palau" TargetMode="External"/><Relationship Id="rId320" Type="http://schemas.openxmlformats.org/officeDocument/2006/relationships/hyperlink" Target="http://www.mps.gov.cn/" TargetMode="External"/><Relationship Id="rId558" Type="http://schemas.openxmlformats.org/officeDocument/2006/relationships/hyperlink" Target="http://www.mj.gov.cv/index.php/estrutura-mtie/2012-02-14-13-02-17" TargetMode="External"/><Relationship Id="rId765" Type="http://schemas.openxmlformats.org/officeDocument/2006/relationships/hyperlink" Target="http://www.doingbusiness.org/data/exploreeconomies/eritrea/starting-a-business" TargetMode="External"/><Relationship Id="rId972" Type="http://schemas.openxmlformats.org/officeDocument/2006/relationships/hyperlink" Target="http://www.fiji.gov.fj/Media-Center/Press-Releases/PM-RECEIVES-HIS-JOINT-ID-CARD.aspx" TargetMode="External"/><Relationship Id="rId1188" Type="http://schemas.openxmlformats.org/officeDocument/2006/relationships/hyperlink" Target="https://translate.googleusercontent.com/translate_f" TargetMode="External"/><Relationship Id="rId1395" Type="http://schemas.openxmlformats.org/officeDocument/2006/relationships/hyperlink" Target="http://www.cac.gov.ng/" TargetMode="External"/><Relationship Id="rId1409" Type="http://schemas.openxmlformats.org/officeDocument/2006/relationships/hyperlink" Target="http://www.ocr.gov.np/index.php/en/" TargetMode="External"/><Relationship Id="rId1616" Type="http://schemas.openxmlformats.org/officeDocument/2006/relationships/hyperlink" Target="http://esa.un.org/unpd/wpp/Download/Standard/Population/" TargetMode="External"/><Relationship Id="rId1823" Type="http://schemas.openxmlformats.org/officeDocument/2006/relationships/hyperlink" Target="http://www.elections.gov.bz/modules/wfdownloads/singlefile.php?cid=234&amp;lid=934" TargetMode="External"/><Relationship Id="rId2001" Type="http://schemas.openxmlformats.org/officeDocument/2006/relationships/drawing" Target="../drawings/drawing1.xml"/><Relationship Id="rId197" Type="http://schemas.openxmlformats.org/officeDocument/2006/relationships/hyperlink" Target="https://en.wikipedia.org/wiki/State_of_Palestine" TargetMode="External"/><Relationship Id="rId418" Type="http://schemas.openxmlformats.org/officeDocument/2006/relationships/hyperlink" Target="http://www.mnz.gov.si/si/mnz_za_vas/maticni_register/rojstvo/" TargetMode="External"/><Relationship Id="rId625" Type="http://schemas.openxmlformats.org/officeDocument/2006/relationships/hyperlink" Target="http://en.wikipedia.org/wiki/Thai_national_ID_card" TargetMode="External"/><Relationship Id="rId832" Type="http://schemas.openxmlformats.org/officeDocument/2006/relationships/hyperlink" Target="http://74.208.70.104/blog48631/7u7r597z2148631/national-identification-document-enid-2/" TargetMode="External"/><Relationship Id="rId1048" Type="http://schemas.openxmlformats.org/officeDocument/2006/relationships/hyperlink" Target="http://www.rti-rating.org/files/pdf/Tunisia.pdf" TargetMode="External"/><Relationship Id="rId1255" Type="http://schemas.openxmlformats.org/officeDocument/2006/relationships/hyperlink" Target="http://www.rti-rating.org/files/pdf/Ethiopia.pdf" TargetMode="External"/><Relationship Id="rId1462" Type="http://schemas.openxmlformats.org/officeDocument/2006/relationships/hyperlink" Target="https://difcportal.force.com/customers/signin" TargetMode="External"/><Relationship Id="rId264" Type="http://schemas.openxmlformats.org/officeDocument/2006/relationships/hyperlink" Target="http://en.wikipedia.org/wiki/Greek_identity_card" TargetMode="External"/><Relationship Id="rId471" Type="http://schemas.openxmlformats.org/officeDocument/2006/relationships/hyperlink" Target="http://www.unisys.com/search/unisys?k=UnisysAssetType:Case%20Studies" TargetMode="External"/><Relationship Id="rId1115" Type="http://schemas.openxmlformats.org/officeDocument/2006/relationships/hyperlink" Target="http://www.datainspektionen.se/in-english/" TargetMode="External"/><Relationship Id="rId1322" Type="http://schemas.openxmlformats.org/officeDocument/2006/relationships/hyperlink" Target="http://ec.europa.eu/justice/policies/privacy/docs/implementation/liechstenstein_gesetz_11_12_2008_de.pdf" TargetMode="External"/><Relationship Id="rId1767" Type="http://schemas.openxmlformats.org/officeDocument/2006/relationships/hyperlink" Target="http://www.indexmundi.com/tuvalu/population.html" TargetMode="External"/><Relationship Id="rId1974" Type="http://schemas.openxmlformats.org/officeDocument/2006/relationships/hyperlink" Target="http://www.idea.int/vt/countryview.cfm?id=42" TargetMode="External"/><Relationship Id="rId59" Type="http://schemas.openxmlformats.org/officeDocument/2006/relationships/hyperlink" Target="http://en.wikipedia.org/wiki/Guinea" TargetMode="External"/><Relationship Id="rId124" Type="http://schemas.openxmlformats.org/officeDocument/2006/relationships/hyperlink" Target="http://en.wikipedia.org/wiki/Saint_Lucia" TargetMode="External"/><Relationship Id="rId569" Type="http://schemas.openxmlformats.org/officeDocument/2006/relationships/hyperlink" Target="http://www.registrocivil.gob.ec/?p=1674" TargetMode="External"/><Relationship Id="rId776" Type="http://schemas.openxmlformats.org/officeDocument/2006/relationships/hyperlink" Target="https://www.startbiz.go.kr/EP/web/portal/jsp/EP_Default_new.jsp" TargetMode="External"/><Relationship Id="rId983" Type="http://schemas.openxmlformats.org/officeDocument/2006/relationships/hyperlink" Target="http://www.gov.bw/en/Ministries--Authorities/Ministries/Ministry-of-Labour--Home-Affairs-MLHA/Department--Units/Civil-and-National-Registration/" TargetMode="External"/><Relationship Id="rId1199" Type="http://schemas.openxmlformats.org/officeDocument/2006/relationships/hyperlink" Target="http://www.rti-rating.org/files/pdf/Azerbaijan.pdf" TargetMode="External"/><Relationship Id="rId1627" Type="http://schemas.openxmlformats.org/officeDocument/2006/relationships/hyperlink" Target="http://esa.un.org/unpd/wpp/Download/Standard/Population/" TargetMode="External"/><Relationship Id="rId1834" Type="http://schemas.openxmlformats.org/officeDocument/2006/relationships/hyperlink" Target="http://www.electionguide.org/countries/id/28/" TargetMode="External"/><Relationship Id="rId331" Type="http://schemas.openxmlformats.org/officeDocument/2006/relationships/hyperlink" Target="http://www.bdm.gov.fj/births.htm" TargetMode="External"/><Relationship Id="rId429" Type="http://schemas.openxmlformats.org/officeDocument/2006/relationships/hyperlink" Target="http://www.syriamoi.gov.sy/" TargetMode="External"/><Relationship Id="rId636" Type="http://schemas.openxmlformats.org/officeDocument/2006/relationships/hyperlink" Target="http://www.refworld.org/docid/52cea1d24.html" TargetMode="External"/><Relationship Id="rId1059" Type="http://schemas.openxmlformats.org/officeDocument/2006/relationships/hyperlink" Target="http://zpd.gov.ua/dszpd/en/publish/article/39178" TargetMode="External"/><Relationship Id="rId1266" Type="http://schemas.openxmlformats.org/officeDocument/2006/relationships/hyperlink" Target="http://www.cnil.fr/" TargetMode="External"/><Relationship Id="rId1473" Type="http://schemas.openxmlformats.org/officeDocument/2006/relationships/hyperlink" Target="http://www.doingbusiness.org/data/exploreeconomies/qatar/starting-a-business/" TargetMode="External"/><Relationship Id="rId843" Type="http://schemas.openxmlformats.org/officeDocument/2006/relationships/hyperlink" Target="https://www.gi-de.com/en/products_and_solutions/products/national_id_cards/National-ID-cards-for-secure-identification-6530.jsp" TargetMode="External"/><Relationship Id="rId1126" Type="http://schemas.openxmlformats.org/officeDocument/2006/relationships/hyperlink" Target="http://www.rti-rating.org/files/pdf/Niger.pdf" TargetMode="External"/><Relationship Id="rId1680" Type="http://schemas.openxmlformats.org/officeDocument/2006/relationships/hyperlink" Target="http://esa.un.org/unpd/wpp/Download/Standard/Population/" TargetMode="External"/><Relationship Id="rId1778" Type="http://schemas.openxmlformats.org/officeDocument/2006/relationships/hyperlink" Target="http://www.dominica.gov.dm/images/documents/2011_census_report.pdf" TargetMode="External"/><Relationship Id="rId1901" Type="http://schemas.openxmlformats.org/officeDocument/2006/relationships/hyperlink" Target="http://www.electionguide.org/countries/id/67/" TargetMode="External"/><Relationship Id="rId1985" Type="http://schemas.openxmlformats.org/officeDocument/2006/relationships/hyperlink" Target="http://www.idea.int/vt/countryview.cfm?id=228" TargetMode="External"/><Relationship Id="rId275" Type="http://schemas.openxmlformats.org/officeDocument/2006/relationships/hyperlink" Target="http://en.wikipedia.org/wiki/Moldovan_Identity_Card" TargetMode="External"/><Relationship Id="rId482" Type="http://schemas.openxmlformats.org/officeDocument/2006/relationships/hyperlink" Target="http://www.apsca.org/members/member.php" TargetMode="External"/><Relationship Id="rId703" Type="http://schemas.openxmlformats.org/officeDocument/2006/relationships/hyperlink" Target="http://www.me.bf/Fr/creation-d-entreprise_7_219" TargetMode="External"/><Relationship Id="rId910" Type="http://schemas.openxmlformats.org/officeDocument/2006/relationships/hyperlink" Target="http://en.ammonnews.net/article.aspx?articleno=6991" TargetMode="External"/><Relationship Id="rId1333" Type="http://schemas.openxmlformats.org/officeDocument/2006/relationships/hyperlink" Target="http://www.humanrightsinitiative.org/programs/ai/rti/international/laws_papers/fiji/foi_draft_bill_2004.pdf" TargetMode="External"/><Relationship Id="rId1540" Type="http://schemas.openxmlformats.org/officeDocument/2006/relationships/hyperlink" Target="http://www.gemalto.com/govt/customer-cases/oman-new-infrastructure" TargetMode="External"/><Relationship Id="rId1638" Type="http://schemas.openxmlformats.org/officeDocument/2006/relationships/hyperlink" Target="http://esa.un.org/unpd/wpp/Download/Standard/Population/" TargetMode="External"/><Relationship Id="rId135" Type="http://schemas.openxmlformats.org/officeDocument/2006/relationships/hyperlink" Target="http://en.wikipedia.org/wiki/Slovenia" TargetMode="External"/><Relationship Id="rId342" Type="http://schemas.openxmlformats.org/officeDocument/2006/relationships/hyperlink" Target="http://novasdaguinebissau.blogspot.com/2013/08/registo-civil-gratis-faz-disparar.html" TargetMode="External"/><Relationship Id="rId787" Type="http://schemas.openxmlformats.org/officeDocument/2006/relationships/hyperlink" Target="http://www.liscr.com/liscr/" TargetMode="External"/><Relationship Id="rId994" Type="http://schemas.openxmlformats.org/officeDocument/2006/relationships/hyperlink" Target="https://mygov.mt/portal/(ew0zyiaaeqnoy2eiezhzkj45)/webforms/howdoigetaccesstomygov.aspx" TargetMode="External"/><Relationship Id="rId1400" Type="http://schemas.openxmlformats.org/officeDocument/2006/relationships/hyperlink" Target="http://www.naurugov.nr/government/departments/department-of-justice-and-border-control/secretariat.aspx" TargetMode="External"/><Relationship Id="rId1845" Type="http://schemas.openxmlformats.org/officeDocument/2006/relationships/hyperlink" Target="http://www.mvcr.cz/clanek/statistiky-pocty-obyvatel-v-obcich.aspx?q=Y2hudW09Mg%3d%3d" TargetMode="External"/><Relationship Id="rId202" Type="http://schemas.openxmlformats.org/officeDocument/2006/relationships/hyperlink" Target="http://www.mininterior.gov.ar/renaper/renaper.php" TargetMode="External"/><Relationship Id="rId647" Type="http://schemas.openxmlformats.org/officeDocument/2006/relationships/hyperlink" Target="http://www.registrecivil.ad/" TargetMode="External"/><Relationship Id="rId854" Type="http://schemas.openxmlformats.org/officeDocument/2006/relationships/hyperlink" Target="http://www.pki.gov.kz/index.php/en/udostoverenie-lichnosti" TargetMode="External"/><Relationship Id="rId1277" Type="http://schemas.openxmlformats.org/officeDocument/2006/relationships/hyperlink" Target="http://www.artci.ci/images/stories/pdf/lois/loi_2013_450.pdf" TargetMode="External"/><Relationship Id="rId1484" Type="http://schemas.openxmlformats.org/officeDocument/2006/relationships/hyperlink" Target="http://www.immd.gov.hk/" TargetMode="External"/><Relationship Id="rId1691" Type="http://schemas.openxmlformats.org/officeDocument/2006/relationships/hyperlink" Target="http://esa.un.org/unpd/wpp/Download/Standard/Population/" TargetMode="External"/><Relationship Id="rId1705" Type="http://schemas.openxmlformats.org/officeDocument/2006/relationships/hyperlink" Target="http://esa.un.org/unpd/wpp/Download/Standard/Population/" TargetMode="External"/><Relationship Id="rId1912" Type="http://schemas.openxmlformats.org/officeDocument/2006/relationships/hyperlink" Target="http://www.electionguide.org/countries/id/110/" TargetMode="External"/><Relationship Id="rId286" Type="http://schemas.openxmlformats.org/officeDocument/2006/relationships/hyperlink" Target="http://en.wikipedia.org/wiki/Social_Insurance_Number" TargetMode="External"/><Relationship Id="rId493" Type="http://schemas.openxmlformats.org/officeDocument/2006/relationships/hyperlink" Target="http://www.gov.na/identity-documents" TargetMode="External"/><Relationship Id="rId507" Type="http://schemas.openxmlformats.org/officeDocument/2006/relationships/hyperlink" Target="http://en.service-public-particuliers.gouv.mc/Nationality-and-residency/Monegasque-nationality/Identity-documents/Monaco-national-identity-card" TargetMode="External"/><Relationship Id="rId714" Type="http://schemas.openxmlformats.org/officeDocument/2006/relationships/hyperlink" Target="http://www.moc.gov.kh/Company/Default.aspx?MenuID=18" TargetMode="External"/><Relationship Id="rId921" Type="http://schemas.openxmlformats.org/officeDocument/2006/relationships/hyperlink" Target="http://www.eid.lt/lt/apie-atk/bendra-informacija.html" TargetMode="External"/><Relationship Id="rId1137" Type="http://schemas.openxmlformats.org/officeDocument/2006/relationships/hyperlink" Target="http://www.legislationline.org/documents/action/popup/id/5342" TargetMode="External"/><Relationship Id="rId1344" Type="http://schemas.openxmlformats.org/officeDocument/2006/relationships/hyperlink" Target="http://www.consejotransparencia.cl/consejo/site/edic/base/port/inicio.html" TargetMode="External"/><Relationship Id="rId1551" Type="http://schemas.openxmlformats.org/officeDocument/2006/relationships/hyperlink" Target="http://www.prosecurityzone.com/News_Detail_Paraguay_national_id_card_system_to_be_supplied_by_l-1_6584.asp" TargetMode="External"/><Relationship Id="rId1789" Type="http://schemas.openxmlformats.org/officeDocument/2006/relationships/hyperlink" Target="http://www.unicef.org/about/annualreport/files/Malaysia_Annual_Report_2014.pdf" TargetMode="External"/><Relationship Id="rId1996" Type="http://schemas.openxmlformats.org/officeDocument/2006/relationships/hyperlink" Target="http://www.idea.int/vt/countryview.cfm?id=248" TargetMode="External"/><Relationship Id="rId50" Type="http://schemas.openxmlformats.org/officeDocument/2006/relationships/hyperlink" Target="http://en.wikipedia.org/wiki/Finland" TargetMode="External"/><Relationship Id="rId146" Type="http://schemas.openxmlformats.org/officeDocument/2006/relationships/hyperlink" Target="http://en.wikipedia.org/wiki/Tanzania" TargetMode="External"/><Relationship Id="rId353" Type="http://schemas.openxmlformats.org/officeDocument/2006/relationships/hyperlink" Target="http://www.tokyo-icc.jp/" TargetMode="External"/><Relationship Id="rId560" Type="http://schemas.openxmlformats.org/officeDocument/2006/relationships/hyperlink" Target="http://www.beit-salam.km/rubrique.php3?id_rubrique=5" TargetMode="External"/><Relationship Id="rId798" Type="http://schemas.openxmlformats.org/officeDocument/2006/relationships/hyperlink" Target="http://egov.kz/wps/portal/Content?contentPath=/egovcontent/bus_business/for_businessmen/article/business_identification_number&amp;lang=en" TargetMode="External"/><Relationship Id="rId1190" Type="http://schemas.openxmlformats.org/officeDocument/2006/relationships/hyperlink" Target="http://www.trr.vu/index.php/en/" TargetMode="External"/><Relationship Id="rId1204" Type="http://schemas.openxmlformats.org/officeDocument/2006/relationships/hyperlink" Target="http://www.rti-rating.org/files/pdf/Brazil.pdf" TargetMode="External"/><Relationship Id="rId1411" Type="http://schemas.openxmlformats.org/officeDocument/2006/relationships/hyperlink" Target="http://www.stat-niger.org/statistique/pages/repentreprise/entreprise_list.php?pagesize=500" TargetMode="External"/><Relationship Id="rId1649" Type="http://schemas.openxmlformats.org/officeDocument/2006/relationships/hyperlink" Target="http://esa.un.org/unpd/wpp/Download/Standard/Population/" TargetMode="External"/><Relationship Id="rId1856" Type="http://schemas.openxmlformats.org/officeDocument/2006/relationships/hyperlink" Target="https://www.ksh.hu/docs/eng/xstadat/xstadat_annual/i_wdsd009.html" TargetMode="External"/><Relationship Id="rId213" Type="http://schemas.openxmlformats.org/officeDocument/2006/relationships/hyperlink" Target="http://idbdocs.iadb.org/wsdocs/getdocument.aspx?docnum=1964014" TargetMode="External"/><Relationship Id="rId420" Type="http://schemas.openxmlformats.org/officeDocument/2006/relationships/hyperlink" Target="http://www.dha.gov.za/index.php/civic-services/birth-certificates" TargetMode="External"/><Relationship Id="rId658" Type="http://schemas.openxmlformats.org/officeDocument/2006/relationships/hyperlink" Target="http://www.ica.gov.sg/page.aspx?pageid=138" TargetMode="External"/><Relationship Id="rId865" Type="http://schemas.openxmlformats.org/officeDocument/2006/relationships/hyperlink" Target="http://www.gemalto.com/govt/customer-cases/czech-id" TargetMode="External"/><Relationship Id="rId1050" Type="http://schemas.openxmlformats.org/officeDocument/2006/relationships/hyperlink" Target="http://www.rti-rating.org/files/pdf/Uganda.pdf" TargetMode="External"/><Relationship Id="rId1288" Type="http://schemas.openxmlformats.org/officeDocument/2006/relationships/hyperlink" Target="http://www.rti-rating.org/files/pdf/Italy.pdf" TargetMode="External"/><Relationship Id="rId1495" Type="http://schemas.openxmlformats.org/officeDocument/2006/relationships/hyperlink" Target="http://www.emb-saotomeprincipe.pt/passaporte.html" TargetMode="External"/><Relationship Id="rId1509" Type="http://schemas.openxmlformats.org/officeDocument/2006/relationships/hyperlink" Target="http://edem.todaie.gov.tr/egovshare/presentations/egovshare2009_11_12_2009/CC1/egovshare2009_mmutlugun.pdf" TargetMode="External"/><Relationship Id="rId1716" Type="http://schemas.openxmlformats.org/officeDocument/2006/relationships/hyperlink" Target="http://esa.un.org/unpd/wpp/Download/Standard/Population/" TargetMode="External"/><Relationship Id="rId1923" Type="http://schemas.openxmlformats.org/officeDocument/2006/relationships/hyperlink" Target="http://www.electionguide.org/countries/id/132/" TargetMode="External"/><Relationship Id="rId297" Type="http://schemas.openxmlformats.org/officeDocument/2006/relationships/hyperlink" Target="http://www.interieur.gov.dz/" TargetMode="External"/><Relationship Id="rId518" Type="http://schemas.openxmlformats.org/officeDocument/2006/relationships/hyperlink" Target="http://www.nuevodni.gov.ar/inicio/index.php" TargetMode="External"/><Relationship Id="rId725" Type="http://schemas.openxmlformats.org/officeDocument/2006/relationships/hyperlink" Target="https://www.infogreffe.fr/societes/" TargetMode="External"/><Relationship Id="rId932" Type="http://schemas.openxmlformats.org/officeDocument/2006/relationships/hyperlink" Target="http://www.aleat.al/" TargetMode="External"/><Relationship Id="rId1148" Type="http://schemas.openxmlformats.org/officeDocument/2006/relationships/hyperlink" Target="http://www.gov.ph/2012/08/15/republic-act-no-10173/" TargetMode="External"/><Relationship Id="rId1355" Type="http://schemas.openxmlformats.org/officeDocument/2006/relationships/hyperlink" Target="http://www.dpa.gr/pls/portal/docs/PAGE/APDPX/ENGLISH_INDEX/LEGAL%20FRAMEWORK/LAW%202472-97-APRIL010-EN%20_2_.PDF" TargetMode="External"/><Relationship Id="rId1562" Type="http://schemas.openxmlformats.org/officeDocument/2006/relationships/hyperlink" Target="http://www.article19.org/resources.php/resource/37655/en/mozambique:-draft-right-to-information-law" TargetMode="External"/><Relationship Id="rId157" Type="http://schemas.openxmlformats.org/officeDocument/2006/relationships/hyperlink" Target="http://en.wikipedia.org/wiki/United_Arab_Emirates" TargetMode="External"/><Relationship Id="rId364" Type="http://schemas.openxmlformats.org/officeDocument/2006/relationships/hyperlink" Target="http://grs.gov.kg/" TargetMode="External"/><Relationship Id="rId1008" Type="http://schemas.openxmlformats.org/officeDocument/2006/relationships/hyperlink" Target="http://www.gov.rw/National-ID" TargetMode="External"/><Relationship Id="rId1215" Type="http://schemas.openxmlformats.org/officeDocument/2006/relationships/hyperlink" Target="https://www.apda.ad/system/files/2-%20(FR)%20Decret%20Reglament%20Ag%C3%A8ncia%20Andorrana%20Protecci%C3%B3%20Dades%20.pdf" TargetMode="External"/><Relationship Id="rId1422" Type="http://schemas.openxmlformats.org/officeDocument/2006/relationships/hyperlink" Target="http://www.cipo.gov.vc/index.php?option=com_content&amp;view=article&amp;id=27&amp;Itemid=30" TargetMode="External"/><Relationship Id="rId1867" Type="http://schemas.openxmlformats.org/officeDocument/2006/relationships/hyperlink" Target="http://www.electionguide.org/countries/id/126/" TargetMode="External"/><Relationship Id="rId61" Type="http://schemas.openxmlformats.org/officeDocument/2006/relationships/hyperlink" Target="http://en.wikipedia.org/wiki/Guyana" TargetMode="External"/><Relationship Id="rId571" Type="http://schemas.openxmlformats.org/officeDocument/2006/relationships/hyperlink" Target="http://www.cso.gov.eg/index.aspx?lid=9" TargetMode="External"/><Relationship Id="rId669" Type="http://schemas.openxmlformats.org/officeDocument/2006/relationships/hyperlink" Target="http://www.moea.gov.bt/departments/department.php?id=2" TargetMode="External"/><Relationship Id="rId876" Type="http://schemas.openxmlformats.org/officeDocument/2006/relationships/hyperlink" Target="http://www.progettocns.it/" TargetMode="External"/><Relationship Id="rId1299" Type="http://schemas.openxmlformats.org/officeDocument/2006/relationships/hyperlink" Target="http://www.personuvernd.is/information-in-english/greinar/nr/438" TargetMode="External"/><Relationship Id="rId1727" Type="http://schemas.openxmlformats.org/officeDocument/2006/relationships/hyperlink" Target="http://esa.un.org/unpd/wpp/Download/Standard/Population/" TargetMode="External"/><Relationship Id="rId1934" Type="http://schemas.openxmlformats.org/officeDocument/2006/relationships/hyperlink" Target="http://www.electionwatch.org.na/?q=node/488" TargetMode="External"/><Relationship Id="rId19" Type="http://schemas.openxmlformats.org/officeDocument/2006/relationships/hyperlink" Target="http://en.wikipedia.org/wiki/Bhutan" TargetMode="External"/><Relationship Id="rId224" Type="http://schemas.openxmlformats.org/officeDocument/2006/relationships/hyperlink" Target="http://idbdocs.iadb.org/wsdocs/getdocument.aspx?docnum=1963765" TargetMode="External"/><Relationship Id="rId431" Type="http://schemas.openxmlformats.org/officeDocument/2006/relationships/hyperlink" Target="http://www.health.tj/" TargetMode="External"/><Relationship Id="rId529" Type="http://schemas.openxmlformats.org/officeDocument/2006/relationships/hyperlink" Target="http://www.mvcr.cz/clanek/osobni-doklady.aspx" TargetMode="External"/><Relationship Id="rId736" Type="http://schemas.openxmlformats.org/officeDocument/2006/relationships/hyperlink" Target="http://comoros.eregulations.org/show-step.asp?l=fr&amp;mid=37&amp;rid=37&amp;sno=185" TargetMode="External"/><Relationship Id="rId1061" Type="http://schemas.openxmlformats.org/officeDocument/2006/relationships/hyperlink" Target="http://www.gpo.gov/fdsys/pkg/USCODE-2012-title5/pdf/USCODE-2012-title5-partI-chap5-subchapII-sec552a.pdf" TargetMode="External"/><Relationship Id="rId1159" Type="http://schemas.openxmlformats.org/officeDocument/2006/relationships/hyperlink" Target="http://www.minjus.gob.pe/proteccion-de-datos-personales/" TargetMode="External"/><Relationship Id="rId1366" Type="http://schemas.openxmlformats.org/officeDocument/2006/relationships/hyperlink" Target="http://www.businessregistries.gov.to/" TargetMode="External"/><Relationship Id="rId168" Type="http://schemas.openxmlformats.org/officeDocument/2006/relationships/hyperlink" Target="http://en.wikipedia.org/wiki/Saint_Kitts_and_Nevis" TargetMode="External"/><Relationship Id="rId943" Type="http://schemas.openxmlformats.org/officeDocument/2006/relationships/hyperlink" Target="https://www.youtube.com/watch?v=uCQS_J4lh0Q" TargetMode="External"/><Relationship Id="rId1019" Type="http://schemas.openxmlformats.org/officeDocument/2006/relationships/hyperlink" Target="http://www.suisseid.ch/" TargetMode="External"/><Relationship Id="rId1573" Type="http://schemas.openxmlformats.org/officeDocument/2006/relationships/hyperlink" Target="http://esa.un.org/unpd/wpp/Download/Standard/Population/" TargetMode="External"/><Relationship Id="rId1780" Type="http://schemas.openxmlformats.org/officeDocument/2006/relationships/hyperlink" Target="http://www.unicef.org/infobycountry/fiji_statistics.html" TargetMode="External"/><Relationship Id="rId1878" Type="http://schemas.openxmlformats.org/officeDocument/2006/relationships/hyperlink" Target="http://www.electionguide.org/countries/id/122/" TargetMode="External"/><Relationship Id="rId72" Type="http://schemas.openxmlformats.org/officeDocument/2006/relationships/hyperlink" Target="http://en.wikipedia.org/wiki/Jamaica" TargetMode="External"/><Relationship Id="rId375" Type="http://schemas.openxmlformats.org/officeDocument/2006/relationships/hyperlink" Target="http://www.jpn.gov.my/en/" TargetMode="External"/><Relationship Id="rId582" Type="http://schemas.openxmlformats.org/officeDocument/2006/relationships/hyperlink" Target="http://www.rnp.hn/" TargetMode="External"/><Relationship Id="rId803" Type="http://schemas.openxmlformats.org/officeDocument/2006/relationships/hyperlink" Target="http://www.doingbusiness.org/data/exploreeconomies/kyrgyz-republic/starting-a-business" TargetMode="External"/><Relationship Id="rId1226" Type="http://schemas.openxmlformats.org/officeDocument/2006/relationships/hyperlink" Target="http://www.right2info.org/resources/publications/laws_brazil-ati-bill-2011" TargetMode="External"/><Relationship Id="rId1433" Type="http://schemas.openxmlformats.org/officeDocument/2006/relationships/hyperlink" Target="http://www.egov.sy/" TargetMode="External"/><Relationship Id="rId1640" Type="http://schemas.openxmlformats.org/officeDocument/2006/relationships/hyperlink" Target="http://esa.un.org/unpd/wpp/Download/Standard/Population/" TargetMode="External"/><Relationship Id="rId1738" Type="http://schemas.openxmlformats.org/officeDocument/2006/relationships/hyperlink" Target="http://esa.un.org/unpd/wpp/Download/Standard/Population/" TargetMode="External"/><Relationship Id="rId3" Type="http://schemas.openxmlformats.org/officeDocument/2006/relationships/hyperlink" Target="http://en.wikipedia.org/wiki/Algeria" TargetMode="External"/><Relationship Id="rId235" Type="http://schemas.openxmlformats.org/officeDocument/2006/relationships/hyperlink" Target="http://www.tribunal-electoral.gob.pa/" TargetMode="External"/><Relationship Id="rId442" Type="http://schemas.openxmlformats.org/officeDocument/2006/relationships/hyperlink" Target="http://www.drsu.gov.ua/" TargetMode="External"/><Relationship Id="rId887" Type="http://schemas.openxmlformats.org/officeDocument/2006/relationships/hyperlink" Target="http://www.barbadosadvocate.com/newsitem.asp?more=&amp;NewsID=22375" TargetMode="External"/><Relationship Id="rId1072" Type="http://schemas.openxmlformats.org/officeDocument/2006/relationships/hyperlink" Target="http://sw.radiovaticana.va/doc/RASIMU_final.pdf" TargetMode="External"/><Relationship Id="rId1500" Type="http://schemas.openxmlformats.org/officeDocument/2006/relationships/hyperlink" Target="http://www.nvi.gov.tr/Haberler,Bolu_Pilot.html" TargetMode="External"/><Relationship Id="rId1945" Type="http://schemas.openxmlformats.org/officeDocument/2006/relationships/hyperlink" Target="http://www.idea.int/vt/countryview.cfm?id=186" TargetMode="External"/><Relationship Id="rId302" Type="http://schemas.openxmlformats.org/officeDocument/2006/relationships/hyperlink" Target="http://www.moh.gov.bh/" TargetMode="External"/><Relationship Id="rId747" Type="http://schemas.openxmlformats.org/officeDocument/2006/relationships/hyperlink" Target="https://www.wbginvestmentclimate.org/publications/upload/Guinea-Bissau.pdf" TargetMode="External"/><Relationship Id="rId954" Type="http://schemas.openxmlformats.org/officeDocument/2006/relationships/hyperlink" Target="http://www.akp.gov.kh/?p=39831" TargetMode="External"/><Relationship Id="rId1377" Type="http://schemas.openxmlformats.org/officeDocument/2006/relationships/hyperlink" Target="https://www.ttbizlink.gov.tt/tntcmn/faces/pnu/PnuIndex.jsf" TargetMode="External"/><Relationship Id="rId1584" Type="http://schemas.openxmlformats.org/officeDocument/2006/relationships/hyperlink" Target="http://esa.un.org/unpd/wpp/Download/Standard/Population/" TargetMode="External"/><Relationship Id="rId1791" Type="http://schemas.openxmlformats.org/officeDocument/2006/relationships/hyperlink" Target="http://www.spc.int/prism/images/CRVS_Posters/FSM_FINAL_print.pdf" TargetMode="External"/><Relationship Id="rId1805" Type="http://schemas.openxmlformats.org/officeDocument/2006/relationships/hyperlink" Target="http://www.estadistica.ad/serveiestudis/web/banc_dades4.asp?lang=4&amp;codi_tema=2&amp;codi_divisio=1006&amp;codi_subtemes=140" TargetMode="External"/><Relationship Id="rId83" Type="http://schemas.openxmlformats.org/officeDocument/2006/relationships/hyperlink" Target="http://en.wikipedia.org/wiki/Lesotho" TargetMode="External"/><Relationship Id="rId179" Type="http://schemas.openxmlformats.org/officeDocument/2006/relationships/hyperlink" Target="http://en.wikipedia.org/wiki/Iran" TargetMode="External"/><Relationship Id="rId386" Type="http://schemas.openxmlformats.org/officeDocument/2006/relationships/hyperlink" Target="https://burtgel.gov.mn/" TargetMode="External"/><Relationship Id="rId593" Type="http://schemas.openxmlformats.org/officeDocument/2006/relationships/hyperlink" Target="http://unpan1.un.org/intradoc/groups/public/documents/un-dpadm/unpan040847.pdf" TargetMode="External"/><Relationship Id="rId607" Type="http://schemas.openxmlformats.org/officeDocument/2006/relationships/hyperlink" Target="http://www.cse.gob.ni/" TargetMode="External"/><Relationship Id="rId814" Type="http://schemas.openxmlformats.org/officeDocument/2006/relationships/hyperlink" Target="http://www.doingbusiness.org/data/exploreeconomies/moldova/starting-a-business/" TargetMode="External"/><Relationship Id="rId1237" Type="http://schemas.openxmlformats.org/officeDocument/2006/relationships/hyperlink" Target="http://www.kmdp.al/" TargetMode="External"/><Relationship Id="rId1444" Type="http://schemas.openxmlformats.org/officeDocument/2006/relationships/hyperlink" Target="https://www.sknird.com/UserFiles/TaxLib/130325053859.pdf" TargetMode="External"/><Relationship Id="rId1651" Type="http://schemas.openxmlformats.org/officeDocument/2006/relationships/hyperlink" Target="http://esa.un.org/unpd/wpp/Download/Standard/Population/" TargetMode="External"/><Relationship Id="rId1889" Type="http://schemas.openxmlformats.org/officeDocument/2006/relationships/hyperlink" Target="http://www.electionguide.org/countries/id/210/" TargetMode="External"/><Relationship Id="rId246" Type="http://schemas.openxmlformats.org/officeDocument/2006/relationships/hyperlink" Target="http://www.uidai.gov.in/" TargetMode="External"/><Relationship Id="rId453" Type="http://schemas.openxmlformats.org/officeDocument/2006/relationships/hyperlink" Target="http://www.rg.gov.zw/services/birth" TargetMode="External"/><Relationship Id="rId660" Type="http://schemas.openxmlformats.org/officeDocument/2006/relationships/hyperlink" Target="http://www.goss.org/index.php/ministries/interior" TargetMode="External"/><Relationship Id="rId898" Type="http://schemas.openxmlformats.org/officeDocument/2006/relationships/hyperlink" Target="http://www.biometria.gov.ar/noticias/2011/10/10/datos-biometricos-en-republica-dominicana.aspx" TargetMode="External"/><Relationship Id="rId1083" Type="http://schemas.openxmlformats.org/officeDocument/2006/relationships/hyperlink" Target="http://www.rti-rating.org/files/pdf/Russia.pdf" TargetMode="External"/><Relationship Id="rId1290" Type="http://schemas.openxmlformats.org/officeDocument/2006/relationships/hyperlink" Target="http://www.rti-rating.org/files/pdf/Japan.pdf" TargetMode="External"/><Relationship Id="rId1304" Type="http://schemas.openxmlformats.org/officeDocument/2006/relationships/hyperlink" Target="http://www.soumu.go.jp/" TargetMode="External"/><Relationship Id="rId1511" Type="http://schemas.openxmlformats.org/officeDocument/2006/relationships/hyperlink" Target="http://uruguay.isigmaglobal.com/2011/04/18/hola-mundo" TargetMode="External"/><Relationship Id="rId1749" Type="http://schemas.openxmlformats.org/officeDocument/2006/relationships/hyperlink" Target="http://esa.un.org/unpd/wpp/Download/Standard/Population/" TargetMode="External"/><Relationship Id="rId1956" Type="http://schemas.openxmlformats.org/officeDocument/2006/relationships/hyperlink" Target="http://www.idea.int/vt/countryview.cfm?id=204" TargetMode="External"/><Relationship Id="rId106" Type="http://schemas.openxmlformats.org/officeDocument/2006/relationships/hyperlink" Target="http://en.wikipedia.org/wiki/New_Zealand" TargetMode="External"/><Relationship Id="rId313" Type="http://schemas.openxmlformats.org/officeDocument/2006/relationships/hyperlink" Target="http://www.fonction-publuqie.gov.bf/" TargetMode="External"/><Relationship Id="rId758" Type="http://schemas.openxmlformats.org/officeDocument/2006/relationships/hyperlink" Target="http://cekindo.com/how-to-register-foreign-company-as-pt-pma-in-indonesia.html" TargetMode="External"/><Relationship Id="rId965" Type="http://schemas.openxmlformats.org/officeDocument/2006/relationships/hyperlink" Target="http://www.cubagob.cu/" TargetMode="External"/><Relationship Id="rId1150" Type="http://schemas.openxmlformats.org/officeDocument/2006/relationships/hyperlink" Target="http://www.cnpd.pt/bin/legis/nacional/lei_6798.htm" TargetMode="External"/><Relationship Id="rId1388" Type="http://schemas.openxmlformats.org/officeDocument/2006/relationships/hyperlink" Target="http://www.companyhaus.gov.sb/" TargetMode="External"/><Relationship Id="rId1595" Type="http://schemas.openxmlformats.org/officeDocument/2006/relationships/hyperlink" Target="http://esa.un.org/unpd/wpp/Download/Standard/Population/" TargetMode="External"/><Relationship Id="rId1609" Type="http://schemas.openxmlformats.org/officeDocument/2006/relationships/hyperlink" Target="http://esa.un.org/unpd/wpp/Download/Standard/Population/" TargetMode="External"/><Relationship Id="rId1816" Type="http://schemas.openxmlformats.org/officeDocument/2006/relationships/hyperlink" Target="http://www.unicef.cn/en/uploadfile/2014/1110/20141110052120900.pdf" TargetMode="External"/><Relationship Id="rId10" Type="http://schemas.openxmlformats.org/officeDocument/2006/relationships/hyperlink" Target="http://en.wikipedia.org/wiki/Austria" TargetMode="External"/><Relationship Id="rId94" Type="http://schemas.openxmlformats.org/officeDocument/2006/relationships/hyperlink" Target="http://en.wikipedia.org/wiki/Mauritius" TargetMode="External"/><Relationship Id="rId397" Type="http://schemas.openxmlformats.org/officeDocument/2006/relationships/hyperlink" Target="http://www.civilstatus.gov.om/english/services_BirthEntry.asp" TargetMode="External"/><Relationship Id="rId520" Type="http://schemas.openxmlformats.org/officeDocument/2006/relationships/hyperlink" Target="http://www.identity-cards.net/record/australia-2" TargetMode="External"/><Relationship Id="rId618" Type="http://schemas.openxmlformats.org/officeDocument/2006/relationships/hyperlink" Target="http://www.servicepublic.gouv.sn/index.php/demarche_administrative/demarche/1/30" TargetMode="External"/><Relationship Id="rId825" Type="http://schemas.openxmlformats.org/officeDocument/2006/relationships/hyperlink" Target="http://www.gemalto.com/govt/customer-cases/france-bio-eresidence-card" TargetMode="External"/><Relationship Id="rId1248" Type="http://schemas.openxmlformats.org/officeDocument/2006/relationships/hyperlink" Target="http://www.rti-rating.org/files/pdf/Croatia.pdf" TargetMode="External"/><Relationship Id="rId1455" Type="http://schemas.openxmlformats.org/officeDocument/2006/relationships/hyperlink" Target="http://www.revenue.gov.to/Article.aspx?ID=448" TargetMode="External"/><Relationship Id="rId1662" Type="http://schemas.openxmlformats.org/officeDocument/2006/relationships/hyperlink" Target="http://esa.un.org/unpd/wpp/Download/Standard/Population/" TargetMode="External"/><Relationship Id="rId257" Type="http://schemas.openxmlformats.org/officeDocument/2006/relationships/hyperlink" Target="http://en.wikipedia.org/wiki/Bulgarian_identity_card" TargetMode="External"/><Relationship Id="rId464" Type="http://schemas.openxmlformats.org/officeDocument/2006/relationships/hyperlink" Target="http://www.moi.gov.al/" TargetMode="External"/><Relationship Id="rId1010" Type="http://schemas.openxmlformats.org/officeDocument/2006/relationships/hyperlink" Target="http://www.uecard.ru/for-citizens/what-is-uec/" TargetMode="External"/><Relationship Id="rId1094" Type="http://schemas.openxmlformats.org/officeDocument/2006/relationships/hyperlink" Target="http://www.consultant.ru/document/cons_doc_LAW_166051/" TargetMode="External"/><Relationship Id="rId1108" Type="http://schemas.openxmlformats.org/officeDocument/2006/relationships/hyperlink" Target="http://rkn.gov.ru/eng/" TargetMode="External"/><Relationship Id="rId1315" Type="http://schemas.openxmlformats.org/officeDocument/2006/relationships/hyperlink" Target="http://www.legislationline.org/download/action/download/id/4220/file/Kyrgyz_Law_personal_data_2008_EN.pdf" TargetMode="External"/><Relationship Id="rId1967" Type="http://schemas.openxmlformats.org/officeDocument/2006/relationships/hyperlink" Target="http://www.idea.int/vt/countryview.cfm?id=246" TargetMode="External"/><Relationship Id="rId117" Type="http://schemas.openxmlformats.org/officeDocument/2006/relationships/hyperlink" Target="http://en.wikipedia.org/wiki/Peru" TargetMode="External"/><Relationship Id="rId671" Type="http://schemas.openxmlformats.org/officeDocument/2006/relationships/hyperlink" Target="https://www.tuempresaenundia.cl/" TargetMode="External"/><Relationship Id="rId769" Type="http://schemas.openxmlformats.org/officeDocument/2006/relationships/hyperlink" Target="http://www.ssm.com.my/" TargetMode="External"/><Relationship Id="rId976" Type="http://schemas.openxmlformats.org/officeDocument/2006/relationships/hyperlink" Target="http://www.gbissau.com/?p=5574" TargetMode="External"/><Relationship Id="rId1399" Type="http://schemas.openxmlformats.org/officeDocument/2006/relationships/hyperlink" Target="http://palaugov.org/office-of-the-attorney-general/" TargetMode="External"/><Relationship Id="rId324" Type="http://schemas.openxmlformats.org/officeDocument/2006/relationships/hyperlink" Target="http://www.refworld.org/pdfid/5%604322142.pdf" TargetMode="External"/><Relationship Id="rId531" Type="http://schemas.openxmlformats.org/officeDocument/2006/relationships/hyperlink" Target="http://www.presidentrdc.cd/spip.php?article630" TargetMode="External"/><Relationship Id="rId629" Type="http://schemas.openxmlformats.org/officeDocument/2006/relationships/hyperlink" Target="http://en.wikipedia.org/wiki/Swiss_identity_card" TargetMode="External"/><Relationship Id="rId1161" Type="http://schemas.openxmlformats.org/officeDocument/2006/relationships/hyperlink" Target="http://www.cnpd.pt/" TargetMode="External"/><Relationship Id="rId1259" Type="http://schemas.openxmlformats.org/officeDocument/2006/relationships/hyperlink" Target="http://www.rti-rating.org/files/pdf/Germany.pdf" TargetMode="External"/><Relationship Id="rId1466" Type="http://schemas.openxmlformats.org/officeDocument/2006/relationships/hyperlink" Target="http://www.norge.no/en/sok/Business/alle/" TargetMode="External"/><Relationship Id="rId836" Type="http://schemas.openxmlformats.org/officeDocument/2006/relationships/hyperlink" Target="http://www.smartcardalliance.org/digital-identification-solutions-was-chosen-as-the-personalization-solution-provider-for-the-angola-national-id-card-program/" TargetMode="External"/><Relationship Id="rId1021" Type="http://schemas.openxmlformats.org/officeDocument/2006/relationships/hyperlink" Target="http://www.secureidnews.com/news-item/sudan-launching-national-biometric-registry" TargetMode="External"/><Relationship Id="rId1119" Type="http://schemas.openxmlformats.org/officeDocument/2006/relationships/hyperlink" Target="http://www.icnl.org/research/library/files/South%20Sudan/RightAccessInformationBill.pdf" TargetMode="External"/><Relationship Id="rId1673" Type="http://schemas.openxmlformats.org/officeDocument/2006/relationships/hyperlink" Target="http://esa.un.org/unpd/wpp/Download/Standard/Population/" TargetMode="External"/><Relationship Id="rId1880" Type="http://schemas.openxmlformats.org/officeDocument/2006/relationships/hyperlink" Target="http://www.electionguide.org/countries/id/130/" TargetMode="External"/><Relationship Id="rId1978" Type="http://schemas.openxmlformats.org/officeDocument/2006/relationships/hyperlink" Target="http://www.idea.int/vt/countryview.cfm?id=222" TargetMode="External"/><Relationship Id="rId903" Type="http://schemas.openxmlformats.org/officeDocument/2006/relationships/hyperlink" Target="http://irfamily.com/iranian-national-identity-card/" TargetMode="External"/><Relationship Id="rId1326" Type="http://schemas.openxmlformats.org/officeDocument/2006/relationships/hyperlink" Target="http://www.ceecprivacy.org/pdf/Law%20on%20Personal%20Data%20Protection.pdf" TargetMode="External"/><Relationship Id="rId1533" Type="http://schemas.openxmlformats.org/officeDocument/2006/relationships/hyperlink" Target="http://www.humanipo.com/news/7303/mauritius-government-to-issue-smart-id-cards/" TargetMode="External"/><Relationship Id="rId1740" Type="http://schemas.openxmlformats.org/officeDocument/2006/relationships/hyperlink" Target="http://esa.un.org/unpd/wpp/Download/Standard/Population/" TargetMode="External"/><Relationship Id="rId32" Type="http://schemas.openxmlformats.org/officeDocument/2006/relationships/hyperlink" Target="http://en.wikipedia.org/wiki/Comoros" TargetMode="External"/><Relationship Id="rId1600" Type="http://schemas.openxmlformats.org/officeDocument/2006/relationships/hyperlink" Target="http://esa.un.org/unpd/wpp/Download/Standard/Population/" TargetMode="External"/><Relationship Id="rId1838" Type="http://schemas.openxmlformats.org/officeDocument/2006/relationships/hyperlink" Target="http://www.electionguide.org/countries/id/64/" TargetMode="External"/><Relationship Id="rId181" Type="http://schemas.openxmlformats.org/officeDocument/2006/relationships/hyperlink" Target="http://en.wikipedia.org/wiki/Lao_PDR" TargetMode="External"/><Relationship Id="rId1905" Type="http://schemas.openxmlformats.org/officeDocument/2006/relationships/hyperlink" Target="http://www.electionguide.org/countries/id/81/" TargetMode="External"/><Relationship Id="rId279" Type="http://schemas.openxmlformats.org/officeDocument/2006/relationships/hyperlink" Target="http://en.wikipedia.org/wiki/Kosovo_identity_card" TargetMode="External"/><Relationship Id="rId486" Type="http://schemas.openxmlformats.org/officeDocument/2006/relationships/hyperlink" Target="http://www.mup.gov.me/rubrike/izdavanje-dokumenata/85194/159611.html" TargetMode="External"/><Relationship Id="rId693" Type="http://schemas.openxmlformats.org/officeDocument/2006/relationships/hyperlink" Target="https://abr.gov.au/AUSkey/AUSkey-explained" TargetMode="External"/><Relationship Id="rId139" Type="http://schemas.openxmlformats.org/officeDocument/2006/relationships/hyperlink" Target="http://en.wikipedia.org/wiki/Spain" TargetMode="External"/><Relationship Id="rId346" Type="http://schemas.openxmlformats.org/officeDocument/2006/relationships/hyperlink" Target="https://kozigazgatas.magyarorszag.hu/" TargetMode="External"/><Relationship Id="rId553" Type="http://schemas.openxmlformats.org/officeDocument/2006/relationships/hyperlink" Target="https://www.citizenservices.gov.bt/web/guest/issuance-new-cid" TargetMode="External"/><Relationship Id="rId760" Type="http://schemas.openxmlformats.org/officeDocument/2006/relationships/hyperlink" Target="http://www.gazette.ir/Archive/Index.asp" TargetMode="External"/><Relationship Id="rId998" Type="http://schemas.openxmlformats.org/officeDocument/2006/relationships/hyperlink" Target="https://burtgel.gov.mn/" TargetMode="External"/><Relationship Id="rId1183" Type="http://schemas.openxmlformats.org/officeDocument/2006/relationships/hyperlink" Target="http://fmi.gov.ng/" TargetMode="External"/><Relationship Id="rId1390" Type="http://schemas.openxmlformats.org/officeDocument/2006/relationships/hyperlink" Target="http://www.bolagsverket.se/" TargetMode="External"/><Relationship Id="rId206" Type="http://schemas.openxmlformats.org/officeDocument/2006/relationships/hyperlink" Target="http://www.corporateregistersforum.org/" TargetMode="External"/><Relationship Id="rId413" Type="http://schemas.openxmlformats.org/officeDocument/2006/relationships/hyperlink" Target="http://www.servicepublic.gouv.sn/index.php/demarche_administrative/demarche/1/324/4/56" TargetMode="External"/><Relationship Id="rId858" Type="http://schemas.openxmlformats.org/officeDocument/2006/relationships/hyperlink" Target="http://fr.allafrica.com/stories/201408182536.html" TargetMode="External"/><Relationship Id="rId1043" Type="http://schemas.openxmlformats.org/officeDocument/2006/relationships/hyperlink" Target="http://www.businesswire.com/news/home/20130513005913/en/Oberthur-Technologies-Successfully-Delivered-End-to-End-ePassport-Solution" TargetMode="External"/><Relationship Id="rId1488" Type="http://schemas.openxmlformats.org/officeDocument/2006/relationships/hyperlink" Target="http://travel.state.gov/content/passports/english.html/" TargetMode="External"/><Relationship Id="rId1695" Type="http://schemas.openxmlformats.org/officeDocument/2006/relationships/hyperlink" Target="http://esa.un.org/unpd/wpp/Download/Standard/Population/" TargetMode="External"/><Relationship Id="rId620" Type="http://schemas.openxmlformats.org/officeDocument/2006/relationships/hyperlink" Target="http://www.mia.gov.sl/" TargetMode="External"/><Relationship Id="rId718" Type="http://schemas.openxmlformats.org/officeDocument/2006/relationships/hyperlink" Target="http://www.cipo.gov.dm/dominica/default.aspx" TargetMode="External"/><Relationship Id="rId925" Type="http://schemas.openxmlformats.org/officeDocument/2006/relationships/hyperlink" Target="http://www.matcl.gov.ml/" TargetMode="External"/><Relationship Id="rId1250" Type="http://schemas.openxmlformats.org/officeDocument/2006/relationships/hyperlink" Target="http://www.rti-rating.org/files/pdf/Denmark.pdf" TargetMode="External"/><Relationship Id="rId1348" Type="http://schemas.openxmlformats.org/officeDocument/2006/relationships/hyperlink" Target="http://www.dataprotection.eu/pmwiki/pmwiki.php?n=Main.EE" TargetMode="External"/><Relationship Id="rId1555" Type="http://schemas.openxmlformats.org/officeDocument/2006/relationships/hyperlink" Target="http://www.gemalto.com/govt/customer-cases/saudi-arabia" TargetMode="External"/><Relationship Id="rId1762" Type="http://schemas.openxmlformats.org/officeDocument/2006/relationships/hyperlink" Target="http://www.indexmundi.com/nauru/age_structure.html" TargetMode="External"/><Relationship Id="rId1110" Type="http://schemas.openxmlformats.org/officeDocument/2006/relationships/hyperlink" Target="http://www.poverenik.rs/en.html" TargetMode="External"/><Relationship Id="rId1208" Type="http://schemas.openxmlformats.org/officeDocument/2006/relationships/hyperlink" Target="http://www.rti-rating.org/files/pdf/China.pdf" TargetMode="External"/><Relationship Id="rId1415" Type="http://schemas.openxmlformats.org/officeDocument/2006/relationships/hyperlink" Target="http://www.ipa.gov.pg/business-registration-regulation-and-certification/" TargetMode="External"/><Relationship Id="rId54" Type="http://schemas.openxmlformats.org/officeDocument/2006/relationships/hyperlink" Target="http://en.wikipedia.org/wiki/Germany" TargetMode="External"/><Relationship Id="rId1622" Type="http://schemas.openxmlformats.org/officeDocument/2006/relationships/hyperlink" Target="http://esa.un.org/unpd/wpp/Download/Standard/Population/" TargetMode="External"/><Relationship Id="rId1927" Type="http://schemas.openxmlformats.org/officeDocument/2006/relationships/hyperlink" Target="http://www.electionguide.org/countries/id/138/" TargetMode="External"/><Relationship Id="rId270" Type="http://schemas.openxmlformats.org/officeDocument/2006/relationships/hyperlink" Target="http://en.wikipedia.org/wiki/Romanian_identity_card" TargetMode="External"/><Relationship Id="rId130" Type="http://schemas.openxmlformats.org/officeDocument/2006/relationships/hyperlink" Target="http://en.wikipedia.org/wiki/Serbia" TargetMode="External"/><Relationship Id="rId368" Type="http://schemas.openxmlformats.org/officeDocument/2006/relationships/hyperlink" Target="http://www.gov.ls/articles/2014/civil_registration_vital_development.php" TargetMode="External"/><Relationship Id="rId575" Type="http://schemas.openxmlformats.org/officeDocument/2006/relationships/hyperlink" Target="http://www.frca.org.fj/quick-links/frca-fnpf-joint-card/" TargetMode="External"/><Relationship Id="rId782" Type="http://schemas.openxmlformats.org/officeDocument/2006/relationships/hyperlink" Target="http://www.arbk.org/en/Home" TargetMode="External"/><Relationship Id="rId228" Type="http://schemas.openxmlformats.org/officeDocument/2006/relationships/hyperlink" Target="http://www.rgd.gov.jm/overview" TargetMode="External"/><Relationship Id="rId435" Type="http://schemas.openxmlformats.org/officeDocument/2006/relationships/hyperlink" Target="http://www.togoleseministryofhealthlome.myewebsite.com/" TargetMode="External"/><Relationship Id="rId642" Type="http://schemas.openxmlformats.org/officeDocument/2006/relationships/hyperlink" Target="http://www.jornal.gov.tl/lawsTL/RDTL-Law/RDTL-Decree-Laws/Decree-Law-2004-2.pdf" TargetMode="External"/><Relationship Id="rId1065" Type="http://schemas.openxmlformats.org/officeDocument/2006/relationships/hyperlink" Target="http://archive.kubatana.net/docs/legisl/aippa_amd_act_080111.pdf" TargetMode="External"/><Relationship Id="rId1272" Type="http://schemas.openxmlformats.org/officeDocument/2006/relationships/hyperlink" Target="http://ec.europa.eu/justice/policies/privacy/docs/implementation/czech_republic_act%20_101_en.pdf" TargetMode="External"/><Relationship Id="rId502" Type="http://schemas.openxmlformats.org/officeDocument/2006/relationships/hyperlink" Target="http://www.presidence.gov.gn/" TargetMode="External"/><Relationship Id="rId947" Type="http://schemas.openxmlformats.org/officeDocument/2006/relationships/hyperlink" Target="http://www.sesam-vitale.fr/" TargetMode="External"/><Relationship Id="rId1132" Type="http://schemas.openxmlformats.org/officeDocument/2006/relationships/hyperlink" Target="http://www.rti-rating.org/files/pdf/Peru.pdf" TargetMode="External"/><Relationship Id="rId1577" Type="http://schemas.openxmlformats.org/officeDocument/2006/relationships/hyperlink" Target="http://esa.un.org/unpd/wpp/Download/Standard/Population/" TargetMode="External"/><Relationship Id="rId1784" Type="http://schemas.openxmlformats.org/officeDocument/2006/relationships/hyperlink" Target="http://www.unicef.org/gambia/Every_childs_birth_right_-_inequities_and_trends_in_birth_registration_-_2013_report.pdf" TargetMode="External"/><Relationship Id="rId1991" Type="http://schemas.openxmlformats.org/officeDocument/2006/relationships/hyperlink" Target="http://www.idea.int/vt/countryview.cfm?id=240" TargetMode="External"/><Relationship Id="rId76" Type="http://schemas.openxmlformats.org/officeDocument/2006/relationships/hyperlink" Target="http://en.wikipedia.org/wiki/Kiribati" TargetMode="External"/><Relationship Id="rId807" Type="http://schemas.openxmlformats.org/officeDocument/2006/relationships/hyperlink" Target="http://www.bnlawmacau.com/fotos/gca/business_macau_1236222439.pdf" TargetMode="External"/><Relationship Id="rId1437" Type="http://schemas.openxmlformats.org/officeDocument/2006/relationships/hyperlink" Target="http://www.doingbusiness.org/data/exploreeconomies/namibia/starting-a-business" TargetMode="External"/><Relationship Id="rId1644" Type="http://schemas.openxmlformats.org/officeDocument/2006/relationships/hyperlink" Target="http://esa.un.org/unpd/wpp/Download/Standard/Population/" TargetMode="External"/><Relationship Id="rId1851" Type="http://schemas.openxmlformats.org/officeDocument/2006/relationships/hyperlink" Target="http://pxnet2.stat.fi/PXWeb/pxweb/en/StatFin/StatFin__vaa__evaa__evaa_2015/120_evaa_tau_102.px/table/tableViewLayout1/?rxid=8da6b9e4-327f-4bb5-a0bd-5fe25a63180f" TargetMode="External"/><Relationship Id="rId1504" Type="http://schemas.openxmlformats.org/officeDocument/2006/relationships/hyperlink" Target="http://www.iris.com.my/Trusted_ID/projects.html" TargetMode="External"/><Relationship Id="rId1711" Type="http://schemas.openxmlformats.org/officeDocument/2006/relationships/hyperlink" Target="http://esa.un.org/unpd/wpp/Download/Standard/Population/" TargetMode="External"/><Relationship Id="rId1949" Type="http://schemas.openxmlformats.org/officeDocument/2006/relationships/hyperlink" Target="http://www.mdps.gov.qa/portal/page/portal/GSDP_AR/statistics_ar/monthly_preliminary_figures_on_population_ar" TargetMode="External"/><Relationship Id="rId292" Type="http://schemas.openxmlformats.org/officeDocument/2006/relationships/hyperlink" Target="http://en.wikipedia.org/wiki/C%C3%A9dula_de_identidad" TargetMode="External"/><Relationship Id="rId1809" Type="http://schemas.openxmlformats.org/officeDocument/2006/relationships/hyperlink" Target="http://www.electionguide.org/countries/id/12/" TargetMode="External"/><Relationship Id="rId597" Type="http://schemas.openxmlformats.org/officeDocument/2006/relationships/hyperlink" Target="http://www.gov.ls/" TargetMode="External"/><Relationship Id="rId152" Type="http://schemas.openxmlformats.org/officeDocument/2006/relationships/hyperlink" Target="http://en.wikipedia.org/wiki/Turkey" TargetMode="External"/><Relationship Id="rId457" Type="http://schemas.openxmlformats.org/officeDocument/2006/relationships/hyperlink" Target="http://mcit.gov.af/en/page/7081" TargetMode="External"/><Relationship Id="rId1087" Type="http://schemas.openxmlformats.org/officeDocument/2006/relationships/hyperlink" Target="http://www.rti-rating.org/files/pdf/Sierra%20Leone.pdf" TargetMode="External"/><Relationship Id="rId1294" Type="http://schemas.openxmlformats.org/officeDocument/2006/relationships/hyperlink" Target="http://www.rti-rating.org/files/pdf/Kyrgyzstan.pdf" TargetMode="External"/><Relationship Id="rId664" Type="http://schemas.openxmlformats.org/officeDocument/2006/relationships/hyperlink" Target="http://www.prb.org/Publications/Articles/2014/wpds-2014-extreme-poverty.aspx" TargetMode="External"/><Relationship Id="rId871" Type="http://schemas.openxmlformats.org/officeDocument/2006/relationships/hyperlink" Target="http://www.identity-cards.net/record/china" TargetMode="External"/><Relationship Id="rId969" Type="http://schemas.openxmlformats.org/officeDocument/2006/relationships/hyperlink" Target="https://verificatusdatos.registrocivil.gob.ec/identidad/(S(vfb0qcg0zl0t3jl4py10qzwt))/default.aspx" TargetMode="External"/><Relationship Id="rId1599" Type="http://schemas.openxmlformats.org/officeDocument/2006/relationships/hyperlink" Target="http://esa.un.org/unpd/wpp/Download/Standard/Population/" TargetMode="External"/><Relationship Id="rId317" Type="http://schemas.openxmlformats.org/officeDocument/2006/relationships/hyperlink" Target="http://www.vs.gov.bc.ca/admin/offices.html" TargetMode="External"/><Relationship Id="rId524" Type="http://schemas.openxmlformats.org/officeDocument/2006/relationships/hyperlink" Target="http://www.idea.int/vt/countryview.cfm?id=127" TargetMode="External"/><Relationship Id="rId731" Type="http://schemas.openxmlformats.org/officeDocument/2006/relationships/hyperlink" Target="http://www.worldbank.org/en/news/press-release/2014/03/11/world-bank-helps-gabon-diversify-economy-create-new-jobs-women-youth" TargetMode="External"/><Relationship Id="rId1154" Type="http://schemas.openxmlformats.org/officeDocument/2006/relationships/hyperlink" Target="http://www.azlp.me/index.php/me/" TargetMode="External"/><Relationship Id="rId1361" Type="http://schemas.openxmlformats.org/officeDocument/2006/relationships/hyperlink" Target="http://www.difc.ae/registration-and-setup" TargetMode="External"/><Relationship Id="rId1459" Type="http://schemas.openxmlformats.org/officeDocument/2006/relationships/hyperlink" Target="http://agesic.gub.uy/" TargetMode="External"/><Relationship Id="rId98" Type="http://schemas.openxmlformats.org/officeDocument/2006/relationships/hyperlink" Target="http://en.wikipedia.org/wiki/Mongolia" TargetMode="External"/><Relationship Id="rId829" Type="http://schemas.openxmlformats.org/officeDocument/2006/relationships/hyperlink" Target="http://www.buergerkarte.at/en/functions-card.html" TargetMode="External"/><Relationship Id="rId1014" Type="http://schemas.openxmlformats.org/officeDocument/2006/relationships/hyperlink" Target="https://www.pa.sm/" TargetMode="External"/><Relationship Id="rId1221" Type="http://schemas.openxmlformats.org/officeDocument/2006/relationships/hyperlink" Target="http://www.lexbahamas.com/Data%20Protection%202003.pdf" TargetMode="External"/><Relationship Id="rId1666" Type="http://schemas.openxmlformats.org/officeDocument/2006/relationships/hyperlink" Target="http://esa.un.org/unpd/wpp/Download/Standard/Population/" TargetMode="External"/><Relationship Id="rId1873" Type="http://schemas.openxmlformats.org/officeDocument/2006/relationships/hyperlink" Target="http://www.electionguide.org/countries/id/94/" TargetMode="External"/><Relationship Id="rId1319" Type="http://schemas.openxmlformats.org/officeDocument/2006/relationships/hyperlink" Target="http://www.rti-rating.org/files/pdf/Liechtenstein.pdf" TargetMode="External"/><Relationship Id="rId1526" Type="http://schemas.openxmlformats.org/officeDocument/2006/relationships/hyperlink" Target="http://www.morpho.com/news-events-348/press/morpho-selected-by-slovakia-for-its-national-electronic-identity-card-program" TargetMode="External"/><Relationship Id="rId1733" Type="http://schemas.openxmlformats.org/officeDocument/2006/relationships/hyperlink" Target="http://esa.un.org/unpd/wpp/Download/Standard/Population/" TargetMode="External"/><Relationship Id="rId1940" Type="http://schemas.openxmlformats.org/officeDocument/2006/relationships/hyperlink" Target="http://www.idea.int/vt/countryview.cfm?id=162" TargetMode="External"/><Relationship Id="rId25" Type="http://schemas.openxmlformats.org/officeDocument/2006/relationships/hyperlink" Target="http://en.wikipedia.org/wiki/Burundi" TargetMode="External"/><Relationship Id="rId1800" Type="http://schemas.openxmlformats.org/officeDocument/2006/relationships/hyperlink" Target="http://www.unicef.org/infobycountry/antiguabarbuda_statistics.html" TargetMode="External"/><Relationship Id="rId174" Type="http://schemas.openxmlformats.org/officeDocument/2006/relationships/hyperlink" Target="http://en.wikipedia.org/wiki/Central_African_Republic" TargetMode="External"/><Relationship Id="rId381" Type="http://schemas.openxmlformats.org/officeDocument/2006/relationships/hyperlink" Target="http://iadb.libguides.com/registros_organizaciones" TargetMode="External"/><Relationship Id="rId241" Type="http://schemas.openxmlformats.org/officeDocument/2006/relationships/hyperlink" Target="http://www.immigration.gov.tt/applicationloader.asp?app=articles&amp;id=691" TargetMode="External"/><Relationship Id="rId479" Type="http://schemas.openxmlformats.org/officeDocument/2006/relationships/hyperlink" Target="http://www.nidmc.gov.np/" TargetMode="External"/><Relationship Id="rId686" Type="http://schemas.openxmlformats.org/officeDocument/2006/relationships/hyperlink" Target="http://www.asic.gov.au/" TargetMode="External"/><Relationship Id="rId893" Type="http://schemas.openxmlformats.org/officeDocument/2006/relationships/hyperlink" Target="https://www.thalesgroup.com/en/worldwide/security/id-management" TargetMode="External"/><Relationship Id="rId339" Type="http://schemas.openxmlformats.org/officeDocument/2006/relationships/hyperlink" Target="http://health.gov.gd/" TargetMode="External"/><Relationship Id="rId546" Type="http://schemas.openxmlformats.org/officeDocument/2006/relationships/hyperlink" Target="http://www.gouv.bj/demarches-administratives/demande-de-carte-didentit" TargetMode="External"/><Relationship Id="rId753" Type="http://schemas.openxmlformats.org/officeDocument/2006/relationships/hyperlink" Target="http://190.5.103.114/clienteremoto/rm_busquedas.aspx" TargetMode="External"/><Relationship Id="rId1176" Type="http://schemas.openxmlformats.org/officeDocument/2006/relationships/hyperlink" Target="http://www.govt.lc/media.govt.lc/www/legislation/FreedomOfInformation.pdf" TargetMode="External"/><Relationship Id="rId1383" Type="http://schemas.openxmlformats.org/officeDocument/2006/relationships/hyperlink" Target="http://www.moit.gov.ye/moit/node/438" TargetMode="External"/><Relationship Id="rId101" Type="http://schemas.openxmlformats.org/officeDocument/2006/relationships/hyperlink" Target="http://en.wikipedia.org/wiki/Mozambique" TargetMode="External"/><Relationship Id="rId406" Type="http://schemas.openxmlformats.org/officeDocument/2006/relationships/hyperlink" Target="http://www.starecivila1.ro/inregistrare-nastere/" TargetMode="External"/><Relationship Id="rId960" Type="http://schemas.openxmlformats.org/officeDocument/2006/relationships/hyperlink" Target="http://www.presidence.cg/accueil/" TargetMode="External"/><Relationship Id="rId1036" Type="http://schemas.openxmlformats.org/officeDocument/2006/relationships/hyperlink" Target="http://tuoitrenews.vn/society/18288/vietnam-to-replace-household-registers-with-identity-cards" TargetMode="External"/><Relationship Id="rId1243" Type="http://schemas.openxmlformats.org/officeDocument/2006/relationships/hyperlink" Target="http://www.cil.bf/" TargetMode="External"/><Relationship Id="rId1590" Type="http://schemas.openxmlformats.org/officeDocument/2006/relationships/hyperlink" Target="http://esa.un.org/unpd/wpp/Download/Standard/Population/" TargetMode="External"/><Relationship Id="rId1688" Type="http://schemas.openxmlformats.org/officeDocument/2006/relationships/hyperlink" Target="http://esa.un.org/unpd/wpp/Download/Standard/Population/" TargetMode="External"/><Relationship Id="rId1895" Type="http://schemas.openxmlformats.org/officeDocument/2006/relationships/hyperlink" Target="http://www.electionguide.org/countries/id/53/" TargetMode="External"/><Relationship Id="rId613" Type="http://schemas.openxmlformats.org/officeDocument/2006/relationships/hyperlink" Target="https://msw.gov.pl/pl/sprawy-obywatelskie/ewidencja-ludnosci-dowo/dowody-osobiste/4532,Informacje-ogolne.html" TargetMode="External"/><Relationship Id="rId820" Type="http://schemas.openxmlformats.org/officeDocument/2006/relationships/hyperlink" Target="https://en.service-public-entreprises.gouv.mc/user/login" TargetMode="External"/><Relationship Id="rId918" Type="http://schemas.openxmlformats.org/officeDocument/2006/relationships/hyperlink" Target="http://www.moim.gov.lb/" TargetMode="External"/><Relationship Id="rId1450" Type="http://schemas.openxmlformats.org/officeDocument/2006/relationships/hyperlink" Target="http://zh.wikipedia.org/wiki/%E7%B5%B1%E4%B8%80%E7%99%BC%E7%A5%A8_(%E8%87%BA%E7%81%A3)" TargetMode="External"/><Relationship Id="rId1548" Type="http://schemas.openxmlformats.org/officeDocument/2006/relationships/hyperlink" Target="http://www.trueb.ee/services-and-products/documents/id-cards" TargetMode="External"/><Relationship Id="rId1755" Type="http://schemas.openxmlformats.org/officeDocument/2006/relationships/hyperlink" Target="http://www.aec.gov.au/Enrolling_to_vote/Enrolment_stats/elector_count/index.htm" TargetMode="External"/><Relationship Id="rId1103" Type="http://schemas.openxmlformats.org/officeDocument/2006/relationships/hyperlink" Target="http://www.issafrica.org/uploads/SA-POPI-Act-2013.pdf" TargetMode="External"/><Relationship Id="rId1310" Type="http://schemas.openxmlformats.org/officeDocument/2006/relationships/hyperlink" Target="http://www.dataprotection.ie/" TargetMode="External"/><Relationship Id="rId1408" Type="http://schemas.openxmlformats.org/officeDocument/2006/relationships/hyperlink" Target="http://www.ncci.org.na/directory/" TargetMode="External"/><Relationship Id="rId1962" Type="http://schemas.openxmlformats.org/officeDocument/2006/relationships/hyperlink" Target="http://population.sg/population-in-brief/files/population-in-brief-2015.pdf" TargetMode="External"/><Relationship Id="rId47" Type="http://schemas.openxmlformats.org/officeDocument/2006/relationships/hyperlink" Target="http://en.wikipedia.org/wiki/Estonia" TargetMode="External"/><Relationship Id="rId1615" Type="http://schemas.openxmlformats.org/officeDocument/2006/relationships/hyperlink" Target="http://esa.un.org/unpd/wpp/Download/Standard/Population/" TargetMode="External"/><Relationship Id="rId1822" Type="http://schemas.openxmlformats.org/officeDocument/2006/relationships/hyperlink" Target="http://www.electionguide.org/countries/id/179/" TargetMode="External"/><Relationship Id="rId196" Type="http://schemas.openxmlformats.org/officeDocument/2006/relationships/hyperlink" Target="http://en.wikipedia.org/wiki/Hong_kong" TargetMode="External"/><Relationship Id="rId263" Type="http://schemas.openxmlformats.org/officeDocument/2006/relationships/hyperlink" Target="http://en.wikipedia.org/wiki/German_identity_card" TargetMode="External"/><Relationship Id="rId470" Type="http://schemas.openxmlformats.org/officeDocument/2006/relationships/hyperlink" Target="https://www.datacard.com/" TargetMode="External"/><Relationship Id="rId123" Type="http://schemas.openxmlformats.org/officeDocument/2006/relationships/hyperlink" Target="http://en.wikipedia.org/wiki/Rwanda" TargetMode="External"/><Relationship Id="rId330" Type="http://schemas.openxmlformats.org/officeDocument/2006/relationships/hyperlink" Target="http://www.politsei.ee/" TargetMode="External"/><Relationship Id="rId568" Type="http://schemas.openxmlformats.org/officeDocument/2006/relationships/hyperlink" Target="http://www.jce.gob.do/Dependencias/Cedulaci%C3%B3n/ServiciosyRequisitos.aspx" TargetMode="External"/><Relationship Id="rId775" Type="http://schemas.openxmlformats.org/officeDocument/2006/relationships/hyperlink" Target="http://www.startbiz.go.kr/" TargetMode="External"/><Relationship Id="rId982" Type="http://schemas.openxmlformats.org/officeDocument/2006/relationships/hyperlink" Target="https://www.citizenservices.gov.bt/web/guest/issuance-new-cid" TargetMode="External"/><Relationship Id="rId1198" Type="http://schemas.openxmlformats.org/officeDocument/2006/relationships/hyperlink" Target="http://www.rti-rating.org/files/pdf/Austria.pdf" TargetMode="External"/><Relationship Id="rId428" Type="http://schemas.openxmlformats.org/officeDocument/2006/relationships/hyperlink" Target="https://www.ch.ch/en/register-birth/" TargetMode="External"/><Relationship Id="rId635" Type="http://schemas.openxmlformats.org/officeDocument/2006/relationships/hyperlink" Target="http://www.policia.es/documentacion/docu_esp/oficinas.html" TargetMode="External"/><Relationship Id="rId842" Type="http://schemas.openxmlformats.org/officeDocument/2006/relationships/hyperlink" Target="https://www.gi-de.com/en/products_and_solutions/products/national_id_cards/National-ID-cards-for-secure-identification-6530.jsp" TargetMode="External"/><Relationship Id="rId1058" Type="http://schemas.openxmlformats.org/officeDocument/2006/relationships/hyperlink" Target="http://www.medialaw.ru/exussrlaw/l/uz/dostup.htm" TargetMode="External"/><Relationship Id="rId1265" Type="http://schemas.openxmlformats.org/officeDocument/2006/relationships/hyperlink" Target="http://www.tietosuoja.fi/" TargetMode="External"/><Relationship Id="rId1472" Type="http://schemas.openxmlformats.org/officeDocument/2006/relationships/hyperlink" Target="https://www.business.gov.om/wps/portal/ecr/services/browseallservices/!ut/p/a1/04_Sj9CPykssy0xPLMnMz0vMAfGjzOK9HU2dDZ1NDL39LcPMDRyNjF283Rz9DQxczIEKIvEo8DcgpD9cPwqvEpAJeBUYmEEVGOAAjgb6BbkRBpmejooAPqPgCg!!/dl5/d5/L2dBISEvZ0FBIS9nQSEh/" TargetMode="External"/><Relationship Id="rId702" Type="http://schemas.openxmlformats.org/officeDocument/2006/relationships/hyperlink" Target="http://corporationscanada.ic.gc.ca/" TargetMode="External"/><Relationship Id="rId1125" Type="http://schemas.openxmlformats.org/officeDocument/2006/relationships/hyperlink" Target="http://www.rti-rating.org/files/pdf/Nicaragua.pdf" TargetMode="External"/><Relationship Id="rId1332" Type="http://schemas.openxmlformats.org/officeDocument/2006/relationships/hyperlink" Target="http://www.humanrightsinitiative.org/programs/ai/rti/international/laws_papers/barbados/barbados_foi_act_2008.pdf" TargetMode="External"/><Relationship Id="rId1777" Type="http://schemas.openxmlformats.org/officeDocument/2006/relationships/hyperlink" Target="http://www.dzs.hr/Eng/censuses/census2011/censuslogo.htm" TargetMode="External"/><Relationship Id="rId1984" Type="http://schemas.openxmlformats.org/officeDocument/2006/relationships/hyperlink" Target="http://www.idea.int/vt/countryview.cfm?id=229" TargetMode="External"/><Relationship Id="rId69" Type="http://schemas.openxmlformats.org/officeDocument/2006/relationships/hyperlink" Target="http://en.wikipedia.org/wiki/Republic_of_Ireland" TargetMode="External"/><Relationship Id="rId1637" Type="http://schemas.openxmlformats.org/officeDocument/2006/relationships/hyperlink" Target="http://esa.un.org/unpd/wpp/Download/Standard/Population/" TargetMode="External"/><Relationship Id="rId1844" Type="http://schemas.openxmlformats.org/officeDocument/2006/relationships/hyperlink" Target="http://www.electionguide.org/countries/id/44/" TargetMode="External"/><Relationship Id="rId1704" Type="http://schemas.openxmlformats.org/officeDocument/2006/relationships/hyperlink" Target="http://esa.un.org/unpd/wpp/Download/Standard/Population/" TargetMode="External"/><Relationship Id="rId285" Type="http://schemas.openxmlformats.org/officeDocument/2006/relationships/hyperlink" Target="http://en.wikipedia.org/wiki/Tax_File_Number" TargetMode="External"/><Relationship Id="rId1911" Type="http://schemas.openxmlformats.org/officeDocument/2006/relationships/hyperlink" Target="http://www.electionguide.org/countries/id/108/" TargetMode="External"/><Relationship Id="rId492" Type="http://schemas.openxmlformats.org/officeDocument/2006/relationships/hyperlink" Target="http://unstats.un.org/unsd/demographic/CRVS/Technical%20report%20SADC%20final%20v2.pdf" TargetMode="External"/><Relationship Id="rId797" Type="http://schemas.openxmlformats.org/officeDocument/2006/relationships/hyperlink" Target="https://www.burtgel.gov.mn/index.php?option=com_content&amp;view=category&amp;id=191&amp;Itemid=412" TargetMode="External"/><Relationship Id="rId145" Type="http://schemas.openxmlformats.org/officeDocument/2006/relationships/hyperlink" Target="http://en.wikipedia.org/wiki/Tajikistan" TargetMode="External"/><Relationship Id="rId352" Type="http://schemas.openxmlformats.org/officeDocument/2006/relationships/hyperlink" Target="http://www.nbn.org.il/" TargetMode="External"/><Relationship Id="rId1287" Type="http://schemas.openxmlformats.org/officeDocument/2006/relationships/hyperlink" Target="http://www.rti-rating.org/files/pdf/Israel.pdf" TargetMode="External"/><Relationship Id="rId212" Type="http://schemas.openxmlformats.org/officeDocument/2006/relationships/hyperlink" Target="http://sereci.oep.org.bo/sereci/" TargetMode="External"/><Relationship Id="rId657" Type="http://schemas.openxmlformats.org/officeDocument/2006/relationships/hyperlink" Target="http://www.egov.sc/MyCitizen/ApplyIDCard.aspx" TargetMode="External"/><Relationship Id="rId864" Type="http://schemas.openxmlformats.org/officeDocument/2006/relationships/hyperlink" Target="http://www.gemalto.com/govt/customer-cases/belgium" TargetMode="External"/><Relationship Id="rId1494" Type="http://schemas.openxmlformats.org/officeDocument/2006/relationships/hyperlink" Target="http://www.samoaimmigration.gov.ws/ApplicationForms/tabid/6851/language/en-US/Default.aspx" TargetMode="External"/><Relationship Id="rId1799" Type="http://schemas.openxmlformats.org/officeDocument/2006/relationships/hyperlink" Target="http://www.unicef.org/protection/files/UNICEF_Birth_Registration_Handbook.pdf" TargetMode="External"/><Relationship Id="rId517" Type="http://schemas.openxmlformats.org/officeDocument/2006/relationships/hyperlink" Target="http://www.fms.gov.ru/government_services/passport/" TargetMode="External"/><Relationship Id="rId724" Type="http://schemas.openxmlformats.org/officeDocument/2006/relationships/hyperlink" Target="https://www.infogreffe.fr/societes/services-infogreffe.html" TargetMode="External"/><Relationship Id="rId931" Type="http://schemas.openxmlformats.org/officeDocument/2006/relationships/hyperlink" Target="http://www.smartcard.gov.bh/?lang=en" TargetMode="External"/><Relationship Id="rId1147" Type="http://schemas.openxmlformats.org/officeDocument/2006/relationships/hyperlink" Target="https://www.huntonprivacyblog.com/uploads/file/Peru%20Data%20Protection%20Law%20July%2028_EN%20_2_.pdf" TargetMode="External"/><Relationship Id="rId1354" Type="http://schemas.openxmlformats.org/officeDocument/2006/relationships/hyperlink" Target="http://media.mofo.com/files/PrivacyLibrary/3981/GHANAbill.pdf" TargetMode="External"/><Relationship Id="rId1561" Type="http://schemas.openxmlformats.org/officeDocument/2006/relationships/hyperlink" Target="http://dai-transparencymaroc.com/wp-content/uploads/2013/06/Le-droit-dacc%C3%A8s-%C3%A0-linformation-%C3%A9tat-des-lieux-et-perspectives-%C3%A0-la-lumi%C3%A8re-de-la-nouvelle-constitution.pdf" TargetMode="External"/><Relationship Id="rId60" Type="http://schemas.openxmlformats.org/officeDocument/2006/relationships/hyperlink" Target="http://en.wikipedia.org/wiki/Guinea-Bissau" TargetMode="External"/><Relationship Id="rId1007" Type="http://schemas.openxmlformats.org/officeDocument/2006/relationships/hyperlink" Target="https://msw.gov.pl/pl/sprawy-obywatelskie/ewidencja-ludnosci-dowo/dowody-osobiste/4532,Informacje-ogolne.html" TargetMode="External"/><Relationship Id="rId1214" Type="http://schemas.openxmlformats.org/officeDocument/2006/relationships/hyperlink" Target="http://www.laws.gov.ag/acts/2004/a2004-19.pdf" TargetMode="External"/><Relationship Id="rId1421" Type="http://schemas.openxmlformats.org/officeDocument/2006/relationships/hyperlink" Target="http://www.rocip.gov.lc/stlucia/default.aspx" TargetMode="External"/><Relationship Id="rId1659" Type="http://schemas.openxmlformats.org/officeDocument/2006/relationships/hyperlink" Target="http://esa.un.org/unpd/wpp/Download/Standard/Population/" TargetMode="External"/><Relationship Id="rId1866" Type="http://schemas.openxmlformats.org/officeDocument/2006/relationships/hyperlink" Target="http://www.llv.li/files/as/zivilstandsstatistik-2014.pdf" TargetMode="External"/><Relationship Id="rId1519" Type="http://schemas.openxmlformats.org/officeDocument/2006/relationships/hyperlink" Target="http://www.cto.int/media/events/pst-ev/2013/e-Gove/Matthias%20K.%20Kohler.pdf" TargetMode="External"/><Relationship Id="rId1726" Type="http://schemas.openxmlformats.org/officeDocument/2006/relationships/hyperlink" Target="http://esa.un.org/unpd/wpp/Download/Standard/Population/" TargetMode="External"/><Relationship Id="rId1933" Type="http://schemas.openxmlformats.org/officeDocument/2006/relationships/hyperlink" Target="http://www.idea.int/vt/countryview.cfm?id=141" TargetMode="External"/><Relationship Id="rId18" Type="http://schemas.openxmlformats.org/officeDocument/2006/relationships/hyperlink" Target="http://en.wikipedia.org/wiki/Belize" TargetMode="External"/><Relationship Id="rId167" Type="http://schemas.openxmlformats.org/officeDocument/2006/relationships/hyperlink" Target="http://en.wikipedia.org/wiki/S%C3%A3o_Tom%C3%A9_and_Principe" TargetMode="External"/><Relationship Id="rId374" Type="http://schemas.openxmlformats.org/officeDocument/2006/relationships/hyperlink" Target="http://www.malawi.gov.mw/index.php?option=com_content&amp;view=article&amp;id=31&amp;Itemid=115" TargetMode="External"/><Relationship Id="rId581" Type="http://schemas.openxmlformats.org/officeDocument/2006/relationships/hyperlink" Target="http://www.gecom.org.gy/nat_registration.html" TargetMode="External"/><Relationship Id="rId234" Type="http://schemas.openxmlformats.org/officeDocument/2006/relationships/hyperlink" Target="http://idbdocs.iadb.org/wsdocs/getdocument.aspx?docnum=1959549" TargetMode="External"/><Relationship Id="rId679" Type="http://schemas.openxmlformats.org/officeDocument/2006/relationships/hyperlink" Target="http://www.one.cu/nomencladores.htm" TargetMode="External"/><Relationship Id="rId886" Type="http://schemas.openxmlformats.org/officeDocument/2006/relationships/hyperlink" Target="http://www.trueb.ee/services-and-products/documents/id-cards" TargetMode="External"/><Relationship Id="rId2" Type="http://schemas.openxmlformats.org/officeDocument/2006/relationships/hyperlink" Target="http://en.wikipedia.org/wiki/Albania" TargetMode="External"/><Relationship Id="rId441" Type="http://schemas.openxmlformats.org/officeDocument/2006/relationships/hyperlink" Target="http://www.ursb.go.ug/" TargetMode="External"/><Relationship Id="rId539" Type="http://schemas.openxmlformats.org/officeDocument/2006/relationships/hyperlink" Target="http://www.guichet.public.lu/citoyens/fr/citoyennete/papiers-identite/carte-identite/nouv-carte-identite-adulte/index.html" TargetMode="External"/><Relationship Id="rId746" Type="http://schemas.openxmlformats.org/officeDocument/2006/relationships/hyperlink" Target="http://www.doingbusiness.org/data/exploreeconomies/guinea/starting-a-business/" TargetMode="External"/><Relationship Id="rId1071" Type="http://schemas.openxmlformats.org/officeDocument/2006/relationships/hyperlink" Target="http://law.moj.gov.tw/Eng/LawClass/LawAll.aspx?PCode=I0050021" TargetMode="External"/><Relationship Id="rId1169" Type="http://schemas.openxmlformats.org/officeDocument/2006/relationships/hyperlink" Target="http://ec.europa.eu/justice/policies/privacy/docs/implementation/malta_en.pdf" TargetMode="External"/><Relationship Id="rId1376" Type="http://schemas.openxmlformats.org/officeDocument/2006/relationships/hyperlink" Target="http://www.ccit.tg/index.php?option=com_content&amp;view=article&amp;id=55&amp;Itemid=100" TargetMode="External"/><Relationship Id="rId1583" Type="http://schemas.openxmlformats.org/officeDocument/2006/relationships/hyperlink" Target="http://esa.un.org/unpd/wpp/Download/Standard/Population/" TargetMode="External"/><Relationship Id="rId301" Type="http://schemas.openxmlformats.org/officeDocument/2006/relationships/hyperlink" Target="http://www.justice.gov.az/" TargetMode="External"/><Relationship Id="rId953" Type="http://schemas.openxmlformats.org/officeDocument/2006/relationships/hyperlink" Target="http://burundi-gov.bi/Burundi-TIC-Projet-de-carte-d" TargetMode="External"/><Relationship Id="rId1029" Type="http://schemas.openxmlformats.org/officeDocument/2006/relationships/hyperlink" Target="http://e-uprava.gov.si/e-uprava/en/portal.euprava" TargetMode="External"/><Relationship Id="rId1236" Type="http://schemas.openxmlformats.org/officeDocument/2006/relationships/hyperlink" Target="https://www.apda.ad/" TargetMode="External"/><Relationship Id="rId1790" Type="http://schemas.openxmlformats.org/officeDocument/2006/relationships/hyperlink" Target="http://www.unicef.org/esaro/Technical_paper_low_res_.pdf" TargetMode="External"/><Relationship Id="rId1888" Type="http://schemas.openxmlformats.org/officeDocument/2006/relationships/hyperlink" Target="http://www.electionguide.org/countries/id/202/" TargetMode="External"/><Relationship Id="rId82" Type="http://schemas.openxmlformats.org/officeDocument/2006/relationships/hyperlink" Target="http://en.wikipedia.org/wiki/Lebanon" TargetMode="External"/><Relationship Id="rId606" Type="http://schemas.openxmlformats.org/officeDocument/2006/relationships/hyperlink" Target="http://www.karobardaily.com/news/2013/12/bidding-process-of-electronic-id-to-be-revoked" TargetMode="External"/><Relationship Id="rId813" Type="http://schemas.openxmlformats.org/officeDocument/2006/relationships/hyperlink" Target="http://www.doingbusiness.org/data/exploreeconomies/marshall-islands/starting-a-business" TargetMode="External"/><Relationship Id="rId1443" Type="http://schemas.openxmlformats.org/officeDocument/2006/relationships/hyperlink" Target="http://www.sunat.gob.pe/legislacion/ruc/" TargetMode="External"/><Relationship Id="rId1650" Type="http://schemas.openxmlformats.org/officeDocument/2006/relationships/hyperlink" Target="http://esa.un.org/unpd/wpp/Download/Standard/Population/" TargetMode="External"/><Relationship Id="rId1748" Type="http://schemas.openxmlformats.org/officeDocument/2006/relationships/hyperlink" Target="http://esa.un.org/unpd/wpp/Download/Standard/Population/" TargetMode="External"/><Relationship Id="rId1303" Type="http://schemas.openxmlformats.org/officeDocument/2006/relationships/hyperlink" Target="http://www.garanteprivacy.it/web/guest/home/docweb/-/docweb-display/docweb/28335" TargetMode="External"/><Relationship Id="rId1510" Type="http://schemas.openxmlformats.org/officeDocument/2006/relationships/hyperlink" Target="http://www.edaps.com/en/news/n1273" TargetMode="External"/><Relationship Id="rId1955" Type="http://schemas.openxmlformats.org/officeDocument/2006/relationships/hyperlink" Target="http://www.idea.int/vt/countryview.cfm?id=242" TargetMode="External"/><Relationship Id="rId1608" Type="http://schemas.openxmlformats.org/officeDocument/2006/relationships/hyperlink" Target="http://esa.un.org/unpd/wpp/Download/Standard/Population/" TargetMode="External"/><Relationship Id="rId1815" Type="http://schemas.openxmlformats.org/officeDocument/2006/relationships/hyperlink" Target="http://www.electoral.barbados.gov.bb/electoralreginfo.html" TargetMode="External"/><Relationship Id="rId189" Type="http://schemas.openxmlformats.org/officeDocument/2006/relationships/hyperlink" Target="http://en.wikipedia.org/wiki/South_africa" TargetMode="External"/><Relationship Id="rId396" Type="http://schemas.openxmlformats.org/officeDocument/2006/relationships/hyperlink" Target="http://www.skatteetaten.no/" TargetMode="External"/><Relationship Id="rId256" Type="http://schemas.openxmlformats.org/officeDocument/2006/relationships/hyperlink" Target="http://en.wikipedia.org/wiki/MyKad" TargetMode="External"/><Relationship Id="rId463" Type="http://schemas.openxmlformats.org/officeDocument/2006/relationships/hyperlink" Target="http://www.zetes.com/en/people-id-solutions/secure-smartcard-and-id-document-production" TargetMode="External"/><Relationship Id="rId670" Type="http://schemas.openxmlformats.org/officeDocument/2006/relationships/hyperlink" Target="http://www.doingbusiness.org/data/exploreeconomies/chile/starting-a-business/" TargetMode="External"/><Relationship Id="rId1093" Type="http://schemas.openxmlformats.org/officeDocument/2006/relationships/hyperlink" Target="http://www.rti-rating.org/files/pdf/Switzerland.pdf" TargetMode="External"/><Relationship Id="rId116" Type="http://schemas.openxmlformats.org/officeDocument/2006/relationships/hyperlink" Target="http://en.wikipedia.org/wiki/Paraguay" TargetMode="External"/><Relationship Id="rId323" Type="http://schemas.openxmlformats.org/officeDocument/2006/relationships/hyperlink" Target="http://www.personregistrering.dk/" TargetMode="External"/><Relationship Id="rId530" Type="http://schemas.openxmlformats.org/officeDocument/2006/relationships/hyperlink" Target="http://www.mup.hr/42.aspx" TargetMode="External"/><Relationship Id="rId768" Type="http://schemas.openxmlformats.org/officeDocument/2006/relationships/hyperlink" Target="http://www.rcsl.lu/" TargetMode="External"/><Relationship Id="rId975" Type="http://schemas.openxmlformats.org/officeDocument/2006/relationships/hyperlink" Target="http://www.renap.gob.gt/" TargetMode="External"/><Relationship Id="rId1160" Type="http://schemas.openxmlformats.org/officeDocument/2006/relationships/hyperlink" Target="http://www.cnpd.pt/" TargetMode="External"/><Relationship Id="rId1398" Type="http://schemas.openxmlformats.org/officeDocument/2006/relationships/hyperlink" Target="http://www.doingbusiness.org/data/exploreeconomies/palau/starting-a-business" TargetMode="External"/><Relationship Id="rId628" Type="http://schemas.openxmlformats.org/officeDocument/2006/relationships/hyperlink" Target="http://en.wikipedia.org/wiki/Turkish_identity_card" TargetMode="External"/><Relationship Id="rId835" Type="http://schemas.openxmlformats.org/officeDocument/2006/relationships/hyperlink" Target="http://banglanews24.com/en/fullnews/bn/89683.html" TargetMode="External"/><Relationship Id="rId1258" Type="http://schemas.openxmlformats.org/officeDocument/2006/relationships/hyperlink" Target="http://www.rti-rating.org/files/pdf/Georgia.pdf" TargetMode="External"/><Relationship Id="rId1465" Type="http://schemas.openxmlformats.org/officeDocument/2006/relationships/hyperlink" Target="http://www.business.govt.nz/companies/" TargetMode="External"/><Relationship Id="rId1672" Type="http://schemas.openxmlformats.org/officeDocument/2006/relationships/hyperlink" Target="http://esa.un.org/unpd/wpp/Download/Standard/Population/" TargetMode="External"/><Relationship Id="rId1020" Type="http://schemas.openxmlformats.org/officeDocument/2006/relationships/hyperlink" Target="http://www.planetbiometrics.com/article-details/i/2146" TargetMode="External"/><Relationship Id="rId1118" Type="http://schemas.openxmlformats.org/officeDocument/2006/relationships/hyperlink" Target="http://www.govt.lc/media.govt.lc/www/legislation/FreedomOfInformation.pdf" TargetMode="External"/><Relationship Id="rId1325" Type="http://schemas.openxmlformats.org/officeDocument/2006/relationships/hyperlink" Target="http://www.gpdp.gov.mo/uploadfile/2013/1217/20131217120421182.pdf" TargetMode="External"/><Relationship Id="rId1532" Type="http://schemas.openxmlformats.org/officeDocument/2006/relationships/hyperlink" Target="http://www.prnewswire.com/news-releases/unisys-awarded-contract-to-provide-advanced-biometric-citizen-identification-solution-to-government-of-mexico-83495832.html" TargetMode="External"/><Relationship Id="rId1977" Type="http://schemas.openxmlformats.org/officeDocument/2006/relationships/hyperlink" Target="http://www.idea.int/vt/countryview.cfm?id=216" TargetMode="External"/><Relationship Id="rId902" Type="http://schemas.openxmlformats.org/officeDocument/2006/relationships/hyperlink" Target="http://www.hondurasnews.com/honduras-planning-to-renovate-id-cards/" TargetMode="External"/><Relationship Id="rId1837" Type="http://schemas.openxmlformats.org/officeDocument/2006/relationships/hyperlink" Target="http://www.electionguide.org/countries/id/54/" TargetMode="External"/><Relationship Id="rId31" Type="http://schemas.openxmlformats.org/officeDocument/2006/relationships/hyperlink" Target="http://en.wikipedia.org/wiki/Colombia" TargetMode="External"/><Relationship Id="rId180" Type="http://schemas.openxmlformats.org/officeDocument/2006/relationships/hyperlink" Target="http://en.wikipedia.org/wiki/Kazakhstan" TargetMode="External"/><Relationship Id="rId278" Type="http://schemas.openxmlformats.org/officeDocument/2006/relationships/hyperlink" Target="http://en.wikipedia.org/wiki/Internal_passport_of_Russia" TargetMode="External"/><Relationship Id="rId1904" Type="http://schemas.openxmlformats.org/officeDocument/2006/relationships/hyperlink" Target="http://www.electionguide.org/countries/id/79/" TargetMode="External"/><Relationship Id="rId485" Type="http://schemas.openxmlformats.org/officeDocument/2006/relationships/hyperlink" Target="http://www.registru.md/" TargetMode="External"/><Relationship Id="rId692" Type="http://schemas.openxmlformats.org/officeDocument/2006/relationships/hyperlink" Target="https://abr.gov.au/" TargetMode="External"/><Relationship Id="rId138" Type="http://schemas.openxmlformats.org/officeDocument/2006/relationships/hyperlink" Target="http://en.wikipedia.org/wiki/South_Sudan" TargetMode="External"/><Relationship Id="rId345" Type="http://schemas.openxmlformats.org/officeDocument/2006/relationships/hyperlink" Target="http://www.gov.hk/en/residents/immigration/bdmreg/birth/birthreg/" TargetMode="External"/><Relationship Id="rId552" Type="http://schemas.openxmlformats.org/officeDocument/2006/relationships/hyperlink" Target="http://www.moj.am/services/civil_registry/item/518" TargetMode="External"/><Relationship Id="rId997" Type="http://schemas.openxmlformats.org/officeDocument/2006/relationships/hyperlink" Target="http://www.mairie.mc/poles/pratique/documents-de-la-nationalite" TargetMode="External"/><Relationship Id="rId1182" Type="http://schemas.openxmlformats.org/officeDocument/2006/relationships/hyperlink" Target="http://www.inide.gob.ni/" TargetMode="External"/><Relationship Id="rId205" Type="http://schemas.openxmlformats.org/officeDocument/2006/relationships/hyperlink" Target="http://www.lawcourts.gov.bb/Recordbranch.html" TargetMode="External"/><Relationship Id="rId412" Type="http://schemas.openxmlformats.org/officeDocument/2006/relationships/hyperlink" Target="http://www.moi.gov.sa/" TargetMode="External"/><Relationship Id="rId857" Type="http://schemas.openxmlformats.org/officeDocument/2006/relationships/hyperlink" Target="http://pki.gov.kz/index.php/en/udostoverenie-lichnosti" TargetMode="External"/><Relationship Id="rId1042" Type="http://schemas.openxmlformats.org/officeDocument/2006/relationships/hyperlink" Target="http://www.id.gov.ae/en/emirates-id/about-emirates-id.aspx" TargetMode="External"/><Relationship Id="rId1487" Type="http://schemas.openxmlformats.org/officeDocument/2006/relationships/hyperlink" Target="https://www.gov.uk/government/organisations/hm-passport-office" TargetMode="External"/><Relationship Id="rId1694" Type="http://schemas.openxmlformats.org/officeDocument/2006/relationships/hyperlink" Target="http://esa.un.org/unpd/wpp/Download/Standard/Population/" TargetMode="External"/><Relationship Id="rId717" Type="http://schemas.openxmlformats.org/officeDocument/2006/relationships/hyperlink" Target="http://www.cvr.dk/" TargetMode="External"/><Relationship Id="rId924" Type="http://schemas.openxmlformats.org/officeDocument/2006/relationships/hyperlink" Target="http://www.jpn.gov.my/en/perkhidmatan/kanak-kanak-bawah-12-tahun/" TargetMode="External"/><Relationship Id="rId1347" Type="http://schemas.openxmlformats.org/officeDocument/2006/relationships/hyperlink" Target="http://www.datacredito1.com/s_ley_buro.asp" TargetMode="External"/><Relationship Id="rId1554" Type="http://schemas.openxmlformats.org/officeDocument/2006/relationships/hyperlink" Target="http://thenewtoday.gd/local-news/2014/11/27/mpid-to-serve-as-national-id/" TargetMode="External"/><Relationship Id="rId1761" Type="http://schemas.openxmlformats.org/officeDocument/2006/relationships/hyperlink" Target="http://www.monacostatistics.mc/Population-and-employment" TargetMode="External"/><Relationship Id="rId1999" Type="http://schemas.openxmlformats.org/officeDocument/2006/relationships/hyperlink" Target="http://www.idea.int/vt/countryview.cfm?id=225" TargetMode="External"/><Relationship Id="rId53" Type="http://schemas.openxmlformats.org/officeDocument/2006/relationships/hyperlink" Target="http://en.wikipedia.org/wiki/Georgia_(country)" TargetMode="External"/><Relationship Id="rId1207" Type="http://schemas.openxmlformats.org/officeDocument/2006/relationships/hyperlink" Target="http://www.rti-rating.org/files/pdf/Chile.pdf" TargetMode="External"/><Relationship Id="rId1414" Type="http://schemas.openxmlformats.org/officeDocument/2006/relationships/hyperlink" Target="http://www.panadata.net/sociedades" TargetMode="External"/><Relationship Id="rId1621" Type="http://schemas.openxmlformats.org/officeDocument/2006/relationships/hyperlink" Target="http://esa.un.org/unpd/wpp/Download/Standard/Population/" TargetMode="External"/><Relationship Id="rId1859" Type="http://schemas.openxmlformats.org/officeDocument/2006/relationships/hyperlink" Target="http://www.cso.ie/en/media/csoie/census/documents/Prelim,complete.pdf" TargetMode="External"/><Relationship Id="rId1719" Type="http://schemas.openxmlformats.org/officeDocument/2006/relationships/hyperlink" Target="http://esa.un.org/unpd/wpp/Download/Standard/Population/" TargetMode="External"/><Relationship Id="rId1926" Type="http://schemas.openxmlformats.org/officeDocument/2006/relationships/hyperlink" Target="http://www.idea.int/vt/countryview.cfm?id=151" TargetMode="External"/><Relationship Id="rId367" Type="http://schemas.openxmlformats.org/officeDocument/2006/relationships/hyperlink" Target="http://www.moim.gov.lb/" TargetMode="External"/><Relationship Id="rId574" Type="http://schemas.openxmlformats.org/officeDocument/2006/relationships/hyperlink" Target="http://www.guineaecuatorialpress.com/noticia.php?id=126&amp;lang=fr" TargetMode="External"/><Relationship Id="rId227" Type="http://schemas.openxmlformats.org/officeDocument/2006/relationships/hyperlink" Target="http://idbdocs.iadb.org/wsdocs/getdocument.aspx?docnum=1959542" TargetMode="External"/><Relationship Id="rId781" Type="http://schemas.openxmlformats.org/officeDocument/2006/relationships/hyperlink" Target="http://www.mcic.gov.ki/?page_id=34" TargetMode="External"/><Relationship Id="rId879" Type="http://schemas.openxmlformats.org/officeDocument/2006/relationships/hyperlink" Target="http://www.secureidnews.com/news-item/trub-ag-deploys-national-e-id-solution-in-the-republic-of-azerbaijan/" TargetMode="External"/><Relationship Id="rId434" Type="http://schemas.openxmlformats.org/officeDocument/2006/relationships/hyperlink" Target="http://www.mj.gov.tl/" TargetMode="External"/><Relationship Id="rId641" Type="http://schemas.openxmlformats.org/officeDocument/2006/relationships/hyperlink" Target="http://centralasiaonline.com/en_GB/articles/caii/features/main/2014/02/05/feature-01" TargetMode="External"/><Relationship Id="rId739" Type="http://schemas.openxmlformats.org/officeDocument/2006/relationships/hyperlink" Target="http://www.cr.gov.hk/" TargetMode="External"/><Relationship Id="rId1064" Type="http://schemas.openxmlformats.org/officeDocument/2006/relationships/hyperlink" Target="http://www.right2info.org/resources/publications/laws-1/laws_yemen" TargetMode="External"/><Relationship Id="rId1271" Type="http://schemas.openxmlformats.org/officeDocument/2006/relationships/hyperlink" Target="http://www.dataprotection.gov.cy/dataprotection/dataprotection.nsf/697e70c0046f7759c2256e8c004a0a49/f8e24ef90a27f34fc2256eb4002854e7/$FILE/138%28I%29-2001_en.pdf" TargetMode="External"/><Relationship Id="rId1369" Type="http://schemas.openxmlformats.org/officeDocument/2006/relationships/hyperlink" Target="https://www.turkiye.gov.tr/" TargetMode="External"/><Relationship Id="rId1576" Type="http://schemas.openxmlformats.org/officeDocument/2006/relationships/hyperlink" Target="http://esa.un.org/unpd/wpp/Download/Standard/Population/" TargetMode="External"/><Relationship Id="rId501" Type="http://schemas.openxmlformats.org/officeDocument/2006/relationships/hyperlink" Target="http://www.nid.gov.rw/" TargetMode="External"/><Relationship Id="rId946" Type="http://schemas.openxmlformats.org/officeDocument/2006/relationships/hyperlink" Target="http://vrk.fi/default.aspx?id=21" TargetMode="External"/><Relationship Id="rId1131" Type="http://schemas.openxmlformats.org/officeDocument/2006/relationships/hyperlink" Target="http://www.rti-rating.org/files/pdf/Paraguay.pdf" TargetMode="External"/><Relationship Id="rId1229" Type="http://schemas.openxmlformats.org/officeDocument/2006/relationships/hyperlink" Target="http://laws-lois.justice.gc.ca/eng/acts/p-8.6/" TargetMode="External"/><Relationship Id="rId1783" Type="http://schemas.openxmlformats.org/officeDocument/2006/relationships/hyperlink" Target="http://www.unicef.org/gambia/Every_childs_birth_right_-_inequities_and_trends_in_birth_registration_-_2013_report.pdf" TargetMode="External"/><Relationship Id="rId1990" Type="http://schemas.openxmlformats.org/officeDocument/2006/relationships/hyperlink" Target="http://www.idea.int/vt/countryview.cfm?id=233" TargetMode="External"/><Relationship Id="rId75" Type="http://schemas.openxmlformats.org/officeDocument/2006/relationships/hyperlink" Target="http://en.wikipedia.org/wiki/Kenya" TargetMode="External"/><Relationship Id="rId806" Type="http://schemas.openxmlformats.org/officeDocument/2006/relationships/hyperlink" Target="http://www.doingbusiness.org/data/exploreeconomies/liberia/starting-a-business" TargetMode="External"/><Relationship Id="rId1436" Type="http://schemas.openxmlformats.org/officeDocument/2006/relationships/hyperlink" Target="http://dica.gov.mm.x-aas.net/UploadFiles/CLEAN-CONSULTATION-DRAFT-PART-II.pdf" TargetMode="External"/><Relationship Id="rId1643" Type="http://schemas.openxmlformats.org/officeDocument/2006/relationships/hyperlink" Target="http://esa.un.org/unpd/wpp/Download/Standard/Population/" TargetMode="External"/><Relationship Id="rId1850" Type="http://schemas.openxmlformats.org/officeDocument/2006/relationships/hyperlink" Target="http://rk2015.vvk.ee/detailed.html" TargetMode="External"/><Relationship Id="rId1503" Type="http://schemas.openxmlformats.org/officeDocument/2006/relationships/hyperlink" Target="http://www.morpho.com/references/identity/identity-management-a-leading-edge-device-for-the-united-arab-emirates?lang=en" TargetMode="External"/><Relationship Id="rId1710" Type="http://schemas.openxmlformats.org/officeDocument/2006/relationships/hyperlink" Target="http://esa.un.org/unpd/wpp/Download/Standard/Population/" TargetMode="External"/><Relationship Id="rId1948" Type="http://schemas.openxmlformats.org/officeDocument/2006/relationships/hyperlink" Target="https://www.ine.pt/xportal/xmain?xpid=INE&amp;xpgid=ine_indicadores&amp;indOcorrCod=0006030&amp;contexto=bd&amp;selTab=tab2" TargetMode="External"/><Relationship Id="rId291" Type="http://schemas.openxmlformats.org/officeDocument/2006/relationships/hyperlink" Target="http://en.wikipedia.org/wiki/NHI_Number" TargetMode="External"/><Relationship Id="rId1808" Type="http://schemas.openxmlformats.org/officeDocument/2006/relationships/hyperlink" Target="http://www.interieur.gov.dz/PublishingFiles/VAC_Cloture_Fr_17-04-14.pdf" TargetMode="Externa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2.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4.xml.rels><?xml version="1.0" encoding="UTF-8" standalone="yes"?>
<Relationships xmlns="http://schemas.openxmlformats.org/package/2006/relationships"><Relationship Id="rId8" Type="http://schemas.openxmlformats.org/officeDocument/2006/relationships/hyperlink" Target="http://data.worldbank.org/" TargetMode="External"/><Relationship Id="rId13" Type="http://schemas.openxmlformats.org/officeDocument/2006/relationships/hyperlink" Target="http://www.cgdev.org/publication/identification-development-biometrics-revolution-working-paper-315" TargetMode="External"/><Relationship Id="rId18" Type="http://schemas.openxmlformats.org/officeDocument/2006/relationships/hyperlink" Target="http://data.worldbank.org/data-catalog/worldwide-governance-indicators" TargetMode="External"/><Relationship Id="rId26" Type="http://schemas.openxmlformats.org/officeDocument/2006/relationships/vmlDrawing" Target="../drawings/vmlDrawing3.vml"/><Relationship Id="rId3" Type="http://schemas.openxmlformats.org/officeDocument/2006/relationships/hyperlink" Target="http://www.wikipedia.org/" TargetMode="External"/><Relationship Id="rId21" Type="http://schemas.openxmlformats.org/officeDocument/2006/relationships/hyperlink" Target="https://www.freedomhouse.org/" TargetMode="External"/><Relationship Id="rId7" Type="http://schemas.openxmlformats.org/officeDocument/2006/relationships/hyperlink" Target="http://data.worldbank.org/" TargetMode="External"/><Relationship Id="rId12" Type="http://schemas.openxmlformats.org/officeDocument/2006/relationships/hyperlink" Target="http://iadb.libguides.com/registros_organizaciones" TargetMode="External"/><Relationship Id="rId17" Type="http://schemas.openxmlformats.org/officeDocument/2006/relationships/hyperlink" Target="http://data.worldbank.org/" TargetMode="External"/><Relationship Id="rId25" Type="http://schemas.openxmlformats.org/officeDocument/2006/relationships/printerSettings" Target="../printerSettings/printerSettings3.bin"/><Relationship Id="rId2" Type="http://schemas.openxmlformats.org/officeDocument/2006/relationships/hyperlink" Target="http://www.wikipedia.org/" TargetMode="External"/><Relationship Id="rId16" Type="http://schemas.openxmlformats.org/officeDocument/2006/relationships/hyperlink" Target="http://www.wikiprocedure.com/" TargetMode="External"/><Relationship Id="rId20" Type="http://schemas.openxmlformats.org/officeDocument/2006/relationships/hyperlink" Target="https://www.freedomhouse.org/" TargetMode="External"/><Relationship Id="rId1" Type="http://schemas.openxmlformats.org/officeDocument/2006/relationships/hyperlink" Target="http://data.worldbank.org/" TargetMode="External"/><Relationship Id="rId6" Type="http://schemas.openxmlformats.org/officeDocument/2006/relationships/hyperlink" Target="http://data.worldbank.org/" TargetMode="External"/><Relationship Id="rId11" Type="http://schemas.openxmlformats.org/officeDocument/2006/relationships/hyperlink" Target="http://iadb.libguides.com/registros_organizaciones" TargetMode="External"/><Relationship Id="rId24" Type="http://schemas.openxmlformats.org/officeDocument/2006/relationships/hyperlink" Target="http://data.worldbank.org/" TargetMode="External"/><Relationship Id="rId5" Type="http://schemas.openxmlformats.org/officeDocument/2006/relationships/hyperlink" Target="http://www.wikipedia.org/" TargetMode="External"/><Relationship Id="rId15" Type="http://schemas.openxmlformats.org/officeDocument/2006/relationships/hyperlink" Target="http://www.wikiprocedure.com/" TargetMode="External"/><Relationship Id="rId23" Type="http://schemas.openxmlformats.org/officeDocument/2006/relationships/hyperlink" Target="http://data.worldbank.org/" TargetMode="External"/><Relationship Id="rId10" Type="http://schemas.openxmlformats.org/officeDocument/2006/relationships/hyperlink" Target="http://www-wds.worldbank.org/external/default/WDSContentServer/WDSP/IB/2014/05/28/000456286_20140528170841/Rendered/PDF/883510WP0CRVS000Box385194B00PUBLIC0.pdf" TargetMode="External"/><Relationship Id="rId19" Type="http://schemas.openxmlformats.org/officeDocument/2006/relationships/hyperlink" Target="http://data.worldbank.org/data-catalog/worldwide-governance-indicators" TargetMode="External"/><Relationship Id="rId4" Type="http://schemas.openxmlformats.org/officeDocument/2006/relationships/hyperlink" Target="http://www.wikipedia.org/" TargetMode="External"/><Relationship Id="rId9" Type="http://schemas.openxmlformats.org/officeDocument/2006/relationships/hyperlink" Target="http://www-wds.worldbank.org/external/default/WDSContentServer/WDSP/IB/2014/05/28/000456286_20140528170841/Rendered/PDF/883510WP0CRVS000Box385194B00PUBLIC0.pdf" TargetMode="External"/><Relationship Id="rId14" Type="http://schemas.openxmlformats.org/officeDocument/2006/relationships/hyperlink" Target="http://www.wikiprocedure.com/" TargetMode="External"/><Relationship Id="rId22" Type="http://schemas.openxmlformats.org/officeDocument/2006/relationships/hyperlink" Target="http://data.worldbank.org/" TargetMode="External"/><Relationship Id="rId27"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hyperlink" Target="http://www.secureidnews.com/news-item/e-passports-spread-to-half-the-globe/" TargetMode="External"/></Relationships>
</file>

<file path=xl/worksheets/_rels/sheet8.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publicdebtnet.org/public/links/index.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24"/>
  <sheetViews>
    <sheetView showGridLines="0" tabSelected="1" workbookViewId="0">
      <selection activeCell="G12" sqref="G12"/>
    </sheetView>
  </sheetViews>
  <sheetFormatPr defaultRowHeight="15"/>
  <cols>
    <col min="1" max="1" width="3.140625" customWidth="1"/>
    <col min="2" max="2" width="10.7109375" customWidth="1"/>
    <col min="3" max="3" width="12.7109375" customWidth="1"/>
    <col min="4" max="4" width="18.7109375" customWidth="1"/>
    <col min="5" max="5" width="60.7109375" customWidth="1"/>
    <col min="6" max="6" width="9.7109375" customWidth="1"/>
  </cols>
  <sheetData>
    <row r="1" spans="2:15" ht="18.75">
      <c r="B1" s="1260" t="s">
        <v>5545</v>
      </c>
      <c r="C1" s="1260"/>
      <c r="D1" s="1260"/>
      <c r="E1" s="1260"/>
      <c r="F1" s="1260"/>
      <c r="M1" s="853"/>
      <c r="N1" s="853"/>
      <c r="O1" s="853"/>
    </row>
    <row r="2" spans="2:15" ht="18.75">
      <c r="B2" s="1261" t="s">
        <v>5546</v>
      </c>
      <c r="C2" s="1261"/>
      <c r="D2" s="1261"/>
      <c r="E2" s="1261"/>
      <c r="F2" s="1261"/>
      <c r="M2" s="853"/>
      <c r="N2" s="853"/>
      <c r="O2" s="853"/>
    </row>
    <row r="3" spans="2:15">
      <c r="N3" s="502"/>
    </row>
    <row r="4" spans="2:15">
      <c r="F4" s="854" t="s">
        <v>6136</v>
      </c>
    </row>
    <row r="5" spans="2:15" ht="15.75">
      <c r="B5" s="855" t="s">
        <v>5533</v>
      </c>
      <c r="C5" s="733"/>
      <c r="D5" s="856"/>
      <c r="E5" s="856"/>
      <c r="F5" s="857"/>
    </row>
    <row r="6" spans="2:15">
      <c r="B6" s="858" t="s">
        <v>3421</v>
      </c>
      <c r="D6" s="859" t="s">
        <v>5551</v>
      </c>
      <c r="E6" s="859"/>
      <c r="F6" s="860"/>
    </row>
    <row r="7" spans="2:15">
      <c r="B7" s="861" t="s">
        <v>5547</v>
      </c>
      <c r="D7" s="862" t="s">
        <v>5552</v>
      </c>
      <c r="E7" s="862"/>
      <c r="F7" s="635"/>
    </row>
    <row r="8" spans="2:15">
      <c r="B8" s="861" t="s">
        <v>5534</v>
      </c>
      <c r="D8" s="862" t="s">
        <v>5548</v>
      </c>
      <c r="E8" s="862"/>
      <c r="F8" s="635"/>
    </row>
    <row r="9" spans="2:15">
      <c r="B9" s="863" t="s">
        <v>7</v>
      </c>
      <c r="C9" s="57"/>
      <c r="D9" s="862" t="s">
        <v>5553</v>
      </c>
      <c r="E9" s="862"/>
      <c r="F9" s="635"/>
    </row>
    <row r="10" spans="2:15">
      <c r="B10" s="864"/>
      <c r="C10" s="865"/>
      <c r="D10" s="866"/>
      <c r="E10" s="866"/>
      <c r="F10" s="867"/>
    </row>
    <row r="11" spans="2:15">
      <c r="B11" s="868"/>
    </row>
    <row r="13" spans="2:15" ht="15.75">
      <c r="B13" s="869" t="s">
        <v>5535</v>
      </c>
    </row>
    <row r="14" spans="2:15">
      <c r="B14" s="870" t="s">
        <v>5536</v>
      </c>
      <c r="C14" s="871" t="s">
        <v>4143</v>
      </c>
      <c r="D14" s="872" t="s">
        <v>5537</v>
      </c>
      <c r="E14" s="872" t="s">
        <v>727</v>
      </c>
      <c r="F14" s="873" t="s">
        <v>5538</v>
      </c>
    </row>
    <row r="15" spans="2:15" ht="45">
      <c r="B15" s="874">
        <v>0</v>
      </c>
      <c r="C15" s="875">
        <v>42019</v>
      </c>
      <c r="D15" s="876" t="s">
        <v>5539</v>
      </c>
      <c r="E15" s="877" t="s">
        <v>5549</v>
      </c>
      <c r="F15" s="878" t="s">
        <v>5540</v>
      </c>
    </row>
    <row r="16" spans="2:15">
      <c r="B16" s="879">
        <v>1</v>
      </c>
      <c r="C16" s="880">
        <v>42230</v>
      </c>
      <c r="D16" s="881" t="s">
        <v>5541</v>
      </c>
      <c r="E16" s="881" t="s">
        <v>5550</v>
      </c>
      <c r="F16" s="882" t="s">
        <v>5542</v>
      </c>
    </row>
    <row r="17" spans="2:6" ht="45">
      <c r="B17" s="1229">
        <v>2</v>
      </c>
      <c r="C17" s="1230">
        <v>42400</v>
      </c>
      <c r="D17" s="1231" t="s">
        <v>6232</v>
      </c>
      <c r="E17" s="1231" t="s">
        <v>6135</v>
      </c>
      <c r="F17" s="1232" t="s">
        <v>5542</v>
      </c>
    </row>
    <row r="18" spans="2:6">
      <c r="B18" s="879"/>
      <c r="C18" s="880"/>
      <c r="D18" s="881"/>
      <c r="E18" s="881"/>
      <c r="F18" s="882"/>
    </row>
    <row r="19" spans="2:6">
      <c r="B19" s="879"/>
      <c r="C19" s="880"/>
      <c r="D19" s="881"/>
      <c r="E19" s="881"/>
      <c r="F19" s="882"/>
    </row>
    <row r="20" spans="2:6">
      <c r="B20" s="879"/>
      <c r="C20" s="880"/>
      <c r="D20" s="881"/>
      <c r="E20" s="881"/>
      <c r="F20" s="882"/>
    </row>
    <row r="23" spans="2:6">
      <c r="B23" s="47" t="s">
        <v>5543</v>
      </c>
      <c r="C23" s="710" t="s">
        <v>5544</v>
      </c>
      <c r="D23" s="27" t="s">
        <v>5554</v>
      </c>
    </row>
    <row r="24" spans="2:6">
      <c r="D24" s="710"/>
    </row>
  </sheetData>
  <mergeCells count="2">
    <mergeCell ref="B1:F1"/>
    <mergeCell ref="B2:F2"/>
  </mergeCells>
  <hyperlinks>
    <hyperlink ref="D23" r:id="rId1"/>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M101"/>
  <sheetViews>
    <sheetView workbookViewId="0">
      <pane xSplit="1" ySplit="1" topLeftCell="B2" activePane="bottomRight" state="frozen"/>
      <selection pane="topRight" activeCell="C1" sqref="C1"/>
      <selection pane="bottomLeft" activeCell="A2" sqref="A2"/>
      <selection pane="bottomRight" activeCell="P18" sqref="P18"/>
    </sheetView>
  </sheetViews>
  <sheetFormatPr defaultRowHeight="15"/>
  <cols>
    <col min="1" max="1" width="21.85546875" customWidth="1"/>
    <col min="3" max="3" width="14" customWidth="1"/>
    <col min="5" max="5" width="15.42578125" customWidth="1"/>
    <col min="6" max="6" width="16.85546875" customWidth="1"/>
    <col min="7" max="7" width="12.28515625" customWidth="1"/>
    <col min="8" max="8" width="14.42578125" customWidth="1"/>
    <col min="9" max="9" width="13.42578125" customWidth="1"/>
    <col min="10" max="10" width="14.28515625" customWidth="1"/>
  </cols>
  <sheetData>
    <row r="1" spans="1:13">
      <c r="A1" s="566" t="s">
        <v>4142</v>
      </c>
      <c r="B1" s="566" t="s">
        <v>4143</v>
      </c>
      <c r="C1" s="566" t="s">
        <v>4144</v>
      </c>
      <c r="D1" s="566" t="s">
        <v>4145</v>
      </c>
      <c r="E1" s="566" t="s">
        <v>4146</v>
      </c>
      <c r="F1" s="566" t="s">
        <v>4147</v>
      </c>
      <c r="G1" s="566" t="s">
        <v>4148</v>
      </c>
      <c r="H1" s="566" t="s">
        <v>4149</v>
      </c>
      <c r="I1" s="566" t="s">
        <v>4150</v>
      </c>
      <c r="J1" s="566" t="s">
        <v>4151</v>
      </c>
      <c r="K1" s="566" t="s">
        <v>4152</v>
      </c>
      <c r="M1" s="70" t="s">
        <v>4153</v>
      </c>
    </row>
    <row r="2" spans="1:13">
      <c r="A2" s="567" t="s">
        <v>263</v>
      </c>
      <c r="B2" s="568">
        <v>2002</v>
      </c>
      <c r="C2" s="568">
        <v>4</v>
      </c>
      <c r="D2" s="568">
        <v>8</v>
      </c>
      <c r="E2" s="568">
        <v>17</v>
      </c>
      <c r="F2" s="568">
        <v>16</v>
      </c>
      <c r="G2" s="568">
        <v>2</v>
      </c>
      <c r="H2" s="568">
        <v>0</v>
      </c>
      <c r="I2" s="568">
        <v>2</v>
      </c>
      <c r="J2" s="568">
        <v>49</v>
      </c>
      <c r="K2" s="568">
        <v>98</v>
      </c>
      <c r="L2" t="str">
        <f>IFERROR(VLOOKUP($A2,ID4D!$C$3:$F$200,1,FALSE),"-")</f>
        <v>Tajikistan</v>
      </c>
    </row>
    <row r="3" spans="1:13">
      <c r="A3" s="569" t="s">
        <v>162</v>
      </c>
      <c r="B3" s="570">
        <v>1999</v>
      </c>
      <c r="C3" s="570">
        <v>0</v>
      </c>
      <c r="D3" s="570">
        <v>17</v>
      </c>
      <c r="E3" s="570">
        <v>10</v>
      </c>
      <c r="F3" s="570">
        <v>5</v>
      </c>
      <c r="G3" s="570">
        <v>1</v>
      </c>
      <c r="H3" s="570">
        <v>2</v>
      </c>
      <c r="I3" s="570">
        <v>4</v>
      </c>
      <c r="J3" s="570">
        <v>39</v>
      </c>
      <c r="K3" s="570">
        <v>99</v>
      </c>
      <c r="L3" t="str">
        <f>IFERROR(VLOOKUP($A3,ID4D!$C$3:$F$200,1,FALSE),"-")</f>
        <v>Liechtenstein</v>
      </c>
    </row>
    <row r="4" spans="1:13">
      <c r="A4" s="567" t="s">
        <v>26</v>
      </c>
      <c r="B4" s="568">
        <v>1987</v>
      </c>
      <c r="C4" s="568">
        <v>2</v>
      </c>
      <c r="D4" s="568">
        <v>23</v>
      </c>
      <c r="E4" s="568">
        <v>8</v>
      </c>
      <c r="F4" s="568">
        <v>2</v>
      </c>
      <c r="G4" s="568">
        <v>2</v>
      </c>
      <c r="H4" s="568">
        <v>0</v>
      </c>
      <c r="I4" s="568">
        <v>0</v>
      </c>
      <c r="J4" s="568">
        <v>37</v>
      </c>
      <c r="K4" s="568">
        <v>100</v>
      </c>
      <c r="L4" t="str">
        <f>IFERROR(VLOOKUP($A4,ID4D!$C$3:$F$200,1,FALSE),"-")</f>
        <v>Austria</v>
      </c>
    </row>
    <row r="5" spans="1:13">
      <c r="A5" s="569" t="s">
        <v>284</v>
      </c>
      <c r="B5" s="570">
        <v>2000</v>
      </c>
      <c r="C5" s="570">
        <v>2</v>
      </c>
      <c r="D5" s="570">
        <v>25</v>
      </c>
      <c r="E5" s="570">
        <v>20</v>
      </c>
      <c r="F5" s="570">
        <v>12</v>
      </c>
      <c r="G5" s="570">
        <v>23</v>
      </c>
      <c r="H5" s="570">
        <v>7</v>
      </c>
      <c r="I5" s="570">
        <v>10</v>
      </c>
      <c r="J5" s="570">
        <v>99</v>
      </c>
      <c r="K5" s="570">
        <v>29</v>
      </c>
      <c r="L5" t="str">
        <f>IFERROR(VLOOKUP($A5,ID4D!$C$3:$F$200,1,FALSE),"-")</f>
        <v>United Kingdom</v>
      </c>
    </row>
    <row r="6" spans="1:13">
      <c r="A6" s="573" t="s">
        <v>226</v>
      </c>
      <c r="B6" s="568">
        <v>2009</v>
      </c>
      <c r="C6" s="568">
        <v>1</v>
      </c>
      <c r="D6" s="568">
        <v>30</v>
      </c>
      <c r="E6" s="568">
        <v>20</v>
      </c>
      <c r="F6" s="568">
        <v>12</v>
      </c>
      <c r="G6" s="568">
        <v>26</v>
      </c>
      <c r="H6" s="568">
        <v>1</v>
      </c>
      <c r="I6" s="568">
        <v>8</v>
      </c>
      <c r="J6" s="568">
        <v>98</v>
      </c>
      <c r="K6" s="568">
        <v>30</v>
      </c>
      <c r="L6" t="str">
        <f>IFERROR(VLOOKUP($A6,ID4D!$C$3:$F$200,1,FALSE),"-")</f>
        <v>Russian Federation</v>
      </c>
    </row>
    <row r="7" spans="1:13">
      <c r="A7" s="569" t="s">
        <v>101</v>
      </c>
      <c r="B7" s="570">
        <v>1999</v>
      </c>
      <c r="C7" s="570">
        <v>4</v>
      </c>
      <c r="D7" s="570">
        <v>30</v>
      </c>
      <c r="E7" s="570">
        <v>15</v>
      </c>
      <c r="F7" s="570">
        <v>18</v>
      </c>
      <c r="G7" s="570">
        <v>20</v>
      </c>
      <c r="H7" s="570">
        <v>1</v>
      </c>
      <c r="I7" s="570">
        <v>9</v>
      </c>
      <c r="J7" s="570">
        <v>97</v>
      </c>
      <c r="K7" s="570">
        <v>31</v>
      </c>
      <c r="L7" t="str">
        <f>IFERROR(VLOOKUP($A7,ID4D!$C$3:$F$200,1,FALSE),"-")</f>
        <v>Georgia</v>
      </c>
    </row>
    <row r="8" spans="1:13">
      <c r="A8" s="567" t="s">
        <v>280</v>
      </c>
      <c r="B8" s="568">
        <v>2005</v>
      </c>
      <c r="C8" s="568">
        <v>6</v>
      </c>
      <c r="D8" s="568">
        <v>26</v>
      </c>
      <c r="E8" s="568">
        <v>21</v>
      </c>
      <c r="F8" s="568">
        <v>22</v>
      </c>
      <c r="G8" s="568">
        <v>11</v>
      </c>
      <c r="H8" s="568">
        <v>6</v>
      </c>
      <c r="I8" s="568">
        <v>5</v>
      </c>
      <c r="J8" s="568">
        <v>97</v>
      </c>
      <c r="K8" s="568">
        <v>32</v>
      </c>
      <c r="L8" t="str">
        <f>IFERROR(VLOOKUP($A8,ID4D!$C$3:$F$200,1,FALSE),"-")</f>
        <v>Uganda</v>
      </c>
    </row>
    <row r="9" spans="1:13">
      <c r="A9" s="569" t="s">
        <v>23</v>
      </c>
      <c r="B9" s="570">
        <v>2003</v>
      </c>
      <c r="C9" s="570">
        <v>3</v>
      </c>
      <c r="D9" s="570">
        <v>24</v>
      </c>
      <c r="E9" s="570">
        <v>18</v>
      </c>
      <c r="F9" s="570">
        <v>20</v>
      </c>
      <c r="G9" s="570">
        <v>19</v>
      </c>
      <c r="H9" s="570">
        <v>2</v>
      </c>
      <c r="I9" s="570">
        <v>10</v>
      </c>
      <c r="J9" s="570">
        <v>96</v>
      </c>
      <c r="K9" s="570">
        <v>33</v>
      </c>
      <c r="L9" t="str">
        <f>IFERROR(VLOOKUP($A9,ID4D!$C$3:$F$200,1,FALSE),"-")</f>
        <v>Armenia</v>
      </c>
    </row>
    <row r="10" spans="1:13">
      <c r="A10" s="567" t="s">
        <v>109</v>
      </c>
      <c r="B10" s="568">
        <v>2008</v>
      </c>
      <c r="C10" s="568">
        <v>6</v>
      </c>
      <c r="D10" s="568">
        <v>29</v>
      </c>
      <c r="E10" s="568">
        <v>16</v>
      </c>
      <c r="F10" s="568">
        <v>21</v>
      </c>
      <c r="G10" s="568">
        <v>5</v>
      </c>
      <c r="H10" s="568">
        <v>3</v>
      </c>
      <c r="I10" s="568">
        <v>14</v>
      </c>
      <c r="J10" s="568">
        <v>94</v>
      </c>
      <c r="K10" s="568">
        <v>35</v>
      </c>
      <c r="L10" t="str">
        <f>IFERROR(VLOOKUP($A10,ID4D!$C$3:$F$200,1,FALSE),"-")</f>
        <v>Guatemala</v>
      </c>
    </row>
    <row r="11" spans="1:13">
      <c r="A11" s="569" t="s">
        <v>199</v>
      </c>
      <c r="B11" s="570">
        <v>1982</v>
      </c>
      <c r="C11" s="570">
        <v>4</v>
      </c>
      <c r="D11" s="570">
        <v>16</v>
      </c>
      <c r="E11" s="570">
        <v>22</v>
      </c>
      <c r="F11" s="570">
        <v>18</v>
      </c>
      <c r="G11" s="570">
        <v>23</v>
      </c>
      <c r="H11" s="570">
        <v>6</v>
      </c>
      <c r="I11" s="570">
        <v>5</v>
      </c>
      <c r="J11" s="570">
        <v>94</v>
      </c>
      <c r="K11" s="570">
        <v>34</v>
      </c>
      <c r="L11" t="str">
        <f>IFERROR(VLOOKUP($A11,ID4D!$C$3:$F$200,1,FALSE),"-")</f>
        <v>New Zealand</v>
      </c>
    </row>
    <row r="12" spans="1:13">
      <c r="A12" s="567" t="s">
        <v>93</v>
      </c>
      <c r="B12" s="568">
        <v>2000</v>
      </c>
      <c r="C12" s="568">
        <v>5</v>
      </c>
      <c r="D12" s="568">
        <v>20</v>
      </c>
      <c r="E12" s="568">
        <v>24</v>
      </c>
      <c r="F12" s="568">
        <v>22</v>
      </c>
      <c r="G12" s="568">
        <v>16</v>
      </c>
      <c r="H12" s="568">
        <v>1</v>
      </c>
      <c r="I12" s="568">
        <v>6</v>
      </c>
      <c r="J12" s="568">
        <v>94</v>
      </c>
      <c r="K12" s="568">
        <v>36</v>
      </c>
      <c r="L12" t="str">
        <f>IFERROR(VLOOKUP($A12,ID4D!$C$3:$F$200,1,FALSE),"-")</f>
        <v>Estonia</v>
      </c>
    </row>
    <row r="13" spans="1:13">
      <c r="A13" s="569" t="s">
        <v>58</v>
      </c>
      <c r="B13" s="570">
        <v>2008</v>
      </c>
      <c r="C13" s="570">
        <v>5</v>
      </c>
      <c r="D13" s="570">
        <v>16</v>
      </c>
      <c r="E13" s="570">
        <v>21</v>
      </c>
      <c r="F13" s="570">
        <v>14</v>
      </c>
      <c r="G13" s="570">
        <v>23</v>
      </c>
      <c r="H13" s="570">
        <v>4</v>
      </c>
      <c r="I13" s="570">
        <v>10</v>
      </c>
      <c r="J13" s="570">
        <v>93</v>
      </c>
      <c r="K13" s="570">
        <v>37</v>
      </c>
      <c r="L13" t="str">
        <f>IFERROR(VLOOKUP($A13,ID4D!$C$3:$F$200,1,FALSE),"-")</f>
        <v>Chile</v>
      </c>
    </row>
    <row r="14" spans="1:13">
      <c r="A14" s="567" t="s">
        <v>216</v>
      </c>
      <c r="B14" s="568">
        <v>2003</v>
      </c>
      <c r="C14" s="568">
        <v>4</v>
      </c>
      <c r="D14" s="568">
        <v>29</v>
      </c>
      <c r="E14" s="568">
        <v>17</v>
      </c>
      <c r="F14" s="568">
        <v>17</v>
      </c>
      <c r="G14" s="568">
        <v>14</v>
      </c>
      <c r="H14" s="568">
        <v>4</v>
      </c>
      <c r="I14" s="568">
        <v>8</v>
      </c>
      <c r="J14" s="568">
        <v>93</v>
      </c>
      <c r="K14" s="568">
        <v>38</v>
      </c>
      <c r="L14" t="str">
        <f>IFERROR(VLOOKUP($A14,ID4D!$C$3:$F$200,1,FALSE),"-")</f>
        <v>Peru</v>
      </c>
    </row>
    <row r="15" spans="1:13">
      <c r="A15" s="569" t="s">
        <v>129</v>
      </c>
      <c r="B15" s="570">
        <v>1997</v>
      </c>
      <c r="C15" s="570">
        <v>2</v>
      </c>
      <c r="D15" s="570">
        <v>24</v>
      </c>
      <c r="E15" s="570">
        <v>19</v>
      </c>
      <c r="F15" s="570">
        <v>7</v>
      </c>
      <c r="G15" s="570">
        <v>23</v>
      </c>
      <c r="H15" s="570">
        <v>3</v>
      </c>
      <c r="I15" s="570">
        <v>14</v>
      </c>
      <c r="J15" s="570">
        <v>92</v>
      </c>
      <c r="K15" s="570">
        <v>39</v>
      </c>
      <c r="L15" t="str">
        <f>IFERROR(VLOOKUP($A15,ID4D!$C$3:$F$200,1,FALSE),"-")</f>
        <v>Ireland</v>
      </c>
    </row>
    <row r="16" spans="1:13">
      <c r="A16" s="567" t="s">
        <v>259</v>
      </c>
      <c r="B16" s="568">
        <v>1766</v>
      </c>
      <c r="C16" s="568">
        <v>5</v>
      </c>
      <c r="D16" s="568">
        <v>27</v>
      </c>
      <c r="E16" s="568">
        <v>18</v>
      </c>
      <c r="F16" s="568">
        <v>17</v>
      </c>
      <c r="G16" s="568">
        <v>14</v>
      </c>
      <c r="H16" s="568">
        <v>3</v>
      </c>
      <c r="I16" s="568">
        <v>8</v>
      </c>
      <c r="J16" s="568">
        <v>92</v>
      </c>
      <c r="K16" s="568">
        <v>40</v>
      </c>
      <c r="L16" t="str">
        <f>IFERROR(VLOOKUP($A16,ID4D!$C$3:$F$200,1,FALSE),"-")</f>
        <v>Sweden</v>
      </c>
    </row>
    <row r="17" spans="1:12">
      <c r="A17" s="569" t="s">
        <v>47</v>
      </c>
      <c r="B17" s="570">
        <v>2000</v>
      </c>
      <c r="C17" s="570">
        <v>5</v>
      </c>
      <c r="D17" s="570">
        <v>30</v>
      </c>
      <c r="E17" s="570">
        <v>21</v>
      </c>
      <c r="F17" s="570">
        <v>20</v>
      </c>
      <c r="G17" s="570">
        <v>3</v>
      </c>
      <c r="H17" s="570">
        <v>4</v>
      </c>
      <c r="I17" s="570">
        <v>8</v>
      </c>
      <c r="J17" s="570">
        <v>91</v>
      </c>
      <c r="K17" s="570">
        <v>41</v>
      </c>
      <c r="L17" t="str">
        <f>IFERROR(VLOOKUP($A17,ID4D!$C$3:$F$200,1,FALSE),"-")</f>
        <v>Bulgaria</v>
      </c>
    </row>
    <row r="18" spans="1:12">
      <c r="A18" s="567" t="s">
        <v>286</v>
      </c>
      <c r="B18" s="568">
        <v>2008</v>
      </c>
      <c r="C18" s="568">
        <v>3</v>
      </c>
      <c r="D18" s="568">
        <v>28</v>
      </c>
      <c r="E18" s="568">
        <v>15</v>
      </c>
      <c r="F18" s="568">
        <v>20</v>
      </c>
      <c r="G18" s="568">
        <v>11</v>
      </c>
      <c r="H18" s="568">
        <v>2</v>
      </c>
      <c r="I18" s="568">
        <v>12</v>
      </c>
      <c r="J18" s="568">
        <v>91</v>
      </c>
      <c r="K18" s="568">
        <v>42</v>
      </c>
      <c r="L18" t="str">
        <f>IFERROR(VLOOKUP($A18,ID4D!$C$3:$F$200,1,FALSE),"-")</f>
        <v>Uruguay</v>
      </c>
    </row>
    <row r="19" spans="1:12">
      <c r="A19" s="569" t="s">
        <v>274</v>
      </c>
      <c r="B19" s="570">
        <v>2011</v>
      </c>
      <c r="C19" s="570">
        <v>4</v>
      </c>
      <c r="D19" s="570">
        <v>21</v>
      </c>
      <c r="E19" s="570">
        <v>21</v>
      </c>
      <c r="F19" s="570">
        <v>21</v>
      </c>
      <c r="G19" s="570">
        <v>10</v>
      </c>
      <c r="H19" s="570">
        <v>1</v>
      </c>
      <c r="I19" s="570">
        <v>12</v>
      </c>
      <c r="J19" s="570">
        <v>90</v>
      </c>
      <c r="K19" s="570">
        <v>43</v>
      </c>
      <c r="L19" t="str">
        <f>IFERROR(VLOOKUP($A19,ID4D!$C$3:$F$200,1,FALSE),"-")</f>
        <v>Tunisia</v>
      </c>
    </row>
    <row r="20" spans="1:12">
      <c r="A20" s="567" t="s">
        <v>188</v>
      </c>
      <c r="B20" s="568">
        <v>2005</v>
      </c>
      <c r="C20" s="568">
        <v>5</v>
      </c>
      <c r="D20" s="568">
        <v>30</v>
      </c>
      <c r="E20" s="568">
        <v>22</v>
      </c>
      <c r="F20" s="568">
        <v>21</v>
      </c>
      <c r="G20" s="568">
        <v>4</v>
      </c>
      <c r="H20" s="568">
        <v>2</v>
      </c>
      <c r="I20" s="568">
        <v>5</v>
      </c>
      <c r="J20" s="568">
        <v>89</v>
      </c>
      <c r="K20" s="568">
        <v>46</v>
      </c>
      <c r="L20" t="str">
        <f>IFERROR(VLOOKUP($A20,ID4D!$C$3:$F$200,1,FALSE),"-")</f>
        <v>Montenegro</v>
      </c>
    </row>
    <row r="21" spans="1:12">
      <c r="A21" s="569" t="s">
        <v>285</v>
      </c>
      <c r="B21" s="570">
        <v>1966</v>
      </c>
      <c r="C21" s="570">
        <v>4</v>
      </c>
      <c r="D21" s="570">
        <v>18</v>
      </c>
      <c r="E21" s="570">
        <v>19</v>
      </c>
      <c r="F21" s="570">
        <v>16</v>
      </c>
      <c r="G21" s="570">
        <v>14</v>
      </c>
      <c r="H21" s="570">
        <v>4</v>
      </c>
      <c r="I21" s="570">
        <v>14</v>
      </c>
      <c r="J21" s="570">
        <v>89</v>
      </c>
      <c r="K21" s="570">
        <v>44</v>
      </c>
      <c r="L21" t="str">
        <f>IFERROR(VLOOKUP($A21,ID4D!$C$3:$F$200,1,FALSE),"-")</f>
        <v>United States of America</v>
      </c>
    </row>
    <row r="22" spans="1:12">
      <c r="A22" s="567" t="s">
        <v>272</v>
      </c>
      <c r="B22" s="568">
        <v>1999</v>
      </c>
      <c r="C22" s="568">
        <v>3</v>
      </c>
      <c r="D22" s="568">
        <v>24</v>
      </c>
      <c r="E22" s="568">
        <v>15</v>
      </c>
      <c r="F22" s="568">
        <v>20</v>
      </c>
      <c r="G22" s="568">
        <v>15</v>
      </c>
      <c r="H22" s="568">
        <v>3</v>
      </c>
      <c r="I22" s="568">
        <v>9</v>
      </c>
      <c r="J22" s="568">
        <v>89</v>
      </c>
      <c r="K22" s="568">
        <v>45</v>
      </c>
      <c r="L22" t="str">
        <f>IFERROR(VLOOKUP($A22,ID4D!$C$3:$F$200,1,FALSE),"-")</f>
        <v>Trinidad and Tobago</v>
      </c>
    </row>
    <row r="23" spans="1:12">
      <c r="A23" s="569" t="s">
        <v>133</v>
      </c>
      <c r="B23" s="570">
        <v>2002</v>
      </c>
      <c r="C23" s="570">
        <v>3</v>
      </c>
      <c r="D23" s="570">
        <v>18</v>
      </c>
      <c r="E23" s="570">
        <v>23</v>
      </c>
      <c r="F23" s="570">
        <v>14</v>
      </c>
      <c r="G23" s="570">
        <v>17</v>
      </c>
      <c r="H23" s="570">
        <v>5</v>
      </c>
      <c r="I23" s="570">
        <v>8</v>
      </c>
      <c r="J23" s="570">
        <v>88</v>
      </c>
      <c r="K23" s="570">
        <v>47</v>
      </c>
      <c r="L23" t="str">
        <f>IFERROR(VLOOKUP($A23,ID4D!$C$3:$F$200,1,FALSE),"-")</f>
        <v>Jamaica</v>
      </c>
    </row>
    <row r="24" spans="1:12">
      <c r="A24" s="567" t="s">
        <v>204</v>
      </c>
      <c r="B24" s="568">
        <v>2011</v>
      </c>
      <c r="C24" s="568">
        <v>3</v>
      </c>
      <c r="D24" s="568">
        <v>29</v>
      </c>
      <c r="E24" s="568">
        <v>12</v>
      </c>
      <c r="F24" s="568">
        <v>22</v>
      </c>
      <c r="G24" s="568">
        <v>4</v>
      </c>
      <c r="H24" s="568">
        <v>7</v>
      </c>
      <c r="I24" s="568">
        <v>11</v>
      </c>
      <c r="J24" s="568">
        <v>88</v>
      </c>
      <c r="K24" s="568">
        <v>48</v>
      </c>
      <c r="L24" t="str">
        <f>IFERROR(VLOOKUP($A24,ID4D!$C$3:$F$200,1,FALSE),"-")</f>
        <v>Nigeria</v>
      </c>
    </row>
    <row r="25" spans="1:12">
      <c r="A25" s="569" t="s">
        <v>119</v>
      </c>
      <c r="B25" s="570">
        <v>1992</v>
      </c>
      <c r="C25" s="570">
        <v>2</v>
      </c>
      <c r="D25" s="570">
        <v>29</v>
      </c>
      <c r="E25" s="570">
        <v>15</v>
      </c>
      <c r="F25" s="570">
        <v>12</v>
      </c>
      <c r="G25" s="570">
        <v>20</v>
      </c>
      <c r="H25" s="570">
        <v>0</v>
      </c>
      <c r="I25" s="570">
        <v>9</v>
      </c>
      <c r="J25" s="570">
        <v>87</v>
      </c>
      <c r="K25" s="570">
        <v>49</v>
      </c>
      <c r="L25" t="str">
        <f>IFERROR(VLOOKUP($A25,ID4D!$C$3:$F$200,1,FALSE),"-")</f>
        <v>Hungary</v>
      </c>
    </row>
    <row r="26" spans="1:12">
      <c r="A26" s="567" t="s">
        <v>36</v>
      </c>
      <c r="B26" s="568">
        <v>1994</v>
      </c>
      <c r="C26" s="568">
        <v>1</v>
      </c>
      <c r="D26" s="568">
        <v>19</v>
      </c>
      <c r="E26" s="568">
        <v>20</v>
      </c>
      <c r="F26" s="568">
        <v>16</v>
      </c>
      <c r="G26" s="568">
        <v>19</v>
      </c>
      <c r="H26" s="568">
        <v>2</v>
      </c>
      <c r="I26" s="568">
        <v>6</v>
      </c>
      <c r="J26" s="568">
        <v>83</v>
      </c>
      <c r="K26" s="568">
        <v>51</v>
      </c>
      <c r="L26" t="str">
        <f>IFERROR(VLOOKUP($A26,ID4D!$C$3:$F$200,1,FALSE),"-")</f>
        <v>Belize</v>
      </c>
    </row>
    <row r="27" spans="1:12">
      <c r="A27" s="569" t="s">
        <v>24</v>
      </c>
      <c r="B27" s="570">
        <v>1982</v>
      </c>
      <c r="C27" s="570">
        <v>2</v>
      </c>
      <c r="D27" s="570">
        <v>10</v>
      </c>
      <c r="E27" s="570">
        <v>21</v>
      </c>
      <c r="F27" s="570">
        <v>15</v>
      </c>
      <c r="G27" s="570">
        <v>23</v>
      </c>
      <c r="H27" s="570">
        <v>2</v>
      </c>
      <c r="I27" s="570">
        <v>10</v>
      </c>
      <c r="J27" s="570">
        <v>83</v>
      </c>
      <c r="K27" s="570">
        <v>50</v>
      </c>
      <c r="L27" t="str">
        <f>IFERROR(VLOOKUP($A27,ID4D!$C$3:$F$200,1,FALSE),"-")</f>
        <v>Australia</v>
      </c>
    </row>
    <row r="28" spans="1:12">
      <c r="A28" s="567" t="s">
        <v>198</v>
      </c>
      <c r="B28" s="568">
        <v>1978</v>
      </c>
      <c r="C28" s="568">
        <v>4</v>
      </c>
      <c r="D28" s="568">
        <v>21</v>
      </c>
      <c r="E28" s="568">
        <v>22</v>
      </c>
      <c r="F28" s="568">
        <v>16</v>
      </c>
      <c r="G28" s="568">
        <v>14</v>
      </c>
      <c r="H28" s="568">
        <v>4</v>
      </c>
      <c r="I28" s="568">
        <v>2</v>
      </c>
      <c r="J28" s="568">
        <v>83</v>
      </c>
      <c r="K28" s="568">
        <v>54</v>
      </c>
      <c r="L28" t="str">
        <f>IFERROR(VLOOKUP($A28,ID4D!$C$3:$F$200,1,FALSE),"-")</f>
        <v>Netherlands</v>
      </c>
    </row>
    <row r="29" spans="1:12">
      <c r="A29" s="569" t="s">
        <v>224</v>
      </c>
      <c r="B29" s="570">
        <v>2001</v>
      </c>
      <c r="C29" s="570">
        <v>5</v>
      </c>
      <c r="D29" s="570">
        <v>29</v>
      </c>
      <c r="E29" s="570">
        <v>17</v>
      </c>
      <c r="F29" s="570">
        <v>13</v>
      </c>
      <c r="G29" s="570">
        <v>4</v>
      </c>
      <c r="H29" s="570">
        <v>6</v>
      </c>
      <c r="I29" s="570">
        <v>9</v>
      </c>
      <c r="J29" s="570">
        <v>83</v>
      </c>
      <c r="K29" s="570">
        <v>53</v>
      </c>
      <c r="L29" t="str">
        <f>IFERROR(VLOOKUP($A29,ID4D!$C$3:$F$200,1,FALSE),"-")</f>
        <v>Romania</v>
      </c>
    </row>
    <row r="30" spans="1:12">
      <c r="A30" s="567" t="s">
        <v>116</v>
      </c>
      <c r="B30" s="568">
        <v>2006</v>
      </c>
      <c r="C30" s="568">
        <v>2</v>
      </c>
      <c r="D30" s="568">
        <v>23</v>
      </c>
      <c r="E30" s="568">
        <v>13</v>
      </c>
      <c r="F30" s="568">
        <v>12</v>
      </c>
      <c r="G30" s="568">
        <v>18</v>
      </c>
      <c r="H30" s="568">
        <v>2</v>
      </c>
      <c r="I30" s="568">
        <v>13</v>
      </c>
      <c r="J30" s="568">
        <v>83</v>
      </c>
      <c r="K30" s="568">
        <v>52</v>
      </c>
      <c r="L30" t="str">
        <f>IFERROR(VLOOKUP($A30,ID4D!$C$3:$F$200,1,FALSE),"-")</f>
        <v>Honduras</v>
      </c>
    </row>
    <row r="31" spans="1:12">
      <c r="A31" s="569" t="s">
        <v>146</v>
      </c>
      <c r="B31" s="570">
        <v>1996</v>
      </c>
      <c r="C31" s="570">
        <v>4</v>
      </c>
      <c r="D31" s="570">
        <v>23</v>
      </c>
      <c r="E31" s="570">
        <v>9</v>
      </c>
      <c r="F31" s="570">
        <v>20</v>
      </c>
      <c r="G31" s="570">
        <v>17</v>
      </c>
      <c r="H31" s="570">
        <v>1</v>
      </c>
      <c r="I31" s="570">
        <v>8</v>
      </c>
      <c r="J31" s="570">
        <v>82</v>
      </c>
      <c r="K31" s="570">
        <v>55</v>
      </c>
      <c r="L31" t="str">
        <f>IFERROR(VLOOKUP($A31,ID4D!$C$3:$F$200,1,FALSE),"-")</f>
        <v>Korea, Rep.</v>
      </c>
    </row>
    <row r="32" spans="1:12">
      <c r="A32" s="567" t="s">
        <v>186</v>
      </c>
      <c r="B32" s="568">
        <v>2011</v>
      </c>
      <c r="C32" s="568">
        <v>4</v>
      </c>
      <c r="D32" s="568">
        <v>23</v>
      </c>
      <c r="E32" s="568">
        <v>18</v>
      </c>
      <c r="F32" s="568">
        <v>6</v>
      </c>
      <c r="G32" s="568">
        <v>23</v>
      </c>
      <c r="H32" s="568">
        <v>2</v>
      </c>
      <c r="I32" s="568">
        <v>4</v>
      </c>
      <c r="J32" s="568">
        <v>80</v>
      </c>
      <c r="K32" s="568">
        <v>56</v>
      </c>
      <c r="L32" t="str">
        <f>IFERROR(VLOOKUP($A32,ID4D!$C$3:$F$200,1,FALSE),"-")</f>
        <v>Mongolia</v>
      </c>
    </row>
    <row r="33" spans="1:12">
      <c r="A33" s="569" t="s">
        <v>53</v>
      </c>
      <c r="B33" s="570">
        <v>1983</v>
      </c>
      <c r="C33" s="570">
        <v>3</v>
      </c>
      <c r="D33" s="570">
        <v>13</v>
      </c>
      <c r="E33" s="570">
        <v>15</v>
      </c>
      <c r="F33" s="570">
        <v>11</v>
      </c>
      <c r="G33" s="570">
        <v>22</v>
      </c>
      <c r="H33" s="570">
        <v>6</v>
      </c>
      <c r="I33" s="570">
        <v>9</v>
      </c>
      <c r="J33" s="570">
        <v>79</v>
      </c>
      <c r="K33" s="570">
        <v>57</v>
      </c>
      <c r="L33" t="str">
        <f>IFERROR(VLOOKUP($A33,ID4D!$C$3:$F$200,1,FALSE),"-")</f>
        <v>Canada</v>
      </c>
    </row>
    <row r="34" spans="1:12">
      <c r="A34" s="567" t="s">
        <v>206</v>
      </c>
      <c r="B34" s="568">
        <v>1970</v>
      </c>
      <c r="C34" s="568">
        <v>5</v>
      </c>
      <c r="D34" s="568">
        <v>16</v>
      </c>
      <c r="E34" s="568">
        <v>15</v>
      </c>
      <c r="F34" s="568">
        <v>16</v>
      </c>
      <c r="G34" s="568">
        <v>22</v>
      </c>
      <c r="H34" s="568">
        <v>2</v>
      </c>
      <c r="I34" s="568">
        <v>2</v>
      </c>
      <c r="J34" s="568">
        <v>78</v>
      </c>
      <c r="K34" s="568">
        <v>58</v>
      </c>
      <c r="L34" t="str">
        <f>IFERROR(VLOOKUP($A34,ID4D!$C$3:$F$200,1,FALSE),"-")</f>
        <v>Norway</v>
      </c>
    </row>
    <row r="35" spans="1:12">
      <c r="A35" s="569" t="s">
        <v>176</v>
      </c>
      <c r="B35" s="570">
        <v>2008</v>
      </c>
      <c r="C35" s="570">
        <v>0</v>
      </c>
      <c r="D35" s="570">
        <v>19</v>
      </c>
      <c r="E35" s="570">
        <v>21</v>
      </c>
      <c r="F35" s="570">
        <v>12</v>
      </c>
      <c r="G35" s="570">
        <v>10</v>
      </c>
      <c r="H35" s="570">
        <v>2</v>
      </c>
      <c r="I35" s="570">
        <v>14</v>
      </c>
      <c r="J35" s="570">
        <v>78</v>
      </c>
      <c r="K35" s="570">
        <v>59</v>
      </c>
      <c r="L35" t="str">
        <f>IFERROR(VLOOKUP($A35,ID4D!$C$3:$F$200,1,FALSE),"-")</f>
        <v>Malta</v>
      </c>
    </row>
    <row r="36" spans="1:12">
      <c r="A36" s="567" t="s">
        <v>227</v>
      </c>
      <c r="B36" s="568">
        <v>2013</v>
      </c>
      <c r="C36" s="568">
        <v>2</v>
      </c>
      <c r="D36" s="568">
        <v>30</v>
      </c>
      <c r="E36" s="568">
        <v>8</v>
      </c>
      <c r="F36" s="568">
        <v>24</v>
      </c>
      <c r="G36" s="568">
        <v>9</v>
      </c>
      <c r="H36" s="568">
        <v>1</v>
      </c>
      <c r="I36" s="568">
        <v>3</v>
      </c>
      <c r="J36" s="568">
        <v>77</v>
      </c>
      <c r="K36" s="568">
        <v>61</v>
      </c>
      <c r="L36" t="str">
        <f>IFERROR(VLOOKUP($A36,ID4D!$C$3:$F$200,1,FALSE),"-")</f>
        <v>Rwanda</v>
      </c>
    </row>
    <row r="37" spans="1:12">
      <c r="A37" s="569" t="s">
        <v>260</v>
      </c>
      <c r="B37" s="570">
        <v>2004</v>
      </c>
      <c r="C37" s="570">
        <v>3</v>
      </c>
      <c r="D37" s="570">
        <v>19</v>
      </c>
      <c r="E37" s="570">
        <v>18</v>
      </c>
      <c r="F37" s="570">
        <v>13</v>
      </c>
      <c r="G37" s="570">
        <v>14</v>
      </c>
      <c r="H37" s="570">
        <v>0</v>
      </c>
      <c r="I37" s="570">
        <v>10</v>
      </c>
      <c r="J37" s="570">
        <v>77</v>
      </c>
      <c r="K37" s="570">
        <v>60</v>
      </c>
      <c r="L37" t="str">
        <f>IFERROR(VLOOKUP($A37,ID4D!$C$3:$F$200,1,FALSE),"-")</f>
        <v>Switzerland</v>
      </c>
    </row>
    <row r="38" spans="1:12">
      <c r="A38" s="573" t="s">
        <v>69</v>
      </c>
      <c r="B38" s="568">
        <v>2013</v>
      </c>
      <c r="C38" s="568">
        <v>2</v>
      </c>
      <c r="D38" s="568">
        <v>15</v>
      </c>
      <c r="E38" s="568">
        <v>20</v>
      </c>
      <c r="F38" s="568">
        <v>17</v>
      </c>
      <c r="G38" s="568">
        <v>13</v>
      </c>
      <c r="H38" s="568">
        <v>4</v>
      </c>
      <c r="I38" s="568">
        <v>5</v>
      </c>
      <c r="J38" s="568">
        <v>76</v>
      </c>
      <c r="K38" s="568">
        <v>65</v>
      </c>
      <c r="L38" t="str">
        <f>IFERROR(VLOOKUP($A38,ID4D!$C$3:$F$200,1,FALSE),"-")</f>
        <v>Côte d'Ivoire</v>
      </c>
    </row>
    <row r="39" spans="1:12">
      <c r="A39" s="569" t="s">
        <v>19</v>
      </c>
      <c r="B39" s="570">
        <v>2002</v>
      </c>
      <c r="C39" s="570">
        <v>4</v>
      </c>
      <c r="D39" s="570">
        <v>20</v>
      </c>
      <c r="E39" s="570">
        <v>11</v>
      </c>
      <c r="F39" s="570">
        <v>18</v>
      </c>
      <c r="G39" s="570">
        <v>18</v>
      </c>
      <c r="H39" s="570">
        <v>0</v>
      </c>
      <c r="I39" s="570">
        <v>5</v>
      </c>
      <c r="J39" s="570">
        <v>76</v>
      </c>
      <c r="K39" s="570">
        <v>62</v>
      </c>
      <c r="L39" t="str">
        <f>IFERROR(VLOOKUP($A39,ID4D!$C$3:$F$200,1,FALSE),"-")</f>
        <v>Angola</v>
      </c>
    </row>
    <row r="40" spans="1:12">
      <c r="A40" s="567" t="s">
        <v>267</v>
      </c>
      <c r="B40" s="568">
        <v>1997</v>
      </c>
      <c r="C40" s="568">
        <v>4</v>
      </c>
      <c r="D40" s="568">
        <v>24</v>
      </c>
      <c r="E40" s="568">
        <v>14</v>
      </c>
      <c r="F40" s="568">
        <v>13</v>
      </c>
      <c r="G40" s="568">
        <v>14</v>
      </c>
      <c r="H40" s="568">
        <v>2</v>
      </c>
      <c r="I40" s="568">
        <v>5</v>
      </c>
      <c r="J40" s="568">
        <v>76</v>
      </c>
      <c r="K40" s="568">
        <v>63</v>
      </c>
      <c r="L40" t="str">
        <f>IFERROR(VLOOKUP($A40,ID4D!$C$3:$F$200,1,FALSE),"-")</f>
        <v>Thailand</v>
      </c>
    </row>
    <row r="41" spans="1:12">
      <c r="A41" s="569" t="s">
        <v>252</v>
      </c>
      <c r="B41" s="570">
        <v>2013</v>
      </c>
      <c r="C41" s="570">
        <v>0</v>
      </c>
      <c r="D41" s="570">
        <v>15</v>
      </c>
      <c r="E41" s="570">
        <v>15</v>
      </c>
      <c r="F41" s="570">
        <v>21</v>
      </c>
      <c r="G41" s="570">
        <v>12</v>
      </c>
      <c r="H41" s="570">
        <v>0</v>
      </c>
      <c r="I41" s="570">
        <v>13</v>
      </c>
      <c r="J41" s="570">
        <v>76</v>
      </c>
      <c r="K41" s="570">
        <v>64</v>
      </c>
      <c r="L41" t="str">
        <f>IFERROR(VLOOKUP($A41,ID4D!$C$3:$F$200,1,FALSE),"-")</f>
        <v>Spain</v>
      </c>
    </row>
    <row r="42" spans="1:12">
      <c r="A42" s="567" t="s">
        <v>203</v>
      </c>
      <c r="B42" s="568">
        <v>2011</v>
      </c>
      <c r="C42" s="568">
        <v>0</v>
      </c>
      <c r="D42" s="568">
        <v>19</v>
      </c>
      <c r="E42" s="568">
        <v>13</v>
      </c>
      <c r="F42" s="568">
        <v>13</v>
      </c>
      <c r="G42" s="568">
        <v>17</v>
      </c>
      <c r="H42" s="568">
        <v>6</v>
      </c>
      <c r="I42" s="568">
        <v>6</v>
      </c>
      <c r="J42" s="568">
        <v>74</v>
      </c>
      <c r="K42" s="568">
        <v>66</v>
      </c>
      <c r="L42" t="str">
        <f>IFERROR(VLOOKUP($A42,ID4D!$C$3:$F$200,1,FALSE),"-")</f>
        <v>Niger</v>
      </c>
    </row>
    <row r="43" spans="1:12">
      <c r="A43" s="569" t="s">
        <v>86</v>
      </c>
      <c r="B43" s="570">
        <v>2004</v>
      </c>
      <c r="C43" s="570">
        <v>4</v>
      </c>
      <c r="D43" s="570">
        <v>27</v>
      </c>
      <c r="E43" s="570">
        <v>8</v>
      </c>
      <c r="F43" s="570">
        <v>14</v>
      </c>
      <c r="G43" s="570">
        <v>8</v>
      </c>
      <c r="H43" s="570">
        <v>3</v>
      </c>
      <c r="I43" s="570">
        <v>9</v>
      </c>
      <c r="J43" s="570">
        <v>73</v>
      </c>
      <c r="K43" s="570">
        <v>67</v>
      </c>
      <c r="L43" t="str">
        <f>IFERROR(VLOOKUP($A43,ID4D!$C$3:$F$200,1,FALSE),"-")</f>
        <v>Ecuador</v>
      </c>
    </row>
    <row r="44" spans="1:12">
      <c r="A44" s="567" t="s">
        <v>221</v>
      </c>
      <c r="B44" s="568">
        <v>1993</v>
      </c>
      <c r="C44" s="568">
        <v>4</v>
      </c>
      <c r="D44" s="568">
        <v>22</v>
      </c>
      <c r="E44" s="568">
        <v>19</v>
      </c>
      <c r="F44" s="568">
        <v>10</v>
      </c>
      <c r="G44" s="568">
        <v>14</v>
      </c>
      <c r="H44" s="568">
        <v>0</v>
      </c>
      <c r="I44" s="568">
        <v>4</v>
      </c>
      <c r="J44" s="568">
        <v>73</v>
      </c>
      <c r="K44" s="568">
        <v>68</v>
      </c>
      <c r="L44" t="str">
        <f>IFERROR(VLOOKUP($A44,ID4D!$C$3:$F$200,1,FALSE),"-")</f>
        <v>Portugal</v>
      </c>
    </row>
    <row r="45" spans="1:12">
      <c r="A45" s="569" t="s">
        <v>77</v>
      </c>
      <c r="B45" s="570">
        <v>1999</v>
      </c>
      <c r="C45" s="570">
        <v>2</v>
      </c>
      <c r="D45" s="570">
        <v>28</v>
      </c>
      <c r="E45" s="570">
        <v>14</v>
      </c>
      <c r="F45" s="570">
        <v>14</v>
      </c>
      <c r="G45" s="570">
        <v>10</v>
      </c>
      <c r="H45" s="570">
        <v>0</v>
      </c>
      <c r="I45" s="570">
        <v>4</v>
      </c>
      <c r="J45" s="570">
        <v>72</v>
      </c>
      <c r="K45" s="570">
        <v>69</v>
      </c>
      <c r="L45" t="str">
        <f>IFERROR(VLOOKUP($A45,ID4D!$C$3:$F$200,1,FALSE),"-")</f>
        <v>Czech Republic</v>
      </c>
    </row>
    <row r="46" spans="1:12">
      <c r="A46" s="567" t="s">
        <v>276</v>
      </c>
      <c r="B46" s="568">
        <v>2003</v>
      </c>
      <c r="C46" s="568">
        <v>3</v>
      </c>
      <c r="D46" s="568">
        <v>24</v>
      </c>
      <c r="E46" s="568">
        <v>13</v>
      </c>
      <c r="F46" s="568">
        <v>21</v>
      </c>
      <c r="G46" s="568">
        <v>5</v>
      </c>
      <c r="H46" s="568">
        <v>2</v>
      </c>
      <c r="I46" s="568">
        <v>4</v>
      </c>
      <c r="J46" s="568">
        <v>72</v>
      </c>
      <c r="K46" s="568">
        <v>70</v>
      </c>
      <c r="L46" t="str">
        <f>IFERROR(VLOOKUP($A46,ID4D!$C$3:$F$200,1,FALSE),"-")</f>
        <v>Turkey</v>
      </c>
    </row>
    <row r="47" spans="1:12">
      <c r="A47" s="569" t="s">
        <v>154</v>
      </c>
      <c r="B47" s="570">
        <v>1998</v>
      </c>
      <c r="C47" s="570">
        <v>4</v>
      </c>
      <c r="D47" s="570">
        <v>30</v>
      </c>
      <c r="E47" s="570">
        <v>18</v>
      </c>
      <c r="F47" s="570">
        <v>14</v>
      </c>
      <c r="G47" s="570">
        <v>4</v>
      </c>
      <c r="H47" s="570">
        <v>2</v>
      </c>
      <c r="I47" s="570">
        <v>0</v>
      </c>
      <c r="J47" s="570">
        <v>72</v>
      </c>
      <c r="K47" s="570">
        <v>71</v>
      </c>
      <c r="L47" t="str">
        <f>IFERROR(VLOOKUP($A47,ID4D!$C$3:$F$200,1,FALSE),"-")</f>
        <v>Latvia</v>
      </c>
    </row>
    <row r="48" spans="1:12">
      <c r="A48" s="567" t="s">
        <v>297</v>
      </c>
      <c r="B48" s="568">
        <v>2002</v>
      </c>
      <c r="C48" s="568">
        <v>2</v>
      </c>
      <c r="D48" s="568">
        <v>16</v>
      </c>
      <c r="E48" s="568">
        <v>10</v>
      </c>
      <c r="F48" s="568">
        <v>14</v>
      </c>
      <c r="G48" s="568">
        <v>22</v>
      </c>
      <c r="H48" s="568">
        <v>1</v>
      </c>
      <c r="I48" s="568">
        <v>5</v>
      </c>
      <c r="J48" s="568">
        <v>70</v>
      </c>
      <c r="K48" s="568">
        <v>72</v>
      </c>
      <c r="L48" t="str">
        <f>IFERROR(VLOOKUP($A48,ID4D!$C$3:$F$200,1,FALSE),"-")</f>
        <v>Zimbabwe</v>
      </c>
    </row>
    <row r="49" spans="1:12">
      <c r="A49" s="569" t="s">
        <v>317</v>
      </c>
      <c r="B49" s="570">
        <v>2000</v>
      </c>
      <c r="C49" s="570">
        <v>3</v>
      </c>
      <c r="D49" s="570">
        <v>20</v>
      </c>
      <c r="E49" s="570">
        <v>25</v>
      </c>
      <c r="F49" s="570">
        <v>14</v>
      </c>
      <c r="G49" s="570">
        <v>4</v>
      </c>
      <c r="H49" s="570">
        <v>2</v>
      </c>
      <c r="I49" s="570">
        <v>2</v>
      </c>
      <c r="J49" s="570">
        <v>70</v>
      </c>
      <c r="K49" s="570">
        <v>75</v>
      </c>
      <c r="L49" t="str">
        <f>IFERROR(VLOOKUP($A49,ID4D!$C$3:$F$200,1,FALSE),"-")</f>
        <v>Slovak Republic</v>
      </c>
    </row>
    <row r="50" spans="1:12">
      <c r="A50" s="567" t="s">
        <v>59</v>
      </c>
      <c r="B50" s="568">
        <v>2007</v>
      </c>
      <c r="C50" s="568">
        <v>1</v>
      </c>
      <c r="D50" s="568">
        <v>11</v>
      </c>
      <c r="E50" s="568">
        <v>16</v>
      </c>
      <c r="F50" s="568">
        <v>15</v>
      </c>
      <c r="G50" s="568">
        <v>13</v>
      </c>
      <c r="H50" s="568">
        <v>1</v>
      </c>
      <c r="I50" s="568">
        <v>13</v>
      </c>
      <c r="J50" s="568">
        <v>70</v>
      </c>
      <c r="K50" s="568">
        <v>73</v>
      </c>
      <c r="L50" t="str">
        <f>IFERROR(VLOOKUP($A50,ID4D!$C$3:$F$200,1,FALSE),"-")</f>
        <v>China</v>
      </c>
    </row>
    <row r="51" spans="1:12">
      <c r="A51" s="569" t="s">
        <v>404</v>
      </c>
      <c r="B51" s="570">
        <v>2003</v>
      </c>
      <c r="C51" s="570">
        <v>2</v>
      </c>
      <c r="D51" s="570">
        <v>21</v>
      </c>
      <c r="E51" s="570">
        <v>17</v>
      </c>
      <c r="F51" s="570">
        <v>18</v>
      </c>
      <c r="G51" s="570">
        <v>2</v>
      </c>
      <c r="H51" s="570">
        <v>2</v>
      </c>
      <c r="I51" s="570">
        <v>8</v>
      </c>
      <c r="J51" s="570">
        <v>70</v>
      </c>
      <c r="K51" s="570">
        <v>74</v>
      </c>
      <c r="L51" t="str">
        <f>IFERROR(VLOOKUP($A51,ID4D!$C$3:$F$200,1,FALSE),"-")</f>
        <v>St. Vincent and the Grenadines</v>
      </c>
    </row>
    <row r="52" spans="1:12">
      <c r="A52" s="567" t="s">
        <v>11</v>
      </c>
      <c r="B52" s="568">
        <v>1999</v>
      </c>
      <c r="C52" s="568">
        <v>4</v>
      </c>
      <c r="D52" s="568">
        <v>27</v>
      </c>
      <c r="E52" s="568">
        <v>11</v>
      </c>
      <c r="F52" s="568">
        <v>3</v>
      </c>
      <c r="G52" s="568">
        <v>18</v>
      </c>
      <c r="H52" s="568">
        <v>2</v>
      </c>
      <c r="I52" s="568">
        <v>4</v>
      </c>
      <c r="J52" s="568">
        <v>69</v>
      </c>
      <c r="K52" s="568">
        <v>78</v>
      </c>
      <c r="L52" t="str">
        <f>IFERROR(VLOOKUP($A52,ID4D!$C$3:$F$200,1,FALSE),"-")</f>
        <v>Albania</v>
      </c>
    </row>
    <row r="53" spans="1:12">
      <c r="A53" s="569" t="s">
        <v>474</v>
      </c>
      <c r="B53" s="570">
        <v>2009</v>
      </c>
      <c r="C53" s="570">
        <v>4</v>
      </c>
      <c r="D53" s="570">
        <v>15</v>
      </c>
      <c r="E53" s="570">
        <v>16</v>
      </c>
      <c r="F53" s="570">
        <v>15</v>
      </c>
      <c r="G53" s="570">
        <v>14</v>
      </c>
      <c r="H53" s="570">
        <v>3</v>
      </c>
      <c r="I53" s="570">
        <v>2</v>
      </c>
      <c r="J53" s="570">
        <v>69</v>
      </c>
      <c r="K53" s="570">
        <v>76</v>
      </c>
      <c r="L53" t="str">
        <f>IFERROR(VLOOKUP($A53,ID4D!$C$3:$F$200,1,FALSE),"-")</f>
        <v>-</v>
      </c>
    </row>
    <row r="54" spans="1:12">
      <c r="A54" s="567" t="s">
        <v>113</v>
      </c>
      <c r="B54" s="568">
        <v>2013</v>
      </c>
      <c r="C54" s="568">
        <v>4</v>
      </c>
      <c r="D54" s="568">
        <v>15</v>
      </c>
      <c r="E54" s="568">
        <v>16</v>
      </c>
      <c r="F54" s="568">
        <v>10</v>
      </c>
      <c r="G54" s="568">
        <v>9</v>
      </c>
      <c r="H54" s="568">
        <v>4</v>
      </c>
      <c r="I54" s="568">
        <v>11</v>
      </c>
      <c r="J54" s="568">
        <v>69</v>
      </c>
      <c r="K54" s="568">
        <v>77</v>
      </c>
      <c r="L54" t="str">
        <f>IFERROR(VLOOKUP($A54,ID4D!$C$3:$F$200,1,FALSE),"-")</f>
        <v>Guyana</v>
      </c>
    </row>
    <row r="55" spans="1:12">
      <c r="A55" s="569" t="s">
        <v>22</v>
      </c>
      <c r="B55" s="570">
        <v>2004</v>
      </c>
      <c r="C55" s="570">
        <v>6</v>
      </c>
      <c r="D55" s="570">
        <v>19</v>
      </c>
      <c r="E55" s="570">
        <v>22</v>
      </c>
      <c r="F55" s="570">
        <v>15</v>
      </c>
      <c r="G55" s="570">
        <v>3</v>
      </c>
      <c r="H55" s="570">
        <v>1</v>
      </c>
      <c r="I55" s="570">
        <v>0</v>
      </c>
      <c r="J55" s="570">
        <v>66</v>
      </c>
      <c r="K55" s="570">
        <v>79</v>
      </c>
      <c r="L55" t="str">
        <f>IFERROR(VLOOKUP($A55,ID4D!$C$3:$F$200,1,FALSE),"-")</f>
        <v>Argentina</v>
      </c>
    </row>
    <row r="56" spans="1:12">
      <c r="A56" s="567" t="s">
        <v>131</v>
      </c>
      <c r="B56" s="568">
        <v>1998</v>
      </c>
      <c r="C56" s="568">
        <v>3</v>
      </c>
      <c r="D56" s="568">
        <v>25</v>
      </c>
      <c r="E56" s="568">
        <v>12</v>
      </c>
      <c r="F56" s="568">
        <v>11</v>
      </c>
      <c r="G56" s="568">
        <v>8</v>
      </c>
      <c r="H56" s="568">
        <v>3</v>
      </c>
      <c r="I56" s="568">
        <v>4</v>
      </c>
      <c r="J56" s="568">
        <v>66</v>
      </c>
      <c r="K56" s="568">
        <v>80</v>
      </c>
      <c r="L56" t="str">
        <f>IFERROR(VLOOKUP($A56,ID4D!$C$3:$F$200,1,FALSE),"-")</f>
        <v>Israel</v>
      </c>
    </row>
    <row r="57" spans="1:12">
      <c r="A57" s="569" t="s">
        <v>209</v>
      </c>
      <c r="B57" s="570">
        <v>2002</v>
      </c>
      <c r="C57" s="570">
        <v>5</v>
      </c>
      <c r="D57" s="570">
        <v>16</v>
      </c>
      <c r="E57" s="570">
        <v>8</v>
      </c>
      <c r="F57" s="570">
        <v>11</v>
      </c>
      <c r="G57" s="570">
        <v>18</v>
      </c>
      <c r="H57" s="570">
        <v>5</v>
      </c>
      <c r="I57" s="570">
        <v>3</v>
      </c>
      <c r="J57" s="570">
        <v>66</v>
      </c>
      <c r="K57" s="570">
        <v>81</v>
      </c>
      <c r="L57" t="str">
        <f>IFERROR(VLOOKUP($A57,ID4D!$C$3:$F$200,1,FALSE),"-")</f>
        <v>Pakistan</v>
      </c>
    </row>
    <row r="58" spans="1:12">
      <c r="A58" s="567" t="s">
        <v>135</v>
      </c>
      <c r="B58" s="568">
        <v>1999</v>
      </c>
      <c r="C58" s="568">
        <v>3</v>
      </c>
      <c r="D58" s="568">
        <v>14</v>
      </c>
      <c r="E58" s="568">
        <v>13</v>
      </c>
      <c r="F58" s="568">
        <v>21</v>
      </c>
      <c r="G58" s="568">
        <v>9</v>
      </c>
      <c r="H58" s="568">
        <v>0</v>
      </c>
      <c r="I58" s="568">
        <v>5</v>
      </c>
      <c r="J58" s="568">
        <v>65</v>
      </c>
      <c r="K58" s="568">
        <v>82</v>
      </c>
      <c r="L58" t="str">
        <f>IFERROR(VLOOKUP($A58,ID4D!$C$3:$F$200,1,FALSE),"-")</f>
        <v>Japan</v>
      </c>
    </row>
    <row r="59" spans="1:12">
      <c r="A59" s="569" t="s">
        <v>107</v>
      </c>
      <c r="B59" s="570">
        <v>1986</v>
      </c>
      <c r="C59" s="570">
        <v>4</v>
      </c>
      <c r="D59" s="570">
        <v>12</v>
      </c>
      <c r="E59" s="570">
        <v>16</v>
      </c>
      <c r="F59" s="570">
        <v>13</v>
      </c>
      <c r="G59" s="570">
        <v>17</v>
      </c>
      <c r="H59" s="570">
        <v>0</v>
      </c>
      <c r="I59" s="570">
        <v>3</v>
      </c>
      <c r="J59" s="570">
        <v>65</v>
      </c>
      <c r="K59" s="570">
        <v>83</v>
      </c>
      <c r="L59" t="str">
        <f>IFERROR(VLOOKUP($A59,ID4D!$C$3:$F$200,1,FALSE),"-")</f>
        <v>Greece</v>
      </c>
    </row>
    <row r="60" spans="1:12">
      <c r="A60" s="567" t="s">
        <v>98</v>
      </c>
      <c r="B60" s="568">
        <v>1978</v>
      </c>
      <c r="C60" s="568">
        <v>1</v>
      </c>
      <c r="D60" s="568">
        <v>17</v>
      </c>
      <c r="E60" s="568">
        <v>14</v>
      </c>
      <c r="F60" s="568">
        <v>14</v>
      </c>
      <c r="G60" s="568">
        <v>16</v>
      </c>
      <c r="H60" s="568">
        <v>0</v>
      </c>
      <c r="I60" s="568">
        <v>2</v>
      </c>
      <c r="J60" s="568">
        <v>64</v>
      </c>
      <c r="K60" s="568">
        <v>86</v>
      </c>
      <c r="L60" t="str">
        <f>IFERROR(VLOOKUP($A60,ID4D!$C$3:$F$200,1,FALSE),"-")</f>
        <v>France</v>
      </c>
    </row>
    <row r="61" spans="1:12">
      <c r="A61" s="569" t="s">
        <v>163</v>
      </c>
      <c r="B61" s="570">
        <v>1996</v>
      </c>
      <c r="C61" s="570">
        <v>5</v>
      </c>
      <c r="D61" s="570">
        <v>24</v>
      </c>
      <c r="E61" s="570">
        <v>18</v>
      </c>
      <c r="F61" s="570">
        <v>11</v>
      </c>
      <c r="G61" s="570">
        <v>6</v>
      </c>
      <c r="H61" s="570">
        <v>0</v>
      </c>
      <c r="I61" s="570">
        <v>0</v>
      </c>
      <c r="J61" s="570">
        <v>64</v>
      </c>
      <c r="K61" s="570">
        <v>88</v>
      </c>
      <c r="L61" t="str">
        <f>IFERROR(VLOOKUP($A61,ID4D!$C$3:$F$200,1,FALSE),"-")</f>
        <v>Lithuania</v>
      </c>
    </row>
    <row r="62" spans="1:12">
      <c r="A62" s="567" t="s">
        <v>79</v>
      </c>
      <c r="B62" s="568">
        <v>1970</v>
      </c>
      <c r="C62" s="568">
        <v>1</v>
      </c>
      <c r="D62" s="568">
        <v>17</v>
      </c>
      <c r="E62" s="568">
        <v>13</v>
      </c>
      <c r="F62" s="568">
        <v>10</v>
      </c>
      <c r="G62" s="568">
        <v>23</v>
      </c>
      <c r="H62" s="568">
        <v>0</v>
      </c>
      <c r="I62" s="568">
        <v>0</v>
      </c>
      <c r="J62" s="568">
        <v>64</v>
      </c>
      <c r="K62" s="568">
        <v>84</v>
      </c>
      <c r="L62" t="str">
        <f>IFERROR(VLOOKUP($A62,ID4D!$C$3:$F$200,1,FALSE),"-")</f>
        <v>Denmark</v>
      </c>
    </row>
    <row r="63" spans="1:12">
      <c r="A63" s="569" t="s">
        <v>111</v>
      </c>
      <c r="B63" s="570">
        <v>2010</v>
      </c>
      <c r="C63" s="570">
        <v>2</v>
      </c>
      <c r="D63" s="570">
        <v>27</v>
      </c>
      <c r="E63" s="570">
        <v>14</v>
      </c>
      <c r="F63" s="570">
        <v>9</v>
      </c>
      <c r="G63" s="570">
        <v>4</v>
      </c>
      <c r="H63" s="570">
        <v>2</v>
      </c>
      <c r="I63" s="570">
        <v>6</v>
      </c>
      <c r="J63" s="570">
        <v>64</v>
      </c>
      <c r="K63" s="570">
        <v>85</v>
      </c>
      <c r="L63" t="str">
        <f>IFERROR(VLOOKUP($A63,ID4D!$C$3:$F$200,1,FALSE),"-")</f>
        <v>Guinea</v>
      </c>
    </row>
    <row r="64" spans="1:12">
      <c r="A64" s="567" t="s">
        <v>120</v>
      </c>
      <c r="B64" s="568">
        <v>1996</v>
      </c>
      <c r="C64" s="568">
        <v>0</v>
      </c>
      <c r="D64" s="568">
        <v>10</v>
      </c>
      <c r="E64" s="568">
        <v>21</v>
      </c>
      <c r="F64" s="568">
        <v>17</v>
      </c>
      <c r="G64" s="568">
        <v>12</v>
      </c>
      <c r="H64" s="568">
        <v>0</v>
      </c>
      <c r="I64" s="568">
        <v>4</v>
      </c>
      <c r="J64" s="568">
        <v>64</v>
      </c>
      <c r="K64" s="568">
        <v>87</v>
      </c>
      <c r="L64" t="str">
        <f>IFERROR(VLOOKUP($A64,ID4D!$C$3:$F$200,1,FALSE),"-")</f>
        <v>Iceland</v>
      </c>
    </row>
    <row r="65" spans="1:12">
      <c r="A65" s="569" t="s">
        <v>220</v>
      </c>
      <c r="B65" s="570">
        <v>2001</v>
      </c>
      <c r="C65" s="570">
        <v>4</v>
      </c>
      <c r="D65" s="570">
        <v>27</v>
      </c>
      <c r="E65" s="570">
        <v>15</v>
      </c>
      <c r="F65" s="570">
        <v>10</v>
      </c>
      <c r="G65" s="570">
        <v>3</v>
      </c>
      <c r="H65" s="570">
        <v>1</v>
      </c>
      <c r="I65" s="570">
        <v>2</v>
      </c>
      <c r="J65" s="570">
        <v>62</v>
      </c>
      <c r="K65" s="570">
        <v>89</v>
      </c>
      <c r="L65" t="str">
        <f>IFERROR(VLOOKUP($A65,ID4D!$C$3:$F$200,1,FALSE),"-")</f>
        <v>Poland</v>
      </c>
    </row>
    <row r="66" spans="1:12">
      <c r="A66" s="567" t="s">
        <v>214</v>
      </c>
      <c r="B66" s="568">
        <v>2014</v>
      </c>
      <c r="C66" s="568">
        <v>2</v>
      </c>
      <c r="D66" s="568">
        <v>24</v>
      </c>
      <c r="E66" s="568">
        <v>18</v>
      </c>
      <c r="F66" s="568">
        <v>2</v>
      </c>
      <c r="G66" s="568">
        <v>7</v>
      </c>
      <c r="H66" s="568">
        <v>2</v>
      </c>
      <c r="I66" s="568">
        <v>6</v>
      </c>
      <c r="J66" s="568">
        <v>61</v>
      </c>
      <c r="K66" s="568">
        <v>90</v>
      </c>
      <c r="L66" t="str">
        <f>IFERROR(VLOOKUP($A66,ID4D!$C$3:$F$200,1,FALSE),"-")</f>
        <v>Paraguay</v>
      </c>
    </row>
    <row r="67" spans="1:12">
      <c r="A67" s="569" t="s">
        <v>84</v>
      </c>
      <c r="B67" s="570">
        <v>2004</v>
      </c>
      <c r="C67" s="570">
        <v>5</v>
      </c>
      <c r="D67" s="570">
        <v>21</v>
      </c>
      <c r="E67" s="570">
        <v>14</v>
      </c>
      <c r="F67" s="570">
        <v>11</v>
      </c>
      <c r="G67" s="570">
        <v>3</v>
      </c>
      <c r="H67" s="570">
        <v>2</v>
      </c>
      <c r="I67" s="570">
        <v>3</v>
      </c>
      <c r="J67" s="570">
        <v>59</v>
      </c>
      <c r="K67" s="570">
        <v>91</v>
      </c>
      <c r="L67" t="str">
        <f>IFERROR(VLOOKUP($A67,ID4D!$C$3:$F$200,1,FALSE),"-")</f>
        <v>Dominican Republic</v>
      </c>
    </row>
    <row r="68" spans="1:12">
      <c r="A68" s="567" t="s">
        <v>35</v>
      </c>
      <c r="B68" s="568">
        <v>1994</v>
      </c>
      <c r="C68" s="568">
        <v>2</v>
      </c>
      <c r="D68" s="568">
        <v>17</v>
      </c>
      <c r="E68" s="568">
        <v>14</v>
      </c>
      <c r="F68" s="568">
        <v>15</v>
      </c>
      <c r="G68" s="568">
        <v>11</v>
      </c>
      <c r="H68" s="568">
        <v>0</v>
      </c>
      <c r="I68" s="568">
        <v>0</v>
      </c>
      <c r="J68" s="568">
        <v>59</v>
      </c>
      <c r="K68" s="568">
        <v>92</v>
      </c>
      <c r="L68" t="str">
        <f>IFERROR(VLOOKUP($A68,ID4D!$C$3:$F$200,1,FALSE),"-")</f>
        <v>Belgium</v>
      </c>
    </row>
    <row r="69" spans="1:12">
      <c r="A69" s="569" t="s">
        <v>288</v>
      </c>
      <c r="B69" s="570">
        <v>1997</v>
      </c>
      <c r="C69" s="570">
        <v>3</v>
      </c>
      <c r="D69" s="570">
        <v>25</v>
      </c>
      <c r="E69" s="570">
        <v>10</v>
      </c>
      <c r="F69" s="570">
        <v>13</v>
      </c>
      <c r="G69" s="570">
        <v>7</v>
      </c>
      <c r="H69" s="570">
        <v>1</v>
      </c>
      <c r="I69" s="570">
        <v>0</v>
      </c>
      <c r="J69" s="570">
        <v>59</v>
      </c>
      <c r="K69" s="570">
        <v>93</v>
      </c>
      <c r="L69" t="str">
        <f>IFERROR(VLOOKUP($A69,ID4D!$C$3:$F$200,1,FALSE),"-")</f>
        <v>Uzbekistan</v>
      </c>
    </row>
    <row r="70" spans="1:12">
      <c r="A70" s="567" t="s">
        <v>930</v>
      </c>
      <c r="B70" s="568">
        <v>2005</v>
      </c>
      <c r="C70" s="568">
        <v>2</v>
      </c>
      <c r="D70" s="568">
        <v>21</v>
      </c>
      <c r="E70" s="568">
        <v>9</v>
      </c>
      <c r="F70" s="568">
        <v>17</v>
      </c>
      <c r="G70" s="568">
        <v>6</v>
      </c>
      <c r="H70" s="568">
        <v>1</v>
      </c>
      <c r="I70" s="568">
        <v>2</v>
      </c>
      <c r="J70" s="568">
        <v>58</v>
      </c>
      <c r="K70" s="568">
        <v>94</v>
      </c>
      <c r="L70" t="str">
        <f>IFERROR(VLOOKUP($A70,ID4D!$C$3:$F$200,1,FALSE),"-")</f>
        <v>-</v>
      </c>
    </row>
    <row r="71" spans="1:12">
      <c r="A71" s="569" t="s">
        <v>132</v>
      </c>
      <c r="B71" s="570">
        <v>1990</v>
      </c>
      <c r="C71" s="570">
        <v>2</v>
      </c>
      <c r="D71" s="570">
        <v>21</v>
      </c>
      <c r="E71" s="570">
        <v>7</v>
      </c>
      <c r="F71" s="570">
        <v>5</v>
      </c>
      <c r="G71" s="570">
        <v>13</v>
      </c>
      <c r="H71" s="570">
        <v>2</v>
      </c>
      <c r="I71" s="570">
        <v>7</v>
      </c>
      <c r="J71" s="570">
        <v>57</v>
      </c>
      <c r="K71" s="570">
        <v>95</v>
      </c>
      <c r="L71" t="str">
        <f>IFERROR(VLOOKUP($A71,ID4D!$C$3:$F$200,1,FALSE),"-")</f>
        <v>Italy</v>
      </c>
    </row>
    <row r="72" spans="1:12">
      <c r="A72" s="567" t="s">
        <v>137</v>
      </c>
      <c r="B72" s="568">
        <v>2007</v>
      </c>
      <c r="C72" s="568">
        <v>0</v>
      </c>
      <c r="D72" s="568">
        <v>25</v>
      </c>
      <c r="E72" s="568">
        <v>5</v>
      </c>
      <c r="F72" s="568">
        <v>10</v>
      </c>
      <c r="G72" s="568">
        <v>8</v>
      </c>
      <c r="H72" s="568">
        <v>0</v>
      </c>
      <c r="I72" s="568">
        <v>5</v>
      </c>
      <c r="J72" s="568">
        <v>53</v>
      </c>
      <c r="K72" s="568">
        <v>96</v>
      </c>
      <c r="L72" t="str">
        <f>IFERROR(VLOOKUP($A72,ID4D!$C$3:$F$200,1,FALSE),"-")</f>
        <v>Jordan</v>
      </c>
    </row>
    <row r="73" spans="1:12">
      <c r="A73" s="569" t="s">
        <v>103</v>
      </c>
      <c r="B73" s="570">
        <v>2005</v>
      </c>
      <c r="C73" s="570">
        <v>0</v>
      </c>
      <c r="D73" s="570">
        <v>19</v>
      </c>
      <c r="E73" s="570">
        <v>7</v>
      </c>
      <c r="F73" s="570">
        <v>11</v>
      </c>
      <c r="G73" s="570">
        <v>15</v>
      </c>
      <c r="H73" s="570">
        <v>0</v>
      </c>
      <c r="I73" s="570">
        <v>0</v>
      </c>
      <c r="J73" s="570">
        <v>52</v>
      </c>
      <c r="K73" s="570">
        <v>97</v>
      </c>
      <c r="L73" t="str">
        <f>IFERROR(VLOOKUP($A73,ID4D!$C$3:$F$200,1,FALSE),"-")</f>
        <v>Germany</v>
      </c>
    </row>
    <row r="74" spans="1:12">
      <c r="A74" s="567" t="s">
        <v>241</v>
      </c>
      <c r="B74" s="568">
        <v>2003</v>
      </c>
      <c r="C74" s="568">
        <v>5</v>
      </c>
      <c r="D74" s="568">
        <v>30</v>
      </c>
      <c r="E74" s="568">
        <v>22</v>
      </c>
      <c r="F74" s="568">
        <v>26</v>
      </c>
      <c r="G74" s="568">
        <v>29</v>
      </c>
      <c r="H74" s="568">
        <v>7</v>
      </c>
      <c r="I74" s="568">
        <v>16</v>
      </c>
      <c r="J74" s="568">
        <v>135</v>
      </c>
      <c r="K74" s="568">
        <v>1</v>
      </c>
      <c r="L74" t="str">
        <f>IFERROR(VLOOKUP($A74,ID4D!$C$3:$F$200,1,FALSE),"-")</f>
        <v>Serbia</v>
      </c>
    </row>
    <row r="75" spans="1:12">
      <c r="A75" s="569" t="s">
        <v>246</v>
      </c>
      <c r="B75" s="570">
        <v>2003</v>
      </c>
      <c r="C75" s="570">
        <v>3</v>
      </c>
      <c r="D75" s="570">
        <v>30</v>
      </c>
      <c r="E75" s="570">
        <v>26</v>
      </c>
      <c r="F75" s="570">
        <v>25</v>
      </c>
      <c r="G75" s="570">
        <v>28</v>
      </c>
      <c r="H75" s="570">
        <v>4</v>
      </c>
      <c r="I75" s="570">
        <v>13</v>
      </c>
      <c r="J75" s="570">
        <v>129</v>
      </c>
      <c r="K75" s="570">
        <v>2</v>
      </c>
      <c r="L75" t="str">
        <f>IFERROR(VLOOKUP($A75,ID4D!$C$3:$F$200,1,FALSE),"-")</f>
        <v>Slovenia</v>
      </c>
    </row>
    <row r="76" spans="1:12">
      <c r="A76" s="567" t="s">
        <v>122</v>
      </c>
      <c r="B76" s="568">
        <v>2005</v>
      </c>
      <c r="C76" s="568">
        <v>5</v>
      </c>
      <c r="D76" s="568">
        <v>25</v>
      </c>
      <c r="E76" s="568">
        <v>25</v>
      </c>
      <c r="F76" s="568">
        <v>26</v>
      </c>
      <c r="G76" s="568">
        <v>29</v>
      </c>
      <c r="H76" s="568">
        <v>5</v>
      </c>
      <c r="I76" s="568">
        <v>13</v>
      </c>
      <c r="J76" s="568">
        <v>128</v>
      </c>
      <c r="K76" s="568">
        <v>3</v>
      </c>
      <c r="L76" t="str">
        <f>IFERROR(VLOOKUP($A76,ID4D!$C$3:$F$200,1,FALSE),"-")</f>
        <v>India</v>
      </c>
    </row>
    <row r="77" spans="1:12">
      <c r="A77" s="569" t="s">
        <v>159</v>
      </c>
      <c r="B77" s="570">
        <v>2010</v>
      </c>
      <c r="C77" s="570">
        <v>5</v>
      </c>
      <c r="D77" s="570">
        <v>30</v>
      </c>
      <c r="E77" s="570">
        <v>19</v>
      </c>
      <c r="F77" s="570">
        <v>27</v>
      </c>
      <c r="G77" s="570">
        <v>20</v>
      </c>
      <c r="H77" s="570">
        <v>7</v>
      </c>
      <c r="I77" s="570">
        <v>16</v>
      </c>
      <c r="J77" s="570">
        <v>124</v>
      </c>
      <c r="K77" s="570">
        <v>4</v>
      </c>
      <c r="L77" t="str">
        <f>IFERROR(VLOOKUP($A77,ID4D!$C$3:$F$200,1,FALSE),"-")</f>
        <v>Liberia</v>
      </c>
    </row>
    <row r="78" spans="1:12">
      <c r="A78" s="567" t="s">
        <v>243</v>
      </c>
      <c r="B78" s="568">
        <v>2013</v>
      </c>
      <c r="C78" s="568">
        <v>0</v>
      </c>
      <c r="D78" s="568">
        <v>29</v>
      </c>
      <c r="E78" s="568">
        <v>25</v>
      </c>
      <c r="F78" s="568">
        <v>18</v>
      </c>
      <c r="G78" s="568">
        <v>28</v>
      </c>
      <c r="H78" s="568">
        <v>7</v>
      </c>
      <c r="I78" s="568">
        <v>15</v>
      </c>
      <c r="J78" s="568">
        <v>122</v>
      </c>
      <c r="K78" s="568">
        <v>6</v>
      </c>
      <c r="L78" t="str">
        <f>IFERROR(VLOOKUP($A78,ID4D!$C$3:$F$200,1,FALSE),"-")</f>
        <v>Sierra Leone</v>
      </c>
    </row>
    <row r="79" spans="1:12">
      <c r="A79" s="569" t="s">
        <v>89</v>
      </c>
      <c r="B79" s="570">
        <v>2011</v>
      </c>
      <c r="C79" s="570">
        <v>6</v>
      </c>
      <c r="D79" s="570">
        <v>30</v>
      </c>
      <c r="E79" s="570">
        <v>24</v>
      </c>
      <c r="F79" s="570">
        <v>22</v>
      </c>
      <c r="G79" s="570">
        <v>23</v>
      </c>
      <c r="H79" s="570">
        <v>1</v>
      </c>
      <c r="I79" s="570">
        <v>16</v>
      </c>
      <c r="J79" s="570">
        <v>122</v>
      </c>
      <c r="K79" s="570">
        <v>5</v>
      </c>
      <c r="L79" t="str">
        <f>IFERROR(VLOOKUP($A79,ID4D!$C$3:$F$200,1,FALSE),"-")</f>
        <v>El Salvador</v>
      </c>
    </row>
    <row r="80" spans="1:12">
      <c r="A80" s="567" t="s">
        <v>180</v>
      </c>
      <c r="B80" s="568">
        <v>2002</v>
      </c>
      <c r="C80" s="568">
        <v>6</v>
      </c>
      <c r="D80" s="568">
        <v>22</v>
      </c>
      <c r="E80" s="568">
        <v>23</v>
      </c>
      <c r="F80" s="568">
        <v>22</v>
      </c>
      <c r="G80" s="568">
        <v>26</v>
      </c>
      <c r="H80" s="568">
        <v>2</v>
      </c>
      <c r="I80" s="568">
        <v>16</v>
      </c>
      <c r="J80" s="568">
        <v>117</v>
      </c>
      <c r="K80" s="568">
        <v>7</v>
      </c>
      <c r="L80" t="str">
        <f>IFERROR(VLOOKUP($A80,ID4D!$C$3:$F$200,1,FALSE),"-")</f>
        <v>Mexico</v>
      </c>
    </row>
    <row r="81" spans="1:12">
      <c r="A81" s="574" t="s">
        <v>21</v>
      </c>
      <c r="B81" s="570">
        <v>2004</v>
      </c>
      <c r="C81" s="570">
        <v>3</v>
      </c>
      <c r="D81" s="570">
        <v>24</v>
      </c>
      <c r="E81" s="570">
        <v>20</v>
      </c>
      <c r="F81" s="570">
        <v>23</v>
      </c>
      <c r="G81" s="570">
        <v>24</v>
      </c>
      <c r="H81" s="570">
        <v>8</v>
      </c>
      <c r="I81" s="570">
        <v>14</v>
      </c>
      <c r="J81" s="570">
        <v>116</v>
      </c>
      <c r="K81" s="570">
        <v>8</v>
      </c>
      <c r="L81" t="str">
        <f>IFERROR(VLOOKUP($A81,ID4D!$C$3:$F$200,1,FALSE),"-")</f>
        <v>Antigua and Barbuda</v>
      </c>
    </row>
    <row r="82" spans="1:12">
      <c r="A82" s="567" t="s">
        <v>174</v>
      </c>
      <c r="B82" s="568">
        <v>2014</v>
      </c>
      <c r="C82" s="568">
        <v>2</v>
      </c>
      <c r="D82" s="568">
        <v>28</v>
      </c>
      <c r="E82" s="568">
        <v>20</v>
      </c>
      <c r="F82" s="568">
        <v>17</v>
      </c>
      <c r="G82" s="568">
        <v>29</v>
      </c>
      <c r="H82" s="568">
        <v>8</v>
      </c>
      <c r="I82" s="568">
        <v>12</v>
      </c>
      <c r="J82" s="568">
        <v>116</v>
      </c>
      <c r="K82" s="568">
        <v>9</v>
      </c>
      <c r="L82" t="str">
        <f>IFERROR(VLOOKUP($A82,ID4D!$C$3:$F$200,1,FALSE),"-")</f>
        <v>Maldives</v>
      </c>
    </row>
    <row r="83" spans="1:12">
      <c r="A83" s="569" t="s">
        <v>282</v>
      </c>
      <c r="B83" s="570">
        <v>2011</v>
      </c>
      <c r="C83" s="570">
        <v>5</v>
      </c>
      <c r="D83" s="570">
        <v>28</v>
      </c>
      <c r="E83" s="570">
        <v>23</v>
      </c>
      <c r="F83" s="570">
        <v>27</v>
      </c>
      <c r="G83" s="570">
        <v>19</v>
      </c>
      <c r="H83" s="570">
        <v>5</v>
      </c>
      <c r="I83" s="570">
        <v>8</v>
      </c>
      <c r="J83" s="570">
        <v>115</v>
      </c>
      <c r="K83" s="570">
        <v>11</v>
      </c>
      <c r="L83" t="str">
        <f>IFERROR(VLOOKUP($A83,ID4D!$C$3:$F$200,1,FALSE),"-")</f>
        <v>Ukraine</v>
      </c>
    </row>
    <row r="84" spans="1:12">
      <c r="A84" s="567" t="s">
        <v>27</v>
      </c>
      <c r="B84" s="568">
        <v>2005</v>
      </c>
      <c r="C84" s="568">
        <v>5</v>
      </c>
      <c r="D84" s="568">
        <v>28</v>
      </c>
      <c r="E84" s="568">
        <v>24</v>
      </c>
      <c r="F84" s="568">
        <v>24</v>
      </c>
      <c r="G84" s="568">
        <v>19</v>
      </c>
      <c r="H84" s="568">
        <v>3</v>
      </c>
      <c r="I84" s="568">
        <v>12</v>
      </c>
      <c r="J84" s="568">
        <v>115</v>
      </c>
      <c r="K84" s="568">
        <v>10</v>
      </c>
      <c r="L84" t="str">
        <f>IFERROR(VLOOKUP($A84,ID4D!$C$3:$F$200,1,FALSE),"-")</f>
        <v>Azerbaijan</v>
      </c>
    </row>
    <row r="85" spans="1:12">
      <c r="A85" s="569" t="s">
        <v>396</v>
      </c>
      <c r="B85" s="570">
        <v>2006</v>
      </c>
      <c r="C85" s="570">
        <v>4</v>
      </c>
      <c r="D85" s="570">
        <v>30</v>
      </c>
      <c r="E85" s="570">
        <v>21</v>
      </c>
      <c r="F85" s="570">
        <v>22</v>
      </c>
      <c r="G85" s="570">
        <v>18</v>
      </c>
      <c r="H85" s="570">
        <v>4</v>
      </c>
      <c r="I85" s="570">
        <v>14</v>
      </c>
      <c r="J85" s="570">
        <v>113</v>
      </c>
      <c r="K85" s="570">
        <v>12</v>
      </c>
      <c r="L85" t="str">
        <f>IFERROR(VLOOKUP($A85,ID4D!$C$3:$F$200,1,FALSE),"-")</f>
        <v>Macedonia</v>
      </c>
    </row>
    <row r="86" spans="1:12">
      <c r="A86" s="567" t="s">
        <v>71</v>
      </c>
      <c r="B86" s="568">
        <v>2003</v>
      </c>
      <c r="C86" s="568">
        <v>5</v>
      </c>
      <c r="D86" s="568">
        <v>27</v>
      </c>
      <c r="E86" s="568">
        <v>20</v>
      </c>
      <c r="F86" s="568">
        <v>24</v>
      </c>
      <c r="G86" s="568">
        <v>19</v>
      </c>
      <c r="H86" s="568">
        <v>3</v>
      </c>
      <c r="I86" s="568">
        <v>14</v>
      </c>
      <c r="J86" s="568">
        <v>112</v>
      </c>
      <c r="K86" s="568">
        <v>13</v>
      </c>
      <c r="L86" t="str">
        <f>IFERROR(VLOOKUP($A86,ID4D!$C$3:$F$200,1,FALSE),"-")</f>
        <v>Croatia</v>
      </c>
    </row>
    <row r="87" spans="1:12">
      <c r="A87" s="569" t="s">
        <v>94</v>
      </c>
      <c r="B87" s="570">
        <v>2008</v>
      </c>
      <c r="C87" s="570">
        <v>5</v>
      </c>
      <c r="D87" s="570">
        <v>25</v>
      </c>
      <c r="E87" s="570">
        <v>19</v>
      </c>
      <c r="F87" s="570">
        <v>18</v>
      </c>
      <c r="G87" s="570">
        <v>25</v>
      </c>
      <c r="H87" s="570">
        <v>6</v>
      </c>
      <c r="I87" s="570">
        <v>14</v>
      </c>
      <c r="J87" s="570">
        <v>112</v>
      </c>
      <c r="K87" s="570">
        <v>14</v>
      </c>
      <c r="L87" t="str">
        <f>IFERROR(VLOOKUP($A87,ID4D!$C$3:$F$200,1,FALSE),"-")</f>
        <v>Ethiopia</v>
      </c>
    </row>
    <row r="88" spans="1:12">
      <c r="A88" s="567" t="s">
        <v>201</v>
      </c>
      <c r="B88" s="568">
        <v>2007</v>
      </c>
      <c r="C88" s="568">
        <v>4</v>
      </c>
      <c r="D88" s="568">
        <v>30</v>
      </c>
      <c r="E88" s="568">
        <v>18</v>
      </c>
      <c r="F88" s="568">
        <v>27</v>
      </c>
      <c r="G88" s="568">
        <v>14</v>
      </c>
      <c r="H88" s="568">
        <v>3</v>
      </c>
      <c r="I88" s="568">
        <v>15</v>
      </c>
      <c r="J88" s="568">
        <v>111</v>
      </c>
      <c r="K88" s="568">
        <v>15</v>
      </c>
      <c r="L88" t="str">
        <f>IFERROR(VLOOKUP($A88,ID4D!$C$3:$F$200,1,FALSE),"-")</f>
        <v>Nicaragua</v>
      </c>
    </row>
    <row r="89" spans="1:12">
      <c r="A89" s="569" t="s">
        <v>183</v>
      </c>
      <c r="B89" s="570">
        <v>2000</v>
      </c>
      <c r="C89" s="570">
        <v>5</v>
      </c>
      <c r="D89" s="570">
        <v>28</v>
      </c>
      <c r="E89" s="570">
        <v>23</v>
      </c>
      <c r="F89" s="570">
        <v>23</v>
      </c>
      <c r="G89" s="570">
        <v>17</v>
      </c>
      <c r="H89" s="570">
        <v>4</v>
      </c>
      <c r="I89" s="570">
        <v>10</v>
      </c>
      <c r="J89" s="570">
        <v>110</v>
      </c>
      <c r="K89" s="570">
        <v>16</v>
      </c>
      <c r="L89" t="str">
        <f>IFERROR(VLOOKUP($A89,ID4D!$C$3:$F$200,1,FALSE),"-")</f>
        <v>Moldova</v>
      </c>
    </row>
    <row r="90" spans="1:12">
      <c r="A90" s="567" t="s">
        <v>250</v>
      </c>
      <c r="B90" s="568">
        <v>2000</v>
      </c>
      <c r="C90" s="568">
        <v>6</v>
      </c>
      <c r="D90" s="568">
        <v>25</v>
      </c>
      <c r="E90" s="568">
        <v>19</v>
      </c>
      <c r="F90" s="568">
        <v>25</v>
      </c>
      <c r="G90" s="568">
        <v>14</v>
      </c>
      <c r="H90" s="568">
        <v>6</v>
      </c>
      <c r="I90" s="568">
        <v>14</v>
      </c>
      <c r="J90" s="568">
        <v>109</v>
      </c>
      <c r="K90" s="568">
        <v>17</v>
      </c>
      <c r="L90" t="str">
        <f>IFERROR(VLOOKUP($A90,ID4D!$C$3:$F$200,1,FALSE),"-")</f>
        <v>South Africa</v>
      </c>
    </row>
    <row r="91" spans="1:12">
      <c r="A91" s="569" t="s">
        <v>43</v>
      </c>
      <c r="B91" s="570">
        <v>2011</v>
      </c>
      <c r="C91" s="570">
        <v>6</v>
      </c>
      <c r="D91" s="570">
        <v>29</v>
      </c>
      <c r="E91" s="570">
        <v>19</v>
      </c>
      <c r="F91" s="570">
        <v>16</v>
      </c>
      <c r="G91" s="570">
        <v>22</v>
      </c>
      <c r="H91" s="570">
        <v>3</v>
      </c>
      <c r="I91" s="570">
        <v>13</v>
      </c>
      <c r="J91" s="570">
        <v>108</v>
      </c>
      <c r="K91" s="570">
        <v>18</v>
      </c>
      <c r="L91" t="str">
        <f>IFERROR(VLOOKUP($A91,ID4D!$C$3:$F$200,1,FALSE),"-")</f>
        <v>Brazil</v>
      </c>
    </row>
    <row r="92" spans="1:12">
      <c r="A92" s="567" t="s">
        <v>31</v>
      </c>
      <c r="B92" s="568">
        <v>2008</v>
      </c>
      <c r="C92" s="568">
        <v>2</v>
      </c>
      <c r="D92" s="568">
        <v>25</v>
      </c>
      <c r="E92" s="568">
        <v>16</v>
      </c>
      <c r="F92" s="568">
        <v>20</v>
      </c>
      <c r="G92" s="568">
        <v>23</v>
      </c>
      <c r="H92" s="568">
        <v>6</v>
      </c>
      <c r="I92" s="568">
        <v>15</v>
      </c>
      <c r="J92" s="568">
        <v>107</v>
      </c>
      <c r="K92" s="568">
        <v>19</v>
      </c>
      <c r="L92" t="str">
        <f>IFERROR(VLOOKUP($A92,ID4D!$C$3:$F$200,1,FALSE),"-")</f>
        <v>Bangladesh</v>
      </c>
    </row>
    <row r="93" spans="1:12">
      <c r="A93" s="569" t="s">
        <v>148</v>
      </c>
      <c r="B93" s="570">
        <v>2003</v>
      </c>
      <c r="C93" s="570">
        <v>2</v>
      </c>
      <c r="D93" s="570">
        <v>25</v>
      </c>
      <c r="E93" s="570">
        <v>23</v>
      </c>
      <c r="F93" s="570">
        <v>22</v>
      </c>
      <c r="G93" s="570">
        <v>21</v>
      </c>
      <c r="H93" s="570">
        <v>2</v>
      </c>
      <c r="I93" s="570">
        <v>11</v>
      </c>
      <c r="J93" s="570">
        <v>106</v>
      </c>
      <c r="K93" s="570">
        <v>20</v>
      </c>
      <c r="L93" t="str">
        <f>IFERROR(VLOOKUP($A93,ID4D!$C$3:$F$200,1,FALSE),"-")</f>
        <v>Kosovo</v>
      </c>
    </row>
    <row r="94" spans="1:12">
      <c r="A94" s="567" t="s">
        <v>97</v>
      </c>
      <c r="B94" s="568">
        <v>1951</v>
      </c>
      <c r="C94" s="568">
        <v>6</v>
      </c>
      <c r="D94" s="568">
        <v>28</v>
      </c>
      <c r="E94" s="568">
        <v>22</v>
      </c>
      <c r="F94" s="568">
        <v>16</v>
      </c>
      <c r="G94" s="568">
        <v>20</v>
      </c>
      <c r="H94" s="568">
        <v>3</v>
      </c>
      <c r="I94" s="568">
        <v>10</v>
      </c>
      <c r="J94" s="568">
        <v>105</v>
      </c>
      <c r="K94" s="568">
        <v>21</v>
      </c>
      <c r="L94" t="str">
        <f>IFERROR(VLOOKUP($A94,ID4D!$C$3:$F$200,1,FALSE),"-")</f>
        <v>Finland</v>
      </c>
    </row>
    <row r="95" spans="1:12">
      <c r="A95" s="569" t="s">
        <v>196</v>
      </c>
      <c r="B95" s="570">
        <v>2007</v>
      </c>
      <c r="C95" s="570">
        <v>4</v>
      </c>
      <c r="D95" s="570">
        <v>27</v>
      </c>
      <c r="E95" s="570">
        <v>18</v>
      </c>
      <c r="F95" s="570">
        <v>15</v>
      </c>
      <c r="G95" s="570">
        <v>24</v>
      </c>
      <c r="H95" s="570">
        <v>6</v>
      </c>
      <c r="I95" s="570">
        <v>10</v>
      </c>
      <c r="J95" s="570">
        <v>104</v>
      </c>
      <c r="K95" s="570">
        <v>22</v>
      </c>
      <c r="L95" t="str">
        <f>IFERROR(VLOOKUP($A95,ID4D!$C$3:$F$200,1,FALSE),"-")</f>
        <v>Nepal</v>
      </c>
    </row>
    <row r="96" spans="1:12">
      <c r="A96" s="567" t="s">
        <v>294</v>
      </c>
      <c r="B96" s="568">
        <v>2012</v>
      </c>
      <c r="C96" s="568">
        <v>2</v>
      </c>
      <c r="D96" s="568">
        <v>29</v>
      </c>
      <c r="E96" s="568">
        <v>16</v>
      </c>
      <c r="F96" s="568">
        <v>19</v>
      </c>
      <c r="G96" s="568">
        <v>19</v>
      </c>
      <c r="H96" s="568">
        <v>3</v>
      </c>
      <c r="I96" s="568">
        <v>15</v>
      </c>
      <c r="J96" s="568">
        <v>103</v>
      </c>
      <c r="K96" s="568">
        <v>23</v>
      </c>
      <c r="L96" t="str">
        <f>IFERROR(VLOOKUP($A96,ID4D!$C$3:$F$200,1,FALSE),"-")</f>
        <v>Yemen</v>
      </c>
    </row>
    <row r="97" spans="1:12">
      <c r="A97" s="569" t="s">
        <v>61</v>
      </c>
      <c r="B97" s="570">
        <v>1985</v>
      </c>
      <c r="C97" s="570">
        <v>6</v>
      </c>
      <c r="D97" s="570">
        <v>29</v>
      </c>
      <c r="E97" s="570">
        <v>16</v>
      </c>
      <c r="F97" s="570">
        <v>23</v>
      </c>
      <c r="G97" s="570">
        <v>15</v>
      </c>
      <c r="H97" s="570">
        <v>4</v>
      </c>
      <c r="I97" s="570">
        <v>9</v>
      </c>
      <c r="J97" s="570">
        <v>102</v>
      </c>
      <c r="K97" s="570">
        <v>25</v>
      </c>
      <c r="L97" t="str">
        <f>IFERROR(VLOOKUP($A97,ID4D!$C$3:$F$200,1,FALSE),"-")</f>
        <v>Colombia</v>
      </c>
    </row>
    <row r="98" spans="1:12">
      <c r="A98" s="567" t="s">
        <v>41</v>
      </c>
      <c r="B98" s="568">
        <v>2000</v>
      </c>
      <c r="C98" s="568">
        <v>4</v>
      </c>
      <c r="D98" s="568">
        <v>30</v>
      </c>
      <c r="E98" s="568">
        <v>21</v>
      </c>
      <c r="F98" s="568">
        <v>19</v>
      </c>
      <c r="G98" s="568">
        <v>16</v>
      </c>
      <c r="H98" s="568">
        <v>0</v>
      </c>
      <c r="I98" s="568">
        <v>12</v>
      </c>
      <c r="J98" s="568">
        <v>102</v>
      </c>
      <c r="K98" s="568">
        <v>24</v>
      </c>
      <c r="L98" t="str">
        <f>IFERROR(VLOOKUP($A98,ID4D!$C$3:$F$200,1,FALSE),"-")</f>
        <v>Bosnia and Herzegovina</v>
      </c>
    </row>
    <row r="99" spans="1:12">
      <c r="A99" s="569" t="s">
        <v>123</v>
      </c>
      <c r="B99" s="570">
        <v>2008</v>
      </c>
      <c r="C99" s="570">
        <v>6</v>
      </c>
      <c r="D99" s="570">
        <v>28</v>
      </c>
      <c r="E99" s="570">
        <v>13</v>
      </c>
      <c r="F99" s="570">
        <v>16</v>
      </c>
      <c r="G99" s="570">
        <v>25</v>
      </c>
      <c r="H99" s="570">
        <v>3</v>
      </c>
      <c r="I99" s="570">
        <v>10</v>
      </c>
      <c r="J99" s="570">
        <v>101</v>
      </c>
      <c r="K99" s="570">
        <v>26</v>
      </c>
      <c r="L99" t="str">
        <f>IFERROR(VLOOKUP($A99,ID4D!$C$3:$F$200,1,FALSE),"-")</f>
        <v>Indonesia</v>
      </c>
    </row>
    <row r="100" spans="1:12">
      <c r="A100" s="567" t="s">
        <v>316</v>
      </c>
      <c r="B100" s="568">
        <v>2007</v>
      </c>
      <c r="C100" s="568">
        <v>4</v>
      </c>
      <c r="D100" s="568">
        <v>30</v>
      </c>
      <c r="E100" s="568">
        <v>24</v>
      </c>
      <c r="F100" s="568">
        <v>13</v>
      </c>
      <c r="G100" s="568">
        <v>19</v>
      </c>
      <c r="H100" s="568">
        <v>3</v>
      </c>
      <c r="I100" s="568">
        <v>8</v>
      </c>
      <c r="J100" s="568">
        <v>101</v>
      </c>
      <c r="K100" s="568">
        <v>27</v>
      </c>
      <c r="L100" t="str">
        <f>IFERROR(VLOOKUP($A100,ID4D!$C$3:$F$200,1,FALSE),"-")</f>
        <v>Kyrgyz Republic</v>
      </c>
    </row>
    <row r="101" spans="1:12" ht="15.75" thickBot="1">
      <c r="A101" s="571" t="s">
        <v>212</v>
      </c>
      <c r="B101" s="572">
        <v>2002</v>
      </c>
      <c r="C101" s="572">
        <v>5</v>
      </c>
      <c r="D101" s="572">
        <v>28</v>
      </c>
      <c r="E101" s="572">
        <v>15</v>
      </c>
      <c r="F101" s="572">
        <v>16</v>
      </c>
      <c r="G101" s="572">
        <v>20</v>
      </c>
      <c r="H101" s="572">
        <v>5</v>
      </c>
      <c r="I101" s="572">
        <v>11</v>
      </c>
      <c r="J101" s="572">
        <v>100</v>
      </c>
      <c r="K101" s="572">
        <v>28</v>
      </c>
      <c r="L101" t="str">
        <f>IFERROR(VLOOKUP($A101,ID4D!$C$3:$F$200,1,FALSE),"-")</f>
        <v>Panama</v>
      </c>
    </row>
  </sheetData>
  <hyperlinks>
    <hyperlink ref="A2" r:id="rId1" display="http://www.rti-rating.org/view_country.php?country_name=Tajikistan"/>
    <hyperlink ref="A3" r:id="rId2" display="http://www.rti-rating.org/view_country.php?country_name=Liechtenstein"/>
    <hyperlink ref="A4" r:id="rId3" display="http://www.rti-rating.org/view_country.php?country_name=Austria"/>
    <hyperlink ref="A5" r:id="rId4" display="http://www.rti-rating.org/view_country.php?country_name=United%20Kingdom"/>
    <hyperlink ref="A6" r:id="rId5"/>
    <hyperlink ref="A7" r:id="rId6" display="http://www.rti-rating.org/view_country.php?country_name=Georgia"/>
    <hyperlink ref="A8" r:id="rId7" display="http://www.rti-rating.org/view_country.php?country_name=Uganda"/>
    <hyperlink ref="A9" r:id="rId8" display="http://www.rti-rating.org/view_country.php?country_name=Armenia"/>
    <hyperlink ref="A10" r:id="rId9" display="http://www.rti-rating.org/view_country.php?country_name=Guatemala"/>
    <hyperlink ref="A11" r:id="rId10" display="http://www.rti-rating.org/view_country.php?country_name=New%20Zealand"/>
    <hyperlink ref="A12" r:id="rId11" display="http://www.rti-rating.org/view_country.php?country_name=Estonia"/>
    <hyperlink ref="A13" r:id="rId12" display="http://www.rti-rating.org/view_country.php?country_name=Chile"/>
    <hyperlink ref="A14" r:id="rId13" display="http://www.rti-rating.org/view_country.php?country_name=Peru"/>
    <hyperlink ref="A15" r:id="rId14" display="http://www.rti-rating.org/view_country.php?country_name=Ireland"/>
    <hyperlink ref="A16" r:id="rId15" display="http://www.rti-rating.org/view_country.php?country_name=Sweden"/>
    <hyperlink ref="A17" r:id="rId16" display="http://www.rti-rating.org/view_country.php?country_name=Bulgaria"/>
    <hyperlink ref="A18" r:id="rId17" display="http://www.rti-rating.org/view_country.php?country_name=Uruguay"/>
    <hyperlink ref="A19" r:id="rId18" display="http://www.rti-rating.org/view_country.php?country_name=Tunisia"/>
    <hyperlink ref="A20" r:id="rId19" display="http://www.rti-rating.org/view_country.php?country_name=Montenegro"/>
    <hyperlink ref="A21" r:id="rId20" display="http://www.rti-rating.org/view_country.php?country_name=United%20States%20of%20America"/>
    <hyperlink ref="A22" r:id="rId21" display="http://www.rti-rating.org/view_country.php?country_name=Trinidad%20and%20Tobago"/>
    <hyperlink ref="A23" r:id="rId22" display="http://www.rti-rating.org/view_country.php?country_name=Jamaica"/>
    <hyperlink ref="A24" r:id="rId23" display="http://www.rti-rating.org/view_country.php?country_name=Nigeria"/>
    <hyperlink ref="A25" r:id="rId24" display="http://www.rti-rating.org/view_country.php?country_name=Hungary"/>
    <hyperlink ref="A26" r:id="rId25" display="http://www.rti-rating.org/view_country.php?country_name=Belize"/>
    <hyperlink ref="A27" r:id="rId26" display="http://www.rti-rating.org/view_country.php?country_name=Australia"/>
    <hyperlink ref="A28" r:id="rId27" display="http://www.rti-rating.org/view_country.php?country_name=Netherlands"/>
    <hyperlink ref="A29" r:id="rId28" display="http://www.rti-rating.org/view_country.php?country_name=Romania"/>
    <hyperlink ref="A30" r:id="rId29" display="http://www.rti-rating.org/view_country.php?country_name=Honduras"/>
    <hyperlink ref="A31" r:id="rId30"/>
    <hyperlink ref="A32" r:id="rId31" display="http://www.rti-rating.org/view_country.php?country_name=Mongolia"/>
    <hyperlink ref="A33" r:id="rId32" display="http://www.rti-rating.org/view_country.php?country_name=Canada"/>
    <hyperlink ref="A34" r:id="rId33" display="http://www.rti-rating.org/view_country.php?country_name=Norway"/>
    <hyperlink ref="A35" r:id="rId34" display="http://www.rti-rating.org/view_country.php?country_name=Malta"/>
    <hyperlink ref="A36" r:id="rId35" display="http://www.rti-rating.org/view_country.php?country_name=Rwanda"/>
    <hyperlink ref="A37" r:id="rId36" display="http://www.rti-rating.org/view_country.php?country_name=Switzerland"/>
    <hyperlink ref="A38" r:id="rId37"/>
    <hyperlink ref="A39" r:id="rId38" display="http://www.rti-rating.org/view_country.php?country_name=Angola"/>
    <hyperlink ref="A40" r:id="rId39" display="http://www.rti-rating.org/view_country.php?country_name=Thailand"/>
    <hyperlink ref="A41" r:id="rId40" display="http://www.rti-rating.org/view_country.php?country_name=Spain"/>
    <hyperlink ref="A42" r:id="rId41" display="http://www.rti-rating.org/view_country.php?country_name=Niger"/>
    <hyperlink ref="A43" r:id="rId42" display="http://www.rti-rating.org/view_country.php?country_name=Ecuador"/>
    <hyperlink ref="A44" r:id="rId43" display="http://www.rti-rating.org/view_country.php?country_name=Portugal"/>
    <hyperlink ref="A45" r:id="rId44" display="http://www.rti-rating.org/view_country.php?country_name=Czech%20Republic"/>
    <hyperlink ref="A46" r:id="rId45" display="http://www.rti-rating.org/view_country.php?country_name=Turkey"/>
    <hyperlink ref="A47" r:id="rId46" display="http://www.rti-rating.org/view_country.php?country_name=Latvia"/>
    <hyperlink ref="A48" r:id="rId47" display="http://www.rti-rating.org/view_country.php?country_name=Zimbabwe"/>
    <hyperlink ref="A49" r:id="rId48"/>
    <hyperlink ref="A50" r:id="rId49" display="http://www.rti-rating.org/view_country.php?country_name=China"/>
    <hyperlink ref="A51" r:id="rId50"/>
    <hyperlink ref="A52" r:id="rId51" display="http://www.rti-rating.org/view_country.php?country_name=Albania"/>
    <hyperlink ref="A53" r:id="rId52" display="http://www.rti-rating.org/view_country.php?country_name=Cook%20Islands"/>
    <hyperlink ref="A54" r:id="rId53" display="http://www.rti-rating.org/view_country.php?country_name=Guyana"/>
    <hyperlink ref="A55" r:id="rId54" display="http://www.rti-rating.org/view_country.php?country_name=Argentina"/>
    <hyperlink ref="A56" r:id="rId55" display="http://www.rti-rating.org/view_country.php?country_name=Israel"/>
    <hyperlink ref="A57" r:id="rId56" display="http://www.rti-rating.org/view_country.php?country_name=Pakistan"/>
    <hyperlink ref="A58" r:id="rId57" display="http://www.rti-rating.org/view_country.php?country_name=Japan"/>
    <hyperlink ref="A59" r:id="rId58" display="http://www.rti-rating.org/view_country.php?country_name=Greece"/>
    <hyperlink ref="A60" r:id="rId59" display="http://www.rti-rating.org/view_country.php?country_name=France"/>
    <hyperlink ref="A61" r:id="rId60" display="http://www.rti-rating.org/view_country.php?country_name=Lithuania"/>
    <hyperlink ref="A62" r:id="rId61" display="http://www.rti-rating.org/view_country.php?country_name=Denmark"/>
    <hyperlink ref="A63" r:id="rId62" display="http://www.rti-rating.org/view_country.php?country_name=Guinea"/>
    <hyperlink ref="A64" r:id="rId63" display="http://www.rti-rating.org/view_country.php?country_name=Iceland"/>
    <hyperlink ref="A65" r:id="rId64" display="http://www.rti-rating.org/view_country.php?country_name=Poland"/>
    <hyperlink ref="A66" r:id="rId65" display="http://www.rti-rating.org/view_country.php?country_name=Paraguay"/>
    <hyperlink ref="A67" r:id="rId66" display="http://www.rti-rating.org/view_country.php?country_name=Dominican%20Republic"/>
    <hyperlink ref="A68" r:id="rId67" display="http://www.rti-rating.org/view_country.php?country_name=Belgium"/>
    <hyperlink ref="A69" r:id="rId68" display="http://www.rti-rating.org/view_country.php?country_name=Uzbekistan"/>
    <hyperlink ref="A70" r:id="rId69"/>
    <hyperlink ref="A71" r:id="rId70" display="http://www.rti-rating.org/view_country.php?country_name=Italy"/>
    <hyperlink ref="A72" r:id="rId71" display="http://www.rti-rating.org/view_country.php?country_name=Jordan"/>
    <hyperlink ref="A73" r:id="rId72" display="http://www.rti-rating.org/view_country.php?country_name=Germany"/>
    <hyperlink ref="A74" r:id="rId73" display="http://www.rti-rating.org/view_country.php?country_name=Serbia"/>
    <hyperlink ref="A75" r:id="rId74" display="http://www.rti-rating.org/view_country.php?country_name=Slovenia"/>
    <hyperlink ref="A76" r:id="rId75" display="http://www.rti-rating.org/view_country.php?country_name=India"/>
    <hyperlink ref="A77" r:id="rId76" display="http://www.rti-rating.org/view_country.php?country_name=Liberia"/>
    <hyperlink ref="A78" r:id="rId77" display="http://www.rti-rating.org/view_country.php?country_name=Sierra%20Leone"/>
    <hyperlink ref="A79" r:id="rId78" display="http://www.rti-rating.org/view_country.php?country_name=El%20Salvador"/>
    <hyperlink ref="A80" r:id="rId79" display="http://www.rti-rating.org/view_country.php?country_name=Mexico"/>
    <hyperlink ref="A81" r:id="rId80"/>
    <hyperlink ref="A82" r:id="rId81" display="http://www.rti-rating.org/view_country.php?country_name=Maldives"/>
    <hyperlink ref="A83" r:id="rId82" display="http://www.rti-rating.org/view_country.php?country_name=Ukraine"/>
    <hyperlink ref="A84" r:id="rId83" display="http://www.rti-rating.org/view_country.php?country_name=Azerbaijan"/>
    <hyperlink ref="A85" r:id="rId84" display="http://www.rti-rating.org/view_country.php?country_name=Macedonia"/>
    <hyperlink ref="A86" r:id="rId85" display="http://www.rti-rating.org/view_country.php?country_name=Croatia"/>
    <hyperlink ref="A87" r:id="rId86" display="http://www.rti-rating.org/view_country.php?country_name=Ethiopia"/>
    <hyperlink ref="A88" r:id="rId87" display="http://www.rti-rating.org/view_country.php?country_name=Nicaragua"/>
    <hyperlink ref="A89" r:id="rId88" display="http://www.rti-rating.org/view_country.php?country_name=Moldova"/>
    <hyperlink ref="A90" r:id="rId89" display="http://www.rti-rating.org/view_country.php?country_name=South%20Africa"/>
    <hyperlink ref="A91" r:id="rId90" display="http://www.rti-rating.org/view_country.php?country_name=Brazil"/>
    <hyperlink ref="A92" r:id="rId91" display="http://www.rti-rating.org/view_country.php?country_name=Bangladesh"/>
    <hyperlink ref="A93" r:id="rId92" display="http://www.rti-rating.org/view_country.php?country_name=Kosovo"/>
    <hyperlink ref="A94" r:id="rId93" display="http://www.rti-rating.org/view_country.php?country_name=Finland"/>
    <hyperlink ref="A95" r:id="rId94" display="http://www.rti-rating.org/view_country.php?country_name=Nepal"/>
    <hyperlink ref="A96" r:id="rId95" display="http://www.rti-rating.org/view_country.php?country_name=Yemen"/>
    <hyperlink ref="A97" r:id="rId96" display="http://www.rti-rating.org/view_country.php?country_name=Colombia"/>
    <hyperlink ref="A98" r:id="rId97" display="http://www.rti-rating.org/view_country.php?country_name=Bosnia%20and%20Herzegovina"/>
    <hyperlink ref="A99" r:id="rId98" display="http://www.rti-rating.org/view_country.php?country_name=Indonesia"/>
    <hyperlink ref="A100" r:id="rId99"/>
    <hyperlink ref="A101" r:id="rId100" display="http://www.rti-rating.org/view_country.php?country_name=Panama"/>
    <hyperlink ref="M1" r:id="rId101"/>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Y143"/>
  <sheetViews>
    <sheetView zoomScale="80" zoomScaleNormal="80" workbookViewId="0">
      <pane xSplit="1" ySplit="1" topLeftCell="B35" activePane="bottomRight" state="frozen"/>
      <selection pane="topRight" activeCell="B1" sqref="B1"/>
      <selection pane="bottomLeft" activeCell="A3" sqref="A3"/>
      <selection pane="bottomRight" activeCell="C39" sqref="C39"/>
    </sheetView>
  </sheetViews>
  <sheetFormatPr defaultRowHeight="15"/>
  <cols>
    <col min="1" max="1" width="12.7109375" style="498" customWidth="1"/>
    <col min="2" max="2" width="9.7109375" style="499" customWidth="1"/>
    <col min="3" max="3" width="32.7109375" style="502" customWidth="1"/>
    <col min="4" max="4" width="7.7109375" style="499" customWidth="1"/>
    <col min="5" max="5" width="6.7109375" style="499" customWidth="1"/>
    <col min="6" max="6" width="9.7109375" style="499" customWidth="1"/>
    <col min="7" max="8" width="14.7109375" style="511" customWidth="1"/>
    <col min="9" max="15" width="6.7109375" style="499" customWidth="1"/>
    <col min="16" max="16" width="12.140625" customWidth="1"/>
    <col min="17" max="17" width="7.85546875" customWidth="1"/>
    <col min="18" max="18" width="15.5703125" customWidth="1"/>
    <col min="19" max="19" width="4.42578125" style="49" customWidth="1"/>
    <col min="20" max="25" width="12.7109375" customWidth="1"/>
  </cols>
  <sheetData>
    <row r="1" spans="1:25">
      <c r="A1" s="464" t="s">
        <v>933</v>
      </c>
      <c r="B1" s="464" t="s">
        <v>3454</v>
      </c>
      <c r="C1" s="464" t="s">
        <v>3890</v>
      </c>
      <c r="D1" s="464" t="s">
        <v>405</v>
      </c>
      <c r="E1" s="464" t="s">
        <v>515</v>
      </c>
      <c r="F1" s="464" t="s">
        <v>3440</v>
      </c>
      <c r="G1" s="465" t="s">
        <v>3455</v>
      </c>
      <c r="H1" s="466" t="s">
        <v>3456</v>
      </c>
      <c r="I1" s="467" t="s">
        <v>3457</v>
      </c>
      <c r="J1" s="468" t="s">
        <v>3458</v>
      </c>
      <c r="K1" s="469" t="s">
        <v>3459</v>
      </c>
      <c r="L1" s="470" t="s">
        <v>3460</v>
      </c>
      <c r="M1" s="470" t="s">
        <v>3461</v>
      </c>
      <c r="N1" s="470" t="s">
        <v>1694</v>
      </c>
      <c r="O1" s="471" t="s">
        <v>7</v>
      </c>
      <c r="P1" s="512" t="s">
        <v>3889</v>
      </c>
      <c r="R1" s="519" t="s">
        <v>933</v>
      </c>
      <c r="S1" s="518" t="s">
        <v>3929</v>
      </c>
      <c r="T1" s="467" t="s">
        <v>3457</v>
      </c>
      <c r="U1" s="469" t="s">
        <v>3459</v>
      </c>
      <c r="V1" s="470" t="s">
        <v>3460</v>
      </c>
      <c r="W1" s="470" t="s">
        <v>3461</v>
      </c>
      <c r="X1" s="470" t="s">
        <v>1694</v>
      </c>
      <c r="Y1" s="471" t="s">
        <v>7</v>
      </c>
    </row>
    <row r="2" spans="1:25">
      <c r="A2" s="474" t="s">
        <v>8</v>
      </c>
      <c r="B2" s="472" t="s">
        <v>3733</v>
      </c>
      <c r="C2" s="473" t="s">
        <v>3734</v>
      </c>
      <c r="D2" s="472" t="s">
        <v>411</v>
      </c>
      <c r="E2" s="472" t="s">
        <v>3471</v>
      </c>
      <c r="F2" s="472" t="s">
        <v>3643</v>
      </c>
      <c r="G2" s="476">
        <v>37796</v>
      </c>
      <c r="H2" s="477">
        <v>39721</v>
      </c>
      <c r="I2" s="513"/>
      <c r="J2" s="509"/>
      <c r="K2" s="513"/>
      <c r="L2" s="472"/>
      <c r="M2" s="472"/>
      <c r="N2" s="472" t="s">
        <v>414</v>
      </c>
      <c r="O2" s="509"/>
      <c r="P2" t="s">
        <v>3881</v>
      </c>
      <c r="R2" t="s">
        <v>8</v>
      </c>
      <c r="S2" s="49">
        <v>2</v>
      </c>
      <c r="T2" t="s">
        <v>145</v>
      </c>
      <c r="U2" t="s">
        <v>145</v>
      </c>
      <c r="V2" t="s">
        <v>145</v>
      </c>
      <c r="W2" t="s">
        <v>145</v>
      </c>
      <c r="X2" t="s">
        <v>3895</v>
      </c>
      <c r="Y2" t="s">
        <v>145</v>
      </c>
    </row>
    <row r="3" spans="1:25">
      <c r="A3" s="474" t="s">
        <v>8</v>
      </c>
      <c r="B3" s="472" t="s">
        <v>3735</v>
      </c>
      <c r="C3" s="473" t="s">
        <v>3736</v>
      </c>
      <c r="D3" s="472" t="s">
        <v>411</v>
      </c>
      <c r="E3" s="472" t="s">
        <v>3471</v>
      </c>
      <c r="F3" s="472" t="s">
        <v>3643</v>
      </c>
      <c r="G3" s="479">
        <v>39231</v>
      </c>
      <c r="H3" s="477">
        <v>40908</v>
      </c>
      <c r="I3" s="513"/>
      <c r="J3" s="509"/>
      <c r="K3" s="513"/>
      <c r="L3" s="472"/>
      <c r="M3" s="472"/>
      <c r="N3" s="472" t="s">
        <v>414</v>
      </c>
      <c r="O3" s="509"/>
      <c r="P3" t="s">
        <v>3882</v>
      </c>
      <c r="R3" t="s">
        <v>11</v>
      </c>
      <c r="S3" s="49">
        <v>6</v>
      </c>
      <c r="T3" t="s">
        <v>145</v>
      </c>
      <c r="U3" t="s">
        <v>3896</v>
      </c>
      <c r="V3" t="s">
        <v>145</v>
      </c>
      <c r="W3" t="s">
        <v>145</v>
      </c>
      <c r="X3" t="s">
        <v>3897</v>
      </c>
      <c r="Y3" t="s">
        <v>3898</v>
      </c>
    </row>
    <row r="4" spans="1:25">
      <c r="A4" s="474" t="s">
        <v>11</v>
      </c>
      <c r="B4" s="472" t="s">
        <v>3684</v>
      </c>
      <c r="C4" s="473" t="s">
        <v>3685</v>
      </c>
      <c r="D4" s="472" t="s">
        <v>408</v>
      </c>
      <c r="E4" s="475" t="s">
        <v>3480</v>
      </c>
      <c r="F4" s="472" t="s">
        <v>3643</v>
      </c>
      <c r="G4" s="476">
        <v>39135</v>
      </c>
      <c r="H4" s="477">
        <v>41820</v>
      </c>
      <c r="I4" s="513"/>
      <c r="J4" s="509"/>
      <c r="K4" s="514"/>
      <c r="L4" s="515"/>
      <c r="M4" s="472"/>
      <c r="N4" s="472"/>
      <c r="O4" s="509" t="s">
        <v>414</v>
      </c>
      <c r="P4" t="s">
        <v>3856</v>
      </c>
      <c r="R4" t="s">
        <v>21</v>
      </c>
      <c r="S4" s="49">
        <v>1</v>
      </c>
      <c r="T4" t="s">
        <v>145</v>
      </c>
      <c r="U4" t="s">
        <v>3796</v>
      </c>
      <c r="V4" t="s">
        <v>145</v>
      </c>
      <c r="W4" t="s">
        <v>145</v>
      </c>
      <c r="X4" t="s">
        <v>3796</v>
      </c>
      <c r="Y4" t="s">
        <v>145</v>
      </c>
    </row>
    <row r="5" spans="1:25">
      <c r="A5" s="474" t="s">
        <v>11</v>
      </c>
      <c r="B5" s="480" t="s">
        <v>3680</v>
      </c>
      <c r="C5" s="481" t="s">
        <v>3681</v>
      </c>
      <c r="D5" s="480" t="s">
        <v>408</v>
      </c>
      <c r="E5" s="480" t="s">
        <v>3471</v>
      </c>
      <c r="F5" s="480" t="s">
        <v>3643</v>
      </c>
      <c r="G5" s="479">
        <v>39464</v>
      </c>
      <c r="H5" s="483">
        <v>40816</v>
      </c>
      <c r="I5" s="495"/>
      <c r="J5" s="497"/>
      <c r="K5" s="495"/>
      <c r="L5" s="480"/>
      <c r="M5" s="480"/>
      <c r="N5" s="480" t="s">
        <v>414</v>
      </c>
      <c r="O5" s="497"/>
      <c r="P5" t="s">
        <v>3854</v>
      </c>
      <c r="R5" t="s">
        <v>22</v>
      </c>
      <c r="S5" s="49">
        <v>3</v>
      </c>
      <c r="T5" t="s">
        <v>3899</v>
      </c>
      <c r="U5" t="s">
        <v>3862</v>
      </c>
      <c r="V5" t="s">
        <v>3861</v>
      </c>
      <c r="W5" t="s">
        <v>3861</v>
      </c>
      <c r="X5" t="s">
        <v>3903</v>
      </c>
      <c r="Y5" t="s">
        <v>145</v>
      </c>
    </row>
    <row r="6" spans="1:25">
      <c r="A6" s="474" t="s">
        <v>11</v>
      </c>
      <c r="B6" s="480" t="s">
        <v>3682</v>
      </c>
      <c r="C6" s="481" t="s">
        <v>3683</v>
      </c>
      <c r="D6" s="480" t="s">
        <v>408</v>
      </c>
      <c r="E6" s="482" t="s">
        <v>3464</v>
      </c>
      <c r="F6" s="480" t="s">
        <v>3643</v>
      </c>
      <c r="G6" s="479">
        <v>39889</v>
      </c>
      <c r="H6" s="483">
        <v>41363</v>
      </c>
      <c r="I6" s="495"/>
      <c r="J6" s="497"/>
      <c r="K6" s="506" t="s">
        <v>414</v>
      </c>
      <c r="L6" s="500"/>
      <c r="M6" s="480"/>
      <c r="N6" s="480"/>
      <c r="O6" s="497"/>
      <c r="P6" t="s">
        <v>3855</v>
      </c>
      <c r="R6" t="s">
        <v>23</v>
      </c>
      <c r="S6" s="49">
        <v>2</v>
      </c>
      <c r="T6" t="s">
        <v>3785</v>
      </c>
      <c r="U6" t="s">
        <v>145</v>
      </c>
      <c r="V6" t="s">
        <v>3784</v>
      </c>
      <c r="W6" t="s">
        <v>145</v>
      </c>
      <c r="X6" t="s">
        <v>145</v>
      </c>
      <c r="Y6" t="s">
        <v>145</v>
      </c>
    </row>
    <row r="7" spans="1:25">
      <c r="A7" s="478" t="s">
        <v>11</v>
      </c>
      <c r="B7" s="480" t="s">
        <v>3536</v>
      </c>
      <c r="C7" s="481" t="s">
        <v>3537</v>
      </c>
      <c r="D7" s="480" t="s">
        <v>408</v>
      </c>
      <c r="E7" s="480" t="s">
        <v>3464</v>
      </c>
      <c r="F7" s="482" t="s">
        <v>3465</v>
      </c>
      <c r="G7" s="479">
        <v>41002</v>
      </c>
      <c r="H7" s="483">
        <v>42916</v>
      </c>
      <c r="I7" s="493"/>
      <c r="J7" s="494"/>
      <c r="K7" s="493" t="s">
        <v>414</v>
      </c>
      <c r="L7" s="488"/>
      <c r="M7" s="488"/>
      <c r="N7" s="488"/>
      <c r="O7" s="494"/>
      <c r="P7" t="s">
        <v>3782</v>
      </c>
      <c r="R7" t="s">
        <v>31</v>
      </c>
      <c r="S7" s="49">
        <v>4</v>
      </c>
      <c r="T7" t="s">
        <v>3806</v>
      </c>
      <c r="U7" t="s">
        <v>3900</v>
      </c>
      <c r="V7" t="s">
        <v>3807</v>
      </c>
      <c r="W7" t="s">
        <v>145</v>
      </c>
      <c r="X7" t="s">
        <v>145</v>
      </c>
      <c r="Y7" t="s">
        <v>145</v>
      </c>
    </row>
    <row r="8" spans="1:25">
      <c r="A8" s="478" t="s">
        <v>11</v>
      </c>
      <c r="B8" s="480" t="s">
        <v>3538</v>
      </c>
      <c r="C8" s="481" t="s">
        <v>3539</v>
      </c>
      <c r="D8" s="480" t="s">
        <v>408</v>
      </c>
      <c r="E8" s="480" t="s">
        <v>3471</v>
      </c>
      <c r="F8" s="482" t="s">
        <v>3465</v>
      </c>
      <c r="G8" s="479">
        <v>41284</v>
      </c>
      <c r="H8" s="483">
        <v>42460</v>
      </c>
      <c r="I8" s="493"/>
      <c r="J8" s="494"/>
      <c r="K8" s="493"/>
      <c r="L8" s="488"/>
      <c r="M8" s="488"/>
      <c r="N8" s="488" t="s">
        <v>414</v>
      </c>
      <c r="O8" s="494"/>
      <c r="P8" t="s">
        <v>3783</v>
      </c>
      <c r="R8" t="s">
        <v>40</v>
      </c>
      <c r="S8" s="49">
        <v>1</v>
      </c>
      <c r="T8" t="s">
        <v>145</v>
      </c>
      <c r="U8" t="s">
        <v>145</v>
      </c>
      <c r="V8" t="s">
        <v>3863</v>
      </c>
      <c r="W8" t="s">
        <v>145</v>
      </c>
      <c r="X8" t="s">
        <v>145</v>
      </c>
      <c r="Y8" t="s">
        <v>145</v>
      </c>
    </row>
    <row r="9" spans="1:25">
      <c r="A9" s="478" t="s">
        <v>11</v>
      </c>
      <c r="B9" s="480" t="s">
        <v>3620</v>
      </c>
      <c r="C9" s="481" t="s">
        <v>3621</v>
      </c>
      <c r="D9" s="480" t="s">
        <v>408</v>
      </c>
      <c r="E9" s="480" t="s">
        <v>3471</v>
      </c>
      <c r="F9" s="503" t="s">
        <v>3596</v>
      </c>
      <c r="G9" s="479">
        <v>42200</v>
      </c>
      <c r="H9" s="483"/>
      <c r="I9" s="495"/>
      <c r="J9" s="497"/>
      <c r="K9" s="495"/>
      <c r="L9" s="480"/>
      <c r="M9" s="480"/>
      <c r="N9" s="480"/>
      <c r="O9" s="497" t="s">
        <v>414</v>
      </c>
      <c r="P9" t="s">
        <v>3825</v>
      </c>
      <c r="R9" t="s">
        <v>43</v>
      </c>
      <c r="S9" s="49">
        <v>1</v>
      </c>
      <c r="T9" t="s">
        <v>145</v>
      </c>
      <c r="U9" t="s">
        <v>3794</v>
      </c>
      <c r="V9" t="s">
        <v>145</v>
      </c>
      <c r="W9" t="s">
        <v>145</v>
      </c>
      <c r="X9" t="s">
        <v>145</v>
      </c>
      <c r="Y9" t="s">
        <v>145</v>
      </c>
    </row>
    <row r="10" spans="1:25">
      <c r="A10" s="478" t="s">
        <v>21</v>
      </c>
      <c r="B10" s="480" t="s">
        <v>3561</v>
      </c>
      <c r="C10" s="481" t="s">
        <v>3562</v>
      </c>
      <c r="D10" s="480" t="s">
        <v>409</v>
      </c>
      <c r="E10" s="480" t="s">
        <v>3464</v>
      </c>
      <c r="F10" s="482" t="s">
        <v>3465</v>
      </c>
      <c r="G10" s="479">
        <v>41430</v>
      </c>
      <c r="H10" s="483">
        <v>43465</v>
      </c>
      <c r="I10" s="493"/>
      <c r="J10" s="494"/>
      <c r="K10" s="493" t="s">
        <v>414</v>
      </c>
      <c r="L10" s="488"/>
      <c r="M10" s="488"/>
      <c r="N10" s="488" t="s">
        <v>414</v>
      </c>
      <c r="O10" s="494"/>
      <c r="P10" t="s">
        <v>3796</v>
      </c>
      <c r="R10" t="s">
        <v>49</v>
      </c>
      <c r="S10" s="49">
        <v>2</v>
      </c>
      <c r="T10" t="s">
        <v>145</v>
      </c>
      <c r="U10" t="s">
        <v>3750</v>
      </c>
      <c r="V10" t="s">
        <v>3835</v>
      </c>
      <c r="W10" t="s">
        <v>145</v>
      </c>
      <c r="X10" t="s">
        <v>3835</v>
      </c>
      <c r="Y10" t="s">
        <v>145</v>
      </c>
    </row>
    <row r="11" spans="1:25">
      <c r="A11" s="478" t="s">
        <v>22</v>
      </c>
      <c r="B11" s="480" t="s">
        <v>3692</v>
      </c>
      <c r="C11" s="481" t="s">
        <v>3693</v>
      </c>
      <c r="D11" s="480" t="s">
        <v>409</v>
      </c>
      <c r="E11" s="480" t="s">
        <v>3471</v>
      </c>
      <c r="F11" s="480" t="s">
        <v>3643</v>
      </c>
      <c r="G11" s="479">
        <v>33414</v>
      </c>
      <c r="H11" s="483">
        <v>35611</v>
      </c>
      <c r="I11" s="495"/>
      <c r="J11" s="497"/>
      <c r="K11" s="495"/>
      <c r="L11" s="480"/>
      <c r="M11" s="480"/>
      <c r="N11" s="480" t="s">
        <v>414</v>
      </c>
      <c r="O11" s="497"/>
      <c r="P11" t="s">
        <v>3860</v>
      </c>
      <c r="R11" t="s">
        <v>50</v>
      </c>
      <c r="S11" s="49">
        <v>1</v>
      </c>
      <c r="T11" t="s">
        <v>145</v>
      </c>
      <c r="U11" t="s">
        <v>145</v>
      </c>
      <c r="V11" t="s">
        <v>3836</v>
      </c>
      <c r="W11" t="s">
        <v>3836</v>
      </c>
      <c r="X11" t="s">
        <v>3836</v>
      </c>
      <c r="Y11" t="s">
        <v>145</v>
      </c>
    </row>
    <row r="12" spans="1:25">
      <c r="A12" s="478" t="s">
        <v>22</v>
      </c>
      <c r="B12" s="480" t="s">
        <v>3694</v>
      </c>
      <c r="C12" s="481" t="s">
        <v>3695</v>
      </c>
      <c r="D12" s="480" t="s">
        <v>409</v>
      </c>
      <c r="E12" s="480" t="s">
        <v>3471</v>
      </c>
      <c r="F12" s="480" t="s">
        <v>3643</v>
      </c>
      <c r="G12" s="479">
        <v>38701</v>
      </c>
      <c r="H12" s="483">
        <v>41639</v>
      </c>
      <c r="I12" s="495" t="s">
        <v>414</v>
      </c>
      <c r="J12" s="497" t="s">
        <v>414</v>
      </c>
      <c r="K12" s="495"/>
      <c r="L12" s="480" t="s">
        <v>414</v>
      </c>
      <c r="M12" s="480" t="s">
        <v>414</v>
      </c>
      <c r="N12" s="480" t="s">
        <v>414</v>
      </c>
      <c r="O12" s="497"/>
      <c r="P12" t="s">
        <v>3861</v>
      </c>
      <c r="R12" t="s">
        <v>57</v>
      </c>
      <c r="S12" s="49">
        <v>1</v>
      </c>
      <c r="T12" t="s">
        <v>145</v>
      </c>
      <c r="U12" t="s">
        <v>145</v>
      </c>
      <c r="V12" t="s">
        <v>145</v>
      </c>
      <c r="W12" t="s">
        <v>3751</v>
      </c>
      <c r="X12" t="s">
        <v>145</v>
      </c>
      <c r="Y12" t="s">
        <v>3751</v>
      </c>
    </row>
    <row r="13" spans="1:25">
      <c r="A13" s="478" t="s">
        <v>22</v>
      </c>
      <c r="B13" s="480" t="s">
        <v>3696</v>
      </c>
      <c r="C13" s="481" t="s">
        <v>3697</v>
      </c>
      <c r="D13" s="480" t="s">
        <v>409</v>
      </c>
      <c r="E13" s="480" t="s">
        <v>3471</v>
      </c>
      <c r="F13" s="480" t="s">
        <v>3643</v>
      </c>
      <c r="G13" s="479">
        <v>39639</v>
      </c>
      <c r="H13" s="483">
        <v>41639</v>
      </c>
      <c r="I13" s="506" t="s">
        <v>414</v>
      </c>
      <c r="J13" s="501" t="s">
        <v>414</v>
      </c>
      <c r="K13" s="506" t="s">
        <v>414</v>
      </c>
      <c r="L13" s="500"/>
      <c r="M13" s="500"/>
      <c r="N13" s="500"/>
      <c r="O13" s="501"/>
      <c r="P13" t="s">
        <v>3862</v>
      </c>
      <c r="R13" t="s">
        <v>58</v>
      </c>
      <c r="S13" s="49">
        <v>2</v>
      </c>
      <c r="T13" t="s">
        <v>145</v>
      </c>
      <c r="U13" t="s">
        <v>145</v>
      </c>
      <c r="V13" t="s">
        <v>3864</v>
      </c>
      <c r="W13" t="s">
        <v>145</v>
      </c>
      <c r="X13" t="s">
        <v>3865</v>
      </c>
      <c r="Y13" t="s">
        <v>145</v>
      </c>
    </row>
    <row r="14" spans="1:25">
      <c r="A14" s="478" t="s">
        <v>23</v>
      </c>
      <c r="B14" s="480" t="s">
        <v>3540</v>
      </c>
      <c r="C14" s="481" t="s">
        <v>3527</v>
      </c>
      <c r="D14" s="480" t="s">
        <v>408</v>
      </c>
      <c r="E14" s="480" t="s">
        <v>3471</v>
      </c>
      <c r="F14" s="482" t="s">
        <v>3465</v>
      </c>
      <c r="G14" s="479">
        <v>41093</v>
      </c>
      <c r="H14" s="483">
        <v>42490</v>
      </c>
      <c r="I14" s="493"/>
      <c r="J14" s="494"/>
      <c r="K14" s="493"/>
      <c r="L14" s="488" t="s">
        <v>414</v>
      </c>
      <c r="M14" s="488"/>
      <c r="N14" s="488"/>
      <c r="O14" s="494"/>
      <c r="P14" t="s">
        <v>3784</v>
      </c>
      <c r="R14" t="s">
        <v>59</v>
      </c>
      <c r="S14" s="49">
        <v>1</v>
      </c>
      <c r="T14" t="s">
        <v>145</v>
      </c>
      <c r="U14" t="s">
        <v>145</v>
      </c>
      <c r="V14" t="s">
        <v>3850</v>
      </c>
      <c r="W14" t="s">
        <v>145</v>
      </c>
      <c r="X14" t="s">
        <v>145</v>
      </c>
      <c r="Y14" t="s">
        <v>145</v>
      </c>
    </row>
    <row r="15" spans="1:25">
      <c r="A15" s="478" t="s">
        <v>23</v>
      </c>
      <c r="B15" s="480" t="s">
        <v>3541</v>
      </c>
      <c r="C15" s="481" t="s">
        <v>3542</v>
      </c>
      <c r="D15" s="480" t="s">
        <v>408</v>
      </c>
      <c r="E15" s="480" t="s">
        <v>3489</v>
      </c>
      <c r="F15" s="482" t="s">
        <v>3465</v>
      </c>
      <c r="G15" s="479">
        <v>40512</v>
      </c>
      <c r="H15" s="483">
        <v>42004</v>
      </c>
      <c r="I15" s="493" t="s">
        <v>414</v>
      </c>
      <c r="J15" s="494" t="s">
        <v>414</v>
      </c>
      <c r="K15" s="493"/>
      <c r="L15" s="488"/>
      <c r="M15" s="488"/>
      <c r="N15" s="488"/>
      <c r="O15" s="494"/>
      <c r="P15" t="s">
        <v>3785</v>
      </c>
      <c r="R15" t="s">
        <v>61</v>
      </c>
      <c r="S15" s="49">
        <v>3</v>
      </c>
      <c r="T15" t="s">
        <v>145</v>
      </c>
      <c r="U15" t="s">
        <v>145</v>
      </c>
      <c r="V15" t="s">
        <v>3904</v>
      </c>
      <c r="W15" t="s">
        <v>145</v>
      </c>
      <c r="X15" t="s">
        <v>145</v>
      </c>
      <c r="Y15" t="s">
        <v>145</v>
      </c>
    </row>
    <row r="16" spans="1:25">
      <c r="A16" s="478" t="s">
        <v>31</v>
      </c>
      <c r="B16" s="480" t="s">
        <v>3581</v>
      </c>
      <c r="C16" s="481" t="s">
        <v>3582</v>
      </c>
      <c r="D16" s="480" t="s">
        <v>411</v>
      </c>
      <c r="E16" s="480" t="s">
        <v>3471</v>
      </c>
      <c r="F16" s="482" t="s">
        <v>3465</v>
      </c>
      <c r="G16" s="479">
        <v>40674</v>
      </c>
      <c r="H16" s="483">
        <v>42551</v>
      </c>
      <c r="I16" s="484" t="s">
        <v>414</v>
      </c>
      <c r="J16" s="485" t="s">
        <v>414</v>
      </c>
      <c r="K16" s="484"/>
      <c r="L16" s="486"/>
      <c r="M16" s="486"/>
      <c r="N16" s="486"/>
      <c r="O16" s="485"/>
      <c r="P16" t="s">
        <v>3806</v>
      </c>
      <c r="R16" t="s">
        <v>65</v>
      </c>
      <c r="S16" s="49">
        <v>4</v>
      </c>
      <c r="T16" t="s">
        <v>145</v>
      </c>
      <c r="U16" t="s">
        <v>3820</v>
      </c>
      <c r="V16" t="s">
        <v>3753</v>
      </c>
      <c r="W16" t="s">
        <v>145</v>
      </c>
      <c r="X16" t="s">
        <v>3905</v>
      </c>
      <c r="Y16" t="s">
        <v>3906</v>
      </c>
    </row>
    <row r="17" spans="1:25">
      <c r="A17" s="478" t="s">
        <v>31</v>
      </c>
      <c r="B17" s="480" t="s">
        <v>3583</v>
      </c>
      <c r="C17" s="481" t="s">
        <v>3584</v>
      </c>
      <c r="D17" s="480" t="s">
        <v>411</v>
      </c>
      <c r="E17" s="480" t="s">
        <v>3471</v>
      </c>
      <c r="F17" s="482" t="s">
        <v>3465</v>
      </c>
      <c r="G17" s="479">
        <v>41768</v>
      </c>
      <c r="H17" s="483">
        <v>44012</v>
      </c>
      <c r="I17" s="484"/>
      <c r="J17" s="485"/>
      <c r="K17" s="484"/>
      <c r="L17" s="486" t="s">
        <v>414</v>
      </c>
      <c r="M17" s="486"/>
      <c r="N17" s="486"/>
      <c r="O17" s="485"/>
      <c r="P17" t="s">
        <v>3807</v>
      </c>
      <c r="R17" t="s">
        <v>67</v>
      </c>
      <c r="S17" s="49">
        <v>1</v>
      </c>
      <c r="T17" t="s">
        <v>145</v>
      </c>
      <c r="U17" t="s">
        <v>3828</v>
      </c>
      <c r="V17" t="s">
        <v>145</v>
      </c>
      <c r="W17" t="s">
        <v>145</v>
      </c>
      <c r="X17" t="s">
        <v>145</v>
      </c>
      <c r="Y17" t="s">
        <v>3828</v>
      </c>
    </row>
    <row r="18" spans="1:25">
      <c r="A18" s="478" t="s">
        <v>31</v>
      </c>
      <c r="B18" s="480" t="s">
        <v>3585</v>
      </c>
      <c r="C18" s="481" t="s">
        <v>3586</v>
      </c>
      <c r="D18" s="480" t="s">
        <v>411</v>
      </c>
      <c r="E18" s="480" t="s">
        <v>3464</v>
      </c>
      <c r="F18" s="482" t="s">
        <v>3465</v>
      </c>
      <c r="G18" s="479">
        <v>41451</v>
      </c>
      <c r="H18" s="483">
        <v>43100</v>
      </c>
      <c r="I18" s="484"/>
      <c r="J18" s="485"/>
      <c r="K18" s="484" t="s">
        <v>414</v>
      </c>
      <c r="L18" s="486"/>
      <c r="M18" s="486"/>
      <c r="N18" s="486"/>
      <c r="O18" s="485"/>
      <c r="P18" t="s">
        <v>3808</v>
      </c>
      <c r="R18" t="s">
        <v>69</v>
      </c>
      <c r="S18" s="49">
        <v>2</v>
      </c>
      <c r="T18" t="s">
        <v>3907</v>
      </c>
      <c r="U18" t="s">
        <v>145</v>
      </c>
      <c r="V18" t="s">
        <v>145</v>
      </c>
      <c r="W18" t="s">
        <v>145</v>
      </c>
      <c r="X18" t="s">
        <v>145</v>
      </c>
      <c r="Y18" t="s">
        <v>145</v>
      </c>
    </row>
    <row r="19" spans="1:25">
      <c r="A19" s="478" t="s">
        <v>31</v>
      </c>
      <c r="B19" s="480" t="s">
        <v>3628</v>
      </c>
      <c r="C19" s="481" t="s">
        <v>3629</v>
      </c>
      <c r="D19" s="480" t="s">
        <v>411</v>
      </c>
      <c r="E19" s="480" t="s">
        <v>3464</v>
      </c>
      <c r="F19" s="503" t="s">
        <v>3596</v>
      </c>
      <c r="G19" s="479">
        <v>41975</v>
      </c>
      <c r="H19" s="483"/>
      <c r="I19" s="495"/>
      <c r="J19" s="497"/>
      <c r="K19" s="495" t="s">
        <v>414</v>
      </c>
      <c r="L19" s="480"/>
      <c r="M19" s="480"/>
      <c r="N19" s="480"/>
      <c r="O19" s="497"/>
      <c r="P19" t="s">
        <v>3829</v>
      </c>
      <c r="R19" t="s">
        <v>71</v>
      </c>
      <c r="S19" s="49">
        <v>1</v>
      </c>
      <c r="T19" t="s">
        <v>145</v>
      </c>
      <c r="U19" t="s">
        <v>145</v>
      </c>
      <c r="V19" t="s">
        <v>3786</v>
      </c>
      <c r="W19" t="s">
        <v>145</v>
      </c>
      <c r="X19" t="s">
        <v>145</v>
      </c>
      <c r="Y19" t="s">
        <v>145</v>
      </c>
    </row>
    <row r="20" spans="1:25">
      <c r="A20" s="474" t="s">
        <v>40</v>
      </c>
      <c r="B20" s="480" t="s">
        <v>3698</v>
      </c>
      <c r="C20" s="481" t="s">
        <v>3699</v>
      </c>
      <c r="D20" s="480" t="s">
        <v>409</v>
      </c>
      <c r="E20" s="480" t="s">
        <v>3471</v>
      </c>
      <c r="F20" s="480" t="s">
        <v>3643</v>
      </c>
      <c r="G20" s="479">
        <v>31925</v>
      </c>
      <c r="H20" s="483">
        <v>34515</v>
      </c>
      <c r="I20" s="495"/>
      <c r="J20" s="497"/>
      <c r="K20" s="495"/>
      <c r="L20" s="480" t="s">
        <v>414</v>
      </c>
      <c r="M20" s="480"/>
      <c r="N20" s="480"/>
      <c r="O20" s="497"/>
      <c r="P20" t="s">
        <v>3863</v>
      </c>
      <c r="R20" t="s">
        <v>81</v>
      </c>
      <c r="S20" s="49">
        <v>1</v>
      </c>
      <c r="T20" t="s">
        <v>3756</v>
      </c>
      <c r="U20" t="s">
        <v>3756</v>
      </c>
      <c r="V20" t="s">
        <v>145</v>
      </c>
      <c r="W20" t="s">
        <v>145</v>
      </c>
      <c r="X20" t="s">
        <v>145</v>
      </c>
      <c r="Y20" t="s">
        <v>145</v>
      </c>
    </row>
    <row r="21" spans="1:25">
      <c r="A21" s="478" t="s">
        <v>43</v>
      </c>
      <c r="B21" s="480" t="s">
        <v>3557</v>
      </c>
      <c r="C21" s="481" t="s">
        <v>3558</v>
      </c>
      <c r="D21" s="480" t="s">
        <v>409</v>
      </c>
      <c r="E21" s="480" t="s">
        <v>3464</v>
      </c>
      <c r="F21" s="482" t="s">
        <v>3465</v>
      </c>
      <c r="G21" s="479">
        <v>40437</v>
      </c>
      <c r="H21" s="483">
        <v>42916</v>
      </c>
      <c r="I21" s="493"/>
      <c r="J21" s="494"/>
      <c r="K21" s="493" t="s">
        <v>414</v>
      </c>
      <c r="L21" s="488"/>
      <c r="M21" s="488"/>
      <c r="N21" s="488"/>
      <c r="O21" s="494"/>
      <c r="P21" t="s">
        <v>3794</v>
      </c>
      <c r="R21" t="s">
        <v>83</v>
      </c>
      <c r="S21" s="49">
        <v>1</v>
      </c>
      <c r="T21" t="s">
        <v>145</v>
      </c>
      <c r="U21" t="s">
        <v>3868</v>
      </c>
      <c r="V21" t="s">
        <v>145</v>
      </c>
      <c r="W21" t="s">
        <v>145</v>
      </c>
      <c r="X21" t="s">
        <v>145</v>
      </c>
      <c r="Y21" t="s">
        <v>145</v>
      </c>
    </row>
    <row r="22" spans="1:25">
      <c r="A22" s="478" t="s">
        <v>49</v>
      </c>
      <c r="B22" s="480" t="s">
        <v>3641</v>
      </c>
      <c r="C22" s="481" t="s">
        <v>3642</v>
      </c>
      <c r="D22" s="480" t="s">
        <v>406</v>
      </c>
      <c r="E22" s="480" t="s">
        <v>3471</v>
      </c>
      <c r="F22" s="480" t="s">
        <v>3643</v>
      </c>
      <c r="G22" s="479">
        <v>33759</v>
      </c>
      <c r="H22" s="483">
        <v>36891</v>
      </c>
      <c r="I22" s="495"/>
      <c r="J22" s="497"/>
      <c r="K22" s="495"/>
      <c r="L22" s="480" t="s">
        <v>414</v>
      </c>
      <c r="M22" s="480"/>
      <c r="N22" s="480" t="s">
        <v>414</v>
      </c>
      <c r="O22" s="497"/>
      <c r="P22" t="s">
        <v>3835</v>
      </c>
      <c r="R22" t="s">
        <v>84</v>
      </c>
      <c r="S22" s="49">
        <v>2</v>
      </c>
      <c r="T22" t="s">
        <v>3908</v>
      </c>
      <c r="U22" t="s">
        <v>3908</v>
      </c>
      <c r="V22" t="s">
        <v>145</v>
      </c>
      <c r="W22" t="s">
        <v>145</v>
      </c>
      <c r="X22" t="s">
        <v>145</v>
      </c>
      <c r="Y22" t="s">
        <v>145</v>
      </c>
    </row>
    <row r="23" spans="1:25">
      <c r="A23" s="474" t="s">
        <v>49</v>
      </c>
      <c r="B23" s="480" t="s">
        <v>3462</v>
      </c>
      <c r="C23" s="481" t="s">
        <v>3463</v>
      </c>
      <c r="D23" s="480" t="s">
        <v>406</v>
      </c>
      <c r="E23" s="480" t="s">
        <v>3464</v>
      </c>
      <c r="F23" s="482" t="s">
        <v>3465</v>
      </c>
      <c r="G23" s="479">
        <v>41752</v>
      </c>
      <c r="H23" s="483">
        <v>43708</v>
      </c>
      <c r="I23" s="493"/>
      <c r="J23" s="494"/>
      <c r="K23" s="493" t="s">
        <v>414</v>
      </c>
      <c r="L23" s="488"/>
      <c r="M23" s="488"/>
      <c r="N23" s="488"/>
      <c r="O23" s="494"/>
      <c r="P23" t="s">
        <v>3750</v>
      </c>
      <c r="R23" t="s">
        <v>86</v>
      </c>
      <c r="S23" s="49">
        <v>1</v>
      </c>
      <c r="T23" t="s">
        <v>145</v>
      </c>
      <c r="U23" t="s">
        <v>145</v>
      </c>
      <c r="V23" t="s">
        <v>145</v>
      </c>
      <c r="W23" t="s">
        <v>145</v>
      </c>
      <c r="X23" t="s">
        <v>3870</v>
      </c>
      <c r="Y23" t="s">
        <v>145</v>
      </c>
    </row>
    <row r="24" spans="1:25">
      <c r="A24" s="478" t="s">
        <v>50</v>
      </c>
      <c r="B24" s="480" t="s">
        <v>3644</v>
      </c>
      <c r="C24" s="481" t="s">
        <v>3645</v>
      </c>
      <c r="D24" s="480" t="s">
        <v>406</v>
      </c>
      <c r="E24" s="480" t="s">
        <v>3471</v>
      </c>
      <c r="F24" s="480" t="s">
        <v>3643</v>
      </c>
      <c r="G24" s="479">
        <v>38015</v>
      </c>
      <c r="H24" s="483">
        <v>41121</v>
      </c>
      <c r="I24" s="495"/>
      <c r="J24" s="497"/>
      <c r="K24" s="495"/>
      <c r="L24" s="480" t="s">
        <v>414</v>
      </c>
      <c r="M24" s="480" t="s">
        <v>414</v>
      </c>
      <c r="N24" s="480" t="s">
        <v>414</v>
      </c>
      <c r="O24" s="497"/>
      <c r="P24" t="s">
        <v>3836</v>
      </c>
      <c r="R24" t="s">
        <v>89</v>
      </c>
      <c r="S24" s="49">
        <v>2</v>
      </c>
      <c r="T24" t="s">
        <v>145</v>
      </c>
      <c r="U24" t="s">
        <v>145</v>
      </c>
      <c r="V24" t="s">
        <v>3798</v>
      </c>
      <c r="W24" t="s">
        <v>145</v>
      </c>
      <c r="X24" t="s">
        <v>3909</v>
      </c>
      <c r="Y24" t="s">
        <v>145</v>
      </c>
    </row>
    <row r="25" spans="1:25">
      <c r="A25" s="478" t="s">
        <v>57</v>
      </c>
      <c r="B25" s="480" t="s">
        <v>3466</v>
      </c>
      <c r="C25" s="481" t="s">
        <v>3467</v>
      </c>
      <c r="D25" s="480" t="s">
        <v>406</v>
      </c>
      <c r="E25" s="480" t="s">
        <v>3468</v>
      </c>
      <c r="F25" s="482" t="s">
        <v>3465</v>
      </c>
      <c r="G25" s="479">
        <v>41781</v>
      </c>
      <c r="H25" s="483">
        <v>43738</v>
      </c>
      <c r="I25" s="493"/>
      <c r="J25" s="494"/>
      <c r="K25" s="493"/>
      <c r="L25" s="488"/>
      <c r="M25" s="488" t="s">
        <v>414</v>
      </c>
      <c r="N25" s="488"/>
      <c r="O25" s="494" t="s">
        <v>414</v>
      </c>
      <c r="P25" t="s">
        <v>3751</v>
      </c>
      <c r="R25" t="s">
        <v>94</v>
      </c>
      <c r="S25" s="49">
        <v>4</v>
      </c>
      <c r="T25" t="s">
        <v>145</v>
      </c>
      <c r="U25" t="s">
        <v>3910</v>
      </c>
      <c r="V25" t="s">
        <v>3838</v>
      </c>
      <c r="W25" t="s">
        <v>145</v>
      </c>
      <c r="X25" t="s">
        <v>3814</v>
      </c>
      <c r="Y25" t="s">
        <v>3911</v>
      </c>
    </row>
    <row r="26" spans="1:25">
      <c r="A26" s="478" t="s">
        <v>58</v>
      </c>
      <c r="B26" s="480" t="s">
        <v>3700</v>
      </c>
      <c r="C26" s="481" t="s">
        <v>3701</v>
      </c>
      <c r="D26" s="480" t="s">
        <v>409</v>
      </c>
      <c r="E26" s="480" t="s">
        <v>3471</v>
      </c>
      <c r="F26" s="480" t="s">
        <v>3643</v>
      </c>
      <c r="G26" s="479">
        <v>33514</v>
      </c>
      <c r="H26" s="483">
        <v>35976</v>
      </c>
      <c r="I26" s="495"/>
      <c r="J26" s="497"/>
      <c r="K26" s="495"/>
      <c r="L26" s="480" t="s">
        <v>414</v>
      </c>
      <c r="M26" s="480"/>
      <c r="N26" s="480"/>
      <c r="O26" s="497"/>
      <c r="P26" t="s">
        <v>3864</v>
      </c>
      <c r="R26" t="s">
        <v>100</v>
      </c>
      <c r="S26" s="49">
        <v>2</v>
      </c>
      <c r="T26" t="s">
        <v>145</v>
      </c>
      <c r="U26" t="s">
        <v>145</v>
      </c>
      <c r="V26" t="s">
        <v>3839</v>
      </c>
      <c r="W26" t="s">
        <v>3839</v>
      </c>
      <c r="X26" t="s">
        <v>3757</v>
      </c>
      <c r="Y26" t="s">
        <v>145</v>
      </c>
    </row>
    <row r="27" spans="1:25">
      <c r="A27" s="478" t="s">
        <v>58</v>
      </c>
      <c r="B27" s="480" t="s">
        <v>3702</v>
      </c>
      <c r="C27" s="481" t="s">
        <v>3703</v>
      </c>
      <c r="D27" s="480" t="s">
        <v>409</v>
      </c>
      <c r="E27" s="480" t="s">
        <v>3471</v>
      </c>
      <c r="F27" s="480" t="s">
        <v>3643</v>
      </c>
      <c r="G27" s="479">
        <v>37306</v>
      </c>
      <c r="H27" s="483">
        <v>39263</v>
      </c>
      <c r="I27" s="495"/>
      <c r="J27" s="497"/>
      <c r="K27" s="495"/>
      <c r="L27" s="480"/>
      <c r="M27" s="480"/>
      <c r="N27" s="480" t="s">
        <v>414</v>
      </c>
      <c r="O27" s="497"/>
      <c r="P27" t="s">
        <v>3865</v>
      </c>
      <c r="R27" t="s">
        <v>101</v>
      </c>
      <c r="S27" s="49">
        <v>1</v>
      </c>
      <c r="T27" t="s">
        <v>145</v>
      </c>
      <c r="U27" t="s">
        <v>145</v>
      </c>
      <c r="V27" t="s">
        <v>145</v>
      </c>
      <c r="W27" t="s">
        <v>145</v>
      </c>
      <c r="X27" t="s">
        <v>3857</v>
      </c>
      <c r="Y27" t="s">
        <v>145</v>
      </c>
    </row>
    <row r="28" spans="1:25">
      <c r="A28" s="478" t="s">
        <v>59</v>
      </c>
      <c r="B28" s="480" t="s">
        <v>3672</v>
      </c>
      <c r="C28" s="481" t="s">
        <v>3673</v>
      </c>
      <c r="D28" s="480" t="s">
        <v>407</v>
      </c>
      <c r="E28" s="480" t="s">
        <v>3471</v>
      </c>
      <c r="F28" s="480" t="s">
        <v>3643</v>
      </c>
      <c r="G28" s="479">
        <v>34814</v>
      </c>
      <c r="H28" s="483">
        <v>37621</v>
      </c>
      <c r="I28" s="495"/>
      <c r="J28" s="497"/>
      <c r="K28" s="495"/>
      <c r="L28" s="480" t="s">
        <v>414</v>
      </c>
      <c r="M28" s="480"/>
      <c r="N28" s="480"/>
      <c r="O28" s="497"/>
      <c r="P28" t="s">
        <v>3850</v>
      </c>
      <c r="R28" t="s">
        <v>105</v>
      </c>
      <c r="S28" s="49">
        <v>3</v>
      </c>
      <c r="T28" t="s">
        <v>3759</v>
      </c>
      <c r="U28" t="s">
        <v>3758</v>
      </c>
      <c r="V28" t="s">
        <v>3840</v>
      </c>
      <c r="W28" t="s">
        <v>145</v>
      </c>
      <c r="X28" t="s">
        <v>3840</v>
      </c>
      <c r="Y28" t="s">
        <v>145</v>
      </c>
    </row>
    <row r="29" spans="1:25">
      <c r="A29" s="478" t="s">
        <v>61</v>
      </c>
      <c r="B29" s="480" t="s">
        <v>3704</v>
      </c>
      <c r="C29" s="481" t="s">
        <v>3699</v>
      </c>
      <c r="D29" s="480" t="s">
        <v>409</v>
      </c>
      <c r="E29" s="480" t="s">
        <v>3471</v>
      </c>
      <c r="F29" s="480" t="s">
        <v>3643</v>
      </c>
      <c r="G29" s="479">
        <v>34310</v>
      </c>
      <c r="H29" s="483">
        <v>36981</v>
      </c>
      <c r="I29" s="495"/>
      <c r="J29" s="497"/>
      <c r="K29" s="495"/>
      <c r="L29" s="480" t="s">
        <v>414</v>
      </c>
      <c r="M29" s="480"/>
      <c r="N29" s="480"/>
      <c r="O29" s="497"/>
      <c r="P29" t="s">
        <v>3866</v>
      </c>
      <c r="R29" t="s">
        <v>109</v>
      </c>
      <c r="S29" s="49">
        <v>1</v>
      </c>
      <c r="T29" t="s">
        <v>145</v>
      </c>
      <c r="U29" t="s">
        <v>145</v>
      </c>
      <c r="V29" t="s">
        <v>145</v>
      </c>
      <c r="W29" t="s">
        <v>145</v>
      </c>
      <c r="X29" t="s">
        <v>3872</v>
      </c>
      <c r="Y29" t="s">
        <v>145</v>
      </c>
    </row>
    <row r="30" spans="1:25">
      <c r="A30" s="478" t="s">
        <v>61</v>
      </c>
      <c r="B30" s="480" t="s">
        <v>3705</v>
      </c>
      <c r="C30" s="481" t="s">
        <v>3706</v>
      </c>
      <c r="D30" s="480" t="s">
        <v>409</v>
      </c>
      <c r="E30" s="480" t="s">
        <v>3471</v>
      </c>
      <c r="F30" s="480" t="s">
        <v>3643</v>
      </c>
      <c r="G30" s="479">
        <v>36972</v>
      </c>
      <c r="H30" s="483">
        <v>40178</v>
      </c>
      <c r="I30" s="495"/>
      <c r="J30" s="497"/>
      <c r="K30" s="495"/>
      <c r="L30" s="480" t="s">
        <v>414</v>
      </c>
      <c r="M30" s="480"/>
      <c r="N30" s="510"/>
      <c r="O30" s="497"/>
      <c r="P30" t="s">
        <v>3867</v>
      </c>
      <c r="R30" t="s">
        <v>111</v>
      </c>
      <c r="S30" s="49">
        <v>2</v>
      </c>
      <c r="T30" t="s">
        <v>145</v>
      </c>
      <c r="U30" t="s">
        <v>3761</v>
      </c>
      <c r="V30" t="s">
        <v>145</v>
      </c>
      <c r="W30" t="s">
        <v>145</v>
      </c>
      <c r="X30" t="s">
        <v>3760</v>
      </c>
      <c r="Y30" t="s">
        <v>145</v>
      </c>
    </row>
    <row r="31" spans="1:25">
      <c r="A31" s="478" t="s">
        <v>61</v>
      </c>
      <c r="B31" s="480" t="s">
        <v>3559</v>
      </c>
      <c r="C31" s="481" t="s">
        <v>3560</v>
      </c>
      <c r="D31" s="480" t="s">
        <v>409</v>
      </c>
      <c r="E31" s="480" t="s">
        <v>3471</v>
      </c>
      <c r="F31" s="482" t="s">
        <v>3465</v>
      </c>
      <c r="G31" s="479">
        <v>40164</v>
      </c>
      <c r="H31" s="483">
        <v>42004</v>
      </c>
      <c r="I31" s="493"/>
      <c r="J31" s="494"/>
      <c r="K31" s="493"/>
      <c r="L31" s="488" t="s">
        <v>414</v>
      </c>
      <c r="M31" s="488"/>
      <c r="N31" s="488"/>
      <c r="O31" s="494"/>
      <c r="P31" t="s">
        <v>3795</v>
      </c>
      <c r="R31" t="s">
        <v>116</v>
      </c>
      <c r="S31" s="49">
        <v>1</v>
      </c>
      <c r="T31" t="s">
        <v>145</v>
      </c>
      <c r="U31" t="s">
        <v>145</v>
      </c>
      <c r="V31" t="s">
        <v>145</v>
      </c>
      <c r="W31" t="s">
        <v>145</v>
      </c>
      <c r="X31" t="s">
        <v>3873</v>
      </c>
      <c r="Y31" t="s">
        <v>145</v>
      </c>
    </row>
    <row r="32" spans="1:25">
      <c r="A32" s="478" t="s">
        <v>65</v>
      </c>
      <c r="B32" s="480" t="s">
        <v>3469</v>
      </c>
      <c r="C32" s="481" t="s">
        <v>3470</v>
      </c>
      <c r="D32" s="480" t="s">
        <v>406</v>
      </c>
      <c r="E32" s="480" t="s">
        <v>3471</v>
      </c>
      <c r="F32" s="482" t="s">
        <v>3465</v>
      </c>
      <c r="G32" s="479">
        <v>39560</v>
      </c>
      <c r="H32" s="483">
        <v>42428</v>
      </c>
      <c r="I32" s="493"/>
      <c r="J32" s="494"/>
      <c r="K32" s="493"/>
      <c r="L32" s="488"/>
      <c r="M32" s="488"/>
      <c r="N32" s="488" t="s">
        <v>414</v>
      </c>
      <c r="O32" s="494"/>
      <c r="P32" t="s">
        <v>3752</v>
      </c>
      <c r="R32" t="s">
        <v>122</v>
      </c>
      <c r="S32" s="49">
        <v>6</v>
      </c>
      <c r="T32" t="s">
        <v>145</v>
      </c>
      <c r="U32" t="s">
        <v>3912</v>
      </c>
      <c r="W32" t="s">
        <v>3883</v>
      </c>
      <c r="X32" t="s">
        <v>3913</v>
      </c>
      <c r="Y32" t="s">
        <v>145</v>
      </c>
    </row>
    <row r="33" spans="1:25">
      <c r="A33" s="478" t="s">
        <v>65</v>
      </c>
      <c r="B33" s="480" t="s">
        <v>3472</v>
      </c>
      <c r="C33" s="481" t="s">
        <v>3473</v>
      </c>
      <c r="D33" s="480" t="s">
        <v>406</v>
      </c>
      <c r="E33" s="480" t="s">
        <v>3471</v>
      </c>
      <c r="F33" s="482" t="s">
        <v>3465</v>
      </c>
      <c r="G33" s="479">
        <v>41620</v>
      </c>
      <c r="H33" s="483">
        <v>43585</v>
      </c>
      <c r="I33" s="484"/>
      <c r="J33" s="485"/>
      <c r="K33" s="484"/>
      <c r="L33" s="486" t="s">
        <v>414</v>
      </c>
      <c r="M33" s="486"/>
      <c r="N33" s="486" t="s">
        <v>414</v>
      </c>
      <c r="O33" s="485"/>
      <c r="P33" t="s">
        <v>3753</v>
      </c>
      <c r="R33" t="s">
        <v>133</v>
      </c>
      <c r="S33" s="49">
        <v>2</v>
      </c>
      <c r="T33" t="s">
        <v>145</v>
      </c>
      <c r="U33" t="s">
        <v>145</v>
      </c>
      <c r="V33" t="s">
        <v>145</v>
      </c>
      <c r="W33" t="s">
        <v>145</v>
      </c>
      <c r="X33" t="s">
        <v>3914</v>
      </c>
      <c r="Y33" t="s">
        <v>145</v>
      </c>
    </row>
    <row r="34" spans="1:25">
      <c r="A34" s="478" t="s">
        <v>65</v>
      </c>
      <c r="B34" s="480" t="s">
        <v>3474</v>
      </c>
      <c r="C34" s="481" t="s">
        <v>3475</v>
      </c>
      <c r="D34" s="480" t="s">
        <v>406</v>
      </c>
      <c r="E34" s="480" t="s">
        <v>3476</v>
      </c>
      <c r="F34" s="482" t="s">
        <v>3465</v>
      </c>
      <c r="G34" s="479">
        <v>41752</v>
      </c>
      <c r="H34" s="483">
        <v>43465</v>
      </c>
      <c r="I34" s="484"/>
      <c r="J34" s="485"/>
      <c r="K34" s="484"/>
      <c r="L34" s="486"/>
      <c r="M34" s="486"/>
      <c r="N34" s="486"/>
      <c r="O34" s="485" t="s">
        <v>414</v>
      </c>
      <c r="P34" t="s">
        <v>3754</v>
      </c>
      <c r="R34" t="s">
        <v>139</v>
      </c>
      <c r="S34" s="49">
        <v>2</v>
      </c>
      <c r="T34" t="s">
        <v>145</v>
      </c>
      <c r="U34" t="s">
        <v>145</v>
      </c>
      <c r="V34" t="s">
        <v>3787</v>
      </c>
      <c r="W34" t="s">
        <v>145</v>
      </c>
      <c r="X34" t="s">
        <v>145</v>
      </c>
      <c r="Y34" t="s">
        <v>3788</v>
      </c>
    </row>
    <row r="35" spans="1:25">
      <c r="A35" s="478" t="s">
        <v>65</v>
      </c>
      <c r="B35" s="480" t="s">
        <v>3609</v>
      </c>
      <c r="C35" s="481" t="s">
        <v>3610</v>
      </c>
      <c r="D35" s="480" t="s">
        <v>406</v>
      </c>
      <c r="E35" s="480" t="s">
        <v>3476</v>
      </c>
      <c r="F35" s="503" t="s">
        <v>3596</v>
      </c>
      <c r="G35" s="479">
        <v>41991</v>
      </c>
      <c r="H35" s="483"/>
      <c r="I35" s="495"/>
      <c r="J35" s="497"/>
      <c r="K35" s="495" t="s">
        <v>414</v>
      </c>
      <c r="L35" s="480"/>
      <c r="M35" s="480"/>
      <c r="N35" s="480"/>
      <c r="O35" s="497" t="s">
        <v>414</v>
      </c>
      <c r="P35" t="s">
        <v>3820</v>
      </c>
      <c r="R35" t="s">
        <v>141</v>
      </c>
      <c r="S35" s="49">
        <v>5</v>
      </c>
      <c r="T35" t="s">
        <v>3762</v>
      </c>
      <c r="U35" t="s">
        <v>3763</v>
      </c>
      <c r="V35" t="s">
        <v>3842</v>
      </c>
      <c r="W35" t="s">
        <v>145</v>
      </c>
      <c r="X35" t="s">
        <v>3915</v>
      </c>
      <c r="Y35" t="s">
        <v>145</v>
      </c>
    </row>
    <row r="36" spans="1:25">
      <c r="A36" s="478" t="s">
        <v>67</v>
      </c>
      <c r="B36" s="480" t="s">
        <v>3626</v>
      </c>
      <c r="C36" s="481" t="s">
        <v>3627</v>
      </c>
      <c r="D36" s="480" t="s">
        <v>409</v>
      </c>
      <c r="E36" s="480" t="s">
        <v>3476</v>
      </c>
      <c r="F36" s="503" t="s">
        <v>3596</v>
      </c>
      <c r="G36" s="479">
        <v>42150</v>
      </c>
      <c r="H36" s="483"/>
      <c r="I36" s="495"/>
      <c r="J36" s="497"/>
      <c r="K36" s="495" t="s">
        <v>414</v>
      </c>
      <c r="L36" s="480"/>
      <c r="M36" s="480"/>
      <c r="N36" s="480"/>
      <c r="O36" s="497" t="s">
        <v>414</v>
      </c>
      <c r="P36" t="s">
        <v>3828</v>
      </c>
      <c r="R36" t="s">
        <v>152</v>
      </c>
      <c r="S36" s="49">
        <v>2</v>
      </c>
      <c r="T36" t="s">
        <v>3821</v>
      </c>
      <c r="U36" t="s">
        <v>3821</v>
      </c>
      <c r="V36" t="s">
        <v>145</v>
      </c>
      <c r="W36" t="s">
        <v>145</v>
      </c>
      <c r="X36" t="s">
        <v>145</v>
      </c>
      <c r="Y36" t="s">
        <v>3773</v>
      </c>
    </row>
    <row r="37" spans="1:25">
      <c r="A37" s="478" t="s">
        <v>3479</v>
      </c>
      <c r="B37" s="487" t="s">
        <v>3477</v>
      </c>
      <c r="C37" s="481" t="s">
        <v>3478</v>
      </c>
      <c r="D37" s="480" t="s">
        <v>406</v>
      </c>
      <c r="E37" s="480" t="s">
        <v>3480</v>
      </c>
      <c r="F37" s="482" t="s">
        <v>3465</v>
      </c>
      <c r="G37" s="479">
        <v>41626</v>
      </c>
      <c r="H37" s="483">
        <v>42369</v>
      </c>
      <c r="I37" s="484" t="s">
        <v>414</v>
      </c>
      <c r="J37" s="485" t="s">
        <v>414</v>
      </c>
      <c r="K37" s="484"/>
      <c r="L37" s="486"/>
      <c r="M37" s="486"/>
      <c r="N37" s="486"/>
      <c r="O37" s="485"/>
      <c r="P37" t="s">
        <v>3755</v>
      </c>
      <c r="R37" t="s">
        <v>159</v>
      </c>
      <c r="S37" s="49">
        <v>3</v>
      </c>
      <c r="T37" t="s">
        <v>145</v>
      </c>
      <c r="U37" t="s">
        <v>145</v>
      </c>
      <c r="V37" t="s">
        <v>145</v>
      </c>
      <c r="W37" t="s">
        <v>145</v>
      </c>
      <c r="X37" t="s">
        <v>3916</v>
      </c>
      <c r="Y37" t="s">
        <v>145</v>
      </c>
    </row>
    <row r="38" spans="1:25">
      <c r="A38" s="478" t="s">
        <v>3479</v>
      </c>
      <c r="B38" s="480" t="s">
        <v>3646</v>
      </c>
      <c r="C38" s="481" t="s">
        <v>3647</v>
      </c>
      <c r="D38" s="480" t="s">
        <v>406</v>
      </c>
      <c r="E38" s="480" t="s">
        <v>3471</v>
      </c>
      <c r="F38" s="480" t="s">
        <v>3643</v>
      </c>
      <c r="G38" s="479">
        <v>39112</v>
      </c>
      <c r="H38" s="483">
        <v>40451</v>
      </c>
      <c r="I38" s="495" t="s">
        <v>414</v>
      </c>
      <c r="J38" s="497" t="s">
        <v>414</v>
      </c>
      <c r="K38" s="495"/>
      <c r="L38" s="480"/>
      <c r="M38" s="480"/>
      <c r="N38" s="500"/>
      <c r="O38" s="501"/>
      <c r="P38" t="s">
        <v>3837</v>
      </c>
      <c r="R38" t="s">
        <v>168</v>
      </c>
      <c r="S38" s="49">
        <v>1</v>
      </c>
      <c r="T38" t="s">
        <v>145</v>
      </c>
      <c r="U38" t="s">
        <v>145</v>
      </c>
      <c r="V38" t="s">
        <v>3816</v>
      </c>
      <c r="W38" t="s">
        <v>145</v>
      </c>
      <c r="X38" t="s">
        <v>145</v>
      </c>
      <c r="Y38" t="s">
        <v>145</v>
      </c>
    </row>
    <row r="39" spans="1:25">
      <c r="A39" s="478" t="s">
        <v>71</v>
      </c>
      <c r="B39" s="480" t="s">
        <v>3543</v>
      </c>
      <c r="C39" s="481" t="s">
        <v>3544</v>
      </c>
      <c r="D39" s="480" t="s">
        <v>408</v>
      </c>
      <c r="E39" s="480" t="s">
        <v>3471</v>
      </c>
      <c r="F39" s="482" t="s">
        <v>3465</v>
      </c>
      <c r="G39" s="479">
        <v>39260</v>
      </c>
      <c r="H39" s="483">
        <v>42185</v>
      </c>
      <c r="I39" s="493"/>
      <c r="J39" s="494"/>
      <c r="K39" s="493"/>
      <c r="L39" s="488" t="s">
        <v>414</v>
      </c>
      <c r="M39" s="488"/>
      <c r="N39" s="488"/>
      <c r="O39" s="494"/>
      <c r="P39" t="s">
        <v>3786</v>
      </c>
      <c r="R39" t="s">
        <v>170</v>
      </c>
      <c r="S39" s="49">
        <v>3</v>
      </c>
      <c r="T39" t="s">
        <v>145</v>
      </c>
      <c r="U39" t="s">
        <v>3766</v>
      </c>
      <c r="V39" t="s">
        <v>145</v>
      </c>
      <c r="W39" t="s">
        <v>145</v>
      </c>
      <c r="X39" t="s">
        <v>3917</v>
      </c>
      <c r="Y39" t="s">
        <v>145</v>
      </c>
    </row>
    <row r="40" spans="1:25">
      <c r="A40" s="490" t="s">
        <v>81</v>
      </c>
      <c r="B40" s="488" t="s">
        <v>3481</v>
      </c>
      <c r="C40" s="489" t="s">
        <v>3482</v>
      </c>
      <c r="D40" s="488" t="s">
        <v>406</v>
      </c>
      <c r="E40" s="488" t="s">
        <v>3464</v>
      </c>
      <c r="F40" s="482" t="s">
        <v>3465</v>
      </c>
      <c r="G40" s="491">
        <v>41437</v>
      </c>
      <c r="H40" s="492">
        <v>43373</v>
      </c>
      <c r="I40" s="493" t="s">
        <v>414</v>
      </c>
      <c r="J40" s="494" t="s">
        <v>414</v>
      </c>
      <c r="K40" s="493" t="s">
        <v>414</v>
      </c>
      <c r="L40" s="488"/>
      <c r="M40" s="488"/>
      <c r="N40" s="488"/>
      <c r="O40" s="494"/>
      <c r="P40" t="s">
        <v>3756</v>
      </c>
      <c r="R40" t="s">
        <v>178</v>
      </c>
      <c r="S40" s="49">
        <v>4</v>
      </c>
      <c r="T40" t="s">
        <v>3817</v>
      </c>
      <c r="U40" t="s">
        <v>3818</v>
      </c>
      <c r="V40" t="s">
        <v>3918</v>
      </c>
      <c r="W40" t="s">
        <v>3844</v>
      </c>
      <c r="X40" t="s">
        <v>3918</v>
      </c>
      <c r="Y40" t="s">
        <v>3919</v>
      </c>
    </row>
    <row r="41" spans="1:25">
      <c r="A41" s="478" t="s">
        <v>83</v>
      </c>
      <c r="B41" s="480" t="s">
        <v>3707</v>
      </c>
      <c r="C41" s="481" t="s">
        <v>3708</v>
      </c>
      <c r="D41" s="480" t="s">
        <v>409</v>
      </c>
      <c r="E41" s="480" t="s">
        <v>3471</v>
      </c>
      <c r="F41" s="480" t="s">
        <v>3643</v>
      </c>
      <c r="G41" s="479">
        <v>39140</v>
      </c>
      <c r="H41" s="483">
        <v>40543</v>
      </c>
      <c r="I41" s="506"/>
      <c r="J41" s="501"/>
      <c r="K41" s="506" t="s">
        <v>414</v>
      </c>
      <c r="L41" s="500"/>
      <c r="M41" s="500"/>
      <c r="N41" s="500"/>
      <c r="O41" s="501"/>
      <c r="P41" t="s">
        <v>3868</v>
      </c>
      <c r="R41" t="s">
        <v>180</v>
      </c>
      <c r="S41" s="49">
        <v>1</v>
      </c>
      <c r="T41" t="s">
        <v>145</v>
      </c>
      <c r="U41" t="s">
        <v>3799</v>
      </c>
      <c r="V41" t="s">
        <v>145</v>
      </c>
      <c r="W41" t="s">
        <v>145</v>
      </c>
      <c r="X41" t="s">
        <v>145</v>
      </c>
      <c r="Y41" t="s">
        <v>145</v>
      </c>
    </row>
    <row r="42" spans="1:25">
      <c r="A42" s="478" t="s">
        <v>84</v>
      </c>
      <c r="B42" s="480" t="s">
        <v>3709</v>
      </c>
      <c r="C42" s="481" t="s">
        <v>3710</v>
      </c>
      <c r="D42" s="480" t="s">
        <v>409</v>
      </c>
      <c r="E42" s="482" t="s">
        <v>3476</v>
      </c>
      <c r="F42" s="480" t="s">
        <v>3643</v>
      </c>
      <c r="G42" s="479">
        <v>37798</v>
      </c>
      <c r="H42" s="483">
        <v>40178</v>
      </c>
      <c r="I42" s="506" t="s">
        <v>414</v>
      </c>
      <c r="J42" s="507" t="s">
        <v>414</v>
      </c>
      <c r="K42" s="506" t="s">
        <v>414</v>
      </c>
      <c r="L42" s="500"/>
      <c r="M42" s="500"/>
      <c r="N42" s="500"/>
      <c r="O42" s="501"/>
      <c r="P42" t="s">
        <v>3869</v>
      </c>
      <c r="R42" t="s">
        <v>183</v>
      </c>
      <c r="S42" s="49">
        <v>3</v>
      </c>
      <c r="T42" t="s">
        <v>145</v>
      </c>
      <c r="U42" t="s">
        <v>145</v>
      </c>
      <c r="V42" t="s">
        <v>3826</v>
      </c>
      <c r="W42" t="s">
        <v>145</v>
      </c>
      <c r="X42" t="s">
        <v>3858</v>
      </c>
      <c r="Y42" t="s">
        <v>3790</v>
      </c>
    </row>
    <row r="43" spans="1:25">
      <c r="A43" s="478" t="s">
        <v>84</v>
      </c>
      <c r="B43" s="487" t="s">
        <v>3563</v>
      </c>
      <c r="C43" s="481" t="s">
        <v>3564</v>
      </c>
      <c r="D43" s="480" t="s">
        <v>409</v>
      </c>
      <c r="E43" s="480" t="s">
        <v>3464</v>
      </c>
      <c r="F43" s="482" t="s">
        <v>3465</v>
      </c>
      <c r="G43" s="479">
        <v>39296</v>
      </c>
      <c r="H43" s="483">
        <v>42004</v>
      </c>
      <c r="I43" s="493" t="s">
        <v>414</v>
      </c>
      <c r="J43" s="494" t="s">
        <v>414</v>
      </c>
      <c r="K43" s="493" t="s">
        <v>414</v>
      </c>
      <c r="L43" s="488"/>
      <c r="M43" s="488"/>
      <c r="N43" s="488"/>
      <c r="O43" s="494"/>
      <c r="P43" t="s">
        <v>3797</v>
      </c>
      <c r="R43" t="s">
        <v>186</v>
      </c>
      <c r="S43" s="49">
        <v>1</v>
      </c>
      <c r="T43" t="s">
        <v>145</v>
      </c>
      <c r="U43" t="s">
        <v>145</v>
      </c>
      <c r="V43" t="s">
        <v>145</v>
      </c>
      <c r="W43" t="s">
        <v>145</v>
      </c>
      <c r="X43" t="s">
        <v>3851</v>
      </c>
      <c r="Y43" t="s">
        <v>145</v>
      </c>
    </row>
    <row r="44" spans="1:25">
      <c r="A44" s="478" t="s">
        <v>86</v>
      </c>
      <c r="B44" s="480" t="s">
        <v>3711</v>
      </c>
      <c r="C44" s="481" t="s">
        <v>3712</v>
      </c>
      <c r="D44" s="480" t="s">
        <v>409</v>
      </c>
      <c r="E44" s="480" t="s">
        <v>3471</v>
      </c>
      <c r="F44" s="480" t="s">
        <v>3643</v>
      </c>
      <c r="G44" s="479">
        <v>34681</v>
      </c>
      <c r="H44" s="483">
        <v>36981</v>
      </c>
      <c r="I44" s="495"/>
      <c r="J44" s="497"/>
      <c r="K44" s="495"/>
      <c r="L44" s="480"/>
      <c r="M44" s="480"/>
      <c r="N44" s="480" t="s">
        <v>414</v>
      </c>
      <c r="O44" s="497"/>
      <c r="P44" t="s">
        <v>3870</v>
      </c>
      <c r="R44" t="s">
        <v>188</v>
      </c>
      <c r="S44" s="49">
        <v>1</v>
      </c>
      <c r="T44" t="s">
        <v>145</v>
      </c>
      <c r="U44" t="s">
        <v>145</v>
      </c>
      <c r="V44" t="s">
        <v>3827</v>
      </c>
      <c r="W44" t="s">
        <v>145</v>
      </c>
      <c r="X44" t="s">
        <v>145</v>
      </c>
      <c r="Y44" t="s">
        <v>145</v>
      </c>
    </row>
    <row r="45" spans="1:25">
      <c r="A45" s="478" t="s">
        <v>89</v>
      </c>
      <c r="B45" s="480" t="s">
        <v>3713</v>
      </c>
      <c r="C45" s="481" t="s">
        <v>3714</v>
      </c>
      <c r="D45" s="480" t="s">
        <v>409</v>
      </c>
      <c r="E45" s="480" t="s">
        <v>3471</v>
      </c>
      <c r="F45" s="480" t="s">
        <v>3643</v>
      </c>
      <c r="G45" s="479">
        <v>35311</v>
      </c>
      <c r="H45" s="483">
        <v>39325</v>
      </c>
      <c r="I45" s="495"/>
      <c r="J45" s="497"/>
      <c r="K45" s="495"/>
      <c r="L45" s="480"/>
      <c r="M45" s="480"/>
      <c r="N45" s="480" t="s">
        <v>414</v>
      </c>
      <c r="O45" s="497"/>
      <c r="P45" t="s">
        <v>3871</v>
      </c>
      <c r="R45" t="s">
        <v>189</v>
      </c>
      <c r="S45" s="49">
        <v>1</v>
      </c>
      <c r="T45" t="s">
        <v>145</v>
      </c>
      <c r="U45" t="s">
        <v>145</v>
      </c>
      <c r="V45" t="s">
        <v>145</v>
      </c>
      <c r="W45" t="s">
        <v>3803</v>
      </c>
      <c r="X45" t="s">
        <v>145</v>
      </c>
      <c r="Y45" t="s">
        <v>3803</v>
      </c>
    </row>
    <row r="46" spans="1:25">
      <c r="A46" s="478" t="s">
        <v>89</v>
      </c>
      <c r="B46" s="480" t="s">
        <v>3565</v>
      </c>
      <c r="C46" s="481" t="s">
        <v>3566</v>
      </c>
      <c r="D46" s="480" t="s">
        <v>409</v>
      </c>
      <c r="E46" s="480" t="s">
        <v>3471</v>
      </c>
      <c r="F46" s="482" t="s">
        <v>3465</v>
      </c>
      <c r="G46" s="479">
        <v>40141</v>
      </c>
      <c r="H46" s="483">
        <v>42004</v>
      </c>
      <c r="I46" s="493"/>
      <c r="J46" s="494"/>
      <c r="K46" s="493"/>
      <c r="L46" s="488" t="s">
        <v>414</v>
      </c>
      <c r="M46" s="488"/>
      <c r="N46" s="488" t="s">
        <v>414</v>
      </c>
      <c r="O46" s="494"/>
      <c r="P46" t="s">
        <v>3798</v>
      </c>
      <c r="R46" t="s">
        <v>191</v>
      </c>
      <c r="S46" s="49">
        <v>1</v>
      </c>
      <c r="T46" t="s">
        <v>145</v>
      </c>
      <c r="U46" t="s">
        <v>3767</v>
      </c>
      <c r="V46" t="s">
        <v>145</v>
      </c>
      <c r="W46" t="s">
        <v>145</v>
      </c>
      <c r="X46" t="s">
        <v>145</v>
      </c>
      <c r="Y46" t="s">
        <v>145</v>
      </c>
    </row>
    <row r="47" spans="1:25">
      <c r="A47" s="478" t="s">
        <v>94</v>
      </c>
      <c r="B47" s="480" t="s">
        <v>3648</v>
      </c>
      <c r="C47" s="481" t="s">
        <v>3649</v>
      </c>
      <c r="D47" s="480" t="s">
        <v>406</v>
      </c>
      <c r="E47" s="480" t="s">
        <v>3471</v>
      </c>
      <c r="F47" s="480" t="s">
        <v>3643</v>
      </c>
      <c r="G47" s="479">
        <v>38118</v>
      </c>
      <c r="H47" s="483">
        <v>41274</v>
      </c>
      <c r="I47" s="495"/>
      <c r="J47" s="497"/>
      <c r="K47" s="495"/>
      <c r="L47" s="480" t="s">
        <v>414</v>
      </c>
      <c r="M47" s="480"/>
      <c r="N47" s="500"/>
      <c r="O47" s="501"/>
      <c r="P47" t="s">
        <v>3838</v>
      </c>
      <c r="R47" t="s">
        <v>192</v>
      </c>
      <c r="S47" s="49">
        <v>3</v>
      </c>
      <c r="T47" t="s">
        <v>145</v>
      </c>
      <c r="U47" t="s">
        <v>3822</v>
      </c>
      <c r="V47" t="s">
        <v>3774</v>
      </c>
      <c r="W47" t="s">
        <v>3774</v>
      </c>
      <c r="X47" t="s">
        <v>145</v>
      </c>
      <c r="Y47" t="s">
        <v>3920</v>
      </c>
    </row>
    <row r="48" spans="1:25">
      <c r="A48" s="478" t="s">
        <v>94</v>
      </c>
      <c r="B48" s="480" t="s">
        <v>3599</v>
      </c>
      <c r="C48" s="481" t="s">
        <v>3600</v>
      </c>
      <c r="D48" s="480" t="s">
        <v>406</v>
      </c>
      <c r="E48" s="480" t="s">
        <v>3601</v>
      </c>
      <c r="F48" s="503" t="s">
        <v>3596</v>
      </c>
      <c r="G48" s="479">
        <v>41989</v>
      </c>
      <c r="H48" s="483"/>
      <c r="I48" s="495"/>
      <c r="J48" s="497"/>
      <c r="K48" s="495" t="s">
        <v>414</v>
      </c>
      <c r="L48" s="480"/>
      <c r="M48" s="480"/>
      <c r="N48" s="480"/>
      <c r="O48" s="497" t="s">
        <v>414</v>
      </c>
      <c r="P48" t="s">
        <v>3815</v>
      </c>
      <c r="R48" t="s">
        <v>196</v>
      </c>
      <c r="S48" s="49">
        <v>1</v>
      </c>
      <c r="T48" t="s">
        <v>3833</v>
      </c>
      <c r="U48" t="s">
        <v>145</v>
      </c>
      <c r="V48" t="s">
        <v>145</v>
      </c>
      <c r="W48" t="s">
        <v>145</v>
      </c>
      <c r="X48" t="s">
        <v>145</v>
      </c>
      <c r="Y48" t="s">
        <v>145</v>
      </c>
    </row>
    <row r="49" spans="1:25">
      <c r="A49" s="478" t="s">
        <v>94</v>
      </c>
      <c r="B49" s="480" t="s">
        <v>3597</v>
      </c>
      <c r="C49" s="481" t="s">
        <v>3598</v>
      </c>
      <c r="D49" s="480" t="s">
        <v>406</v>
      </c>
      <c r="E49" s="480" t="s">
        <v>3471</v>
      </c>
      <c r="F49" s="503" t="s">
        <v>3596</v>
      </c>
      <c r="G49" s="479">
        <v>42138</v>
      </c>
      <c r="H49" s="483"/>
      <c r="I49" s="495"/>
      <c r="J49" s="497"/>
      <c r="K49" s="495"/>
      <c r="L49" s="480"/>
      <c r="M49" s="480"/>
      <c r="N49" s="480" t="s">
        <v>414</v>
      </c>
      <c r="O49" s="497" t="s">
        <v>414</v>
      </c>
      <c r="P49" t="s">
        <v>3814</v>
      </c>
      <c r="R49" t="s">
        <v>201</v>
      </c>
      <c r="S49" s="49">
        <v>1</v>
      </c>
      <c r="T49" t="s">
        <v>145</v>
      </c>
      <c r="U49" t="s">
        <v>145</v>
      </c>
      <c r="V49" t="s">
        <v>145</v>
      </c>
      <c r="W49" t="s">
        <v>145</v>
      </c>
      <c r="X49" t="s">
        <v>3800</v>
      </c>
      <c r="Y49" t="s">
        <v>145</v>
      </c>
    </row>
    <row r="50" spans="1:25">
      <c r="A50" s="478" t="s">
        <v>94</v>
      </c>
      <c r="B50" s="480" t="s">
        <v>3594</v>
      </c>
      <c r="C50" s="481" t="s">
        <v>3595</v>
      </c>
      <c r="D50" s="480" t="s">
        <v>406</v>
      </c>
      <c r="E50" s="480" t="s">
        <v>3464</v>
      </c>
      <c r="F50" s="503" t="s">
        <v>3596</v>
      </c>
      <c r="G50" s="479">
        <v>42187</v>
      </c>
      <c r="H50" s="483"/>
      <c r="I50" s="495"/>
      <c r="J50" s="497"/>
      <c r="K50" s="495" t="s">
        <v>414</v>
      </c>
      <c r="L50" s="480"/>
      <c r="M50" s="480"/>
      <c r="N50" s="480"/>
      <c r="O50" s="497" t="s">
        <v>414</v>
      </c>
      <c r="P50" t="s">
        <v>3813</v>
      </c>
      <c r="R50" t="s">
        <v>204</v>
      </c>
      <c r="S50" s="49">
        <v>3</v>
      </c>
      <c r="T50" t="s">
        <v>145</v>
      </c>
      <c r="U50" t="s">
        <v>3819</v>
      </c>
      <c r="V50" t="s">
        <v>3848</v>
      </c>
      <c r="W50" t="s">
        <v>145</v>
      </c>
      <c r="X50" t="s">
        <v>3921</v>
      </c>
      <c r="Y50" t="s">
        <v>3819</v>
      </c>
    </row>
    <row r="51" spans="1:25">
      <c r="A51" s="478" t="s">
        <v>100</v>
      </c>
      <c r="B51" s="480" t="s">
        <v>3650</v>
      </c>
      <c r="C51" s="481" t="s">
        <v>3651</v>
      </c>
      <c r="D51" s="480" t="s">
        <v>406</v>
      </c>
      <c r="E51" s="480" t="s">
        <v>3471</v>
      </c>
      <c r="F51" s="480" t="s">
        <v>3643</v>
      </c>
      <c r="G51" s="479">
        <v>37098</v>
      </c>
      <c r="H51" s="483">
        <v>39813</v>
      </c>
      <c r="I51" s="495"/>
      <c r="J51" s="497"/>
      <c r="K51" s="495"/>
      <c r="L51" s="480" t="s">
        <v>414</v>
      </c>
      <c r="M51" s="480" t="s">
        <v>414</v>
      </c>
      <c r="N51" s="480"/>
      <c r="O51" s="497"/>
      <c r="P51" t="s">
        <v>3839</v>
      </c>
      <c r="R51" t="s">
        <v>3724</v>
      </c>
      <c r="S51" s="52">
        <v>2</v>
      </c>
      <c r="T51" t="s">
        <v>3888</v>
      </c>
      <c r="U51" t="s">
        <v>145</v>
      </c>
      <c r="V51" t="s">
        <v>3876</v>
      </c>
      <c r="W51" t="s">
        <v>145</v>
      </c>
      <c r="X51" t="s">
        <v>145</v>
      </c>
      <c r="Y51" t="s">
        <v>145</v>
      </c>
    </row>
    <row r="52" spans="1:25">
      <c r="A52" s="490" t="s">
        <v>100</v>
      </c>
      <c r="B52" s="488" t="s">
        <v>3483</v>
      </c>
      <c r="C52" s="489" t="s">
        <v>3484</v>
      </c>
      <c r="D52" s="488" t="s">
        <v>406</v>
      </c>
      <c r="E52" s="488" t="s">
        <v>3471</v>
      </c>
      <c r="F52" s="482" t="s">
        <v>3465</v>
      </c>
      <c r="G52" s="491">
        <v>41537</v>
      </c>
      <c r="H52" s="492">
        <v>43281</v>
      </c>
      <c r="I52" s="493"/>
      <c r="J52" s="494"/>
      <c r="K52" s="493"/>
      <c r="L52" s="488"/>
      <c r="M52" s="488"/>
      <c r="N52" s="488" t="s">
        <v>414</v>
      </c>
      <c r="O52" s="494"/>
      <c r="P52" t="s">
        <v>3757</v>
      </c>
      <c r="R52" t="s">
        <v>209</v>
      </c>
      <c r="S52" s="49">
        <v>6</v>
      </c>
      <c r="T52" t="s">
        <v>3812</v>
      </c>
      <c r="U52" t="s">
        <v>3812</v>
      </c>
      <c r="V52" t="s">
        <v>3922</v>
      </c>
      <c r="W52" t="s">
        <v>145</v>
      </c>
      <c r="X52" t="s">
        <v>3923</v>
      </c>
      <c r="Y52" t="s">
        <v>3811</v>
      </c>
    </row>
    <row r="53" spans="1:25">
      <c r="A53" s="478" t="s">
        <v>101</v>
      </c>
      <c r="B53" s="480" t="s">
        <v>3686</v>
      </c>
      <c r="C53" s="481" t="s">
        <v>3687</v>
      </c>
      <c r="D53" s="480" t="s">
        <v>408</v>
      </c>
      <c r="E53" s="480" t="s">
        <v>3471</v>
      </c>
      <c r="F53" s="480" t="s">
        <v>3643</v>
      </c>
      <c r="G53" s="479">
        <v>38764</v>
      </c>
      <c r="H53" s="483">
        <v>40969</v>
      </c>
      <c r="I53" s="495"/>
      <c r="J53" s="497"/>
      <c r="K53" s="495"/>
      <c r="L53" s="480"/>
      <c r="M53" s="480"/>
      <c r="N53" s="480" t="s">
        <v>414</v>
      </c>
      <c r="O53" s="497"/>
      <c r="P53" t="s">
        <v>3857</v>
      </c>
      <c r="R53" t="s">
        <v>213</v>
      </c>
      <c r="S53" s="49">
        <v>1</v>
      </c>
      <c r="T53" t="s">
        <v>145</v>
      </c>
      <c r="U53" t="s">
        <v>3776</v>
      </c>
      <c r="V53" t="s">
        <v>145</v>
      </c>
      <c r="W53" t="s">
        <v>145</v>
      </c>
      <c r="X53" t="s">
        <v>145</v>
      </c>
      <c r="Y53" t="s">
        <v>145</v>
      </c>
    </row>
    <row r="54" spans="1:25">
      <c r="A54" s="478" t="s">
        <v>105</v>
      </c>
      <c r="B54" s="480" t="s">
        <v>3652</v>
      </c>
      <c r="C54" s="481" t="s">
        <v>3653</v>
      </c>
      <c r="D54" s="480" t="s">
        <v>406</v>
      </c>
      <c r="E54" s="480" t="s">
        <v>3471</v>
      </c>
      <c r="F54" s="480" t="s">
        <v>3643</v>
      </c>
      <c r="G54" s="479">
        <v>35376</v>
      </c>
      <c r="H54" s="483">
        <v>37833</v>
      </c>
      <c r="I54" s="495"/>
      <c r="J54" s="497"/>
      <c r="K54" s="495"/>
      <c r="L54" s="480" t="s">
        <v>414</v>
      </c>
      <c r="M54" s="480"/>
      <c r="N54" s="480" t="s">
        <v>414</v>
      </c>
      <c r="O54" s="497"/>
      <c r="P54" t="s">
        <v>3840</v>
      </c>
      <c r="R54" t="s">
        <v>216</v>
      </c>
      <c r="S54" s="49">
        <v>1</v>
      </c>
      <c r="T54" t="s">
        <v>145</v>
      </c>
      <c r="U54" t="s">
        <v>3801</v>
      </c>
      <c r="V54" t="s">
        <v>145</v>
      </c>
      <c r="W54" t="s">
        <v>145</v>
      </c>
      <c r="X54" t="s">
        <v>145</v>
      </c>
      <c r="Y54" t="s">
        <v>3801</v>
      </c>
    </row>
    <row r="55" spans="1:25">
      <c r="A55" s="478" t="s">
        <v>105</v>
      </c>
      <c r="B55" s="487" t="s">
        <v>3485</v>
      </c>
      <c r="C55" s="481" t="s">
        <v>3486</v>
      </c>
      <c r="D55" s="480" t="s">
        <v>406</v>
      </c>
      <c r="E55" s="480" t="s">
        <v>3464</v>
      </c>
      <c r="F55" s="482" t="s">
        <v>3465</v>
      </c>
      <c r="G55" s="479">
        <v>40318</v>
      </c>
      <c r="H55" s="483">
        <v>42916</v>
      </c>
      <c r="I55" s="484"/>
      <c r="J55" s="485"/>
      <c r="K55" s="484" t="s">
        <v>414</v>
      </c>
      <c r="L55" s="486"/>
      <c r="M55" s="486"/>
      <c r="N55" s="486"/>
      <c r="O55" s="485"/>
      <c r="P55" t="s">
        <v>3758</v>
      </c>
      <c r="R55" t="s">
        <v>218</v>
      </c>
      <c r="S55" s="49">
        <v>3</v>
      </c>
      <c r="T55" t="s">
        <v>145</v>
      </c>
      <c r="U55" t="s">
        <v>3924</v>
      </c>
      <c r="V55" t="s">
        <v>3852</v>
      </c>
      <c r="W55" t="s">
        <v>145</v>
      </c>
      <c r="X55" t="s">
        <v>145</v>
      </c>
      <c r="Y55" t="s">
        <v>3924</v>
      </c>
    </row>
    <row r="56" spans="1:25">
      <c r="A56" s="478" t="s">
        <v>105</v>
      </c>
      <c r="B56" s="480" t="s">
        <v>3487</v>
      </c>
      <c r="C56" s="481" t="s">
        <v>3488</v>
      </c>
      <c r="D56" s="480" t="s">
        <v>406</v>
      </c>
      <c r="E56" s="480" t="s">
        <v>3489</v>
      </c>
      <c r="F56" s="482" t="s">
        <v>3465</v>
      </c>
      <c r="G56" s="479">
        <v>41571</v>
      </c>
      <c r="H56" s="483">
        <v>43646</v>
      </c>
      <c r="I56" s="484" t="s">
        <v>414</v>
      </c>
      <c r="J56" s="485" t="s">
        <v>414</v>
      </c>
      <c r="K56" s="484"/>
      <c r="L56" s="486"/>
      <c r="M56" s="486"/>
      <c r="N56" s="486"/>
      <c r="O56" s="485"/>
      <c r="P56" t="s">
        <v>3759</v>
      </c>
      <c r="R56" t="s">
        <v>224</v>
      </c>
      <c r="S56" s="49">
        <v>1</v>
      </c>
      <c r="T56" t="s">
        <v>145</v>
      </c>
      <c r="U56" t="s">
        <v>145</v>
      </c>
      <c r="V56" t="s">
        <v>3789</v>
      </c>
      <c r="W56" t="s">
        <v>145</v>
      </c>
      <c r="X56" t="s">
        <v>145</v>
      </c>
      <c r="Y56" t="s">
        <v>145</v>
      </c>
    </row>
    <row r="57" spans="1:25">
      <c r="A57" s="478" t="s">
        <v>109</v>
      </c>
      <c r="B57" s="480" t="s">
        <v>3715</v>
      </c>
      <c r="C57" s="481" t="s">
        <v>3716</v>
      </c>
      <c r="D57" s="480" t="s">
        <v>409</v>
      </c>
      <c r="E57" s="480" t="s">
        <v>3471</v>
      </c>
      <c r="F57" s="480" t="s">
        <v>3643</v>
      </c>
      <c r="G57" s="479">
        <v>37329</v>
      </c>
      <c r="H57" s="483">
        <v>40724</v>
      </c>
      <c r="I57" s="495"/>
      <c r="J57" s="497"/>
      <c r="K57" s="495"/>
      <c r="L57" s="480"/>
      <c r="M57" s="480"/>
      <c r="N57" s="480" t="s">
        <v>414</v>
      </c>
      <c r="O57" s="497"/>
      <c r="P57" t="s">
        <v>3872</v>
      </c>
      <c r="R57" t="s">
        <v>226</v>
      </c>
      <c r="S57" s="49">
        <v>1</v>
      </c>
      <c r="T57" t="s">
        <v>145</v>
      </c>
      <c r="U57" t="s">
        <v>145</v>
      </c>
      <c r="V57" t="s">
        <v>145</v>
      </c>
      <c r="W57" t="s">
        <v>145</v>
      </c>
      <c r="X57" t="s">
        <v>145</v>
      </c>
      <c r="Y57" t="s">
        <v>3791</v>
      </c>
    </row>
    <row r="58" spans="1:25">
      <c r="A58" s="478" t="s">
        <v>111</v>
      </c>
      <c r="B58" s="480" t="s">
        <v>3492</v>
      </c>
      <c r="C58" s="481" t="s">
        <v>3493</v>
      </c>
      <c r="D58" s="480" t="s">
        <v>406</v>
      </c>
      <c r="E58" s="480" t="s">
        <v>3464</v>
      </c>
      <c r="F58" s="482" t="s">
        <v>3465</v>
      </c>
      <c r="G58" s="479">
        <v>41079</v>
      </c>
      <c r="H58" s="483">
        <v>43010</v>
      </c>
      <c r="I58" s="493"/>
      <c r="J58" s="494"/>
      <c r="K58" s="493" t="s">
        <v>414</v>
      </c>
      <c r="L58" s="488"/>
      <c r="M58" s="488"/>
      <c r="N58" s="488"/>
      <c r="O58" s="494"/>
      <c r="P58" t="s">
        <v>3761</v>
      </c>
      <c r="R58" t="s">
        <v>227</v>
      </c>
      <c r="S58" s="49">
        <v>1</v>
      </c>
      <c r="T58" t="s">
        <v>3768</v>
      </c>
      <c r="U58" t="s">
        <v>145</v>
      </c>
      <c r="V58" t="s">
        <v>145</v>
      </c>
      <c r="W58" t="s">
        <v>145</v>
      </c>
      <c r="X58" t="s">
        <v>145</v>
      </c>
      <c r="Y58" t="s">
        <v>145</v>
      </c>
    </row>
    <row r="59" spans="1:25">
      <c r="A59" s="478" t="s">
        <v>111</v>
      </c>
      <c r="B59" s="480" t="s">
        <v>3490</v>
      </c>
      <c r="C59" s="481" t="s">
        <v>3491</v>
      </c>
      <c r="D59" s="480" t="s">
        <v>406</v>
      </c>
      <c r="E59" s="480" t="s">
        <v>3471</v>
      </c>
      <c r="F59" s="482" t="s">
        <v>3465</v>
      </c>
      <c r="G59" s="479">
        <v>40988</v>
      </c>
      <c r="H59" s="483">
        <v>42735</v>
      </c>
      <c r="I59" s="493"/>
      <c r="J59" s="494"/>
      <c r="K59" s="493"/>
      <c r="L59" s="488"/>
      <c r="M59" s="488"/>
      <c r="N59" s="488" t="s">
        <v>414</v>
      </c>
      <c r="O59" s="494"/>
      <c r="P59" t="s">
        <v>3760</v>
      </c>
      <c r="R59" t="s">
        <v>243</v>
      </c>
      <c r="S59" s="49">
        <v>1</v>
      </c>
      <c r="T59" t="s">
        <v>145</v>
      </c>
      <c r="U59" t="s">
        <v>3769</v>
      </c>
      <c r="V59" t="s">
        <v>145</v>
      </c>
      <c r="W59" t="s">
        <v>145</v>
      </c>
      <c r="X59" t="s">
        <v>145</v>
      </c>
      <c r="Y59" t="s">
        <v>145</v>
      </c>
    </row>
    <row r="60" spans="1:25">
      <c r="A60" s="478" t="s">
        <v>116</v>
      </c>
      <c r="B60" s="480" t="s">
        <v>3717</v>
      </c>
      <c r="C60" s="481" t="s">
        <v>3718</v>
      </c>
      <c r="D60" s="480" t="s">
        <v>409</v>
      </c>
      <c r="E60" s="480" t="s">
        <v>3471</v>
      </c>
      <c r="F60" s="480" t="s">
        <v>3643</v>
      </c>
      <c r="G60" s="479">
        <v>35103</v>
      </c>
      <c r="H60" s="483">
        <v>36707</v>
      </c>
      <c r="I60" s="495"/>
      <c r="J60" s="497"/>
      <c r="K60" s="495"/>
      <c r="L60" s="480"/>
      <c r="M60" s="480"/>
      <c r="N60" s="480" t="s">
        <v>414</v>
      </c>
      <c r="O60" s="497"/>
      <c r="P60" t="s">
        <v>3873</v>
      </c>
      <c r="R60" t="s">
        <v>251</v>
      </c>
      <c r="S60" s="49">
        <v>1</v>
      </c>
      <c r="T60" t="s">
        <v>145</v>
      </c>
      <c r="U60" t="s">
        <v>3770</v>
      </c>
      <c r="V60" t="s">
        <v>145</v>
      </c>
      <c r="W60" t="s">
        <v>145</v>
      </c>
      <c r="X60" t="s">
        <v>145</v>
      </c>
      <c r="Y60" t="s">
        <v>145</v>
      </c>
    </row>
    <row r="61" spans="1:25">
      <c r="A61" s="478" t="s">
        <v>122</v>
      </c>
      <c r="B61" s="480" t="s">
        <v>3737</v>
      </c>
      <c r="C61" s="481" t="s">
        <v>3738</v>
      </c>
      <c r="D61" s="480" t="s">
        <v>411</v>
      </c>
      <c r="E61" s="480" t="s">
        <v>3471</v>
      </c>
      <c r="F61" s="480" t="s">
        <v>3643</v>
      </c>
      <c r="G61" s="479">
        <v>40633</v>
      </c>
      <c r="H61" s="483">
        <v>41090</v>
      </c>
      <c r="I61" s="495"/>
      <c r="J61" s="497"/>
      <c r="K61" s="495"/>
      <c r="L61" s="480"/>
      <c r="M61" s="480" t="s">
        <v>414</v>
      </c>
      <c r="N61" s="480"/>
      <c r="O61" s="497" t="s">
        <v>414</v>
      </c>
      <c r="P61" t="s">
        <v>3883</v>
      </c>
      <c r="R61" t="s">
        <v>263</v>
      </c>
      <c r="S61" s="49">
        <v>2</v>
      </c>
      <c r="T61" t="s">
        <v>145</v>
      </c>
      <c r="U61" t="s">
        <v>145</v>
      </c>
      <c r="V61" t="s">
        <v>3792</v>
      </c>
      <c r="W61" t="s">
        <v>3793</v>
      </c>
      <c r="X61" t="s">
        <v>145</v>
      </c>
      <c r="Y61" t="s">
        <v>145</v>
      </c>
    </row>
    <row r="62" spans="1:25">
      <c r="A62" s="478" t="s">
        <v>122</v>
      </c>
      <c r="B62" s="480" t="s">
        <v>3587</v>
      </c>
      <c r="C62" s="481" t="s">
        <v>3588</v>
      </c>
      <c r="D62" s="480" t="s">
        <v>411</v>
      </c>
      <c r="E62" s="480" t="s">
        <v>3464</v>
      </c>
      <c r="F62" s="482" t="s">
        <v>3465</v>
      </c>
      <c r="G62" s="479">
        <v>41638</v>
      </c>
      <c r="H62" s="483">
        <v>43921</v>
      </c>
      <c r="I62" s="484"/>
      <c r="J62" s="485"/>
      <c r="K62" s="484" t="s">
        <v>414</v>
      </c>
      <c r="L62" s="486"/>
      <c r="M62" s="486"/>
      <c r="N62" s="486"/>
      <c r="O62" s="485" t="s">
        <v>414</v>
      </c>
      <c r="P62" t="s">
        <v>3809</v>
      </c>
      <c r="R62" t="s">
        <v>265</v>
      </c>
      <c r="S62" s="49">
        <v>1</v>
      </c>
      <c r="T62" t="s">
        <v>145</v>
      </c>
      <c r="U62" t="s">
        <v>3771</v>
      </c>
      <c r="V62" t="s">
        <v>145</v>
      </c>
      <c r="W62" t="s">
        <v>145</v>
      </c>
      <c r="X62" t="s">
        <v>145</v>
      </c>
      <c r="Y62" t="s">
        <v>145</v>
      </c>
    </row>
    <row r="63" spans="1:25">
      <c r="A63" s="478" t="s">
        <v>122</v>
      </c>
      <c r="B63" s="480" t="s">
        <v>3589</v>
      </c>
      <c r="C63" s="481" t="s">
        <v>3590</v>
      </c>
      <c r="D63" s="480" t="s">
        <v>411</v>
      </c>
      <c r="E63" s="480" t="s">
        <v>3476</v>
      </c>
      <c r="F63" s="482" t="s">
        <v>3465</v>
      </c>
      <c r="G63" s="479">
        <v>41158</v>
      </c>
      <c r="H63" s="483">
        <v>42369</v>
      </c>
      <c r="I63" s="484"/>
      <c r="J63" s="485"/>
      <c r="K63" s="484" t="s">
        <v>414</v>
      </c>
      <c r="L63" s="486"/>
      <c r="M63" s="486"/>
      <c r="N63" s="486"/>
      <c r="O63" s="485" t="s">
        <v>414</v>
      </c>
      <c r="P63" t="s">
        <v>3810</v>
      </c>
      <c r="R63" t="s">
        <v>268</v>
      </c>
      <c r="S63" s="49">
        <v>1</v>
      </c>
      <c r="T63" t="s">
        <v>145</v>
      </c>
      <c r="U63" t="s">
        <v>145</v>
      </c>
      <c r="V63" t="s">
        <v>3853</v>
      </c>
      <c r="W63" t="s">
        <v>145</v>
      </c>
      <c r="X63" t="s">
        <v>3853</v>
      </c>
      <c r="Y63" t="s">
        <v>145</v>
      </c>
    </row>
    <row r="64" spans="1:25">
      <c r="A64" s="478" t="s">
        <v>122</v>
      </c>
      <c r="B64" s="480" t="s">
        <v>3630</v>
      </c>
      <c r="C64" s="481" t="s">
        <v>3631</v>
      </c>
      <c r="D64" s="480" t="s">
        <v>411</v>
      </c>
      <c r="E64" s="480" t="s">
        <v>3471</v>
      </c>
      <c r="F64" s="503" t="s">
        <v>3596</v>
      </c>
      <c r="G64" s="479">
        <v>42068</v>
      </c>
      <c r="H64" s="483"/>
      <c r="I64" s="495"/>
      <c r="J64" s="497"/>
      <c r="K64" s="495"/>
      <c r="L64" s="480"/>
      <c r="M64" s="480"/>
      <c r="N64" s="480"/>
      <c r="O64" s="497" t="s">
        <v>414</v>
      </c>
      <c r="P64" t="s">
        <v>3830</v>
      </c>
      <c r="R64" t="s">
        <v>274</v>
      </c>
      <c r="S64" s="49">
        <v>1</v>
      </c>
      <c r="T64" t="s">
        <v>145</v>
      </c>
      <c r="U64" t="s">
        <v>3804</v>
      </c>
      <c r="V64" t="s">
        <v>145</v>
      </c>
      <c r="W64" t="s">
        <v>145</v>
      </c>
      <c r="X64" t="s">
        <v>145</v>
      </c>
      <c r="Y64" t="s">
        <v>145</v>
      </c>
    </row>
    <row r="65" spans="1:25">
      <c r="A65" s="478" t="s">
        <v>122</v>
      </c>
      <c r="B65" s="480" t="s">
        <v>3634</v>
      </c>
      <c r="C65" s="481" t="s">
        <v>3635</v>
      </c>
      <c r="D65" s="480" t="s">
        <v>411</v>
      </c>
      <c r="E65" s="480" t="s">
        <v>3471</v>
      </c>
      <c r="F65" s="503" t="s">
        <v>3596</v>
      </c>
      <c r="G65" s="479">
        <v>42318</v>
      </c>
      <c r="H65" s="483"/>
      <c r="I65" s="495"/>
      <c r="J65" s="497"/>
      <c r="K65" s="495" t="s">
        <v>414</v>
      </c>
      <c r="L65" s="480"/>
      <c r="M65" s="480"/>
      <c r="N65" s="480"/>
      <c r="O65" s="497" t="s">
        <v>414</v>
      </c>
      <c r="P65" t="s">
        <v>3832</v>
      </c>
      <c r="R65" t="s">
        <v>276</v>
      </c>
      <c r="S65" s="49">
        <v>1</v>
      </c>
      <c r="T65" t="s">
        <v>145</v>
      </c>
      <c r="U65" t="s">
        <v>145</v>
      </c>
      <c r="V65" t="s">
        <v>145</v>
      </c>
      <c r="W65" t="s">
        <v>3859</v>
      </c>
      <c r="X65" t="s">
        <v>3859</v>
      </c>
      <c r="Y65" t="s">
        <v>145</v>
      </c>
    </row>
    <row r="66" spans="1:25">
      <c r="A66" s="474" t="s">
        <v>122</v>
      </c>
      <c r="B66" s="480" t="s">
        <v>3632</v>
      </c>
      <c r="C66" s="481" t="s">
        <v>3633</v>
      </c>
      <c r="D66" s="480" t="s">
        <v>411</v>
      </c>
      <c r="E66" s="480" t="s">
        <v>3471</v>
      </c>
      <c r="F66" s="503" t="s">
        <v>3596</v>
      </c>
      <c r="G66" s="479">
        <v>42327</v>
      </c>
      <c r="H66" s="483"/>
      <c r="I66" s="495"/>
      <c r="J66" s="497"/>
      <c r="K66" s="495" t="s">
        <v>414</v>
      </c>
      <c r="L66" s="480"/>
      <c r="M66" s="480"/>
      <c r="N66" s="480"/>
      <c r="O66" s="497" t="s">
        <v>414</v>
      </c>
      <c r="P66" t="s">
        <v>3831</v>
      </c>
      <c r="R66" t="s">
        <v>280</v>
      </c>
      <c r="S66" s="49">
        <v>1</v>
      </c>
      <c r="T66" t="s">
        <v>145</v>
      </c>
      <c r="U66" t="s">
        <v>145</v>
      </c>
      <c r="V66" t="s">
        <v>145</v>
      </c>
      <c r="W66" t="s">
        <v>3772</v>
      </c>
      <c r="X66" t="s">
        <v>145</v>
      </c>
      <c r="Y66" t="s">
        <v>3772</v>
      </c>
    </row>
    <row r="67" spans="1:25">
      <c r="A67" s="474" t="s">
        <v>133</v>
      </c>
      <c r="B67" s="480" t="s">
        <v>3719</v>
      </c>
      <c r="C67" s="481" t="s">
        <v>3720</v>
      </c>
      <c r="D67" s="480" t="s">
        <v>409</v>
      </c>
      <c r="E67" s="480" t="s">
        <v>3471</v>
      </c>
      <c r="F67" s="480" t="s">
        <v>3643</v>
      </c>
      <c r="G67" s="479">
        <v>33416</v>
      </c>
      <c r="H67" s="483">
        <v>35976</v>
      </c>
      <c r="I67" s="495"/>
      <c r="J67" s="497"/>
      <c r="K67" s="495"/>
      <c r="L67" s="480"/>
      <c r="M67" s="480"/>
      <c r="N67" s="480" t="s">
        <v>414</v>
      </c>
      <c r="O67" s="497"/>
      <c r="P67" t="s">
        <v>3874</v>
      </c>
      <c r="R67" t="s">
        <v>286</v>
      </c>
      <c r="S67" s="49">
        <v>1</v>
      </c>
      <c r="T67" t="s">
        <v>145</v>
      </c>
      <c r="U67" t="s">
        <v>145</v>
      </c>
      <c r="V67" t="s">
        <v>145</v>
      </c>
      <c r="W67" t="s">
        <v>3802</v>
      </c>
      <c r="X67" t="s">
        <v>145</v>
      </c>
      <c r="Y67" t="s">
        <v>145</v>
      </c>
    </row>
    <row r="68" spans="1:25">
      <c r="A68" s="478" t="s">
        <v>133</v>
      </c>
      <c r="B68" s="480" t="s">
        <v>3721</v>
      </c>
      <c r="C68" s="481" t="s">
        <v>3502</v>
      </c>
      <c r="D68" s="480" t="s">
        <v>409</v>
      </c>
      <c r="E68" s="480" t="s">
        <v>3471</v>
      </c>
      <c r="F68" s="480" t="s">
        <v>3643</v>
      </c>
      <c r="G68" s="479">
        <v>35311</v>
      </c>
      <c r="H68" s="483">
        <v>37802</v>
      </c>
      <c r="I68" s="495"/>
      <c r="J68" s="497"/>
      <c r="K68" s="495"/>
      <c r="L68" s="480"/>
      <c r="M68" s="480"/>
      <c r="N68" s="480" t="s">
        <v>414</v>
      </c>
      <c r="O68" s="497"/>
      <c r="P68" t="s">
        <v>3875</v>
      </c>
      <c r="R68" t="s">
        <v>290</v>
      </c>
      <c r="S68" s="49">
        <v>1</v>
      </c>
      <c r="T68" t="s">
        <v>145</v>
      </c>
      <c r="U68" t="s">
        <v>145</v>
      </c>
      <c r="V68" t="s">
        <v>145</v>
      </c>
      <c r="W68" t="s">
        <v>145</v>
      </c>
      <c r="X68" t="s">
        <v>3877</v>
      </c>
      <c r="Y68" t="s">
        <v>145</v>
      </c>
    </row>
    <row r="69" spans="1:25">
      <c r="A69" s="478" t="s">
        <v>139</v>
      </c>
      <c r="B69" s="480" t="s">
        <v>3545</v>
      </c>
      <c r="C69" s="481" t="s">
        <v>3546</v>
      </c>
      <c r="D69" s="480" t="s">
        <v>408</v>
      </c>
      <c r="E69" s="480" t="s">
        <v>3471</v>
      </c>
      <c r="F69" s="482" t="s">
        <v>3465</v>
      </c>
      <c r="G69" s="479">
        <v>40225</v>
      </c>
      <c r="H69" s="483">
        <v>42004</v>
      </c>
      <c r="I69" s="493"/>
      <c r="J69" s="494"/>
      <c r="K69" s="493"/>
      <c r="L69" s="488" t="s">
        <v>414</v>
      </c>
      <c r="M69" s="488"/>
      <c r="N69" s="488"/>
      <c r="O69" s="494"/>
      <c r="P69" t="s">
        <v>3787</v>
      </c>
      <c r="R69" t="s">
        <v>927</v>
      </c>
      <c r="S69" s="49">
        <v>5</v>
      </c>
      <c r="T69" t="s">
        <v>3779</v>
      </c>
      <c r="U69" t="s">
        <v>3925</v>
      </c>
      <c r="V69" t="s">
        <v>3777</v>
      </c>
      <c r="W69" t="s">
        <v>145</v>
      </c>
      <c r="X69" t="s">
        <v>145</v>
      </c>
      <c r="Y69" t="s">
        <v>3780</v>
      </c>
    </row>
    <row r="70" spans="1:25">
      <c r="A70" s="474" t="s">
        <v>139</v>
      </c>
      <c r="B70" s="480" t="s">
        <v>3547</v>
      </c>
      <c r="C70" s="481" t="s">
        <v>3548</v>
      </c>
      <c r="D70" s="480" t="s">
        <v>408</v>
      </c>
      <c r="E70" s="480" t="s">
        <v>3471</v>
      </c>
      <c r="F70" s="482" t="s">
        <v>3465</v>
      </c>
      <c r="G70" s="479">
        <v>41717</v>
      </c>
      <c r="H70" s="483">
        <v>43465</v>
      </c>
      <c r="I70" s="493"/>
      <c r="J70" s="494"/>
      <c r="K70" s="493"/>
      <c r="L70" s="488"/>
      <c r="M70" s="488"/>
      <c r="N70" s="488"/>
      <c r="O70" s="494" t="s">
        <v>414</v>
      </c>
      <c r="P70" t="s">
        <v>3788</v>
      </c>
      <c r="R70" t="s">
        <v>3745</v>
      </c>
      <c r="S70" s="52">
        <v>2</v>
      </c>
      <c r="T70" t="s">
        <v>3926</v>
      </c>
      <c r="V70" t="s">
        <v>145</v>
      </c>
      <c r="W70" t="s">
        <v>145</v>
      </c>
      <c r="X70" t="s">
        <v>145</v>
      </c>
      <c r="Y70" t="s">
        <v>145</v>
      </c>
    </row>
    <row r="71" spans="1:25">
      <c r="A71" s="474" t="s">
        <v>141</v>
      </c>
      <c r="B71" s="480" t="s">
        <v>3654</v>
      </c>
      <c r="C71" s="481" t="s">
        <v>3655</v>
      </c>
      <c r="D71" s="480" t="s">
        <v>406</v>
      </c>
      <c r="E71" s="480" t="s">
        <v>3471</v>
      </c>
      <c r="F71" s="480" t="s">
        <v>3643</v>
      </c>
      <c r="G71" s="479">
        <v>37103</v>
      </c>
      <c r="H71" s="483">
        <v>38533</v>
      </c>
      <c r="I71" s="495"/>
      <c r="J71" s="497"/>
      <c r="K71" s="495"/>
      <c r="L71" s="480"/>
      <c r="M71" s="480"/>
      <c r="N71" s="480" t="s">
        <v>414</v>
      </c>
      <c r="O71" s="497"/>
      <c r="P71" t="s">
        <v>3841</v>
      </c>
      <c r="R71" t="s">
        <v>294</v>
      </c>
      <c r="S71" s="49">
        <v>4</v>
      </c>
      <c r="T71" t="s">
        <v>145</v>
      </c>
      <c r="U71" t="s">
        <v>3927</v>
      </c>
      <c r="V71" t="s">
        <v>145</v>
      </c>
      <c r="W71" t="s">
        <v>145</v>
      </c>
      <c r="X71" t="s">
        <v>3928</v>
      </c>
      <c r="Y71" t="s">
        <v>3879</v>
      </c>
    </row>
    <row r="72" spans="1:25">
      <c r="A72" s="474" t="s">
        <v>141</v>
      </c>
      <c r="B72" s="480" t="s">
        <v>3654</v>
      </c>
      <c r="C72" s="481" t="s">
        <v>3655</v>
      </c>
      <c r="D72" s="480" t="s">
        <v>406</v>
      </c>
      <c r="E72" s="480" t="s">
        <v>3471</v>
      </c>
      <c r="F72" s="480" t="s">
        <v>3643</v>
      </c>
      <c r="G72" s="479">
        <v>37103</v>
      </c>
      <c r="H72" s="483">
        <v>38533</v>
      </c>
      <c r="I72" s="495"/>
      <c r="J72" s="497"/>
      <c r="K72" s="495"/>
      <c r="L72" s="480"/>
      <c r="M72" s="480"/>
      <c r="N72" s="480" t="s">
        <v>414</v>
      </c>
      <c r="O72" s="497"/>
      <c r="P72" t="s">
        <v>3841</v>
      </c>
      <c r="R72" t="s">
        <v>295</v>
      </c>
      <c r="S72" s="49">
        <v>1</v>
      </c>
      <c r="T72" t="s">
        <v>145</v>
      </c>
      <c r="U72" t="s">
        <v>145</v>
      </c>
      <c r="V72" t="s">
        <v>145</v>
      </c>
      <c r="W72" t="s">
        <v>145</v>
      </c>
      <c r="X72" t="s">
        <v>3849</v>
      </c>
      <c r="Y72" t="s">
        <v>145</v>
      </c>
    </row>
    <row r="73" spans="1:25">
      <c r="A73" s="474" t="s">
        <v>141</v>
      </c>
      <c r="B73" s="480" t="s">
        <v>3656</v>
      </c>
      <c r="C73" s="481" t="s">
        <v>3657</v>
      </c>
      <c r="D73" s="480" t="s">
        <v>406</v>
      </c>
      <c r="E73" s="480" t="s">
        <v>3471</v>
      </c>
      <c r="F73" s="480" t="s">
        <v>3643</v>
      </c>
      <c r="G73" s="479">
        <v>38741</v>
      </c>
      <c r="H73" s="483">
        <v>40786</v>
      </c>
      <c r="I73" s="495"/>
      <c r="J73" s="497"/>
      <c r="K73" s="495"/>
      <c r="L73" s="480" t="s">
        <v>414</v>
      </c>
      <c r="M73" s="480"/>
      <c r="N73" s="480" t="s">
        <v>414</v>
      </c>
      <c r="O73" s="497"/>
      <c r="P73" t="s">
        <v>3842</v>
      </c>
    </row>
    <row r="74" spans="1:25">
      <c r="A74" s="490" t="s">
        <v>141</v>
      </c>
      <c r="B74" s="488" t="s">
        <v>3497</v>
      </c>
      <c r="C74" s="489" t="s">
        <v>3498</v>
      </c>
      <c r="D74" s="488" t="s">
        <v>406</v>
      </c>
      <c r="E74" s="488" t="s">
        <v>3464</v>
      </c>
      <c r="F74" s="482" t="s">
        <v>3465</v>
      </c>
      <c r="G74" s="479">
        <v>41478</v>
      </c>
      <c r="H74" s="483">
        <v>43190</v>
      </c>
      <c r="I74" s="484"/>
      <c r="J74" s="485"/>
      <c r="K74" s="484" t="s">
        <v>414</v>
      </c>
      <c r="L74" s="486"/>
      <c r="M74" s="486"/>
      <c r="N74" s="488"/>
      <c r="O74" s="485"/>
      <c r="P74" t="s">
        <v>3763</v>
      </c>
      <c r="S74" s="49">
        <f>SUM(S2:S73)</f>
        <v>142</v>
      </c>
    </row>
    <row r="75" spans="1:25">
      <c r="A75" s="490" t="s">
        <v>3496</v>
      </c>
      <c r="B75" s="487" t="s">
        <v>3494</v>
      </c>
      <c r="C75" s="489" t="s">
        <v>3495</v>
      </c>
      <c r="D75" s="488" t="s">
        <v>406</v>
      </c>
      <c r="E75" s="480" t="s">
        <v>3489</v>
      </c>
      <c r="F75" s="482" t="s">
        <v>3465</v>
      </c>
      <c r="G75" s="479">
        <v>39170</v>
      </c>
      <c r="H75" s="483">
        <v>42735</v>
      </c>
      <c r="I75" s="484" t="s">
        <v>414</v>
      </c>
      <c r="J75" s="485" t="s">
        <v>414</v>
      </c>
      <c r="K75" s="484"/>
      <c r="L75" s="486"/>
      <c r="M75" s="486" t="s">
        <v>414</v>
      </c>
      <c r="N75" s="488"/>
      <c r="O75" s="485" t="s">
        <v>414</v>
      </c>
      <c r="P75" t="s">
        <v>3762</v>
      </c>
    </row>
    <row r="76" spans="1:25">
      <c r="A76" s="478" t="s">
        <v>3519</v>
      </c>
      <c r="B76" s="487" t="s">
        <v>3517</v>
      </c>
      <c r="C76" s="481" t="s">
        <v>3518</v>
      </c>
      <c r="D76" s="480" t="s">
        <v>407</v>
      </c>
      <c r="E76" s="480" t="s">
        <v>3476</v>
      </c>
      <c r="F76" s="482" t="s">
        <v>3465</v>
      </c>
      <c r="G76" s="479">
        <v>38608</v>
      </c>
      <c r="H76" s="483">
        <v>42369</v>
      </c>
      <c r="I76" s="484"/>
      <c r="J76" s="485"/>
      <c r="K76" s="484"/>
      <c r="L76" s="486"/>
      <c r="M76" s="486"/>
      <c r="N76" s="486"/>
      <c r="O76" s="485" t="s">
        <v>414</v>
      </c>
      <c r="P76" t="s">
        <v>3773</v>
      </c>
    </row>
    <row r="77" spans="1:25">
      <c r="A77" s="478" t="s">
        <v>3519</v>
      </c>
      <c r="B77" s="480" t="s">
        <v>3611</v>
      </c>
      <c r="C77" s="481" t="s">
        <v>3612</v>
      </c>
      <c r="D77" s="480" t="s">
        <v>407</v>
      </c>
      <c r="E77" s="480" t="s">
        <v>3476</v>
      </c>
      <c r="F77" s="503" t="s">
        <v>3596</v>
      </c>
      <c r="G77" s="479">
        <v>42276</v>
      </c>
      <c r="H77" s="483"/>
      <c r="I77" s="495" t="s">
        <v>414</v>
      </c>
      <c r="J77" s="497" t="s">
        <v>414</v>
      </c>
      <c r="K77" s="495" t="s">
        <v>414</v>
      </c>
      <c r="L77" s="480"/>
      <c r="M77" s="480"/>
      <c r="N77" s="480"/>
      <c r="O77" s="497"/>
      <c r="P77" t="s">
        <v>3821</v>
      </c>
    </row>
    <row r="78" spans="1:25">
      <c r="A78" s="490" t="s">
        <v>159</v>
      </c>
      <c r="B78" s="488" t="s">
        <v>3499</v>
      </c>
      <c r="C78" s="489" t="s">
        <v>3500</v>
      </c>
      <c r="D78" s="488" t="s">
        <v>406</v>
      </c>
      <c r="E78" s="488" t="s">
        <v>3471</v>
      </c>
      <c r="F78" s="482" t="s">
        <v>3465</v>
      </c>
      <c r="G78" s="491">
        <v>39581</v>
      </c>
      <c r="H78" s="492">
        <v>42004</v>
      </c>
      <c r="I78" s="484"/>
      <c r="J78" s="485"/>
      <c r="K78" s="484"/>
      <c r="L78" s="486"/>
      <c r="M78" s="486"/>
      <c r="N78" s="488" t="s">
        <v>414</v>
      </c>
      <c r="O78" s="485"/>
      <c r="P78" t="s">
        <v>3764</v>
      </c>
    </row>
    <row r="79" spans="1:25">
      <c r="A79" s="478" t="s">
        <v>159</v>
      </c>
      <c r="B79" s="480" t="s">
        <v>3658</v>
      </c>
      <c r="C79" s="481" t="s">
        <v>3659</v>
      </c>
      <c r="D79" s="480" t="s">
        <v>406</v>
      </c>
      <c r="E79" s="480" t="s">
        <v>3471</v>
      </c>
      <c r="F79" s="480" t="s">
        <v>3643</v>
      </c>
      <c r="G79" s="479">
        <v>39846</v>
      </c>
      <c r="H79" s="483">
        <v>40940</v>
      </c>
      <c r="I79" s="495"/>
      <c r="J79" s="497"/>
      <c r="K79" s="495"/>
      <c r="L79" s="480"/>
      <c r="M79" s="480"/>
      <c r="N79" s="480" t="s">
        <v>414</v>
      </c>
      <c r="O79" s="497"/>
      <c r="P79" t="s">
        <v>3843</v>
      </c>
    </row>
    <row r="80" spans="1:25">
      <c r="A80" s="478" t="s">
        <v>159</v>
      </c>
      <c r="B80" s="480" t="s">
        <v>3501</v>
      </c>
      <c r="C80" s="481" t="s">
        <v>3502</v>
      </c>
      <c r="D80" s="480" t="s">
        <v>406</v>
      </c>
      <c r="E80" s="480" t="s">
        <v>3471</v>
      </c>
      <c r="F80" s="482" t="s">
        <v>3465</v>
      </c>
      <c r="G80" s="479">
        <v>41680</v>
      </c>
      <c r="H80" s="483">
        <v>43738</v>
      </c>
      <c r="I80" s="493"/>
      <c r="J80" s="494"/>
      <c r="K80" s="493"/>
      <c r="L80" s="488"/>
      <c r="M80" s="488"/>
      <c r="N80" s="488" t="s">
        <v>414</v>
      </c>
      <c r="O80" s="494"/>
      <c r="P80" t="s">
        <v>3765</v>
      </c>
    </row>
    <row r="81" spans="1:16">
      <c r="A81" s="478" t="s">
        <v>168</v>
      </c>
      <c r="B81" s="480" t="s">
        <v>3602</v>
      </c>
      <c r="C81" s="481" t="s">
        <v>3463</v>
      </c>
      <c r="D81" s="480" t="s">
        <v>406</v>
      </c>
      <c r="E81" s="480" t="s">
        <v>3464</v>
      </c>
      <c r="F81" s="503" t="s">
        <v>3596</v>
      </c>
      <c r="G81" s="479">
        <v>42152</v>
      </c>
      <c r="H81" s="483"/>
      <c r="I81" s="495"/>
      <c r="J81" s="497"/>
      <c r="K81" s="495"/>
      <c r="L81" s="480" t="s">
        <v>414</v>
      </c>
      <c r="M81" s="480"/>
      <c r="N81" s="480"/>
      <c r="O81" s="497"/>
      <c r="P81" t="s">
        <v>3816</v>
      </c>
    </row>
    <row r="82" spans="1:16">
      <c r="A82" s="478" t="s">
        <v>170</v>
      </c>
      <c r="B82" s="480" t="s">
        <v>3662</v>
      </c>
      <c r="C82" s="481" t="s">
        <v>3663</v>
      </c>
      <c r="D82" s="480" t="s">
        <v>406</v>
      </c>
      <c r="E82" s="480" t="s">
        <v>3471</v>
      </c>
      <c r="F82" s="480" t="s">
        <v>3643</v>
      </c>
      <c r="G82" s="479">
        <v>34494</v>
      </c>
      <c r="H82" s="483">
        <v>37072</v>
      </c>
      <c r="I82" s="495"/>
      <c r="J82" s="497"/>
      <c r="K82" s="495"/>
      <c r="L82" s="480"/>
      <c r="M82" s="480"/>
      <c r="N82" s="480" t="s">
        <v>414</v>
      </c>
      <c r="O82" s="497"/>
      <c r="P82" t="s">
        <v>3845</v>
      </c>
    </row>
    <row r="83" spans="1:16">
      <c r="A83" s="478" t="s">
        <v>170</v>
      </c>
      <c r="B83" s="480" t="s">
        <v>3664</v>
      </c>
      <c r="C83" s="481" t="s">
        <v>3665</v>
      </c>
      <c r="D83" s="480" t="s">
        <v>406</v>
      </c>
      <c r="E83" s="480" t="s">
        <v>3471</v>
      </c>
      <c r="F83" s="480" t="s">
        <v>3643</v>
      </c>
      <c r="G83" s="479">
        <v>37686</v>
      </c>
      <c r="H83" s="483">
        <v>40057</v>
      </c>
      <c r="I83" s="495"/>
      <c r="J83" s="497"/>
      <c r="K83" s="495"/>
      <c r="L83" s="480"/>
      <c r="M83" s="480"/>
      <c r="N83" s="480" t="s">
        <v>414</v>
      </c>
      <c r="O83" s="497"/>
      <c r="P83" t="s">
        <v>3846</v>
      </c>
    </row>
    <row r="84" spans="1:16">
      <c r="A84" s="478" t="s">
        <v>170</v>
      </c>
      <c r="B84" s="480" t="s">
        <v>3503</v>
      </c>
      <c r="C84" s="481" t="s">
        <v>3504</v>
      </c>
      <c r="D84" s="480" t="s">
        <v>406</v>
      </c>
      <c r="E84" s="480" t="s">
        <v>3464</v>
      </c>
      <c r="F84" s="482" t="s">
        <v>3465</v>
      </c>
      <c r="G84" s="479">
        <v>41626</v>
      </c>
      <c r="H84" s="483">
        <v>43281</v>
      </c>
      <c r="I84" s="493"/>
      <c r="J84" s="494"/>
      <c r="K84" s="484" t="s">
        <v>414</v>
      </c>
      <c r="L84" s="486"/>
      <c r="M84" s="486"/>
      <c r="N84" s="486"/>
      <c r="O84" s="485"/>
      <c r="P84" t="s">
        <v>3766</v>
      </c>
    </row>
    <row r="85" spans="1:16">
      <c r="A85" s="478" t="s">
        <v>178</v>
      </c>
      <c r="B85" s="480" t="s">
        <v>3660</v>
      </c>
      <c r="C85" s="481" t="s">
        <v>3661</v>
      </c>
      <c r="D85" s="480" t="s">
        <v>406</v>
      </c>
      <c r="E85" s="480" t="s">
        <v>3471</v>
      </c>
      <c r="F85" s="480" t="s">
        <v>3643</v>
      </c>
      <c r="G85" s="479">
        <v>38904</v>
      </c>
      <c r="H85" s="483">
        <v>41727</v>
      </c>
      <c r="I85" s="495"/>
      <c r="J85" s="497"/>
      <c r="K85" s="495"/>
      <c r="L85" s="480" t="s">
        <v>414</v>
      </c>
      <c r="M85" s="480" t="s">
        <v>414</v>
      </c>
      <c r="N85" s="480" t="s">
        <v>414</v>
      </c>
      <c r="O85" s="497" t="s">
        <v>414</v>
      </c>
      <c r="P85" t="s">
        <v>3844</v>
      </c>
    </row>
    <row r="86" spans="1:16">
      <c r="A86" s="478" t="s">
        <v>178</v>
      </c>
      <c r="B86" s="480" t="s">
        <v>3603</v>
      </c>
      <c r="C86" s="481" t="s">
        <v>3604</v>
      </c>
      <c r="D86" s="480" t="s">
        <v>406</v>
      </c>
      <c r="E86" s="480" t="s">
        <v>3471</v>
      </c>
      <c r="F86" s="503" t="s">
        <v>3596</v>
      </c>
      <c r="G86" s="479">
        <v>42117</v>
      </c>
      <c r="H86" s="483"/>
      <c r="I86" s="495" t="s">
        <v>414</v>
      </c>
      <c r="J86" s="497" t="s">
        <v>414</v>
      </c>
      <c r="K86" s="495"/>
      <c r="L86" s="480" t="s">
        <v>414</v>
      </c>
      <c r="M86" s="480"/>
      <c r="N86" s="480" t="s">
        <v>414</v>
      </c>
      <c r="O86" s="497"/>
      <c r="P86" t="s">
        <v>3817</v>
      </c>
    </row>
    <row r="87" spans="1:16">
      <c r="A87" s="478" t="s">
        <v>178</v>
      </c>
      <c r="B87" s="480" t="s">
        <v>3603</v>
      </c>
      <c r="C87" s="481" t="s">
        <v>3605</v>
      </c>
      <c r="D87" s="480" t="s">
        <v>406</v>
      </c>
      <c r="E87" s="480" t="s">
        <v>3471</v>
      </c>
      <c r="F87" s="503" t="s">
        <v>3596</v>
      </c>
      <c r="G87" s="479">
        <v>42117</v>
      </c>
      <c r="H87" s="483"/>
      <c r="I87" s="495"/>
      <c r="J87" s="497"/>
      <c r="K87" s="495"/>
      <c r="L87" s="480"/>
      <c r="M87" s="480"/>
      <c r="N87" s="480"/>
      <c r="O87" s="497" t="s">
        <v>414</v>
      </c>
      <c r="P87" t="s">
        <v>3817</v>
      </c>
    </row>
    <row r="88" spans="1:16">
      <c r="A88" s="478" t="s">
        <v>178</v>
      </c>
      <c r="B88" s="480" t="s">
        <v>3606</v>
      </c>
      <c r="C88" s="481" t="s">
        <v>3607</v>
      </c>
      <c r="D88" s="480" t="s">
        <v>406</v>
      </c>
      <c r="E88" s="480" t="s">
        <v>3464</v>
      </c>
      <c r="F88" s="503" t="s">
        <v>3596</v>
      </c>
      <c r="G88" s="479">
        <v>42138</v>
      </c>
      <c r="H88" s="483"/>
      <c r="I88" s="495"/>
      <c r="J88" s="497"/>
      <c r="K88" s="495" t="s">
        <v>414</v>
      </c>
      <c r="L88" s="480"/>
      <c r="M88" s="480"/>
      <c r="N88" s="480"/>
      <c r="O88" s="497" t="s">
        <v>414</v>
      </c>
      <c r="P88" t="s">
        <v>3818</v>
      </c>
    </row>
    <row r="89" spans="1:16">
      <c r="A89" s="478" t="s">
        <v>180</v>
      </c>
      <c r="B89" s="480" t="s">
        <v>3567</v>
      </c>
      <c r="C89" s="481" t="s">
        <v>3568</v>
      </c>
      <c r="D89" s="480" t="s">
        <v>409</v>
      </c>
      <c r="E89" s="488" t="s">
        <v>3464</v>
      </c>
      <c r="F89" s="482" t="s">
        <v>3465</v>
      </c>
      <c r="G89" s="479">
        <v>41936</v>
      </c>
      <c r="H89" s="483">
        <v>43644</v>
      </c>
      <c r="I89" s="493"/>
      <c r="J89" s="494"/>
      <c r="K89" s="493" t="s">
        <v>414</v>
      </c>
      <c r="L89" s="488"/>
      <c r="M89" s="488"/>
      <c r="N89" s="488"/>
      <c r="O89" s="494"/>
      <c r="P89" t="s">
        <v>3799</v>
      </c>
    </row>
    <row r="90" spans="1:16">
      <c r="A90" s="478" t="s">
        <v>183</v>
      </c>
      <c r="B90" s="480" t="s">
        <v>3688</v>
      </c>
      <c r="C90" s="481" t="s">
        <v>3689</v>
      </c>
      <c r="D90" s="480" t="s">
        <v>408</v>
      </c>
      <c r="E90" s="480" t="s">
        <v>3471</v>
      </c>
      <c r="F90" s="480" t="s">
        <v>3643</v>
      </c>
      <c r="G90" s="479">
        <v>38728</v>
      </c>
      <c r="H90" s="483">
        <v>41698</v>
      </c>
      <c r="I90" s="495"/>
      <c r="J90" s="497"/>
      <c r="K90" s="495"/>
      <c r="L90" s="480"/>
      <c r="M90" s="480"/>
      <c r="N90" s="480" t="s">
        <v>414</v>
      </c>
      <c r="O90" s="497"/>
      <c r="P90" t="s">
        <v>3858</v>
      </c>
    </row>
    <row r="91" spans="1:16">
      <c r="A91" s="478" t="s">
        <v>183</v>
      </c>
      <c r="B91" s="480" t="s">
        <v>3550</v>
      </c>
      <c r="C91" s="481" t="s">
        <v>3551</v>
      </c>
      <c r="D91" s="480" t="s">
        <v>408</v>
      </c>
      <c r="E91" s="480" t="s">
        <v>3489</v>
      </c>
      <c r="F91" s="482" t="s">
        <v>3465</v>
      </c>
      <c r="G91" s="479">
        <v>40703</v>
      </c>
      <c r="H91" s="483">
        <v>42735</v>
      </c>
      <c r="I91" s="493"/>
      <c r="J91" s="494"/>
      <c r="K91" s="493"/>
      <c r="L91" s="488"/>
      <c r="M91" s="488"/>
      <c r="N91" s="488"/>
      <c r="O91" s="494" t="s">
        <v>414</v>
      </c>
      <c r="P91" t="s">
        <v>3790</v>
      </c>
    </row>
    <row r="92" spans="1:16">
      <c r="A92" s="478" t="s">
        <v>183</v>
      </c>
      <c r="B92" s="480" t="s">
        <v>3622</v>
      </c>
      <c r="C92" s="481" t="s">
        <v>3623</v>
      </c>
      <c r="D92" s="480" t="s">
        <v>408</v>
      </c>
      <c r="E92" s="480" t="s">
        <v>3471</v>
      </c>
      <c r="F92" s="503" t="s">
        <v>3596</v>
      </c>
      <c r="G92" s="479">
        <v>42101</v>
      </c>
      <c r="H92" s="483"/>
      <c r="I92" s="495"/>
      <c r="J92" s="497"/>
      <c r="K92" s="495"/>
      <c r="L92" s="480" t="s">
        <v>414</v>
      </c>
      <c r="M92" s="480"/>
      <c r="N92" s="480"/>
      <c r="O92" s="497"/>
      <c r="P92" t="s">
        <v>3826</v>
      </c>
    </row>
    <row r="93" spans="1:16">
      <c r="A93" s="478" t="s">
        <v>186</v>
      </c>
      <c r="B93" s="480" t="s">
        <v>3674</v>
      </c>
      <c r="C93" s="481" t="s">
        <v>3675</v>
      </c>
      <c r="D93" s="480" t="s">
        <v>407</v>
      </c>
      <c r="E93" s="480" t="s">
        <v>3471</v>
      </c>
      <c r="F93" s="480" t="s">
        <v>3643</v>
      </c>
      <c r="G93" s="479">
        <v>37796</v>
      </c>
      <c r="H93" s="483">
        <v>41364</v>
      </c>
      <c r="I93" s="495"/>
      <c r="J93" s="497"/>
      <c r="K93" s="495"/>
      <c r="L93" s="480"/>
      <c r="M93" s="480"/>
      <c r="N93" s="480" t="s">
        <v>414</v>
      </c>
      <c r="O93" s="497"/>
      <c r="P93" t="s">
        <v>3851</v>
      </c>
    </row>
    <row r="94" spans="1:16">
      <c r="A94" s="478" t="s">
        <v>188</v>
      </c>
      <c r="B94" s="480" t="s">
        <v>3624</v>
      </c>
      <c r="C94" s="481" t="s">
        <v>3625</v>
      </c>
      <c r="D94" s="480" t="s">
        <v>408</v>
      </c>
      <c r="E94" s="480" t="s">
        <v>3471</v>
      </c>
      <c r="F94" s="503" t="s">
        <v>3596</v>
      </c>
      <c r="G94" s="479">
        <v>42037</v>
      </c>
      <c r="H94" s="483"/>
      <c r="I94" s="495"/>
      <c r="J94" s="497"/>
      <c r="K94" s="495"/>
      <c r="L94" s="480" t="s">
        <v>414</v>
      </c>
      <c r="M94" s="480"/>
      <c r="N94" s="480"/>
      <c r="O94" s="497"/>
      <c r="P94" t="s">
        <v>3827</v>
      </c>
    </row>
    <row r="95" spans="1:16">
      <c r="A95" s="478" t="s">
        <v>189</v>
      </c>
      <c r="B95" s="480" t="s">
        <v>3575</v>
      </c>
      <c r="C95" s="481" t="s">
        <v>3576</v>
      </c>
      <c r="D95" s="480" t="s">
        <v>410</v>
      </c>
      <c r="E95" s="480" t="s">
        <v>3471</v>
      </c>
      <c r="F95" s="482" t="s">
        <v>3465</v>
      </c>
      <c r="G95" s="479">
        <v>41072</v>
      </c>
      <c r="H95" s="483">
        <v>42735</v>
      </c>
      <c r="I95" s="493"/>
      <c r="J95" s="494"/>
      <c r="K95" s="493"/>
      <c r="L95" s="488"/>
      <c r="M95" s="488" t="s">
        <v>414</v>
      </c>
      <c r="N95" s="488"/>
      <c r="O95" s="494" t="s">
        <v>414</v>
      </c>
      <c r="P95" t="s">
        <v>3803</v>
      </c>
    </row>
    <row r="96" spans="1:16">
      <c r="A96" s="478" t="s">
        <v>191</v>
      </c>
      <c r="B96" s="480" t="s">
        <v>3505</v>
      </c>
      <c r="C96" s="481" t="s">
        <v>3506</v>
      </c>
      <c r="D96" s="480" t="s">
        <v>406</v>
      </c>
      <c r="E96" s="480" t="s">
        <v>3464</v>
      </c>
      <c r="F96" s="482" t="s">
        <v>3465</v>
      </c>
      <c r="G96" s="479">
        <v>41361</v>
      </c>
      <c r="H96" s="483">
        <v>43281</v>
      </c>
      <c r="I96" s="493"/>
      <c r="J96" s="494"/>
      <c r="K96" s="484" t="s">
        <v>414</v>
      </c>
      <c r="L96" s="486"/>
      <c r="M96" s="486"/>
      <c r="N96" s="486"/>
      <c r="O96" s="485"/>
      <c r="P96" t="s">
        <v>3767</v>
      </c>
    </row>
    <row r="97" spans="1:16">
      <c r="A97" s="478" t="s">
        <v>192</v>
      </c>
      <c r="B97" s="480" t="s">
        <v>3520</v>
      </c>
      <c r="C97" s="481" t="s">
        <v>3521</v>
      </c>
      <c r="D97" s="480" t="s">
        <v>407</v>
      </c>
      <c r="E97" s="480" t="s">
        <v>3471</v>
      </c>
      <c r="F97" s="482" t="s">
        <v>3465</v>
      </c>
      <c r="G97" s="479">
        <v>41731</v>
      </c>
      <c r="H97" s="483">
        <v>43738</v>
      </c>
      <c r="I97" s="493"/>
      <c r="J97" s="494"/>
      <c r="K97" s="484"/>
      <c r="L97" s="486" t="s">
        <v>414</v>
      </c>
      <c r="M97" s="486" t="s">
        <v>414</v>
      </c>
      <c r="N97" s="486"/>
      <c r="O97" s="485" t="s">
        <v>414</v>
      </c>
      <c r="P97" t="s">
        <v>3774</v>
      </c>
    </row>
    <row r="98" spans="1:16">
      <c r="A98" s="478" t="s">
        <v>192</v>
      </c>
      <c r="B98" s="480" t="s">
        <v>3522</v>
      </c>
      <c r="C98" s="481" t="s">
        <v>3523</v>
      </c>
      <c r="D98" s="480" t="s">
        <v>407</v>
      </c>
      <c r="E98" s="480" t="s">
        <v>3489</v>
      </c>
      <c r="F98" s="482" t="s">
        <v>3465</v>
      </c>
      <c r="G98" s="479">
        <v>41676</v>
      </c>
      <c r="H98" s="483">
        <v>43830</v>
      </c>
      <c r="I98" s="493"/>
      <c r="J98" s="494"/>
      <c r="K98" s="484"/>
      <c r="L98" s="486"/>
      <c r="M98" s="486"/>
      <c r="N98" s="486"/>
      <c r="O98" s="485" t="s">
        <v>414</v>
      </c>
      <c r="P98" t="s">
        <v>3775</v>
      </c>
    </row>
    <row r="99" spans="1:16">
      <c r="A99" s="478" t="s">
        <v>192</v>
      </c>
      <c r="B99" s="480" t="s">
        <v>3613</v>
      </c>
      <c r="C99" s="481" t="s">
        <v>3614</v>
      </c>
      <c r="D99" s="480" t="s">
        <v>407</v>
      </c>
      <c r="E99" s="480" t="s">
        <v>3464</v>
      </c>
      <c r="F99" s="503" t="s">
        <v>3596</v>
      </c>
      <c r="G99" s="479">
        <v>42152</v>
      </c>
      <c r="H99" s="483"/>
      <c r="I99" s="493"/>
      <c r="J99" s="494"/>
      <c r="K99" s="484" t="s">
        <v>414</v>
      </c>
      <c r="L99" s="486"/>
      <c r="M99" s="486"/>
      <c r="N99" s="486"/>
      <c r="O99" s="485"/>
      <c r="P99" t="s">
        <v>3822</v>
      </c>
    </row>
    <row r="100" spans="1:16">
      <c r="A100" s="478" t="s">
        <v>196</v>
      </c>
      <c r="B100" s="480" t="s">
        <v>3636</v>
      </c>
      <c r="C100" s="481" t="s">
        <v>3637</v>
      </c>
      <c r="D100" s="480" t="s">
        <v>411</v>
      </c>
      <c r="E100" s="480" t="s">
        <v>3489</v>
      </c>
      <c r="F100" s="505" t="s">
        <v>3596</v>
      </c>
      <c r="G100" s="479">
        <v>41957</v>
      </c>
      <c r="H100" s="483"/>
      <c r="I100" s="495" t="s">
        <v>414</v>
      </c>
      <c r="J100" s="497" t="s">
        <v>414</v>
      </c>
      <c r="K100" s="495"/>
      <c r="L100" s="480"/>
      <c r="M100" s="480"/>
      <c r="N100" s="480"/>
      <c r="O100" s="497"/>
      <c r="P100" t="s">
        <v>3833</v>
      </c>
    </row>
    <row r="101" spans="1:16">
      <c r="A101" s="478" t="s">
        <v>201</v>
      </c>
      <c r="B101" s="480" t="s">
        <v>3569</v>
      </c>
      <c r="C101" s="481" t="s">
        <v>3570</v>
      </c>
      <c r="D101" s="480" t="s">
        <v>409</v>
      </c>
      <c r="E101" s="480" t="s">
        <v>3471</v>
      </c>
      <c r="F101" s="482" t="s">
        <v>3465</v>
      </c>
      <c r="G101" s="479">
        <v>40519</v>
      </c>
      <c r="H101" s="483">
        <v>42369</v>
      </c>
      <c r="I101" s="493"/>
      <c r="J101" s="494"/>
      <c r="K101" s="493"/>
      <c r="L101" s="488"/>
      <c r="M101" s="488"/>
      <c r="N101" s="488" t="s">
        <v>414</v>
      </c>
      <c r="O101" s="494"/>
      <c r="P101" t="s">
        <v>3800</v>
      </c>
    </row>
    <row r="102" spans="1:16">
      <c r="A102" s="478" t="s">
        <v>204</v>
      </c>
      <c r="B102" s="480" t="s">
        <v>3666</v>
      </c>
      <c r="C102" s="481" t="s">
        <v>3667</v>
      </c>
      <c r="D102" s="480" t="s">
        <v>406</v>
      </c>
      <c r="E102" s="480" t="s">
        <v>3471</v>
      </c>
      <c r="F102" s="480" t="s">
        <v>3643</v>
      </c>
      <c r="G102" s="479">
        <v>38532</v>
      </c>
      <c r="H102" s="483">
        <v>40908</v>
      </c>
      <c r="I102" s="495"/>
      <c r="J102" s="497"/>
      <c r="K102" s="495"/>
      <c r="L102" s="480"/>
      <c r="M102" s="480"/>
      <c r="N102" s="480" t="s">
        <v>414</v>
      </c>
      <c r="O102" s="497"/>
      <c r="P102" t="s">
        <v>3847</v>
      </c>
    </row>
    <row r="103" spans="1:16">
      <c r="A103" s="478" t="s">
        <v>204</v>
      </c>
      <c r="B103" s="480" t="s">
        <v>3668</v>
      </c>
      <c r="C103" s="481" t="s">
        <v>3669</v>
      </c>
      <c r="D103" s="480" t="s">
        <v>406</v>
      </c>
      <c r="E103" s="480" t="s">
        <v>3471</v>
      </c>
      <c r="F103" s="480" t="s">
        <v>3643</v>
      </c>
      <c r="G103" s="479">
        <v>38335</v>
      </c>
      <c r="H103" s="483">
        <v>41455</v>
      </c>
      <c r="I103" s="495"/>
      <c r="J103" s="497"/>
      <c r="K103" s="495"/>
      <c r="L103" s="480" t="s">
        <v>414</v>
      </c>
      <c r="M103" s="480"/>
      <c r="N103" s="480" t="s">
        <v>414</v>
      </c>
      <c r="O103" s="497"/>
      <c r="P103" t="s">
        <v>3848</v>
      </c>
    </row>
    <row r="104" spans="1:16">
      <c r="A104" s="478" t="s">
        <v>204</v>
      </c>
      <c r="B104" s="480" t="s">
        <v>3608</v>
      </c>
      <c r="C104" s="481" t="s">
        <v>3506</v>
      </c>
      <c r="D104" s="480" t="s">
        <v>406</v>
      </c>
      <c r="E104" s="480" t="s">
        <v>3464</v>
      </c>
      <c r="F104" s="503" t="s">
        <v>3596</v>
      </c>
      <c r="G104" s="479">
        <v>42445</v>
      </c>
      <c r="H104" s="483"/>
      <c r="I104" s="495"/>
      <c r="J104" s="497"/>
      <c r="K104" s="495" t="s">
        <v>414</v>
      </c>
      <c r="L104" s="480"/>
      <c r="M104" s="480"/>
      <c r="N104" s="480"/>
      <c r="O104" s="497" t="s">
        <v>414</v>
      </c>
      <c r="P104" t="s">
        <v>3819</v>
      </c>
    </row>
    <row r="105" spans="1:16">
      <c r="A105" s="478" t="s">
        <v>3724</v>
      </c>
      <c r="B105" s="480" t="s">
        <v>3722</v>
      </c>
      <c r="C105" s="481" t="s">
        <v>3723</v>
      </c>
      <c r="D105" s="480" t="s">
        <v>409</v>
      </c>
      <c r="E105" s="480" t="s">
        <v>3471</v>
      </c>
      <c r="F105" s="480" t="s">
        <v>3643</v>
      </c>
      <c r="G105" s="479">
        <v>39595</v>
      </c>
      <c r="H105" s="483">
        <v>41698</v>
      </c>
      <c r="I105" s="495"/>
      <c r="J105" s="497"/>
      <c r="K105" s="495"/>
      <c r="L105" s="480" t="s">
        <v>414</v>
      </c>
      <c r="M105" s="480"/>
      <c r="N105" s="480"/>
      <c r="O105" s="497"/>
      <c r="P105" t="s">
        <v>3876</v>
      </c>
    </row>
    <row r="106" spans="1:16">
      <c r="A106" s="478" t="s">
        <v>3724</v>
      </c>
      <c r="B106" s="480" t="s">
        <v>3748</v>
      </c>
      <c r="C106" s="481" t="s">
        <v>3749</v>
      </c>
      <c r="D106" s="480" t="s">
        <v>409</v>
      </c>
      <c r="E106" s="480" t="s">
        <v>3489</v>
      </c>
      <c r="F106" s="480" t="s">
        <v>3643</v>
      </c>
      <c r="G106" s="479">
        <v>40162</v>
      </c>
      <c r="H106" s="483">
        <v>41698</v>
      </c>
      <c r="I106" s="508" t="s">
        <v>414</v>
      </c>
      <c r="J106" s="497" t="s">
        <v>414</v>
      </c>
      <c r="K106" s="495"/>
      <c r="L106" s="480"/>
      <c r="M106" s="480"/>
      <c r="N106" s="480"/>
      <c r="O106" s="497"/>
      <c r="P106" t="s">
        <v>3888</v>
      </c>
    </row>
    <row r="107" spans="1:16">
      <c r="A107" s="478" t="s">
        <v>209</v>
      </c>
      <c r="B107" s="480" t="s">
        <v>3739</v>
      </c>
      <c r="C107" s="481" t="s">
        <v>3740</v>
      </c>
      <c r="D107" s="480" t="s">
        <v>411</v>
      </c>
      <c r="E107" s="480" t="s">
        <v>3471</v>
      </c>
      <c r="F107" s="480" t="s">
        <v>3643</v>
      </c>
      <c r="G107" s="479">
        <v>35325</v>
      </c>
      <c r="H107" s="483">
        <v>38503</v>
      </c>
      <c r="I107" s="495"/>
      <c r="J107" s="497"/>
      <c r="K107" s="495"/>
      <c r="L107" s="480"/>
      <c r="M107" s="480"/>
      <c r="N107" s="480" t="s">
        <v>414</v>
      </c>
      <c r="O107" s="497"/>
      <c r="P107" t="s">
        <v>3884</v>
      </c>
    </row>
    <row r="108" spans="1:16">
      <c r="A108" s="478" t="s">
        <v>209</v>
      </c>
      <c r="B108" s="480" t="s">
        <v>3739</v>
      </c>
      <c r="C108" s="481" t="s">
        <v>3740</v>
      </c>
      <c r="D108" s="480" t="s">
        <v>411</v>
      </c>
      <c r="E108" s="480" t="s">
        <v>3471</v>
      </c>
      <c r="F108" s="480" t="s">
        <v>3643</v>
      </c>
      <c r="G108" s="479">
        <v>35325</v>
      </c>
      <c r="H108" s="483">
        <v>38503</v>
      </c>
      <c r="I108" s="495"/>
      <c r="J108" s="497"/>
      <c r="K108" s="495"/>
      <c r="L108" s="480"/>
      <c r="M108" s="480"/>
      <c r="N108" s="480" t="s">
        <v>414</v>
      </c>
      <c r="O108" s="497"/>
      <c r="P108" t="s">
        <v>3884</v>
      </c>
    </row>
    <row r="109" spans="1:16">
      <c r="A109" s="478" t="s">
        <v>209</v>
      </c>
      <c r="B109" s="480" t="s">
        <v>3741</v>
      </c>
      <c r="C109" s="481" t="s">
        <v>3742</v>
      </c>
      <c r="D109" s="480" t="s">
        <v>411</v>
      </c>
      <c r="E109" s="480" t="s">
        <v>3471</v>
      </c>
      <c r="F109" s="480" t="s">
        <v>3643</v>
      </c>
      <c r="G109" s="479">
        <v>38328</v>
      </c>
      <c r="H109" s="483">
        <v>40908</v>
      </c>
      <c r="I109" s="495"/>
      <c r="J109" s="497"/>
      <c r="K109" s="495"/>
      <c r="L109" s="480" t="s">
        <v>414</v>
      </c>
      <c r="M109" s="480"/>
      <c r="N109" s="480"/>
      <c r="O109" s="497"/>
      <c r="P109" t="s">
        <v>3885</v>
      </c>
    </row>
    <row r="110" spans="1:16">
      <c r="A110" s="478" t="s">
        <v>209</v>
      </c>
      <c r="B110" s="487" t="s">
        <v>3593</v>
      </c>
      <c r="C110" s="481" t="s">
        <v>3463</v>
      </c>
      <c r="D110" s="480" t="s">
        <v>411</v>
      </c>
      <c r="E110" s="480" t="s">
        <v>3464</v>
      </c>
      <c r="F110" s="482" t="s">
        <v>3465</v>
      </c>
      <c r="G110" s="479">
        <v>39982</v>
      </c>
      <c r="H110" s="483">
        <v>42551</v>
      </c>
      <c r="I110" s="484" t="s">
        <v>414</v>
      </c>
      <c r="J110" s="485" t="s">
        <v>414</v>
      </c>
      <c r="K110" s="484" t="s">
        <v>414</v>
      </c>
      <c r="L110" s="486"/>
      <c r="M110" s="486"/>
      <c r="N110" s="486"/>
      <c r="O110" s="485"/>
      <c r="P110" t="s">
        <v>3812</v>
      </c>
    </row>
    <row r="111" spans="1:16">
      <c r="A111" s="478" t="s">
        <v>209</v>
      </c>
      <c r="B111" s="480" t="s">
        <v>3638</v>
      </c>
      <c r="C111" s="481" t="s">
        <v>3639</v>
      </c>
      <c r="D111" s="480" t="s">
        <v>411</v>
      </c>
      <c r="E111" s="480" t="s">
        <v>3640</v>
      </c>
      <c r="F111" s="503" t="s">
        <v>3596</v>
      </c>
      <c r="G111" s="479">
        <v>41968</v>
      </c>
      <c r="H111" s="483"/>
      <c r="I111" s="495"/>
      <c r="J111" s="497"/>
      <c r="K111" s="495"/>
      <c r="L111" s="480" t="s">
        <v>414</v>
      </c>
      <c r="M111" s="480"/>
      <c r="N111" s="480"/>
      <c r="O111" s="497"/>
      <c r="P111" t="s">
        <v>3834</v>
      </c>
    </row>
    <row r="112" spans="1:16">
      <c r="A112" s="478" t="s">
        <v>209</v>
      </c>
      <c r="B112" s="488" t="s">
        <v>3591</v>
      </c>
      <c r="C112" s="489" t="s">
        <v>3592</v>
      </c>
      <c r="D112" s="480" t="s">
        <v>411</v>
      </c>
      <c r="E112" s="480" t="s">
        <v>3471</v>
      </c>
      <c r="F112" s="482" t="s">
        <v>3465</v>
      </c>
      <c r="G112" s="479">
        <v>41592</v>
      </c>
      <c r="H112" s="483">
        <v>43465</v>
      </c>
      <c r="I112" s="484"/>
      <c r="J112" s="485"/>
      <c r="K112" s="484"/>
      <c r="L112" s="486"/>
      <c r="M112" s="486"/>
      <c r="N112" s="486"/>
      <c r="O112" s="485" t="s">
        <v>414</v>
      </c>
      <c r="P112" t="s">
        <v>3811</v>
      </c>
    </row>
    <row r="113" spans="1:16">
      <c r="A113" s="478" t="s">
        <v>213</v>
      </c>
      <c r="B113" s="480" t="s">
        <v>3524</v>
      </c>
      <c r="C113" s="481" t="s">
        <v>3525</v>
      </c>
      <c r="D113" s="480" t="s">
        <v>407</v>
      </c>
      <c r="E113" s="480" t="s">
        <v>3480</v>
      </c>
      <c r="F113" s="482" t="s">
        <v>3465</v>
      </c>
      <c r="G113" s="479">
        <v>40554</v>
      </c>
      <c r="H113" s="483">
        <v>42490</v>
      </c>
      <c r="I113" s="493"/>
      <c r="J113" s="494"/>
      <c r="K113" s="484" t="s">
        <v>414</v>
      </c>
      <c r="L113" s="486"/>
      <c r="M113" s="486"/>
      <c r="N113" s="486"/>
      <c r="O113" s="485"/>
      <c r="P113" t="s">
        <v>3776</v>
      </c>
    </row>
    <row r="114" spans="1:16">
      <c r="A114" s="478" t="s">
        <v>216</v>
      </c>
      <c r="B114" s="480" t="s">
        <v>3571</v>
      </c>
      <c r="C114" s="481" t="s">
        <v>3572</v>
      </c>
      <c r="D114" s="480" t="s">
        <v>409</v>
      </c>
      <c r="E114" s="480" t="s">
        <v>3464</v>
      </c>
      <c r="F114" s="482" t="s">
        <v>3465</v>
      </c>
      <c r="G114" s="479">
        <v>41256</v>
      </c>
      <c r="H114" s="483">
        <v>42766</v>
      </c>
      <c r="I114" s="493"/>
      <c r="J114" s="494"/>
      <c r="K114" s="493" t="s">
        <v>414</v>
      </c>
      <c r="L114" s="488"/>
      <c r="M114" s="488"/>
      <c r="N114" s="488"/>
      <c r="O114" s="494" t="s">
        <v>414</v>
      </c>
      <c r="P114" t="s">
        <v>3801</v>
      </c>
    </row>
    <row r="115" spans="1:16">
      <c r="A115" s="478" t="s">
        <v>218</v>
      </c>
      <c r="B115" s="480" t="s">
        <v>3676</v>
      </c>
      <c r="C115" s="481" t="s">
        <v>3677</v>
      </c>
      <c r="D115" s="480" t="s">
        <v>407</v>
      </c>
      <c r="E115" s="480" t="s">
        <v>3471</v>
      </c>
      <c r="F115" s="480" t="s">
        <v>3643</v>
      </c>
      <c r="G115" s="479">
        <v>39215</v>
      </c>
      <c r="H115" s="483">
        <v>41455</v>
      </c>
      <c r="I115" s="495"/>
      <c r="J115" s="497"/>
      <c r="K115" s="495"/>
      <c r="L115" s="480" t="s">
        <v>414</v>
      </c>
      <c r="M115" s="480"/>
      <c r="N115" s="480"/>
      <c r="O115" s="497"/>
      <c r="P115" t="s">
        <v>3852</v>
      </c>
    </row>
    <row r="116" spans="1:16">
      <c r="A116" s="478" t="s">
        <v>218</v>
      </c>
      <c r="B116" s="480" t="s">
        <v>3615</v>
      </c>
      <c r="C116" s="481" t="s">
        <v>3616</v>
      </c>
      <c r="D116" s="480" t="s">
        <v>407</v>
      </c>
      <c r="E116" s="480" t="s">
        <v>3476</v>
      </c>
      <c r="F116" s="503" t="s">
        <v>3596</v>
      </c>
      <c r="G116" s="491">
        <v>42244</v>
      </c>
      <c r="H116" s="492"/>
      <c r="I116" s="493"/>
      <c r="J116" s="494"/>
      <c r="K116" s="504" t="s">
        <v>3617</v>
      </c>
      <c r="L116" s="480"/>
      <c r="M116" s="480"/>
      <c r="N116" s="480"/>
      <c r="O116" s="497" t="s">
        <v>414</v>
      </c>
      <c r="P116" t="s">
        <v>3823</v>
      </c>
    </row>
    <row r="117" spans="1:16">
      <c r="A117" s="478" t="s">
        <v>218</v>
      </c>
      <c r="B117" s="480" t="s">
        <v>3618</v>
      </c>
      <c r="C117" s="481" t="s">
        <v>3619</v>
      </c>
      <c r="D117" s="480" t="s">
        <v>407</v>
      </c>
      <c r="E117" s="480" t="s">
        <v>3464</v>
      </c>
      <c r="F117" s="503" t="s">
        <v>3596</v>
      </c>
      <c r="G117" s="491">
        <v>42265</v>
      </c>
      <c r="H117" s="492"/>
      <c r="I117" s="493"/>
      <c r="J117" s="494"/>
      <c r="K117" s="504" t="s">
        <v>3617</v>
      </c>
      <c r="L117" s="480"/>
      <c r="M117" s="480"/>
      <c r="N117" s="480"/>
      <c r="O117" s="497" t="s">
        <v>414</v>
      </c>
      <c r="P117" t="s">
        <v>3824</v>
      </c>
    </row>
    <row r="118" spans="1:16">
      <c r="A118" s="478" t="s">
        <v>224</v>
      </c>
      <c r="B118" s="480" t="s">
        <v>3549</v>
      </c>
      <c r="C118" s="481" t="s">
        <v>3544</v>
      </c>
      <c r="D118" s="480" t="s">
        <v>408</v>
      </c>
      <c r="E118" s="480" t="s">
        <v>3471</v>
      </c>
      <c r="F118" s="482" t="s">
        <v>3465</v>
      </c>
      <c r="G118" s="479">
        <v>41390</v>
      </c>
      <c r="H118" s="483">
        <v>43555</v>
      </c>
      <c r="I118" s="493"/>
      <c r="J118" s="494"/>
      <c r="K118" s="493"/>
      <c r="L118" s="488" t="s">
        <v>414</v>
      </c>
      <c r="M118" s="488"/>
      <c r="N118" s="488"/>
      <c r="O118" s="494"/>
      <c r="P118" t="s">
        <v>3789</v>
      </c>
    </row>
    <row r="119" spans="1:16">
      <c r="A119" s="478" t="s">
        <v>226</v>
      </c>
      <c r="B119" s="480" t="s">
        <v>3552</v>
      </c>
      <c r="C119" s="481" t="s">
        <v>3553</v>
      </c>
      <c r="D119" s="480" t="s">
        <v>408</v>
      </c>
      <c r="E119" s="480" t="s">
        <v>3480</v>
      </c>
      <c r="F119" s="482" t="s">
        <v>3465</v>
      </c>
      <c r="G119" s="479">
        <v>38881</v>
      </c>
      <c r="H119" s="483">
        <v>42063</v>
      </c>
      <c r="I119" s="493"/>
      <c r="J119" s="494"/>
      <c r="K119" s="493"/>
      <c r="L119" s="488"/>
      <c r="M119" s="488"/>
      <c r="N119" s="488"/>
      <c r="O119" s="494" t="s">
        <v>414</v>
      </c>
      <c r="P119" t="s">
        <v>3791</v>
      </c>
    </row>
    <row r="120" spans="1:16">
      <c r="A120" s="478" t="s">
        <v>227</v>
      </c>
      <c r="B120" s="480" t="s">
        <v>3507</v>
      </c>
      <c r="C120" s="481" t="s">
        <v>3508</v>
      </c>
      <c r="D120" s="480" t="s">
        <v>406</v>
      </c>
      <c r="E120" s="480" t="s">
        <v>3471</v>
      </c>
      <c r="F120" s="482" t="s">
        <v>3465</v>
      </c>
      <c r="G120" s="479">
        <v>41943</v>
      </c>
      <c r="H120" s="483">
        <v>43465</v>
      </c>
      <c r="I120" s="495" t="s">
        <v>414</v>
      </c>
      <c r="J120" s="496" t="s">
        <v>414</v>
      </c>
      <c r="K120" s="495"/>
      <c r="L120" s="480"/>
      <c r="M120" s="480"/>
      <c r="N120" s="480"/>
      <c r="O120" s="497"/>
      <c r="P120" t="s">
        <v>3768</v>
      </c>
    </row>
    <row r="121" spans="1:16">
      <c r="A121" s="478" t="s">
        <v>243</v>
      </c>
      <c r="B121" s="480" t="s">
        <v>3509</v>
      </c>
      <c r="C121" s="481" t="s">
        <v>3510</v>
      </c>
      <c r="D121" s="480" t="s">
        <v>406</v>
      </c>
      <c r="E121" s="480" t="s">
        <v>3464</v>
      </c>
      <c r="F121" s="482" t="s">
        <v>3465</v>
      </c>
      <c r="G121" s="479">
        <v>41723</v>
      </c>
      <c r="H121" s="483">
        <v>43008</v>
      </c>
      <c r="I121" s="484"/>
      <c r="J121" s="485"/>
      <c r="K121" s="484" t="s">
        <v>414</v>
      </c>
      <c r="L121" s="486"/>
      <c r="M121" s="486"/>
      <c r="N121" s="486"/>
      <c r="O121" s="485"/>
      <c r="P121" t="s">
        <v>3769</v>
      </c>
    </row>
    <row r="122" spans="1:16">
      <c r="A122" s="478" t="s">
        <v>251</v>
      </c>
      <c r="B122" s="480" t="s">
        <v>3511</v>
      </c>
      <c r="C122" s="481" t="s">
        <v>3512</v>
      </c>
      <c r="D122" s="480" t="s">
        <v>406</v>
      </c>
      <c r="E122" s="480" t="s">
        <v>3464</v>
      </c>
      <c r="F122" s="482" t="s">
        <v>3465</v>
      </c>
      <c r="G122" s="491">
        <v>41446</v>
      </c>
      <c r="H122" s="492">
        <v>43100</v>
      </c>
      <c r="I122" s="484"/>
      <c r="J122" s="485"/>
      <c r="K122" s="484" t="s">
        <v>414</v>
      </c>
      <c r="L122" s="486"/>
      <c r="M122" s="486"/>
      <c r="N122" s="486"/>
      <c r="O122" s="485"/>
      <c r="P122" t="s">
        <v>3770</v>
      </c>
    </row>
    <row r="123" spans="1:16">
      <c r="A123" s="478" t="s">
        <v>263</v>
      </c>
      <c r="B123" s="480" t="s">
        <v>3554</v>
      </c>
      <c r="C123" s="481" t="s">
        <v>3527</v>
      </c>
      <c r="D123" s="480" t="s">
        <v>408</v>
      </c>
      <c r="E123" s="480" t="s">
        <v>3471</v>
      </c>
      <c r="F123" s="482" t="s">
        <v>3465</v>
      </c>
      <c r="G123" s="479">
        <v>41213</v>
      </c>
      <c r="H123" s="483">
        <v>43100</v>
      </c>
      <c r="I123" s="493"/>
      <c r="J123" s="494"/>
      <c r="K123" s="493"/>
      <c r="L123" s="488" t="s">
        <v>414</v>
      </c>
      <c r="M123" s="488"/>
      <c r="N123" s="488"/>
      <c r="O123" s="494"/>
      <c r="P123" t="s">
        <v>3792</v>
      </c>
    </row>
    <row r="124" spans="1:16">
      <c r="A124" s="478" t="s">
        <v>263</v>
      </c>
      <c r="B124" s="480" t="s">
        <v>3555</v>
      </c>
      <c r="C124" s="481" t="s">
        <v>3556</v>
      </c>
      <c r="D124" s="480" t="s">
        <v>408</v>
      </c>
      <c r="E124" s="480" t="s">
        <v>3471</v>
      </c>
      <c r="F124" s="482" t="s">
        <v>3465</v>
      </c>
      <c r="G124" s="479">
        <v>41040</v>
      </c>
      <c r="H124" s="483">
        <v>43008</v>
      </c>
      <c r="I124" s="493"/>
      <c r="J124" s="494"/>
      <c r="K124" s="493"/>
      <c r="L124" s="488"/>
      <c r="M124" s="488" t="s">
        <v>414</v>
      </c>
      <c r="N124" s="488"/>
      <c r="O124" s="494"/>
      <c r="P124" t="s">
        <v>3793</v>
      </c>
    </row>
    <row r="125" spans="1:16">
      <c r="A125" s="478" t="s">
        <v>265</v>
      </c>
      <c r="B125" s="480" t="s">
        <v>3513</v>
      </c>
      <c r="C125" s="481" t="s">
        <v>3514</v>
      </c>
      <c r="D125" s="480" t="s">
        <v>406</v>
      </c>
      <c r="E125" s="480" t="s">
        <v>3464</v>
      </c>
      <c r="F125" s="482" t="s">
        <v>3465</v>
      </c>
      <c r="G125" s="491">
        <v>40997</v>
      </c>
      <c r="H125" s="492">
        <v>43100</v>
      </c>
      <c r="I125" s="495"/>
      <c r="J125" s="496" t="s">
        <v>414</v>
      </c>
      <c r="K125" s="495" t="s">
        <v>414</v>
      </c>
      <c r="L125" s="480"/>
      <c r="M125" s="480"/>
      <c r="N125" s="480"/>
      <c r="O125" s="497"/>
      <c r="P125" t="s">
        <v>3771</v>
      </c>
    </row>
    <row r="126" spans="1:16">
      <c r="A126" s="478" t="s">
        <v>268</v>
      </c>
      <c r="B126" s="480" t="s">
        <v>3678</v>
      </c>
      <c r="C126" s="481" t="s">
        <v>3679</v>
      </c>
      <c r="D126" s="480" t="s">
        <v>407</v>
      </c>
      <c r="E126" s="480" t="s">
        <v>3471</v>
      </c>
      <c r="F126" s="480" t="s">
        <v>3643</v>
      </c>
      <c r="G126" s="479">
        <v>38797</v>
      </c>
      <c r="H126" s="483">
        <v>41670</v>
      </c>
      <c r="I126" s="495"/>
      <c r="J126" s="497"/>
      <c r="K126" s="495"/>
      <c r="L126" s="480" t="s">
        <v>414</v>
      </c>
      <c r="M126" s="480"/>
      <c r="N126" s="480" t="s">
        <v>414</v>
      </c>
      <c r="O126" s="497"/>
      <c r="P126" t="s">
        <v>3853</v>
      </c>
    </row>
    <row r="127" spans="1:16">
      <c r="A127" s="478" t="s">
        <v>274</v>
      </c>
      <c r="B127" s="480" t="s">
        <v>3577</v>
      </c>
      <c r="C127" s="481" t="s">
        <v>3578</v>
      </c>
      <c r="D127" s="480" t="s">
        <v>410</v>
      </c>
      <c r="E127" s="480" t="s">
        <v>3464</v>
      </c>
      <c r="F127" s="482" t="s">
        <v>3465</v>
      </c>
      <c r="G127" s="479">
        <v>41582</v>
      </c>
      <c r="H127" s="483">
        <v>42916</v>
      </c>
      <c r="I127" s="493"/>
      <c r="J127" s="494"/>
      <c r="K127" s="493" t="s">
        <v>414</v>
      </c>
      <c r="L127" s="488"/>
      <c r="M127" s="488"/>
      <c r="N127" s="488"/>
      <c r="O127" s="494"/>
      <c r="P127" t="s">
        <v>3804</v>
      </c>
    </row>
    <row r="128" spans="1:16">
      <c r="A128" s="478" t="s">
        <v>276</v>
      </c>
      <c r="B128" s="480" t="s">
        <v>3690</v>
      </c>
      <c r="C128" s="481" t="s">
        <v>3691</v>
      </c>
      <c r="D128" s="480" t="s">
        <v>408</v>
      </c>
      <c r="E128" s="480" t="s">
        <v>3471</v>
      </c>
      <c r="F128" s="480" t="s">
        <v>3643</v>
      </c>
      <c r="G128" s="479">
        <v>34963</v>
      </c>
      <c r="H128" s="483">
        <v>37621</v>
      </c>
      <c r="I128" s="495"/>
      <c r="J128" s="497"/>
      <c r="K128" s="495"/>
      <c r="L128" s="480"/>
      <c r="M128" s="480" t="s">
        <v>414</v>
      </c>
      <c r="N128" s="480" t="s">
        <v>414</v>
      </c>
      <c r="O128" s="497"/>
      <c r="P128" t="s">
        <v>3859</v>
      </c>
    </row>
    <row r="129" spans="1:16">
      <c r="A129" s="478" t="s">
        <v>280</v>
      </c>
      <c r="B129" s="480" t="s">
        <v>3515</v>
      </c>
      <c r="C129" s="481" t="s">
        <v>3516</v>
      </c>
      <c r="D129" s="480" t="s">
        <v>406</v>
      </c>
      <c r="E129" s="480" t="s">
        <v>3468</v>
      </c>
      <c r="F129" s="482" t="s">
        <v>3465</v>
      </c>
      <c r="G129" s="479">
        <v>41403</v>
      </c>
      <c r="H129" s="483">
        <v>43555</v>
      </c>
      <c r="I129" s="484"/>
      <c r="J129" s="485"/>
      <c r="K129" s="484"/>
      <c r="L129" s="486"/>
      <c r="M129" s="486" t="s">
        <v>414</v>
      </c>
      <c r="N129" s="486"/>
      <c r="O129" s="485" t="s">
        <v>414</v>
      </c>
      <c r="P129" t="s">
        <v>3772</v>
      </c>
    </row>
    <row r="130" spans="1:16">
      <c r="A130" s="478" t="s">
        <v>286</v>
      </c>
      <c r="B130" s="480" t="s">
        <v>3573</v>
      </c>
      <c r="C130" s="481" t="s">
        <v>3574</v>
      </c>
      <c r="D130" s="480" t="s">
        <v>409</v>
      </c>
      <c r="E130" s="480" t="s">
        <v>3471</v>
      </c>
      <c r="F130" s="482" t="s">
        <v>3465</v>
      </c>
      <c r="G130" s="479">
        <v>39232</v>
      </c>
      <c r="H130" s="483">
        <v>42247</v>
      </c>
      <c r="I130" s="493"/>
      <c r="J130" s="494"/>
      <c r="K130" s="493"/>
      <c r="L130" s="488"/>
      <c r="M130" s="488" t="s">
        <v>414</v>
      </c>
      <c r="N130" s="488"/>
      <c r="O130" s="494"/>
      <c r="P130" t="s">
        <v>3802</v>
      </c>
    </row>
    <row r="131" spans="1:16">
      <c r="A131" s="478" t="s">
        <v>290</v>
      </c>
      <c r="B131" s="480" t="s">
        <v>3725</v>
      </c>
      <c r="C131" s="481" t="s">
        <v>3726</v>
      </c>
      <c r="D131" s="480" t="s">
        <v>409</v>
      </c>
      <c r="E131" s="480" t="s">
        <v>3471</v>
      </c>
      <c r="F131" s="480" t="s">
        <v>3643</v>
      </c>
      <c r="G131" s="479">
        <v>36340</v>
      </c>
      <c r="H131" s="483">
        <v>38898</v>
      </c>
      <c r="I131" s="495"/>
      <c r="J131" s="497"/>
      <c r="K131" s="495"/>
      <c r="L131" s="480"/>
      <c r="M131" s="480"/>
      <c r="N131" s="480" t="s">
        <v>414</v>
      </c>
      <c r="O131" s="497"/>
      <c r="P131" t="s">
        <v>3877</v>
      </c>
    </row>
    <row r="132" spans="1:16">
      <c r="A132" s="478" t="s">
        <v>927</v>
      </c>
      <c r="B132" s="480" t="s">
        <v>3532</v>
      </c>
      <c r="C132" s="481" t="s">
        <v>3533</v>
      </c>
      <c r="D132" s="480" t="s">
        <v>407</v>
      </c>
      <c r="E132" s="480" t="s">
        <v>3480</v>
      </c>
      <c r="F132" s="482" t="s">
        <v>3465</v>
      </c>
      <c r="G132" s="479">
        <v>39536</v>
      </c>
      <c r="H132" s="483">
        <v>42185</v>
      </c>
      <c r="I132" s="493"/>
      <c r="J132" s="494"/>
      <c r="K132" s="493"/>
      <c r="L132" s="488"/>
      <c r="M132" s="488"/>
      <c r="N132" s="488"/>
      <c r="O132" s="494" t="s">
        <v>414</v>
      </c>
      <c r="P132" t="s">
        <v>3780</v>
      </c>
    </row>
    <row r="133" spans="1:16">
      <c r="A133" s="478" t="s">
        <v>927</v>
      </c>
      <c r="B133" s="480" t="s">
        <v>3526</v>
      </c>
      <c r="C133" s="481" t="s">
        <v>3527</v>
      </c>
      <c r="D133" s="480" t="s">
        <v>407</v>
      </c>
      <c r="E133" s="480" t="s">
        <v>3471</v>
      </c>
      <c r="F133" s="482" t="s">
        <v>3465</v>
      </c>
      <c r="G133" s="479">
        <v>39350</v>
      </c>
      <c r="H133" s="483">
        <v>42154</v>
      </c>
      <c r="I133" s="484"/>
      <c r="J133" s="485"/>
      <c r="K133" s="484"/>
      <c r="L133" s="486" t="s">
        <v>414</v>
      </c>
      <c r="M133" s="486"/>
      <c r="N133" s="486"/>
      <c r="O133" s="485"/>
      <c r="P133" t="s">
        <v>3777</v>
      </c>
    </row>
    <row r="134" spans="1:16">
      <c r="A134" s="478" t="s">
        <v>927</v>
      </c>
      <c r="B134" s="480" t="s">
        <v>3534</v>
      </c>
      <c r="C134" s="481" t="s">
        <v>3535</v>
      </c>
      <c r="D134" s="480" t="s">
        <v>407</v>
      </c>
      <c r="E134" s="480" t="s">
        <v>3464</v>
      </c>
      <c r="F134" s="482" t="s">
        <v>3465</v>
      </c>
      <c r="G134" s="479">
        <v>41661</v>
      </c>
      <c r="H134" s="483">
        <v>43830</v>
      </c>
      <c r="I134" s="493"/>
      <c r="J134" s="494"/>
      <c r="K134" s="493" t="s">
        <v>414</v>
      </c>
      <c r="L134" s="488"/>
      <c r="M134" s="488"/>
      <c r="N134" s="488"/>
      <c r="O134" s="494"/>
      <c r="P134" t="s">
        <v>3781</v>
      </c>
    </row>
    <row r="135" spans="1:16">
      <c r="A135" s="478" t="s">
        <v>927</v>
      </c>
      <c r="B135" s="480" t="s">
        <v>3530</v>
      </c>
      <c r="C135" s="481" t="s">
        <v>3531</v>
      </c>
      <c r="D135" s="480" t="s">
        <v>407</v>
      </c>
      <c r="E135" s="480" t="s">
        <v>3489</v>
      </c>
      <c r="F135" s="482" t="s">
        <v>3465</v>
      </c>
      <c r="G135" s="479">
        <v>41205</v>
      </c>
      <c r="H135" s="483">
        <v>41941</v>
      </c>
      <c r="I135" s="493" t="s">
        <v>414</v>
      </c>
      <c r="J135" s="494" t="s">
        <v>414</v>
      </c>
      <c r="K135" s="493"/>
      <c r="L135" s="488"/>
      <c r="M135" s="488"/>
      <c r="N135" s="488"/>
      <c r="O135" s="494"/>
      <c r="P135" t="s">
        <v>3779</v>
      </c>
    </row>
    <row r="136" spans="1:16">
      <c r="A136" s="478" t="s">
        <v>927</v>
      </c>
      <c r="B136" s="480" t="s">
        <v>3528</v>
      </c>
      <c r="C136" s="481" t="s">
        <v>3529</v>
      </c>
      <c r="D136" s="480" t="s">
        <v>407</v>
      </c>
      <c r="E136" s="480" t="s">
        <v>3464</v>
      </c>
      <c r="F136" s="482" t="s">
        <v>3465</v>
      </c>
      <c r="G136" s="479">
        <v>41299</v>
      </c>
      <c r="H136" s="483">
        <v>42460</v>
      </c>
      <c r="I136" s="484"/>
      <c r="J136" s="485"/>
      <c r="K136" s="484" t="s">
        <v>414</v>
      </c>
      <c r="L136" s="486"/>
      <c r="M136" s="486"/>
      <c r="N136" s="480"/>
      <c r="O136" s="485"/>
      <c r="P136" t="s">
        <v>3778</v>
      </c>
    </row>
    <row r="137" spans="1:16">
      <c r="A137" s="478" t="s">
        <v>3745</v>
      </c>
      <c r="B137" s="480" t="s">
        <v>3746</v>
      </c>
      <c r="C137" s="481" t="s">
        <v>3747</v>
      </c>
      <c r="D137" s="480" t="s">
        <v>409</v>
      </c>
      <c r="E137" s="480" t="s">
        <v>3489</v>
      </c>
      <c r="F137" s="480" t="s">
        <v>3643</v>
      </c>
      <c r="G137" s="479">
        <v>39870</v>
      </c>
      <c r="H137" s="483">
        <v>39607</v>
      </c>
      <c r="I137" s="508" t="s">
        <v>414</v>
      </c>
      <c r="J137" s="497" t="s">
        <v>414</v>
      </c>
      <c r="K137" s="495"/>
      <c r="L137" s="480"/>
      <c r="M137" s="480"/>
      <c r="N137" s="480"/>
      <c r="O137" s="497"/>
      <c r="P137" t="s">
        <v>3887</v>
      </c>
    </row>
    <row r="138" spans="1:16">
      <c r="A138" s="478" t="s">
        <v>3745</v>
      </c>
      <c r="B138" s="480" t="s">
        <v>3743</v>
      </c>
      <c r="C138" s="481" t="s">
        <v>3744</v>
      </c>
      <c r="D138" s="480" t="s">
        <v>411</v>
      </c>
      <c r="E138" s="482" t="s">
        <v>3476</v>
      </c>
      <c r="F138" s="480" t="s">
        <v>3643</v>
      </c>
      <c r="G138" s="479">
        <v>41754</v>
      </c>
      <c r="H138" s="483">
        <v>41813</v>
      </c>
      <c r="I138" s="495" t="s">
        <v>414</v>
      </c>
      <c r="J138" s="497" t="s">
        <v>414</v>
      </c>
      <c r="K138" s="495"/>
      <c r="L138" s="480"/>
      <c r="M138" s="480"/>
      <c r="N138" s="480"/>
      <c r="O138" s="497"/>
      <c r="P138" t="s">
        <v>3886</v>
      </c>
    </row>
    <row r="139" spans="1:16">
      <c r="A139" s="478" t="s">
        <v>294</v>
      </c>
      <c r="B139" s="480" t="s">
        <v>3727</v>
      </c>
      <c r="C139" s="481" t="s">
        <v>3728</v>
      </c>
      <c r="D139" s="480" t="s">
        <v>410</v>
      </c>
      <c r="E139" s="480" t="s">
        <v>3471</v>
      </c>
      <c r="F139" s="480" t="s">
        <v>3643</v>
      </c>
      <c r="G139" s="479">
        <v>36636</v>
      </c>
      <c r="H139" s="483">
        <v>40359</v>
      </c>
      <c r="I139" s="495"/>
      <c r="J139" s="497"/>
      <c r="K139" s="495"/>
      <c r="L139" s="480"/>
      <c r="M139" s="480"/>
      <c r="N139" s="480" t="s">
        <v>414</v>
      </c>
      <c r="O139" s="497"/>
      <c r="P139" t="s">
        <v>3878</v>
      </c>
    </row>
    <row r="140" spans="1:16">
      <c r="A140" s="478" t="s">
        <v>294</v>
      </c>
      <c r="B140" s="480" t="s">
        <v>3729</v>
      </c>
      <c r="C140" s="481" t="s">
        <v>3730</v>
      </c>
      <c r="D140" s="480" t="s">
        <v>410</v>
      </c>
      <c r="E140" s="482" t="s">
        <v>3601</v>
      </c>
      <c r="F140" s="480" t="s">
        <v>3643</v>
      </c>
      <c r="G140" s="479">
        <v>39422</v>
      </c>
      <c r="H140" s="483">
        <v>40816</v>
      </c>
      <c r="I140" s="495"/>
      <c r="J140" s="497"/>
      <c r="K140" s="495"/>
      <c r="L140" s="480"/>
      <c r="M140" s="480"/>
      <c r="N140" s="480" t="s">
        <v>414</v>
      </c>
      <c r="O140" s="497" t="s">
        <v>414</v>
      </c>
      <c r="P140" t="s">
        <v>3879</v>
      </c>
    </row>
    <row r="141" spans="1:16">
      <c r="A141" s="478" t="s">
        <v>294</v>
      </c>
      <c r="B141" s="480" t="s">
        <v>3731</v>
      </c>
      <c r="C141" s="481" t="s">
        <v>3732</v>
      </c>
      <c r="D141" s="480" t="s">
        <v>410</v>
      </c>
      <c r="E141" s="482" t="s">
        <v>3476</v>
      </c>
      <c r="F141" s="480" t="s">
        <v>3643</v>
      </c>
      <c r="G141" s="479">
        <v>39253</v>
      </c>
      <c r="H141" s="483">
        <v>41698</v>
      </c>
      <c r="I141" s="495"/>
      <c r="J141" s="497"/>
      <c r="K141" s="495" t="s">
        <v>414</v>
      </c>
      <c r="L141" s="480"/>
      <c r="M141" s="480"/>
      <c r="N141" s="480"/>
      <c r="O141" s="497"/>
      <c r="P141" t="s">
        <v>3880</v>
      </c>
    </row>
    <row r="142" spans="1:16">
      <c r="A142" s="478" t="s">
        <v>294</v>
      </c>
      <c r="B142" s="480" t="s">
        <v>3579</v>
      </c>
      <c r="C142" s="481" t="s">
        <v>3580</v>
      </c>
      <c r="D142" s="480" t="s">
        <v>410</v>
      </c>
      <c r="E142" s="480" t="s">
        <v>3464</v>
      </c>
      <c r="F142" s="482" t="s">
        <v>3465</v>
      </c>
      <c r="G142" s="479">
        <v>41982</v>
      </c>
      <c r="H142" s="483">
        <v>42735</v>
      </c>
      <c r="I142" s="495"/>
      <c r="J142" s="497"/>
      <c r="K142" s="495" t="s">
        <v>414</v>
      </c>
      <c r="L142" s="480"/>
      <c r="M142" s="480"/>
      <c r="N142" s="480"/>
      <c r="O142" s="497"/>
      <c r="P142" t="s">
        <v>3805</v>
      </c>
    </row>
    <row r="143" spans="1:16">
      <c r="A143" s="478" t="s">
        <v>295</v>
      </c>
      <c r="B143" s="480" t="s">
        <v>3670</v>
      </c>
      <c r="C143" s="481" t="s">
        <v>3671</v>
      </c>
      <c r="D143" s="480" t="s">
        <v>406</v>
      </c>
      <c r="E143" s="480" t="s">
        <v>3471</v>
      </c>
      <c r="F143" s="480" t="s">
        <v>3643</v>
      </c>
      <c r="G143" s="479">
        <v>38722</v>
      </c>
      <c r="H143" s="483">
        <v>41090</v>
      </c>
      <c r="I143" s="495"/>
      <c r="J143" s="497"/>
      <c r="K143" s="495"/>
      <c r="L143" s="480"/>
      <c r="M143" s="480"/>
      <c r="N143" s="480" t="s">
        <v>414</v>
      </c>
      <c r="O143" s="497"/>
      <c r="P143" t="s">
        <v>3849</v>
      </c>
    </row>
  </sheetData>
  <sortState ref="A2:P143">
    <sortCondition ref="A2:A143"/>
    <sortCondition ref="B2:B143"/>
  </sortState>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R256"/>
  <sheetViews>
    <sheetView zoomScale="90" zoomScaleNormal="90" workbookViewId="0">
      <pane xSplit="7" ySplit="12" topLeftCell="HV193" activePane="bottomRight" state="frozen"/>
      <selection pane="topRight" activeCell="H1" sqref="H1"/>
      <selection pane="bottomLeft" activeCell="A13" sqref="A13"/>
      <selection pane="bottomRight" activeCell="DG6" sqref="DG6"/>
    </sheetView>
  </sheetViews>
  <sheetFormatPr defaultColWidth="9.140625" defaultRowHeight="15"/>
  <cols>
    <col min="1" max="1" width="4.7109375" style="2" customWidth="1"/>
    <col min="2" max="2" width="4.7109375" style="3" customWidth="1"/>
    <col min="3" max="3" width="16.7109375" style="3" customWidth="1"/>
    <col min="4" max="5" width="5.7109375" style="4" customWidth="1"/>
    <col min="6" max="6" width="6.7109375" style="3" customWidth="1"/>
    <col min="7" max="7" width="5.7109375" style="3" hidden="1" customWidth="1"/>
    <col min="8" max="9" width="12.7109375" style="3" customWidth="1"/>
    <col min="10" max="11" width="6.7109375" style="4" customWidth="1"/>
    <col min="12" max="12" width="5.7109375" style="4" customWidth="1"/>
    <col min="13" max="13" width="7.7109375" style="4" customWidth="1"/>
    <col min="14" max="14" width="8.7109375" style="4" customWidth="1"/>
    <col min="15" max="16" width="12.7109375" style="15" customWidth="1"/>
    <col min="17" max="18" width="6.7109375" style="4" customWidth="1"/>
    <col min="19" max="19" width="12.7109375" style="4" customWidth="1"/>
    <col min="20" max="21" width="5.7109375" style="4" customWidth="1"/>
    <col min="22" max="22" width="6.7109375" style="4" customWidth="1"/>
    <col min="23" max="23" width="8.7109375" style="4" customWidth="1"/>
    <col min="24" max="25" width="4.7109375" style="4" hidden="1" customWidth="1"/>
    <col min="26" max="26" width="7.7109375" style="4" hidden="1" customWidth="1"/>
    <col min="27" max="29" width="4.28515625" style="2" hidden="1" customWidth="1"/>
    <col min="30" max="30" width="12.7109375" style="3" customWidth="1"/>
    <col min="31" max="31" width="6.7109375" style="4" customWidth="1"/>
    <col min="32" max="32" width="5.7109375" style="4" customWidth="1"/>
    <col min="33" max="33" width="5.28515625" style="4" customWidth="1"/>
    <col min="34" max="34" width="15.140625" style="4" customWidth="1"/>
    <col min="35" max="36" width="5.28515625" style="4" customWidth="1"/>
    <col min="37" max="37" width="10.7109375" style="4" customWidth="1"/>
    <col min="38" max="38" width="5.28515625" style="4" customWidth="1"/>
    <col min="39" max="39" width="14.7109375" style="4" customWidth="1"/>
    <col min="40" max="40" width="4.7109375" style="4" customWidth="1"/>
    <col min="41" max="42" width="4.7109375" style="4" hidden="1" customWidth="1"/>
    <col min="43" max="44" width="12.7109375" style="15" customWidth="1"/>
    <col min="45" max="45" width="4.7109375" style="4" customWidth="1"/>
    <col min="46" max="47" width="6.7109375" style="4" customWidth="1"/>
    <col min="48" max="48" width="5.7109375" style="4" customWidth="1"/>
    <col min="49" max="49" width="10.7109375" style="4" customWidth="1"/>
    <col min="50" max="50" width="5.28515625" style="4" customWidth="1"/>
    <col min="51" max="51" width="20.7109375" style="3" customWidth="1"/>
    <col min="52" max="52" width="6.7109375" style="4" customWidth="1"/>
    <col min="53" max="54" width="4.7109375" style="4" customWidth="1"/>
    <col min="55" max="55" width="17.28515625" style="3" customWidth="1"/>
    <col min="56" max="56" width="6.7109375" style="4" customWidth="1"/>
    <col min="57" max="57" width="4.7109375" style="4" customWidth="1"/>
    <col min="58" max="58" width="12.7109375" style="3" customWidth="1"/>
    <col min="59" max="59" width="5" style="4" customWidth="1"/>
    <col min="60" max="60" width="15.7109375" style="4" customWidth="1"/>
    <col min="61" max="62" width="5" style="4" customWidth="1"/>
    <col min="63" max="63" width="11.7109375" customWidth="1"/>
    <col min="64" max="64" width="7.7109375" style="49" customWidth="1"/>
    <col min="65" max="67" width="9.7109375" customWidth="1"/>
    <col min="68" max="68" width="7.7109375" customWidth="1"/>
    <col min="69" max="71" width="9.7109375" customWidth="1"/>
    <col min="72" max="72" width="7.7109375" customWidth="1"/>
    <col min="73" max="74" width="9.7109375" customWidth="1"/>
    <col min="75" max="75" width="10.7109375" customWidth="1"/>
    <col min="76" max="76" width="7.7109375" customWidth="1"/>
    <col min="77" max="79" width="10.7109375" customWidth="1"/>
    <col min="80" max="80" width="7.7109375" customWidth="1"/>
    <col min="81" max="82" width="10.7109375" customWidth="1"/>
    <col min="83" max="83" width="7.7109375" customWidth="1"/>
    <col min="84" max="84" width="11.7109375" customWidth="1"/>
    <col min="85" max="85" width="7.7109375" style="2" customWidth="1"/>
    <col min="86" max="89" width="7.7109375" style="499" customWidth="1"/>
    <col min="90" max="90" width="10.7109375" style="499" customWidth="1"/>
    <col min="91" max="91" width="12.7109375" style="499" customWidth="1"/>
    <col min="92" max="92" width="13.28515625" style="502" customWidth="1"/>
    <col min="93" max="93" width="7.7109375" style="502" customWidth="1"/>
    <col min="94" max="94" width="12.7109375" style="502" customWidth="1"/>
    <col min="95" max="95" width="12.42578125" style="502" customWidth="1"/>
    <col min="96" max="96" width="7.7109375" style="1065" customWidth="1"/>
    <col min="97" max="97" width="16.7109375" style="1056" customWidth="1"/>
    <col min="98" max="99" width="6.7109375" style="1056" customWidth="1"/>
    <col min="100" max="100" width="8.7109375" style="1056" customWidth="1"/>
    <col min="101" max="103" width="11.7109375" style="1114" customWidth="1"/>
    <col min="104" max="104" width="6.85546875" style="502" customWidth="1"/>
    <col min="105" max="105" width="7.7109375" style="502" customWidth="1"/>
    <col min="106" max="106" width="6.7109375" style="499" hidden="1" customWidth="1"/>
    <col min="107" max="107" width="6.7109375" style="499" customWidth="1"/>
    <col min="108" max="108" width="11.7109375" style="354" customWidth="1"/>
    <col min="109" max="110" width="6.7109375" style="356" customWidth="1"/>
    <col min="111" max="112" width="9.7109375" style="354" customWidth="1"/>
    <col min="113" max="114" width="7.7109375" style="356" customWidth="1"/>
    <col min="115" max="115" width="10.7109375" style="354" customWidth="1"/>
    <col min="116" max="116" width="6.7109375" style="354" customWidth="1"/>
    <col min="117" max="118" width="9.7109375" style="354" customWidth="1"/>
    <col min="119" max="119" width="10.7109375" style="354" customWidth="1"/>
    <col min="120" max="120" width="6.7109375" style="354" customWidth="1"/>
    <col min="121" max="122" width="9.7109375" style="354" customWidth="1"/>
    <col min="123" max="123" width="11.7109375" style="356" customWidth="1"/>
    <col min="124" max="124" width="6.7109375" style="4" customWidth="1"/>
    <col min="125" max="126" width="9.7109375" style="354" customWidth="1"/>
    <col min="127" max="128" width="7.7109375" style="356" customWidth="1"/>
    <col min="129" max="129" width="9.140625" style="3" customWidth="1"/>
    <col min="130" max="130" width="6.7109375" style="3" customWidth="1"/>
    <col min="131" max="131" width="9.85546875" style="72" customWidth="1"/>
    <col min="132" max="132" width="9.140625" style="3" customWidth="1"/>
    <col min="133" max="133" width="6.7109375" style="3" customWidth="1"/>
    <col min="134" max="134" width="9.85546875" style="72" customWidth="1"/>
    <col min="135" max="135" width="9.7109375" style="3" customWidth="1"/>
    <col min="136" max="136" width="6.7109375" style="3" customWidth="1"/>
    <col min="137" max="137" width="9.7109375" style="354" customWidth="1"/>
    <col min="138" max="138" width="8.28515625" style="4" customWidth="1"/>
    <col min="139" max="139" width="7.85546875" style="3" customWidth="1"/>
    <col min="140" max="141" width="8.7109375" style="4" customWidth="1"/>
    <col min="142" max="142" width="10.7109375" style="3" customWidth="1"/>
    <col min="143" max="143" width="12.7109375" style="3" customWidth="1"/>
    <col min="144" max="144" width="8.7109375" style="3" customWidth="1"/>
    <col min="145" max="145" width="16.7109375" style="3" customWidth="1"/>
    <col min="146" max="147" width="8.7109375" style="3" customWidth="1"/>
    <col min="148" max="148" width="4.7109375" style="354" customWidth="1"/>
    <col min="149" max="154" width="12.28515625" style="3" customWidth="1"/>
    <col min="155" max="155" width="13.140625" style="73" customWidth="1"/>
    <col min="156" max="159" width="5.7109375" style="3" customWidth="1"/>
    <col min="160" max="160" width="11.42578125" style="73" customWidth="1"/>
    <col min="161" max="161" width="6.7109375" style="3" customWidth="1"/>
    <col min="162" max="162" width="5.7109375" style="3" customWidth="1"/>
    <col min="163" max="163" width="9" style="3" customWidth="1"/>
    <col min="164" max="164" width="7.7109375" style="3" customWidth="1"/>
    <col min="165" max="165" width="6.7109375" style="4" customWidth="1"/>
    <col min="166" max="166" width="7.7109375" style="4" customWidth="1"/>
    <col min="167" max="167" width="8.7109375" style="4" customWidth="1"/>
    <col min="168" max="168" width="7.7109375" style="4" customWidth="1"/>
    <col min="169" max="169" width="8.7109375" style="4" customWidth="1"/>
    <col min="170" max="170" width="7.7109375" style="4" customWidth="1"/>
    <col min="171" max="171" width="12.7109375" style="15" customWidth="1"/>
    <col min="172" max="172" width="3.7109375" style="4" customWidth="1"/>
    <col min="173" max="173" width="8.7109375" style="3" customWidth="1"/>
    <col min="174" max="174" width="3.7109375" style="4" customWidth="1"/>
    <col min="175" max="175" width="8.7109375" style="3" customWidth="1"/>
    <col min="176" max="176" width="3.7109375" style="4" customWidth="1"/>
    <col min="177" max="177" width="8.7109375" style="3" customWidth="1"/>
    <col min="178" max="178" width="3.7109375" style="4" customWidth="1"/>
    <col min="179" max="179" width="8.7109375" style="3" customWidth="1"/>
    <col min="180" max="180" width="3.7109375" style="4" customWidth="1"/>
    <col min="181" max="181" width="8.7109375" style="3" customWidth="1"/>
    <col min="182" max="182" width="3.7109375" style="4" customWidth="1"/>
    <col min="183" max="183" width="8.7109375" style="3" customWidth="1"/>
    <col min="184" max="184" width="3.7109375" style="4" customWidth="1"/>
    <col min="185" max="185" width="8.7109375" style="3" customWidth="1"/>
    <col min="186" max="186" width="6.7109375" style="354" customWidth="1"/>
    <col min="187" max="187" width="11.28515625" style="354" customWidth="1"/>
    <col min="188" max="192" width="6.42578125" style="354" customWidth="1"/>
    <col min="193" max="195" width="3.7109375" style="354" customWidth="1"/>
    <col min="196" max="197" width="6.42578125" style="354" customWidth="1"/>
    <col min="198" max="200" width="3.7109375" style="354" customWidth="1"/>
    <col min="201" max="201" width="6.140625" style="354" customWidth="1"/>
    <col min="202" max="207" width="6.42578125" style="354" customWidth="1"/>
    <col min="208" max="209" width="7.7109375" style="4" customWidth="1"/>
    <col min="210" max="213" width="6.7109375" style="4" customWidth="1"/>
    <col min="214" max="215" width="7.7109375" style="354" customWidth="1"/>
    <col min="216" max="218" width="6.7109375" style="354" customWidth="1"/>
    <col min="219" max="219" width="16.7109375" style="354" customWidth="1"/>
    <col min="220" max="220" width="12.7109375" style="354" customWidth="1"/>
    <col min="221" max="223" width="6.28515625" style="354" customWidth="1"/>
    <col min="224" max="224" width="16.7109375" style="354" customWidth="1"/>
    <col min="225" max="225" width="12.7109375" style="354" customWidth="1"/>
    <col min="226" max="226" width="16.7109375" style="354" customWidth="1"/>
    <col min="227" max="229" width="5.7109375" style="354" customWidth="1"/>
    <col min="230" max="230" width="12.7109375" style="354" customWidth="1"/>
    <col min="231" max="242" width="5.7109375" style="354" customWidth="1"/>
    <col min="243" max="243" width="7.7109375" style="354" customWidth="1"/>
    <col min="244" max="245" width="5.7109375" style="354" customWidth="1"/>
    <col min="246" max="246" width="6.5703125" style="354" customWidth="1"/>
    <col min="247" max="247" width="8" style="354" customWidth="1"/>
    <col min="248" max="248" width="6.5703125" style="354" customWidth="1"/>
    <col min="249" max="251" width="4.7109375" style="4" hidden="1" customWidth="1"/>
    <col min="252" max="252" width="5.28515625" style="354" hidden="1" customWidth="1"/>
    <col min="254" max="254" width="10.140625" bestFit="1" customWidth="1"/>
    <col min="278" max="16384" width="9.140625" style="3"/>
  </cols>
  <sheetData>
    <row r="1" spans="1:277">
      <c r="A1" s="1262" t="s">
        <v>5532</v>
      </c>
      <c r="B1" s="1263"/>
      <c r="C1" s="1263"/>
      <c r="D1" s="1263"/>
      <c r="E1" s="1263"/>
      <c r="F1" s="1263"/>
      <c r="G1" s="402"/>
      <c r="H1" s="268" t="s">
        <v>5352</v>
      </c>
      <c r="I1" s="221"/>
      <c r="J1" s="222"/>
      <c r="K1" s="222"/>
      <c r="L1" s="223"/>
      <c r="M1" s="223"/>
      <c r="N1" s="223"/>
      <c r="O1" s="268" t="s">
        <v>5351</v>
      </c>
      <c r="P1" s="268"/>
      <c r="Q1" s="222"/>
      <c r="R1" s="222"/>
      <c r="S1" s="222"/>
      <c r="T1" s="223"/>
      <c r="U1" s="222"/>
      <c r="V1" s="223"/>
      <c r="W1" s="222"/>
      <c r="X1" s="222"/>
      <c r="Y1" s="222"/>
      <c r="Z1" s="222"/>
      <c r="AA1" s="283"/>
      <c r="AB1" s="283"/>
      <c r="AC1" s="283"/>
      <c r="AD1" s="268" t="s">
        <v>1614</v>
      </c>
      <c r="AE1" s="223"/>
      <c r="AF1" s="223"/>
      <c r="AG1" s="223"/>
      <c r="AH1" s="223"/>
      <c r="AI1" s="223"/>
      <c r="AJ1" s="223"/>
      <c r="AK1" s="223"/>
      <c r="AL1" s="223"/>
      <c r="AM1" s="223"/>
      <c r="AN1" s="222"/>
      <c r="AO1" s="222"/>
      <c r="AP1" s="222"/>
      <c r="AQ1" s="268" t="s">
        <v>4895</v>
      </c>
      <c r="AR1" s="268"/>
      <c r="AS1" s="223"/>
      <c r="AT1" s="222" t="s">
        <v>5159</v>
      </c>
      <c r="AU1" s="222"/>
      <c r="AV1" s="222"/>
      <c r="AW1" s="223"/>
      <c r="AX1" s="223"/>
      <c r="AY1" s="268" t="s">
        <v>2558</v>
      </c>
      <c r="AZ1" s="223"/>
      <c r="BA1" s="223"/>
      <c r="BB1" s="223"/>
      <c r="BC1" s="268"/>
      <c r="BD1" s="223"/>
      <c r="BE1" s="223"/>
      <c r="BF1" s="268"/>
      <c r="BG1" s="328"/>
      <c r="BH1" s="811"/>
      <c r="BI1" s="1102" t="s">
        <v>1685</v>
      </c>
      <c r="BJ1" s="328"/>
      <c r="BK1" s="970" t="s">
        <v>5616</v>
      </c>
      <c r="BL1" s="912"/>
      <c r="BM1" s="891"/>
      <c r="BN1" s="891"/>
      <c r="BO1" s="891"/>
      <c r="BP1" s="891"/>
      <c r="BQ1" s="891"/>
      <c r="BR1" s="891"/>
      <c r="BS1" s="891"/>
      <c r="BT1" s="891"/>
      <c r="BU1" s="891"/>
      <c r="BV1" s="891"/>
      <c r="BW1" s="891"/>
      <c r="BX1" s="891"/>
      <c r="BY1" s="891"/>
      <c r="BZ1" s="891"/>
      <c r="CA1" s="891"/>
      <c r="CB1" s="891"/>
      <c r="CC1" s="891"/>
      <c r="CD1" s="891"/>
      <c r="CE1" s="909"/>
      <c r="CF1" s="909"/>
      <c r="CG1" s="969" t="s">
        <v>5615</v>
      </c>
      <c r="CH1" s="890"/>
      <c r="CI1" s="890"/>
      <c r="CJ1" s="890"/>
      <c r="CK1" s="890"/>
      <c r="CL1" s="890"/>
      <c r="CM1" s="892"/>
      <c r="CN1" s="1012" t="s">
        <v>5665</v>
      </c>
      <c r="CO1" s="1034"/>
      <c r="CP1" s="1034"/>
      <c r="CQ1" s="1034"/>
      <c r="CR1" s="419"/>
      <c r="CS1" s="1035"/>
      <c r="CT1" s="1035"/>
      <c r="CU1" s="1035"/>
      <c r="CV1" s="1035"/>
      <c r="CW1" s="1112"/>
      <c r="CX1" s="1112"/>
      <c r="CY1" s="1112"/>
      <c r="CZ1" s="1066"/>
      <c r="DA1" s="1066"/>
      <c r="DB1" s="1036"/>
      <c r="DC1" s="1129"/>
      <c r="DD1" s="1014" t="s">
        <v>3417</v>
      </c>
      <c r="DE1" s="1015"/>
      <c r="DF1" s="1015"/>
      <c r="DG1" s="1016"/>
      <c r="DH1" s="1016"/>
      <c r="DI1" s="1015"/>
      <c r="DJ1" s="1015"/>
      <c r="DK1" s="1017"/>
      <c r="DL1" s="1018"/>
      <c r="DM1" s="1016"/>
      <c r="DN1" s="1016"/>
      <c r="DO1" s="1017"/>
      <c r="DP1" s="1018"/>
      <c r="DQ1" s="1016"/>
      <c r="DR1" s="1016"/>
      <c r="DS1" s="1015"/>
      <c r="DT1" s="1019"/>
      <c r="DU1" s="1016"/>
      <c r="DV1" s="1219"/>
      <c r="DW1" s="1015"/>
      <c r="DX1" s="1218"/>
      <c r="DY1" s="267" t="s">
        <v>1629</v>
      </c>
      <c r="DZ1" s="264"/>
      <c r="EA1" s="265"/>
      <c r="EB1" s="264"/>
      <c r="EC1" s="264"/>
      <c r="ED1" s="265"/>
      <c r="EE1" s="264" t="s">
        <v>2566</v>
      </c>
      <c r="EF1" s="264"/>
      <c r="EG1" s="823"/>
      <c r="EH1" s="822"/>
      <c r="EI1" s="264"/>
      <c r="EJ1" s="208" t="s">
        <v>1728</v>
      </c>
      <c r="EK1" s="224"/>
      <c r="EL1" s="203"/>
      <c r="EM1" s="203"/>
      <c r="EN1" s="203"/>
      <c r="EO1" s="203"/>
      <c r="EP1" s="203"/>
      <c r="EQ1" s="203"/>
      <c r="ER1" s="184" t="s">
        <v>1944</v>
      </c>
      <c r="ES1" s="182"/>
      <c r="ET1" s="182"/>
      <c r="EU1" s="182"/>
      <c r="EV1" s="182"/>
      <c r="EW1" s="182"/>
      <c r="EX1" s="182"/>
      <c r="EY1" s="263" t="s">
        <v>1851</v>
      </c>
      <c r="EZ1" s="153"/>
      <c r="FA1" s="153"/>
      <c r="FB1" s="153"/>
      <c r="FC1" s="153"/>
      <c r="FD1" s="161"/>
      <c r="FE1" s="153"/>
      <c r="FF1" s="153"/>
      <c r="FG1" s="153"/>
      <c r="FH1" s="153"/>
      <c r="FI1" s="233"/>
      <c r="FJ1" s="233"/>
      <c r="FK1" s="233"/>
      <c r="FL1" s="233"/>
      <c r="FM1" s="233"/>
      <c r="FN1" s="233"/>
      <c r="FO1" s="233"/>
      <c r="FP1" s="208" t="s">
        <v>1877</v>
      </c>
      <c r="FQ1" s="187"/>
      <c r="FR1" s="188"/>
      <c r="FS1" s="181"/>
      <c r="FT1" s="189"/>
      <c r="FU1" s="181"/>
      <c r="FV1" s="189"/>
      <c r="FW1" s="181"/>
      <c r="FX1" s="189"/>
      <c r="FY1" s="181"/>
      <c r="FZ1" s="189"/>
      <c r="GA1" s="181"/>
      <c r="GB1" s="189"/>
      <c r="GC1" s="189"/>
      <c r="GD1" s="791" t="s">
        <v>3429</v>
      </c>
      <c r="GE1" s="665"/>
      <c r="GF1" s="665" t="s">
        <v>3438</v>
      </c>
      <c r="GG1" s="665"/>
      <c r="GH1" s="665"/>
      <c r="GI1" s="665" t="s">
        <v>3441</v>
      </c>
      <c r="GJ1" s="665"/>
      <c r="GK1" s="665"/>
      <c r="GL1" s="665"/>
      <c r="GM1" s="665"/>
      <c r="GN1" s="665" t="s">
        <v>3443</v>
      </c>
      <c r="GO1" s="665"/>
      <c r="GP1" s="665"/>
      <c r="GQ1" s="665"/>
      <c r="GR1" s="665"/>
      <c r="GS1" s="666" t="s">
        <v>3445</v>
      </c>
      <c r="GT1" s="665" t="s">
        <v>3447</v>
      </c>
      <c r="GU1" s="665"/>
      <c r="GV1" s="667"/>
      <c r="GW1" s="667"/>
      <c r="GX1" s="667"/>
      <c r="GY1" s="667"/>
      <c r="GZ1" s="668" t="s">
        <v>3942</v>
      </c>
      <c r="HA1" s="668"/>
      <c r="HB1" s="668"/>
      <c r="HC1" s="668"/>
      <c r="HD1" s="668"/>
      <c r="HE1" s="668"/>
      <c r="HF1" s="665" t="s">
        <v>3943</v>
      </c>
      <c r="HG1" s="665"/>
      <c r="HH1" s="667"/>
      <c r="HI1" s="667"/>
      <c r="HJ1" s="667"/>
      <c r="HK1" s="665" t="s">
        <v>4141</v>
      </c>
      <c r="HL1" s="665"/>
      <c r="HM1" s="667"/>
      <c r="HN1" s="667"/>
      <c r="HO1" s="667"/>
      <c r="HP1" s="667"/>
      <c r="HQ1" s="667"/>
      <c r="HR1" s="667"/>
      <c r="HS1" s="665" t="s">
        <v>4183</v>
      </c>
      <c r="HT1" s="667"/>
      <c r="HU1" s="667"/>
      <c r="HV1" s="667"/>
      <c r="HW1" s="667"/>
      <c r="HX1" s="667"/>
      <c r="HY1" s="667"/>
      <c r="HZ1" s="667"/>
      <c r="IA1" s="667"/>
      <c r="IB1" s="667"/>
      <c r="IC1" s="667"/>
      <c r="ID1" s="1266" t="s">
        <v>4844</v>
      </c>
      <c r="IE1" s="1266"/>
      <c r="IF1" s="1266"/>
      <c r="IG1" s="1266"/>
      <c r="IH1" s="1266"/>
      <c r="II1" s="1266"/>
      <c r="IJ1" s="1266"/>
      <c r="IK1" s="1267"/>
      <c r="IL1" s="1264" t="s">
        <v>3421</v>
      </c>
      <c r="IM1" s="1264"/>
      <c r="IN1" s="1265"/>
      <c r="IO1" s="836"/>
      <c r="IP1" s="1236" t="s">
        <v>6137</v>
      </c>
      <c r="IQ1" s="889"/>
      <c r="IR1" s="994"/>
    </row>
    <row r="2" spans="1:277" s="418" customFormat="1" ht="30" customHeight="1">
      <c r="A2" s="5" t="s">
        <v>0</v>
      </c>
      <c r="B2" s="6" t="s">
        <v>1</v>
      </c>
      <c r="C2" s="428" t="s">
        <v>2</v>
      </c>
      <c r="D2" s="427" t="s">
        <v>405</v>
      </c>
      <c r="E2" s="5" t="s">
        <v>3</v>
      </c>
      <c r="F2" s="74" t="s">
        <v>733</v>
      </c>
      <c r="G2" s="209" t="s">
        <v>733</v>
      </c>
      <c r="H2" s="936" t="s">
        <v>4886</v>
      </c>
      <c r="I2" s="937" t="s">
        <v>4887</v>
      </c>
      <c r="J2" s="938" t="s">
        <v>1850</v>
      </c>
      <c r="K2" s="937" t="s">
        <v>4888</v>
      </c>
      <c r="L2" s="939" t="s">
        <v>1736</v>
      </c>
      <c r="M2" s="940" t="s">
        <v>1801</v>
      </c>
      <c r="N2" s="941" t="s">
        <v>1802</v>
      </c>
      <c r="O2" s="942" t="s">
        <v>2819</v>
      </c>
      <c r="P2" s="937" t="s">
        <v>2820</v>
      </c>
      <c r="Q2" s="938" t="s">
        <v>2740</v>
      </c>
      <c r="R2" s="937" t="s">
        <v>1713</v>
      </c>
      <c r="S2" s="938" t="s">
        <v>2736</v>
      </c>
      <c r="T2" s="937" t="s">
        <v>2738</v>
      </c>
      <c r="U2" s="937" t="s">
        <v>2739</v>
      </c>
      <c r="V2" s="938" t="s">
        <v>2103</v>
      </c>
      <c r="W2" s="943" t="s">
        <v>2737</v>
      </c>
      <c r="X2" s="944" t="s">
        <v>1680</v>
      </c>
      <c r="Y2" s="945" t="s">
        <v>1714</v>
      </c>
      <c r="Z2" s="946" t="s">
        <v>2741</v>
      </c>
      <c r="AA2" s="1086" t="s">
        <v>2391</v>
      </c>
      <c r="AB2" s="1087" t="s">
        <v>2392</v>
      </c>
      <c r="AC2" s="1088" t="s">
        <v>2393</v>
      </c>
      <c r="AD2" s="939" t="s">
        <v>1613</v>
      </c>
      <c r="AE2" s="947" t="s">
        <v>1710</v>
      </c>
      <c r="AF2" s="947" t="s">
        <v>1614</v>
      </c>
      <c r="AG2" s="937" t="s">
        <v>4268</v>
      </c>
      <c r="AH2" s="937" t="s">
        <v>1615</v>
      </c>
      <c r="AI2" s="937" t="s">
        <v>4335</v>
      </c>
      <c r="AJ2" s="937" t="s">
        <v>4334</v>
      </c>
      <c r="AK2" s="937" t="s">
        <v>4330</v>
      </c>
      <c r="AL2" s="937" t="s">
        <v>2817</v>
      </c>
      <c r="AM2" s="948" t="s">
        <v>2818</v>
      </c>
      <c r="AN2" s="949" t="s">
        <v>3017</v>
      </c>
      <c r="AO2" s="944" t="s">
        <v>1681</v>
      </c>
      <c r="AP2" s="945" t="s">
        <v>1715</v>
      </c>
      <c r="AQ2" s="942" t="s">
        <v>4896</v>
      </c>
      <c r="AR2" s="937" t="s">
        <v>4897</v>
      </c>
      <c r="AS2" s="947" t="s">
        <v>5161</v>
      </c>
      <c r="AT2" s="938" t="s">
        <v>4898</v>
      </c>
      <c r="AU2" s="950" t="s">
        <v>4899</v>
      </c>
      <c r="AV2" s="937" t="s">
        <v>5015</v>
      </c>
      <c r="AW2" s="951" t="s">
        <v>5014</v>
      </c>
      <c r="AX2" s="952" t="s">
        <v>4900</v>
      </c>
      <c r="AY2" s="939" t="s">
        <v>2558</v>
      </c>
      <c r="AZ2" s="947" t="s">
        <v>2733</v>
      </c>
      <c r="BA2" s="947" t="s">
        <v>4597</v>
      </c>
      <c r="BB2" s="947" t="s">
        <v>1730</v>
      </c>
      <c r="BC2" s="939" t="s">
        <v>2735</v>
      </c>
      <c r="BD2" s="947" t="s">
        <v>1731</v>
      </c>
      <c r="BE2" s="947" t="s">
        <v>2838</v>
      </c>
      <c r="BF2" s="937" t="s">
        <v>1732</v>
      </c>
      <c r="BG2" s="939" t="s">
        <v>2565</v>
      </c>
      <c r="BH2" s="953" t="s">
        <v>2734</v>
      </c>
      <c r="BI2" s="939" t="s">
        <v>5447</v>
      </c>
      <c r="BJ2" s="939" t="s">
        <v>5448</v>
      </c>
      <c r="BK2" s="894" t="s">
        <v>4</v>
      </c>
      <c r="BL2" s="923" t="s">
        <v>5468</v>
      </c>
      <c r="BM2" s="929" t="s">
        <v>5626</v>
      </c>
      <c r="BN2" s="908" t="s">
        <v>5627</v>
      </c>
      <c r="BO2" s="894" t="s">
        <v>4633</v>
      </c>
      <c r="BP2" s="1156" t="s">
        <v>6103</v>
      </c>
      <c r="BQ2" s="915" t="s">
        <v>5617</v>
      </c>
      <c r="BR2" s="908" t="s">
        <v>5620</v>
      </c>
      <c r="BS2" s="894" t="s">
        <v>4634</v>
      </c>
      <c r="BT2" s="1156" t="s">
        <v>6104</v>
      </c>
      <c r="BU2" s="915" t="s">
        <v>5618</v>
      </c>
      <c r="BV2" s="908" t="s">
        <v>5621</v>
      </c>
      <c r="BW2" s="894" t="s">
        <v>4635</v>
      </c>
      <c r="BX2" s="1156" t="s">
        <v>6105</v>
      </c>
      <c r="BY2" s="915" t="s">
        <v>5619</v>
      </c>
      <c r="BZ2" s="908" t="s">
        <v>5622</v>
      </c>
      <c r="CA2" s="894" t="s">
        <v>5723</v>
      </c>
      <c r="CB2" s="1156" t="s">
        <v>6106</v>
      </c>
      <c r="CC2" s="915" t="s">
        <v>5724</v>
      </c>
      <c r="CD2" s="908" t="s">
        <v>5725</v>
      </c>
      <c r="CE2" s="935" t="s">
        <v>5666</v>
      </c>
      <c r="CF2" s="922" t="s">
        <v>5629</v>
      </c>
      <c r="CG2" s="934" t="s">
        <v>1611</v>
      </c>
      <c r="CH2" s="1009" t="s">
        <v>5470</v>
      </c>
      <c r="CI2" s="932" t="s">
        <v>5469</v>
      </c>
      <c r="CJ2" s="1214" t="s">
        <v>1623</v>
      </c>
      <c r="CK2" s="1215" t="s">
        <v>1624</v>
      </c>
      <c r="CL2" s="893" t="s">
        <v>1625</v>
      </c>
      <c r="CM2" s="907" t="s">
        <v>5628</v>
      </c>
      <c r="CN2" s="1028" t="s">
        <v>5633</v>
      </c>
      <c r="CO2" s="1033" t="s">
        <v>5726</v>
      </c>
      <c r="CP2" s="1029" t="s">
        <v>5701</v>
      </c>
      <c r="CQ2" s="1030" t="s">
        <v>5702</v>
      </c>
      <c r="CR2" s="1031" t="s">
        <v>5667</v>
      </c>
      <c r="CS2" s="1032" t="s">
        <v>5634</v>
      </c>
      <c r="CT2" s="1067" t="s">
        <v>2103</v>
      </c>
      <c r="CU2" s="1067" t="s">
        <v>5779</v>
      </c>
      <c r="CV2" s="1118" t="s">
        <v>5846</v>
      </c>
      <c r="CW2" s="1119" t="s">
        <v>5847</v>
      </c>
      <c r="CX2" s="1119" t="s">
        <v>5968</v>
      </c>
      <c r="CY2" s="1119" t="s">
        <v>5848</v>
      </c>
      <c r="CZ2" s="998" t="s">
        <v>5664</v>
      </c>
      <c r="DA2" s="1213" t="s">
        <v>5747</v>
      </c>
      <c r="DB2" s="933" t="s">
        <v>5663</v>
      </c>
      <c r="DC2" s="1130" t="s">
        <v>6101</v>
      </c>
      <c r="DD2" s="1020" t="s">
        <v>5674</v>
      </c>
      <c r="DE2" s="1021" t="s">
        <v>6100</v>
      </c>
      <c r="DF2" s="1021" t="s">
        <v>5675</v>
      </c>
      <c r="DG2" s="972" t="s">
        <v>5676</v>
      </c>
      <c r="DH2" s="973" t="s">
        <v>5677</v>
      </c>
      <c r="DI2" s="1021" t="s">
        <v>5678</v>
      </c>
      <c r="DJ2" s="1022" t="s">
        <v>5679</v>
      </c>
      <c r="DK2" s="1023" t="s">
        <v>5561</v>
      </c>
      <c r="DL2" s="1021" t="s">
        <v>5562</v>
      </c>
      <c r="DM2" s="972" t="s">
        <v>5670</v>
      </c>
      <c r="DN2" s="990" t="s">
        <v>5671</v>
      </c>
      <c r="DO2" s="1023" t="s">
        <v>5668</v>
      </c>
      <c r="DP2" s="1024" t="s">
        <v>5669</v>
      </c>
      <c r="DQ2" s="972" t="s">
        <v>5672</v>
      </c>
      <c r="DR2" s="990" t="s">
        <v>5673</v>
      </c>
      <c r="DS2" s="1025" t="s">
        <v>3412</v>
      </c>
      <c r="DT2" s="1024" t="s">
        <v>5471</v>
      </c>
      <c r="DU2" s="972" t="s">
        <v>5681</v>
      </c>
      <c r="DV2" s="990" t="s">
        <v>5680</v>
      </c>
      <c r="DW2" s="1021" t="s">
        <v>6128</v>
      </c>
      <c r="DX2" s="1022" t="s">
        <v>6129</v>
      </c>
      <c r="DY2" s="211" t="s">
        <v>1616</v>
      </c>
      <c r="DZ2" s="212" t="s">
        <v>1603</v>
      </c>
      <c r="EA2" s="213" t="s">
        <v>1619</v>
      </c>
      <c r="EB2" s="214" t="s">
        <v>1618</v>
      </c>
      <c r="EC2" s="212" t="s">
        <v>1617</v>
      </c>
      <c r="ED2" s="215" t="s">
        <v>1620</v>
      </c>
      <c r="EE2" s="211" t="s">
        <v>3414</v>
      </c>
      <c r="EF2" s="212" t="s">
        <v>1603</v>
      </c>
      <c r="EG2" s="955" t="s">
        <v>1610</v>
      </c>
      <c r="EH2" s="954" t="s">
        <v>1622</v>
      </c>
      <c r="EI2" s="289" t="s">
        <v>2556</v>
      </c>
      <c r="EJ2" s="956" t="s">
        <v>1716</v>
      </c>
      <c r="EK2" s="217" t="s">
        <v>1721</v>
      </c>
      <c r="EL2" s="217" t="s">
        <v>1722</v>
      </c>
      <c r="EM2" s="217" t="s">
        <v>1718</v>
      </c>
      <c r="EN2" s="217" t="s">
        <v>1717</v>
      </c>
      <c r="EO2" s="217" t="s">
        <v>1719</v>
      </c>
      <c r="EP2" s="217" t="s">
        <v>1723</v>
      </c>
      <c r="EQ2" s="335" t="s">
        <v>1724</v>
      </c>
      <c r="ER2" s="554" t="s">
        <v>3892</v>
      </c>
      <c r="ES2" s="220" t="s">
        <v>1691</v>
      </c>
      <c r="ET2" s="266" t="s">
        <v>1692</v>
      </c>
      <c r="EU2" s="210" t="s">
        <v>1693</v>
      </c>
      <c r="EV2" s="210" t="s">
        <v>1695</v>
      </c>
      <c r="EW2" s="210" t="s">
        <v>1694</v>
      </c>
      <c r="EX2" s="957" t="s">
        <v>7</v>
      </c>
      <c r="EY2" s="246" t="s">
        <v>4</v>
      </c>
      <c r="EZ2" s="247" t="s">
        <v>1603</v>
      </c>
      <c r="FA2" s="247" t="s">
        <v>1626</v>
      </c>
      <c r="FB2" s="247" t="s">
        <v>1627</v>
      </c>
      <c r="FC2" s="247" t="s">
        <v>1670</v>
      </c>
      <c r="FD2" s="248" t="s">
        <v>1669</v>
      </c>
      <c r="FE2" s="247" t="s">
        <v>1672</v>
      </c>
      <c r="FF2" s="247" t="s">
        <v>1671</v>
      </c>
      <c r="FG2" s="247" t="s">
        <v>1954</v>
      </c>
      <c r="FH2" s="249" t="s">
        <v>1955</v>
      </c>
      <c r="FI2" s="958" t="s">
        <v>1850</v>
      </c>
      <c r="FJ2" s="959" t="s">
        <v>1801</v>
      </c>
      <c r="FK2" s="960" t="s">
        <v>1802</v>
      </c>
      <c r="FL2" s="960" t="s">
        <v>1680</v>
      </c>
      <c r="FM2" s="960" t="s">
        <v>1803</v>
      </c>
      <c r="FN2" s="961" t="s">
        <v>1804</v>
      </c>
      <c r="FO2" s="245" t="s">
        <v>1675</v>
      </c>
      <c r="FP2" s="216" t="s">
        <v>1703</v>
      </c>
      <c r="FQ2" s="217" t="s">
        <v>1685</v>
      </c>
      <c r="FR2" s="218" t="s">
        <v>1704</v>
      </c>
      <c r="FS2" s="217" t="s">
        <v>1686</v>
      </c>
      <c r="FT2" s="217" t="s">
        <v>1705</v>
      </c>
      <c r="FU2" s="217" t="s">
        <v>1687</v>
      </c>
      <c r="FV2" s="217" t="s">
        <v>1706</v>
      </c>
      <c r="FW2" s="217" t="s">
        <v>1688</v>
      </c>
      <c r="FX2" s="217" t="s">
        <v>1707</v>
      </c>
      <c r="FY2" s="217" t="s">
        <v>1689</v>
      </c>
      <c r="FZ2" s="217" t="s">
        <v>1708</v>
      </c>
      <c r="GA2" s="217" t="s">
        <v>1690</v>
      </c>
      <c r="GB2" s="219" t="s">
        <v>1709</v>
      </c>
      <c r="GC2" s="335" t="s">
        <v>7</v>
      </c>
      <c r="GD2" s="669" t="s">
        <v>5188</v>
      </c>
      <c r="GE2" s="962" t="s">
        <v>3439</v>
      </c>
      <c r="GF2" s="963" t="s">
        <v>3440</v>
      </c>
      <c r="GG2" s="964" t="s">
        <v>595</v>
      </c>
      <c r="GH2" s="965" t="s">
        <v>475</v>
      </c>
      <c r="GI2" s="966" t="s">
        <v>5474</v>
      </c>
      <c r="GJ2" s="555" t="s">
        <v>5527</v>
      </c>
      <c r="GK2" s="966" t="s">
        <v>320</v>
      </c>
      <c r="GL2" s="556" t="s">
        <v>322</v>
      </c>
      <c r="GM2" s="555" t="s">
        <v>323</v>
      </c>
      <c r="GN2" s="966" t="s">
        <v>5475</v>
      </c>
      <c r="GO2" s="555" t="s">
        <v>5528</v>
      </c>
      <c r="GP2" s="964" t="s">
        <v>320</v>
      </c>
      <c r="GQ2" s="964" t="s">
        <v>322</v>
      </c>
      <c r="GR2" s="965" t="s">
        <v>323</v>
      </c>
      <c r="GS2" s="967" t="s">
        <v>3446</v>
      </c>
      <c r="GT2" s="966" t="s">
        <v>3449</v>
      </c>
      <c r="GU2" s="556" t="s">
        <v>1605</v>
      </c>
      <c r="GV2" s="556" t="s">
        <v>508</v>
      </c>
      <c r="GW2" s="556" t="s">
        <v>3451</v>
      </c>
      <c r="GX2" s="556" t="s">
        <v>3452</v>
      </c>
      <c r="GY2" s="555" t="s">
        <v>3453</v>
      </c>
      <c r="GZ2" s="520" t="s">
        <v>3932</v>
      </c>
      <c r="HA2" s="520" t="s">
        <v>3933</v>
      </c>
      <c r="HB2" s="540" t="s">
        <v>3934</v>
      </c>
      <c r="HC2" s="537" t="s">
        <v>3935</v>
      </c>
      <c r="HD2" s="538" t="s">
        <v>3936</v>
      </c>
      <c r="HE2" s="539" t="s">
        <v>3937</v>
      </c>
      <c r="HF2" s="520" t="s">
        <v>3944</v>
      </c>
      <c r="HG2" s="542" t="s">
        <v>3941</v>
      </c>
      <c r="HH2" s="541" t="s">
        <v>3938</v>
      </c>
      <c r="HI2" s="537" t="s">
        <v>3939</v>
      </c>
      <c r="HJ2" s="539" t="s">
        <v>3940</v>
      </c>
      <c r="HK2" s="554" t="s">
        <v>3982</v>
      </c>
      <c r="HL2" s="556" t="s">
        <v>3983</v>
      </c>
      <c r="HM2" s="556" t="s">
        <v>3976</v>
      </c>
      <c r="HN2" s="556" t="s">
        <v>3977</v>
      </c>
      <c r="HO2" s="556" t="s">
        <v>3979</v>
      </c>
      <c r="HP2" s="556" t="s">
        <v>3980</v>
      </c>
      <c r="HQ2" s="556" t="s">
        <v>3978</v>
      </c>
      <c r="HR2" s="555" t="s">
        <v>3981</v>
      </c>
      <c r="HS2" s="554" t="s">
        <v>4154</v>
      </c>
      <c r="HT2" s="556" t="s">
        <v>3442</v>
      </c>
      <c r="HU2" s="556" t="s">
        <v>4156</v>
      </c>
      <c r="HV2" s="579" t="s">
        <v>4164</v>
      </c>
      <c r="HW2" s="538" t="s">
        <v>4155</v>
      </c>
      <c r="HX2" s="538" t="s">
        <v>4145</v>
      </c>
      <c r="HY2" s="538" t="s">
        <v>4157</v>
      </c>
      <c r="HZ2" s="538" t="s">
        <v>4158</v>
      </c>
      <c r="IA2" s="538" t="s">
        <v>4159</v>
      </c>
      <c r="IB2" s="538" t="s">
        <v>4160</v>
      </c>
      <c r="IC2" s="539" t="s">
        <v>4161</v>
      </c>
      <c r="ID2" s="657" t="s">
        <v>5208</v>
      </c>
      <c r="IE2" s="658" t="s">
        <v>5200</v>
      </c>
      <c r="IF2" s="658" t="s">
        <v>5202</v>
      </c>
      <c r="IG2" s="702" t="s">
        <v>4841</v>
      </c>
      <c r="IH2" s="658" t="s">
        <v>4842</v>
      </c>
      <c r="II2" s="702" t="s">
        <v>4924</v>
      </c>
      <c r="IJ2" s="701" t="s">
        <v>4918</v>
      </c>
      <c r="IK2" s="700" t="s">
        <v>4843</v>
      </c>
      <c r="IL2" s="743" t="s">
        <v>5196</v>
      </c>
      <c r="IM2" s="744" t="s">
        <v>3442</v>
      </c>
      <c r="IN2" s="745" t="s">
        <v>412</v>
      </c>
      <c r="IO2" s="968" t="s">
        <v>435</v>
      </c>
      <c r="IP2" s="1233" t="s">
        <v>5556</v>
      </c>
      <c r="IQ2" s="1234" t="s">
        <v>5557</v>
      </c>
      <c r="IR2" s="1235" t="s">
        <v>5558</v>
      </c>
      <c r="IS2" s="1171"/>
      <c r="IT2" s="502"/>
      <c r="IU2" s="502"/>
      <c r="IV2" s="502"/>
      <c r="IW2" s="502"/>
      <c r="IX2" s="502"/>
      <c r="IY2" s="502"/>
      <c r="IZ2" s="502"/>
      <c r="JA2" s="502"/>
      <c r="JB2" s="502"/>
      <c r="JC2" s="502"/>
      <c r="JD2" s="502"/>
      <c r="JE2" s="502"/>
      <c r="JF2" s="502"/>
      <c r="JG2" s="502"/>
      <c r="JH2" s="502"/>
      <c r="JI2" s="502"/>
      <c r="JJ2" s="502"/>
      <c r="JK2" s="502"/>
      <c r="JL2" s="502"/>
      <c r="JM2" s="502"/>
      <c r="JN2" s="502"/>
      <c r="JO2" s="502"/>
      <c r="JP2" s="502"/>
      <c r="JQ2" s="502"/>
    </row>
    <row r="3" spans="1:277">
      <c r="A3" s="22">
        <v>1</v>
      </c>
      <c r="B3" s="7"/>
      <c r="C3" s="429" t="s">
        <v>8</v>
      </c>
      <c r="D3" s="422" t="s">
        <v>411</v>
      </c>
      <c r="E3" s="8" t="s">
        <v>9</v>
      </c>
      <c r="F3" s="75" t="s">
        <v>747</v>
      </c>
      <c r="G3" s="101" t="s">
        <v>452</v>
      </c>
      <c r="H3" s="279" t="s">
        <v>2111</v>
      </c>
      <c r="I3" s="103" t="s">
        <v>2133</v>
      </c>
      <c r="J3" s="228">
        <v>2</v>
      </c>
      <c r="K3" s="104">
        <v>1992</v>
      </c>
      <c r="L3" s="190">
        <v>2</v>
      </c>
      <c r="M3" s="239" t="s">
        <v>1841</v>
      </c>
      <c r="N3" s="229" t="s">
        <v>1822</v>
      </c>
      <c r="O3" s="275" t="s">
        <v>957</v>
      </c>
      <c r="P3" s="333" t="s">
        <v>2798</v>
      </c>
      <c r="Q3" s="228">
        <v>2</v>
      </c>
      <c r="R3" s="192">
        <v>2014</v>
      </c>
      <c r="S3" s="276" t="s">
        <v>2743</v>
      </c>
      <c r="T3" s="228">
        <v>2</v>
      </c>
      <c r="U3" s="192">
        <v>2</v>
      </c>
      <c r="V3" s="228">
        <v>0</v>
      </c>
      <c r="W3" s="229" t="s">
        <v>1822</v>
      </c>
      <c r="X3" s="168">
        <v>1</v>
      </c>
      <c r="Y3" s="107">
        <v>1</v>
      </c>
      <c r="Z3" s="269"/>
      <c r="AA3" s="1089">
        <v>1</v>
      </c>
      <c r="AB3" s="1090">
        <v>1</v>
      </c>
      <c r="AC3" s="1091"/>
      <c r="AD3" s="105" t="s">
        <v>939</v>
      </c>
      <c r="AE3" s="110">
        <v>2015</v>
      </c>
      <c r="AF3" s="104">
        <v>2</v>
      </c>
      <c r="AG3" s="228" t="s">
        <v>5171</v>
      </c>
      <c r="AH3" s="104" t="s">
        <v>2745</v>
      </c>
      <c r="AI3" s="228">
        <v>1</v>
      </c>
      <c r="AJ3" s="228">
        <v>0</v>
      </c>
      <c r="AK3" s="588">
        <v>15000</v>
      </c>
      <c r="AL3" s="388">
        <v>10</v>
      </c>
      <c r="AM3" s="334" t="s">
        <v>2800</v>
      </c>
      <c r="AN3" s="396" t="s">
        <v>145</v>
      </c>
      <c r="AO3" s="168">
        <v>0</v>
      </c>
      <c r="AP3" s="107">
        <v>0</v>
      </c>
      <c r="AQ3" s="275" t="s">
        <v>4927</v>
      </c>
      <c r="AR3" s="333" t="s">
        <v>4928</v>
      </c>
      <c r="AS3" s="228">
        <v>2</v>
      </c>
      <c r="AT3" s="228">
        <v>3</v>
      </c>
      <c r="AU3" s="345">
        <v>2011</v>
      </c>
      <c r="AV3" s="192">
        <v>5</v>
      </c>
      <c r="AW3" s="588" t="s">
        <v>145</v>
      </c>
      <c r="AX3" s="229">
        <v>0</v>
      </c>
      <c r="AY3" s="173" t="s">
        <v>2185</v>
      </c>
      <c r="AZ3" s="192">
        <v>2015</v>
      </c>
      <c r="BA3" s="228">
        <v>0</v>
      </c>
      <c r="BB3" s="228">
        <v>1</v>
      </c>
      <c r="BC3" s="173" t="s">
        <v>4397</v>
      </c>
      <c r="BD3" s="192">
        <v>2012</v>
      </c>
      <c r="BE3" s="228">
        <v>0</v>
      </c>
      <c r="BF3" s="345" t="s">
        <v>145</v>
      </c>
      <c r="BG3" s="345">
        <v>0</v>
      </c>
      <c r="BH3" s="551" t="s">
        <v>145</v>
      </c>
      <c r="BI3" s="345">
        <v>0</v>
      </c>
      <c r="BJ3" s="345">
        <v>1</v>
      </c>
      <c r="BK3" s="899">
        <v>32526.562000000002</v>
      </c>
      <c r="BL3" s="924">
        <f t="shared" ref="BL3:BL34" si="0">BN3/BK3*100</f>
        <v>48.430750228075134</v>
      </c>
      <c r="BM3" s="899">
        <v>16773.704000000002</v>
      </c>
      <c r="BN3" s="919">
        <v>15752.858</v>
      </c>
      <c r="BO3" s="899">
        <v>4950.25</v>
      </c>
      <c r="BP3" s="1157">
        <f>BR3/BO3*100</f>
        <v>48.719842432200394</v>
      </c>
      <c r="BQ3" s="916">
        <v>2538.4960000000001</v>
      </c>
      <c r="BR3" s="919">
        <v>2411.7539999999999</v>
      </c>
      <c r="BS3" s="899">
        <v>4903.2730000000001</v>
      </c>
      <c r="BT3" s="1157">
        <f>BV3/BS3*100</f>
        <v>48.808071669678604</v>
      </c>
      <c r="BU3" s="916">
        <v>2510.08</v>
      </c>
      <c r="BV3" s="919">
        <v>2393.1930000000002</v>
      </c>
      <c r="BW3" s="899">
        <v>4471.8090000000002</v>
      </c>
      <c r="BX3" s="1157">
        <f>BZ3/BW3*100</f>
        <v>48.606570629470077</v>
      </c>
      <c r="BY3" s="916">
        <v>2298.2159999999999</v>
      </c>
      <c r="BZ3" s="919">
        <v>2173.5929999999998</v>
      </c>
      <c r="CA3" s="899">
        <f>BK3-BO3-BS3-BW3</f>
        <v>18201.23</v>
      </c>
      <c r="CB3" s="1157">
        <f>CD3/CA3*100</f>
        <v>48.207280496977404</v>
      </c>
      <c r="CC3" s="916">
        <f>BM3-BQ3-BU3-BY3</f>
        <v>9426.9120000000021</v>
      </c>
      <c r="CD3" s="919">
        <f>BN3-BR3-BV3-BZ3</f>
        <v>8774.3179999999993</v>
      </c>
      <c r="CE3" s="914">
        <v>2015</v>
      </c>
      <c r="CF3" s="910" t="s">
        <v>5630</v>
      </c>
      <c r="CG3" s="1027">
        <v>37.4</v>
      </c>
      <c r="CH3" s="1010">
        <v>38.299999999999997</v>
      </c>
      <c r="CI3" s="1011">
        <v>36.5</v>
      </c>
      <c r="CJ3" s="900">
        <v>60</v>
      </c>
      <c r="CK3" s="900">
        <v>33.1</v>
      </c>
      <c r="CL3" s="900" t="s">
        <v>5572</v>
      </c>
      <c r="CM3" s="901" t="s">
        <v>5573</v>
      </c>
      <c r="CN3" s="1038">
        <v>16783.348999999998</v>
      </c>
      <c r="CO3" s="1039">
        <f t="shared" ref="CO3:CO34" si="1">CN3/BK3*100</f>
        <v>51.598902460087849</v>
      </c>
      <c r="CP3" s="1040">
        <f>IF(OR(CZ3=1,CZ3=10),CN3*(1-BL3/100),IF(DA3=6,CN3*(1-BL3/100),CN3*(1-CB3/100)))</f>
        <v>8655.047165903854</v>
      </c>
      <c r="CQ3" s="1041">
        <f>IF(OR(CZ3=1,CZ3=10),CN3*BL3/100,IF(DA3=6,CN3*BL3/100,CN3*CB3/100))</f>
        <v>8128.3018340961453</v>
      </c>
      <c r="CR3" s="1042">
        <v>2014</v>
      </c>
      <c r="CS3" s="1043" t="s">
        <v>6102</v>
      </c>
      <c r="CT3" s="1068">
        <f t="shared" ref="CT3:CT34" si="2">V3</f>
        <v>0</v>
      </c>
      <c r="CU3" s="1068">
        <v>18</v>
      </c>
      <c r="CV3" s="1068" t="s">
        <v>5853</v>
      </c>
      <c r="CW3" s="1113">
        <v>20845.988000000001</v>
      </c>
      <c r="CX3" s="1113">
        <v>16208.254999999999</v>
      </c>
      <c r="CY3" s="1113">
        <v>31822.848000000002</v>
      </c>
      <c r="CZ3" s="1037">
        <v>1</v>
      </c>
      <c r="DA3" s="1212">
        <v>6</v>
      </c>
      <c r="DB3" s="1109" t="s">
        <v>647</v>
      </c>
      <c r="DC3" s="1144" t="s">
        <v>320</v>
      </c>
      <c r="DD3" s="974">
        <f>DK3+DO3+DS3</f>
        <v>10385.538832000002</v>
      </c>
      <c r="DE3" s="992">
        <f t="shared" ref="DE3:DE34" si="3">DD3/BK3*100</f>
        <v>31.929408438555544</v>
      </c>
      <c r="DF3" s="992">
        <f t="shared" ref="DF3:DF5" si="4">IF(DD3=0,0,DH3/DD3*100)</f>
        <v>48.88902875466956</v>
      </c>
      <c r="DG3" s="976">
        <f>DM3+DQ3+DU3</f>
        <v>5304.8354980961485</v>
      </c>
      <c r="DH3" s="976">
        <f>DN3+DR3+DV3</f>
        <v>5077.3890659038543</v>
      </c>
      <c r="DI3" s="975">
        <f t="shared" ref="DI3:DI34" si="5">DG3/BM3*100</f>
        <v>31.625903843874603</v>
      </c>
      <c r="DJ3" s="977">
        <f t="shared" ref="DJ3:DJ34" si="6">DH3/BN3*100</f>
        <v>32.2315421487571</v>
      </c>
      <c r="DK3" s="988">
        <f t="shared" ref="DK3:DK34" si="7">IF(OR($CZ3=1,$CZ3=10),CA3-CN3,BK3-CN3-DO3-DS3)</f>
        <v>1417.8810000000012</v>
      </c>
      <c r="DL3" s="975">
        <f>IF(DN3=0,0,DN3/DK3*100)</f>
        <v>45.562086374234042</v>
      </c>
      <c r="DM3" s="976">
        <f t="shared" ref="DM3:DM34" si="8">IF(OR($CZ3=1,$CZ3=10),CC3-CP3,BM3-CP3-DQ3-DU3)</f>
        <v>771.86483409614812</v>
      </c>
      <c r="DN3" s="989">
        <f t="shared" ref="DN3:DN34" si="9">IF(OR($CZ3=1,$CZ3=10),CD3-CQ3,BN3-CQ3-DR3-DV3)</f>
        <v>646.01616590385402</v>
      </c>
      <c r="DO3" s="988">
        <f t="shared" ref="DO3:DO34" si="10">BS3*(1-$CG3/100)+BW3*(1-$CG3/100)</f>
        <v>5868.801332</v>
      </c>
      <c r="DP3" s="975">
        <f t="shared" ref="DP3:DP5" si="11">IF(DR3=0,0,DR3/DO3*100)</f>
        <v>49.412289596311041</v>
      </c>
      <c r="DQ3" s="976">
        <f>BU3*(1-$CH3/100)+BY3*(1-$CH3/100)</f>
        <v>2966.7186320000001</v>
      </c>
      <c r="DR3" s="989">
        <f>BV3*(1-$CI3/100)+BZ3*(1-$CI3/100)</f>
        <v>2899.9091100000001</v>
      </c>
      <c r="DS3" s="988">
        <f t="shared" ref="DS3:DS34" si="12">BO3*(1-$CG3/100)</f>
        <v>3098.8564999999999</v>
      </c>
      <c r="DT3" s="992">
        <f t="shared" ref="DT3:DT5" si="13">IF(DV3=0,0,DV3/DS3*100)</f>
        <v>49.420287451193694</v>
      </c>
      <c r="DU3" s="976">
        <f>BQ3*(1-$CH3/100)</f>
        <v>1566.2520320000001</v>
      </c>
      <c r="DV3" s="989">
        <f>BR3*(1-$CI3/100)</f>
        <v>1531.46379</v>
      </c>
      <c r="DW3" s="975">
        <f>DU3/BQ3*100</f>
        <v>61.7</v>
      </c>
      <c r="DX3" s="977">
        <f>DV3/BR3*100</f>
        <v>63.5</v>
      </c>
      <c r="DY3" s="413">
        <v>35.799999999999997</v>
      </c>
      <c r="DZ3" s="112">
        <v>2011</v>
      </c>
      <c r="EA3" s="116" t="e">
        <f>#REF!*DY3/100</f>
        <v>#REF!</v>
      </c>
      <c r="EB3" s="122">
        <v>36</v>
      </c>
      <c r="EC3" s="114">
        <v>2008</v>
      </c>
      <c r="ED3" s="119">
        <v>12715.360200000001</v>
      </c>
      <c r="EE3" s="413">
        <v>36</v>
      </c>
      <c r="EF3" s="112">
        <v>2008</v>
      </c>
      <c r="EG3" s="381">
        <v>31.741117477416999</v>
      </c>
      <c r="EH3" s="87" t="s">
        <v>374</v>
      </c>
      <c r="EI3" s="286">
        <v>1</v>
      </c>
      <c r="EJ3" s="39">
        <v>1</v>
      </c>
      <c r="EK3" s="50" t="s">
        <v>728</v>
      </c>
      <c r="EL3" s="103" t="s">
        <v>1638</v>
      </c>
      <c r="EM3" s="103" t="s">
        <v>1639</v>
      </c>
      <c r="EN3" s="42" t="s">
        <v>145</v>
      </c>
      <c r="EO3" s="103" t="s">
        <v>1640</v>
      </c>
      <c r="EP3" s="204">
        <v>0.06</v>
      </c>
      <c r="EQ3" s="206" t="s">
        <v>145</v>
      </c>
      <c r="ER3" s="516">
        <v>2</v>
      </c>
      <c r="ES3" s="186" t="s">
        <v>145</v>
      </c>
      <c r="ET3" s="186" t="s">
        <v>145</v>
      </c>
      <c r="EU3" s="98" t="s">
        <v>145</v>
      </c>
      <c r="EV3" s="98" t="s">
        <v>145</v>
      </c>
      <c r="EW3" s="98" t="s">
        <v>3895</v>
      </c>
      <c r="EX3" s="185" t="s">
        <v>145</v>
      </c>
      <c r="EY3" s="158"/>
      <c r="EZ3" s="154"/>
      <c r="FA3" s="322"/>
      <c r="FB3" s="322"/>
      <c r="FC3" s="322"/>
      <c r="FD3" s="162"/>
      <c r="FE3" s="154"/>
      <c r="FF3" s="154"/>
      <c r="FG3" s="154"/>
      <c r="FH3" s="155"/>
      <c r="FI3" s="241"/>
      <c r="FJ3" s="239"/>
      <c r="FK3" s="178"/>
      <c r="FL3" s="178"/>
      <c r="FM3" s="178"/>
      <c r="FN3" s="229"/>
      <c r="FO3" s="163"/>
      <c r="FP3" s="253">
        <v>1</v>
      </c>
      <c r="FQ3" s="98" t="s">
        <v>1697</v>
      </c>
      <c r="FR3" s="256">
        <v>1</v>
      </c>
      <c r="FS3" s="82" t="s">
        <v>1698</v>
      </c>
      <c r="FT3" s="258"/>
      <c r="FU3" s="98"/>
      <c r="FV3" s="258"/>
      <c r="FW3" s="98"/>
      <c r="FX3" s="258"/>
      <c r="FY3" s="98"/>
      <c r="FZ3" s="258"/>
      <c r="GA3" s="98"/>
      <c r="GB3" s="260"/>
      <c r="GC3" s="185"/>
      <c r="GD3" s="75">
        <v>3</v>
      </c>
      <c r="GE3" s="450" t="s">
        <v>3435</v>
      </c>
      <c r="GF3" s="455" t="s">
        <v>580</v>
      </c>
      <c r="GG3" s="456">
        <v>6</v>
      </c>
      <c r="GH3" s="457">
        <v>6</v>
      </c>
      <c r="GI3" s="451" t="s">
        <v>145</v>
      </c>
      <c r="GJ3" s="453" t="s">
        <v>145</v>
      </c>
      <c r="GK3" s="451" t="s">
        <v>145</v>
      </c>
      <c r="GL3" s="452" t="s">
        <v>145</v>
      </c>
      <c r="GM3" s="453" t="s">
        <v>145</v>
      </c>
      <c r="GN3" s="451" t="s">
        <v>580</v>
      </c>
      <c r="GO3" s="453">
        <v>66</v>
      </c>
      <c r="GP3" s="451">
        <v>20</v>
      </c>
      <c r="GQ3" s="452">
        <v>27</v>
      </c>
      <c r="GR3" s="453">
        <v>19</v>
      </c>
      <c r="GS3" s="454">
        <v>-6</v>
      </c>
      <c r="GT3" s="458">
        <v>-1.2882300615310669</v>
      </c>
      <c r="GU3" s="459">
        <v>-2.4741945266723633</v>
      </c>
      <c r="GV3" s="459">
        <v>-1.4288873672485352</v>
      </c>
      <c r="GW3" s="459">
        <v>-1.2122533321380615</v>
      </c>
      <c r="GX3" s="459">
        <v>-1.6711688041687012</v>
      </c>
      <c r="GY3" s="460">
        <v>-1.4264214038848877</v>
      </c>
      <c r="GZ3" s="8">
        <v>173</v>
      </c>
      <c r="HA3" s="534">
        <v>0.19003</v>
      </c>
      <c r="HB3" s="534">
        <v>0.13725000000000001</v>
      </c>
      <c r="HC3" s="521">
        <v>0.18110000000000001</v>
      </c>
      <c r="HD3" s="459">
        <v>0.14721999999999999</v>
      </c>
      <c r="HE3" s="460">
        <v>0.24179999999999999</v>
      </c>
      <c r="HF3" s="8">
        <v>155</v>
      </c>
      <c r="HG3" s="8">
        <v>1.67</v>
      </c>
      <c r="HH3" s="451">
        <v>2.44</v>
      </c>
      <c r="HI3" s="543">
        <v>0.24</v>
      </c>
      <c r="HJ3" s="453">
        <v>2.98</v>
      </c>
      <c r="HK3" s="672" t="s">
        <v>145</v>
      </c>
      <c r="HL3" s="673" t="s">
        <v>145</v>
      </c>
      <c r="HM3" s="674" t="s">
        <v>145</v>
      </c>
      <c r="HN3" s="674" t="s">
        <v>145</v>
      </c>
      <c r="HO3" s="674" t="s">
        <v>145</v>
      </c>
      <c r="HP3" s="675" t="s">
        <v>145</v>
      </c>
      <c r="HQ3" s="675" t="s">
        <v>145</v>
      </c>
      <c r="HR3" s="676" t="s">
        <v>145</v>
      </c>
      <c r="HS3" s="677" t="s">
        <v>145</v>
      </c>
      <c r="HT3" s="678" t="s">
        <v>145</v>
      </c>
      <c r="HU3" s="678">
        <v>2002</v>
      </c>
      <c r="HV3" s="679" t="s">
        <v>4266</v>
      </c>
      <c r="HW3" s="456" t="s">
        <v>145</v>
      </c>
      <c r="HX3" s="456" t="s">
        <v>145</v>
      </c>
      <c r="HY3" s="456" t="s">
        <v>145</v>
      </c>
      <c r="HZ3" s="456" t="s">
        <v>145</v>
      </c>
      <c r="IA3" s="456" t="s">
        <v>145</v>
      </c>
      <c r="IB3" s="456" t="s">
        <v>145</v>
      </c>
      <c r="IC3" s="457" t="s">
        <v>145</v>
      </c>
      <c r="ID3" s="39"/>
      <c r="IE3" s="603"/>
      <c r="IF3" s="603"/>
      <c r="IG3" s="703">
        <v>1</v>
      </c>
      <c r="IH3" s="659">
        <v>25.3</v>
      </c>
      <c r="II3" s="703" t="s">
        <v>4921</v>
      </c>
      <c r="IJ3" s="422" t="s">
        <v>4918</v>
      </c>
      <c r="IK3" s="8">
        <v>0</v>
      </c>
      <c r="IL3" s="746">
        <f t="shared" ref="IL3:IL34" si="14">L3+T3+U3+AF3+(IF(AG3="2B",2,IF(AG3="3B",3,IF(AG3="4B",4,AG3))))+AS3+BA3+BB3+BE3+BG3+BI3+BJ3</f>
        <v>16</v>
      </c>
      <c r="IM3" s="747">
        <f t="shared" ref="IM3:IM34" si="15">IL3/25*100</f>
        <v>64</v>
      </c>
      <c r="IN3" s="748" t="str">
        <f t="shared" ref="IN3:IN34" si="16">IF(IM3&lt;25,"D",IF(IM3&lt;50,"C",IF(IM3&lt;75,"B","A")))</f>
        <v>B</v>
      </c>
      <c r="IO3" s="454"/>
      <c r="IP3" s="455">
        <v>6</v>
      </c>
      <c r="IQ3" s="456">
        <v>0</v>
      </c>
      <c r="IR3" s="457">
        <v>0</v>
      </c>
      <c r="IT3" s="435"/>
      <c r="IU3" s="435"/>
      <c r="IV3" s="435"/>
    </row>
    <row r="4" spans="1:277">
      <c r="A4" s="21">
        <v>2</v>
      </c>
      <c r="B4" s="9"/>
      <c r="C4" s="430" t="s">
        <v>11</v>
      </c>
      <c r="D4" s="423" t="s">
        <v>408</v>
      </c>
      <c r="E4" s="697" t="s">
        <v>12</v>
      </c>
      <c r="F4" s="76" t="s">
        <v>748</v>
      </c>
      <c r="G4" s="102" t="s">
        <v>454</v>
      </c>
      <c r="H4" s="375" t="s">
        <v>2113</v>
      </c>
      <c r="I4" s="364" t="s">
        <v>2114</v>
      </c>
      <c r="J4" s="370">
        <v>2</v>
      </c>
      <c r="K4" s="88">
        <v>1930</v>
      </c>
      <c r="L4" s="371">
        <v>2</v>
      </c>
      <c r="M4" s="373" t="s">
        <v>1816</v>
      </c>
      <c r="N4" s="369" t="s">
        <v>2112</v>
      </c>
      <c r="O4" s="375" t="s">
        <v>2113</v>
      </c>
      <c r="P4" s="377" t="s">
        <v>2799</v>
      </c>
      <c r="Q4" s="176">
        <v>2</v>
      </c>
      <c r="R4" s="177">
        <v>2012</v>
      </c>
      <c r="S4" s="372" t="s">
        <v>2730</v>
      </c>
      <c r="T4" s="176">
        <v>1</v>
      </c>
      <c r="U4" s="177">
        <v>2</v>
      </c>
      <c r="V4" s="176">
        <v>16</v>
      </c>
      <c r="W4" s="351" t="s">
        <v>2060</v>
      </c>
      <c r="X4" s="169">
        <v>1</v>
      </c>
      <c r="Y4" s="171">
        <v>1</v>
      </c>
      <c r="Z4" s="274" t="s">
        <v>2029</v>
      </c>
      <c r="AA4" s="169">
        <v>1</v>
      </c>
      <c r="AB4" s="177">
        <v>1</v>
      </c>
      <c r="AC4" s="171"/>
      <c r="AD4" s="366" t="s">
        <v>2756</v>
      </c>
      <c r="AE4" s="80">
        <v>2009</v>
      </c>
      <c r="AF4" s="804">
        <v>2</v>
      </c>
      <c r="AG4" s="550" t="s">
        <v>5171</v>
      </c>
      <c r="AH4" s="355" t="s">
        <v>2802</v>
      </c>
      <c r="AI4" s="55">
        <v>1</v>
      </c>
      <c r="AJ4" s="55">
        <v>1</v>
      </c>
      <c r="AK4" s="589">
        <v>3200</v>
      </c>
      <c r="AL4" s="386">
        <v>2</v>
      </c>
      <c r="AM4" s="361" t="s">
        <v>2760</v>
      </c>
      <c r="AN4" s="344">
        <v>4</v>
      </c>
      <c r="AO4" s="169">
        <v>1</v>
      </c>
      <c r="AP4" s="171">
        <v>1</v>
      </c>
      <c r="AQ4" s="282" t="s">
        <v>4929</v>
      </c>
      <c r="AR4" s="377" t="s">
        <v>2798</v>
      </c>
      <c r="AS4" s="228">
        <v>2</v>
      </c>
      <c r="AT4" s="370">
        <v>2</v>
      </c>
      <c r="AU4" s="191">
        <v>2009</v>
      </c>
      <c r="AV4" s="177">
        <v>5</v>
      </c>
      <c r="AW4" s="589">
        <v>900</v>
      </c>
      <c r="AX4" s="687">
        <v>0</v>
      </c>
      <c r="AY4" s="174" t="s">
        <v>2147</v>
      </c>
      <c r="AZ4" s="177">
        <v>2007</v>
      </c>
      <c r="BA4" s="370">
        <v>1</v>
      </c>
      <c r="BB4" s="370">
        <v>0</v>
      </c>
      <c r="BC4" s="174" t="s">
        <v>145</v>
      </c>
      <c r="BD4" s="177" t="s">
        <v>145</v>
      </c>
      <c r="BE4" s="370">
        <v>0</v>
      </c>
      <c r="BF4" s="367" t="s">
        <v>145</v>
      </c>
      <c r="BG4" s="367">
        <v>0</v>
      </c>
      <c r="BH4" s="351" t="s">
        <v>145</v>
      </c>
      <c r="BI4" s="367">
        <v>3</v>
      </c>
      <c r="BJ4" s="367">
        <v>1</v>
      </c>
      <c r="BK4" s="888">
        <v>2896.6790000000001</v>
      </c>
      <c r="BL4" s="925">
        <f t="shared" si="0"/>
        <v>50.397679549580744</v>
      </c>
      <c r="BM4" s="888">
        <v>1436.82</v>
      </c>
      <c r="BN4" s="920">
        <v>1459.8589999999999</v>
      </c>
      <c r="BO4" s="888">
        <v>185.49799999999999</v>
      </c>
      <c r="BP4" s="1158">
        <f t="shared" ref="BP4:BP67" si="17">BR4/BO4*100</f>
        <v>48.14499347701863</v>
      </c>
      <c r="BQ4" s="917">
        <v>96.19</v>
      </c>
      <c r="BR4" s="920">
        <v>89.308000000000007</v>
      </c>
      <c r="BS4" s="888">
        <v>155.37899999999999</v>
      </c>
      <c r="BT4" s="1158">
        <f t="shared" ref="BT4:BT67" si="18">BV4/BS4*100</f>
        <v>48.057330784726389</v>
      </c>
      <c r="BU4" s="917">
        <v>80.707999999999998</v>
      </c>
      <c r="BV4" s="920">
        <v>74.671000000000006</v>
      </c>
      <c r="BW4" s="888">
        <v>196.34700000000001</v>
      </c>
      <c r="BX4" s="1158">
        <f t="shared" ref="BX4:BX67" si="19">BZ4/BW4*100</f>
        <v>48.048098519457895</v>
      </c>
      <c r="BY4" s="917">
        <v>102.006</v>
      </c>
      <c r="BZ4" s="920">
        <v>94.340999999999994</v>
      </c>
      <c r="CA4" s="888">
        <f t="shared" ref="CA4:CA67" si="20">BK4-BO4-BS4-BW4</f>
        <v>2359.4549999999999</v>
      </c>
      <c r="CB4" s="1158">
        <f t="shared" ref="CB4:CB67" si="21">CD4/CA4*100</f>
        <v>50.924429582255229</v>
      </c>
      <c r="CC4" s="917">
        <f t="shared" ref="CC4:CC67" si="22">BM4-BQ4-BU4-BY4</f>
        <v>1157.9159999999997</v>
      </c>
      <c r="CD4" s="920">
        <f t="shared" ref="CD4:CD67" si="23">BN4-BR4-BV4-BZ4</f>
        <v>1201.539</v>
      </c>
      <c r="CE4" s="914">
        <v>2015</v>
      </c>
      <c r="CF4" s="910" t="s">
        <v>5630</v>
      </c>
      <c r="CG4" s="930">
        <v>98.6</v>
      </c>
      <c r="CH4" s="495">
        <v>99.4</v>
      </c>
      <c r="CI4" s="497">
        <v>97.9</v>
      </c>
      <c r="CJ4" s="904">
        <v>99</v>
      </c>
      <c r="CK4" s="904">
        <v>98.4</v>
      </c>
      <c r="CL4" s="904" t="s">
        <v>5574</v>
      </c>
      <c r="CM4" s="905" t="s">
        <v>5575</v>
      </c>
      <c r="CN4" s="1044">
        <v>2850</v>
      </c>
      <c r="CO4" s="1045">
        <f t="shared" si="1"/>
        <v>98.388533903825731</v>
      </c>
      <c r="CP4" s="1040">
        <f>IF(OR(CZ4=1,CZ4=10),CN4*(1-BL4/100),IF(DA4=6,CN4*(1-BL4/100),CN4*(1-CB4/100)))</f>
        <v>1398.6537569057261</v>
      </c>
      <c r="CQ4" s="1041">
        <f>IF(OR(CZ4=1,CZ4=10),CN4*BL4/100,IF(DA4=6,CN4*BL4/100,CN4*CB4/100))</f>
        <v>1451.3462430942739</v>
      </c>
      <c r="CR4" s="1046">
        <v>2015</v>
      </c>
      <c r="CS4" s="1047" t="s">
        <v>5727</v>
      </c>
      <c r="CT4" s="1068">
        <f t="shared" si="2"/>
        <v>16</v>
      </c>
      <c r="CU4" s="1070">
        <v>18</v>
      </c>
      <c r="CV4" s="1117" t="s">
        <v>5766</v>
      </c>
      <c r="CW4" s="1113">
        <v>3271.8850000000002</v>
      </c>
      <c r="CX4" s="1113">
        <v>2274.8150000000001</v>
      </c>
      <c r="CY4" s="1113">
        <v>3011.4050000000002</v>
      </c>
      <c r="CZ4" s="494">
        <v>2</v>
      </c>
      <c r="DA4" s="1104">
        <v>3</v>
      </c>
      <c r="DB4" s="1050" t="s">
        <v>647</v>
      </c>
      <c r="DC4" s="1146" t="s">
        <v>322</v>
      </c>
      <c r="DD4" s="978">
        <f t="shared" ref="DD4:DD5" si="24">DK4+DO4+DS4</f>
        <v>46.679000000000087</v>
      </c>
      <c r="DE4" s="979">
        <f t="shared" si="3"/>
        <v>1.6114660961742771</v>
      </c>
      <c r="DF4" s="979">
        <f t="shared" si="4"/>
        <v>18.236802214541974</v>
      </c>
      <c r="DG4" s="980">
        <f t="shared" ref="DG4:DG5" si="25">DM4+DQ4+DU4</f>
        <v>38.166243094273796</v>
      </c>
      <c r="DH4" s="980">
        <f t="shared" ref="DH4:DH5" si="26">DN4+DR4+DV4</f>
        <v>8.5127569057260644</v>
      </c>
      <c r="DI4" s="979">
        <f t="shared" si="5"/>
        <v>2.6562995430376666</v>
      </c>
      <c r="DJ4" s="981">
        <f t="shared" si="6"/>
        <v>0.58312185668109484</v>
      </c>
      <c r="DK4" s="984">
        <f t="shared" si="7"/>
        <v>39.157864000000082</v>
      </c>
      <c r="DL4" s="979">
        <f t="shared" ref="DL4:DL5" si="27">IF(DN4=0,0,DN4/DK4*100)</f>
        <v>7.8861219440521113</v>
      </c>
      <c r="DM4" s="980">
        <f t="shared" si="8"/>
        <v>36.49281909427382</v>
      </c>
      <c r="DN4" s="985">
        <f t="shared" si="9"/>
        <v>3.0880369057260886</v>
      </c>
      <c r="DO4" s="984">
        <f t="shared" si="10"/>
        <v>4.9241640000000046</v>
      </c>
      <c r="DP4" s="979">
        <f t="shared" si="11"/>
        <v>72.078265468005952</v>
      </c>
      <c r="DQ4" s="980">
        <f t="shared" ref="DQ4:DQ67" si="28">BU4*(1-$CH4/100)+BY4*(1-$CH4/100)</f>
        <v>1.0962839999999807</v>
      </c>
      <c r="DR4" s="985">
        <f t="shared" ref="DR4:DR67" si="29">BV4*(1-$CI4/100)+BZ4*(1-$CI4/100)</f>
        <v>3.5492519999999841</v>
      </c>
      <c r="DS4" s="984">
        <f t="shared" si="12"/>
        <v>2.5969720000000023</v>
      </c>
      <c r="DT4" s="339">
        <f t="shared" si="13"/>
        <v>72.217490215527562</v>
      </c>
      <c r="DU4" s="980">
        <f t="shared" ref="DU4:DU67" si="30">BQ4*(1-$CH4/100)</f>
        <v>0.57713999999998977</v>
      </c>
      <c r="DV4" s="985">
        <f t="shared" ref="DV4:DV67" si="31">BR4*(1-$CI4/100)</f>
        <v>1.8754679999999919</v>
      </c>
      <c r="DW4" s="979">
        <f t="shared" ref="DW4:DW67" si="32">DU4/BQ4*100</f>
        <v>0.59999999999998932</v>
      </c>
      <c r="DX4" s="981">
        <f t="shared" ref="DX4:DX67" si="33">DV4/BR4*100</f>
        <v>2.0999999999999908</v>
      </c>
      <c r="DY4" s="414">
        <v>0.62</v>
      </c>
      <c r="DZ4" s="111">
        <v>2008</v>
      </c>
      <c r="EA4" s="117">
        <v>20</v>
      </c>
      <c r="EB4" s="123">
        <v>12.4</v>
      </c>
      <c r="EC4" s="113">
        <v>2008</v>
      </c>
      <c r="ED4" s="120">
        <v>398.782512</v>
      </c>
      <c r="EE4" s="414">
        <v>14.3</v>
      </c>
      <c r="EF4" s="111">
        <v>2012</v>
      </c>
      <c r="EG4" s="380">
        <v>96.845298767089801</v>
      </c>
      <c r="EH4" s="24" t="s">
        <v>373</v>
      </c>
      <c r="EI4" s="287">
        <v>3</v>
      </c>
      <c r="EJ4" s="40" t="s">
        <v>145</v>
      </c>
      <c r="EK4" s="35" t="s">
        <v>145</v>
      </c>
      <c r="EL4" s="364" t="s">
        <v>145</v>
      </c>
      <c r="EM4" s="364" t="s">
        <v>145</v>
      </c>
      <c r="EN4" s="35" t="s">
        <v>145</v>
      </c>
      <c r="EO4" s="364" t="s">
        <v>145</v>
      </c>
      <c r="EP4" s="205" t="s">
        <v>145</v>
      </c>
      <c r="EQ4" s="207" t="s">
        <v>145</v>
      </c>
      <c r="ER4" s="517">
        <v>6</v>
      </c>
      <c r="ES4" s="183" t="s">
        <v>145</v>
      </c>
      <c r="ET4" s="183" t="s">
        <v>3896</v>
      </c>
      <c r="EU4" s="82" t="s">
        <v>145</v>
      </c>
      <c r="EV4" s="82" t="s">
        <v>145</v>
      </c>
      <c r="EW4" s="82" t="s">
        <v>3897</v>
      </c>
      <c r="EX4" s="90" t="s">
        <v>3898</v>
      </c>
      <c r="EY4" s="159" t="s">
        <v>66</v>
      </c>
      <c r="EZ4" s="156"/>
      <c r="FA4" s="323"/>
      <c r="FB4" s="323"/>
      <c r="FC4" s="323"/>
      <c r="FD4" s="160"/>
      <c r="FE4" s="156"/>
      <c r="FF4" s="156"/>
      <c r="FG4" s="156"/>
      <c r="FH4" s="157"/>
      <c r="FI4" s="242"/>
      <c r="FJ4" s="373"/>
      <c r="FK4" s="179"/>
      <c r="FL4" s="179"/>
      <c r="FM4" s="179"/>
      <c r="FN4" s="369"/>
      <c r="FO4" s="164"/>
      <c r="FP4" s="254">
        <v>1</v>
      </c>
      <c r="FQ4" s="82" t="s">
        <v>1699</v>
      </c>
      <c r="FR4" s="257"/>
      <c r="FS4" s="82"/>
      <c r="FT4" s="259"/>
      <c r="FU4" s="82"/>
      <c r="FV4" s="259"/>
      <c r="FW4" s="82"/>
      <c r="FX4" s="259"/>
      <c r="FY4" s="82"/>
      <c r="FZ4" s="259"/>
      <c r="GA4" s="82"/>
      <c r="GB4" s="261"/>
      <c r="GC4" s="90"/>
      <c r="GD4" s="76">
        <v>1</v>
      </c>
      <c r="GE4" s="445" t="s">
        <v>3424</v>
      </c>
      <c r="GF4" s="447" t="s">
        <v>590</v>
      </c>
      <c r="GG4" s="448">
        <v>3</v>
      </c>
      <c r="GH4" s="449">
        <v>3</v>
      </c>
      <c r="GI4" s="447" t="s">
        <v>145</v>
      </c>
      <c r="GJ4" s="449" t="s">
        <v>145</v>
      </c>
      <c r="GK4" s="447" t="s">
        <v>145</v>
      </c>
      <c r="GL4" s="448" t="s">
        <v>145</v>
      </c>
      <c r="GM4" s="449" t="s">
        <v>145</v>
      </c>
      <c r="GN4" s="447" t="s">
        <v>590</v>
      </c>
      <c r="GO4" s="449">
        <v>49</v>
      </c>
      <c r="GP4" s="447">
        <v>15</v>
      </c>
      <c r="GQ4" s="448">
        <v>17</v>
      </c>
      <c r="GR4" s="449">
        <v>17</v>
      </c>
      <c r="GS4" s="446">
        <v>9</v>
      </c>
      <c r="GT4" s="461">
        <v>3.8705013692378998E-2</v>
      </c>
      <c r="GU4" s="462">
        <v>5.8038730174303055E-2</v>
      </c>
      <c r="GV4" s="462">
        <v>-0.33354252576828003</v>
      </c>
      <c r="GW4" s="462">
        <v>0.17541241645812988</v>
      </c>
      <c r="GX4" s="462">
        <v>-0.57411551475524902</v>
      </c>
      <c r="GY4" s="463">
        <v>-0.71658492088317871</v>
      </c>
      <c r="GZ4" s="522">
        <v>84</v>
      </c>
      <c r="HA4" s="534">
        <v>0.50455000000000005</v>
      </c>
      <c r="HB4" s="534">
        <v>0.52941000000000005</v>
      </c>
      <c r="HC4" s="521">
        <v>0.44880999999999999</v>
      </c>
      <c r="HD4" s="459">
        <v>0.3548</v>
      </c>
      <c r="HE4" s="460">
        <v>0.71</v>
      </c>
      <c r="HF4" s="522">
        <v>84</v>
      </c>
      <c r="HG4" s="531">
        <v>4.72</v>
      </c>
      <c r="HH4" s="451">
        <v>4.62</v>
      </c>
      <c r="HI4" s="543">
        <v>3.26</v>
      </c>
      <c r="HJ4" s="453">
        <v>7.82</v>
      </c>
      <c r="HK4" s="680" t="s">
        <v>3984</v>
      </c>
      <c r="HL4" s="681" t="s">
        <v>4267</v>
      </c>
      <c r="HM4" s="674">
        <v>1999</v>
      </c>
      <c r="HN4" s="674">
        <v>1999</v>
      </c>
      <c r="HO4" s="674" t="s">
        <v>3985</v>
      </c>
      <c r="HP4" s="675" t="s">
        <v>3986</v>
      </c>
      <c r="HQ4" s="682" t="s">
        <v>4680</v>
      </c>
      <c r="HR4" s="676" t="s">
        <v>4681</v>
      </c>
      <c r="HS4" s="545">
        <v>78</v>
      </c>
      <c r="HT4" s="557">
        <v>69</v>
      </c>
      <c r="HU4" s="557">
        <v>1999</v>
      </c>
      <c r="HV4" s="583" t="s">
        <v>4165</v>
      </c>
      <c r="HW4" s="448">
        <v>4</v>
      </c>
      <c r="HX4" s="448">
        <v>27</v>
      </c>
      <c r="HY4" s="448">
        <v>11</v>
      </c>
      <c r="HZ4" s="448">
        <v>3</v>
      </c>
      <c r="IA4" s="448">
        <v>18</v>
      </c>
      <c r="IB4" s="448">
        <v>2</v>
      </c>
      <c r="IC4" s="449">
        <v>4</v>
      </c>
      <c r="ID4" s="40"/>
      <c r="IE4" s="355"/>
      <c r="IF4" s="355"/>
      <c r="IG4" s="647"/>
      <c r="IH4" s="115"/>
      <c r="II4" s="647" t="s">
        <v>4922</v>
      </c>
      <c r="IJ4" s="423" t="s">
        <v>4926</v>
      </c>
      <c r="IK4" s="10">
        <v>0</v>
      </c>
      <c r="IL4" s="749">
        <f t="shared" si="14"/>
        <v>18</v>
      </c>
      <c r="IM4" s="747">
        <f t="shared" si="15"/>
        <v>72</v>
      </c>
      <c r="IN4" s="750" t="str">
        <f t="shared" si="16"/>
        <v>B</v>
      </c>
      <c r="IO4" s="446"/>
      <c r="IP4" s="447">
        <v>3</v>
      </c>
      <c r="IQ4" s="448">
        <v>0</v>
      </c>
      <c r="IR4" s="449">
        <v>0</v>
      </c>
      <c r="IT4" s="435"/>
      <c r="IU4" s="435"/>
      <c r="IV4" s="435"/>
    </row>
    <row r="5" spans="1:277">
      <c r="A5" s="21">
        <v>3</v>
      </c>
      <c r="B5" s="9"/>
      <c r="C5" s="430" t="s">
        <v>14</v>
      </c>
      <c r="D5" s="423" t="s">
        <v>410</v>
      </c>
      <c r="E5" s="10" t="s">
        <v>12</v>
      </c>
      <c r="F5" s="76" t="s">
        <v>749</v>
      </c>
      <c r="G5" s="102" t="s">
        <v>490</v>
      </c>
      <c r="H5" s="375" t="s">
        <v>2117</v>
      </c>
      <c r="I5" s="364" t="s">
        <v>2116</v>
      </c>
      <c r="J5" s="176">
        <v>2</v>
      </c>
      <c r="K5" s="88">
        <v>1967</v>
      </c>
      <c r="L5" s="371">
        <v>2</v>
      </c>
      <c r="M5" s="240" t="s">
        <v>2118</v>
      </c>
      <c r="N5" s="172" t="s">
        <v>1822</v>
      </c>
      <c r="O5" s="365" t="s">
        <v>2839</v>
      </c>
      <c r="P5" s="377" t="s">
        <v>2840</v>
      </c>
      <c r="Q5" s="370">
        <v>2</v>
      </c>
      <c r="R5" s="370">
        <v>1967</v>
      </c>
      <c r="S5" s="234" t="s">
        <v>2841</v>
      </c>
      <c r="T5" s="176">
        <v>1</v>
      </c>
      <c r="U5" s="370">
        <v>2</v>
      </c>
      <c r="V5" s="176">
        <v>18</v>
      </c>
      <c r="W5" s="369" t="s">
        <v>1822</v>
      </c>
      <c r="X5" s="170">
        <v>1</v>
      </c>
      <c r="Y5" s="369">
        <v>1</v>
      </c>
      <c r="Z5" s="271"/>
      <c r="AA5" s="169">
        <v>1</v>
      </c>
      <c r="AB5" s="177"/>
      <c r="AC5" s="171"/>
      <c r="AD5" s="366" t="s">
        <v>940</v>
      </c>
      <c r="AE5" s="357">
        <v>2015</v>
      </c>
      <c r="AF5" s="357">
        <v>1</v>
      </c>
      <c r="AG5" s="550" t="s">
        <v>5171</v>
      </c>
      <c r="AH5" s="355" t="s">
        <v>323</v>
      </c>
      <c r="AI5" s="55">
        <v>0</v>
      </c>
      <c r="AJ5" s="550">
        <v>0</v>
      </c>
      <c r="AK5" s="590" t="s">
        <v>145</v>
      </c>
      <c r="AL5" s="391">
        <v>10</v>
      </c>
      <c r="AM5" s="361" t="s">
        <v>2947</v>
      </c>
      <c r="AN5" s="344" t="s">
        <v>145</v>
      </c>
      <c r="AO5" s="170">
        <v>0</v>
      </c>
      <c r="AP5" s="369">
        <v>0</v>
      </c>
      <c r="AQ5" s="365" t="s">
        <v>5009</v>
      </c>
      <c r="AR5" s="377" t="s">
        <v>2798</v>
      </c>
      <c r="AS5" s="228">
        <v>2</v>
      </c>
      <c r="AT5" s="370">
        <v>2</v>
      </c>
      <c r="AU5" s="371">
        <v>2010</v>
      </c>
      <c r="AV5" s="370">
        <v>5</v>
      </c>
      <c r="AW5" s="589">
        <v>500</v>
      </c>
      <c r="AX5" s="687">
        <v>0</v>
      </c>
      <c r="AY5" s="174" t="s">
        <v>2186</v>
      </c>
      <c r="AZ5" s="370">
        <v>2008</v>
      </c>
      <c r="BA5" s="370">
        <v>1</v>
      </c>
      <c r="BB5" s="370">
        <v>1</v>
      </c>
      <c r="BC5" s="174" t="s">
        <v>4398</v>
      </c>
      <c r="BD5" s="370">
        <v>2012</v>
      </c>
      <c r="BE5" s="370">
        <v>0</v>
      </c>
      <c r="BF5" s="367" t="s">
        <v>145</v>
      </c>
      <c r="BG5" s="367">
        <v>0</v>
      </c>
      <c r="BH5" s="351" t="s">
        <v>145</v>
      </c>
      <c r="BI5" s="367">
        <v>0</v>
      </c>
      <c r="BJ5" s="367">
        <v>0</v>
      </c>
      <c r="BK5" s="888">
        <v>39666.519</v>
      </c>
      <c r="BL5" s="925">
        <f t="shared" si="0"/>
        <v>49.686525303619412</v>
      </c>
      <c r="BM5" s="888">
        <v>19957.603999999999</v>
      </c>
      <c r="BN5" s="920">
        <v>19708.915000000001</v>
      </c>
      <c r="BO5" s="888">
        <v>4589.8130000000001</v>
      </c>
      <c r="BP5" s="1158">
        <f t="shared" si="17"/>
        <v>49.156338177612028</v>
      </c>
      <c r="BQ5" s="917">
        <v>2333.6289999999999</v>
      </c>
      <c r="BR5" s="920">
        <v>2256.1840000000002</v>
      </c>
      <c r="BS5" s="888">
        <v>3817.0529999999999</v>
      </c>
      <c r="BT5" s="1158">
        <f t="shared" si="18"/>
        <v>49.237016095925313</v>
      </c>
      <c r="BU5" s="917">
        <v>1937.65</v>
      </c>
      <c r="BV5" s="920">
        <v>1879.403</v>
      </c>
      <c r="BW5" s="888">
        <v>2913.4470000000001</v>
      </c>
      <c r="BX5" s="1158">
        <f t="shared" si="19"/>
        <v>49.208308920670248</v>
      </c>
      <c r="BY5" s="917">
        <v>1479.789</v>
      </c>
      <c r="BZ5" s="920">
        <v>1433.6579999999999</v>
      </c>
      <c r="CA5" s="888">
        <f t="shared" si="20"/>
        <v>28346.205999999998</v>
      </c>
      <c r="CB5" s="1158">
        <f t="shared" si="21"/>
        <v>49.882054762460982</v>
      </c>
      <c r="CC5" s="917">
        <f t="shared" si="22"/>
        <v>14206.535999999998</v>
      </c>
      <c r="CD5" s="920">
        <f t="shared" si="23"/>
        <v>14139.67</v>
      </c>
      <c r="CE5" s="914">
        <v>2015</v>
      </c>
      <c r="CF5" s="910" t="s">
        <v>5630</v>
      </c>
      <c r="CG5" s="930">
        <v>99.4</v>
      </c>
      <c r="CH5" s="495">
        <v>99.5</v>
      </c>
      <c r="CI5" s="497">
        <v>99.4</v>
      </c>
      <c r="CJ5" s="904">
        <v>99.6</v>
      </c>
      <c r="CK5" s="904">
        <v>99.2</v>
      </c>
      <c r="CL5" s="904">
        <v>2006</v>
      </c>
      <c r="CM5" s="905" t="s">
        <v>5573</v>
      </c>
      <c r="CN5" s="1044">
        <v>21871.393</v>
      </c>
      <c r="CO5" s="1045">
        <f t="shared" si="1"/>
        <v>55.13817080848461</v>
      </c>
      <c r="CP5" s="1040">
        <f>IF(OR(CZ5=1,CZ5=10),CN5*(1-BL5/100),IF(DA5=6,CN5*(1-BL5/100),CN5*(1-CB5/100)))</f>
        <v>11004.257782800956</v>
      </c>
      <c r="CQ5" s="1041">
        <f>IF(OR(CZ5=1,CZ5=10),CN5*BL5/100,IF(DA5=6,CN5*BL5/100,CN5*CB5/100))</f>
        <v>10867.135217199044</v>
      </c>
      <c r="CR5" s="1046">
        <v>2014</v>
      </c>
      <c r="CS5" s="1047" t="s">
        <v>5728</v>
      </c>
      <c r="CT5" s="1068">
        <f t="shared" si="2"/>
        <v>18</v>
      </c>
      <c r="CU5" s="1070">
        <v>18</v>
      </c>
      <c r="CV5" s="1068" t="s">
        <v>5854</v>
      </c>
      <c r="CW5" s="1113">
        <v>22880.678</v>
      </c>
      <c r="CX5" s="1113">
        <v>25951.371999999999</v>
      </c>
      <c r="CY5" s="1113">
        <v>38813.722000000002</v>
      </c>
      <c r="CZ5" s="494">
        <v>1</v>
      </c>
      <c r="DA5" s="1104">
        <v>4</v>
      </c>
      <c r="DB5" s="1050" t="s">
        <v>647</v>
      </c>
      <c r="DC5" s="1143" t="s">
        <v>320</v>
      </c>
      <c r="DD5" s="978">
        <f t="shared" si="24"/>
        <v>6542.7348779999966</v>
      </c>
      <c r="DE5" s="979">
        <f t="shared" si="3"/>
        <v>16.494351011743674</v>
      </c>
      <c r="DF5" s="979">
        <f t="shared" si="4"/>
        <v>50.528568166765275</v>
      </c>
      <c r="DG5" s="980">
        <f t="shared" si="25"/>
        <v>3231.0335571990422</v>
      </c>
      <c r="DH5" s="980">
        <f t="shared" si="26"/>
        <v>3305.9502528009552</v>
      </c>
      <c r="DI5" s="979">
        <f t="shared" si="5"/>
        <v>16.189486258966969</v>
      </c>
      <c r="DJ5" s="981">
        <f t="shared" si="6"/>
        <v>16.773882544021092</v>
      </c>
      <c r="DK5" s="984">
        <f t="shared" si="7"/>
        <v>6474.8129999999983</v>
      </c>
      <c r="DL5" s="979">
        <f t="shared" si="27"/>
        <v>50.542537410747727</v>
      </c>
      <c r="DM5" s="980">
        <f t="shared" si="8"/>
        <v>3202.278217199042</v>
      </c>
      <c r="DN5" s="985">
        <f t="shared" si="9"/>
        <v>3272.5347828009562</v>
      </c>
      <c r="DO5" s="984">
        <f t="shared" si="10"/>
        <v>40.382999999999285</v>
      </c>
      <c r="DP5" s="979">
        <f t="shared" si="11"/>
        <v>49.224589555010773</v>
      </c>
      <c r="DQ5" s="980">
        <f t="shared" si="28"/>
        <v>17.087195000000015</v>
      </c>
      <c r="DR5" s="985">
        <f t="shared" si="29"/>
        <v>19.878365999999648</v>
      </c>
      <c r="DS5" s="984">
        <f t="shared" si="12"/>
        <v>27.538877999999517</v>
      </c>
      <c r="DT5" s="339">
        <f t="shared" si="13"/>
        <v>49.156338177612028</v>
      </c>
      <c r="DU5" s="980">
        <f t="shared" si="30"/>
        <v>11.66814500000001</v>
      </c>
      <c r="DV5" s="985">
        <f t="shared" si="31"/>
        <v>13.537103999999763</v>
      </c>
      <c r="DW5" s="979">
        <f t="shared" si="32"/>
        <v>0.50000000000000044</v>
      </c>
      <c r="DX5" s="981">
        <f t="shared" si="33"/>
        <v>0.59999999999998943</v>
      </c>
      <c r="DY5" s="414">
        <v>6.79</v>
      </c>
      <c r="DZ5" s="111">
        <v>1995</v>
      </c>
      <c r="EA5" s="118">
        <v>2446.6531239999999</v>
      </c>
      <c r="EB5" s="123" t="s">
        <v>145</v>
      </c>
      <c r="EC5" s="113" t="s">
        <v>145</v>
      </c>
      <c r="ED5" s="20"/>
      <c r="EE5" s="414">
        <v>23</v>
      </c>
      <c r="EF5" s="111">
        <v>2006</v>
      </c>
      <c r="EG5" s="380">
        <v>72.648681640625</v>
      </c>
      <c r="EH5" s="24" t="s">
        <v>372</v>
      </c>
      <c r="EI5" s="287">
        <v>0</v>
      </c>
      <c r="EJ5" s="40" t="s">
        <v>145</v>
      </c>
      <c r="EK5" s="35" t="s">
        <v>145</v>
      </c>
      <c r="EL5" s="95" t="s">
        <v>145</v>
      </c>
      <c r="EM5" s="95" t="s">
        <v>145</v>
      </c>
      <c r="EN5" s="35" t="s">
        <v>145</v>
      </c>
      <c r="EO5" s="95" t="s">
        <v>145</v>
      </c>
      <c r="EP5" s="205" t="s">
        <v>145</v>
      </c>
      <c r="EQ5" s="207" t="s">
        <v>145</v>
      </c>
      <c r="ER5" s="517" t="s">
        <v>145</v>
      </c>
      <c r="ES5" s="183"/>
      <c r="ET5" s="183"/>
      <c r="EU5" s="82"/>
      <c r="EV5" s="82"/>
      <c r="EW5" s="82"/>
      <c r="EX5" s="90"/>
      <c r="EY5" s="159"/>
      <c r="EZ5" s="156"/>
      <c r="FA5" s="323"/>
      <c r="FB5" s="323"/>
      <c r="FC5" s="323"/>
      <c r="FD5" s="160"/>
      <c r="FE5" s="156"/>
      <c r="FF5" s="156"/>
      <c r="FG5" s="156"/>
      <c r="FH5" s="157"/>
      <c r="FI5" s="242"/>
      <c r="FJ5" s="240"/>
      <c r="FK5" s="179"/>
      <c r="FL5" s="179"/>
      <c r="FM5" s="179"/>
      <c r="FN5" s="172"/>
      <c r="FO5" s="164"/>
      <c r="FP5" s="254"/>
      <c r="FQ5" s="82"/>
      <c r="FR5" s="257"/>
      <c r="FS5" s="82"/>
      <c r="FT5" s="259"/>
      <c r="FU5" s="82"/>
      <c r="FV5" s="259"/>
      <c r="FW5" s="82"/>
      <c r="FX5" s="259"/>
      <c r="FY5" s="82"/>
      <c r="FZ5" s="259"/>
      <c r="GA5" s="82"/>
      <c r="GB5" s="261"/>
      <c r="GC5" s="90"/>
      <c r="GD5" s="76">
        <v>3</v>
      </c>
      <c r="GE5" s="445" t="s">
        <v>3430</v>
      </c>
      <c r="GF5" s="447" t="s">
        <v>580</v>
      </c>
      <c r="GG5" s="448">
        <v>6</v>
      </c>
      <c r="GH5" s="449">
        <v>5</v>
      </c>
      <c r="GI5" s="447" t="s">
        <v>145</v>
      </c>
      <c r="GJ5" s="449" t="s">
        <v>145</v>
      </c>
      <c r="GK5" s="447" t="s">
        <v>145</v>
      </c>
      <c r="GL5" s="448" t="s">
        <v>145</v>
      </c>
      <c r="GM5" s="449" t="s">
        <v>145</v>
      </c>
      <c r="GN5" s="447" t="s">
        <v>590</v>
      </c>
      <c r="GO5" s="449">
        <v>59</v>
      </c>
      <c r="GP5" s="447">
        <v>20</v>
      </c>
      <c r="GQ5" s="448">
        <v>22</v>
      </c>
      <c r="GR5" s="449">
        <v>17</v>
      </c>
      <c r="GS5" s="446">
        <v>2</v>
      </c>
      <c r="GT5" s="461">
        <v>-0.89130175113677979</v>
      </c>
      <c r="GU5" s="462">
        <v>-1.1702249050140381</v>
      </c>
      <c r="GV5" s="462">
        <v>-0.6012689471244812</v>
      </c>
      <c r="GW5" s="462">
        <v>-1.1862273216247559</v>
      </c>
      <c r="GX5" s="462">
        <v>-0.68056273460388184</v>
      </c>
      <c r="GY5" s="463">
        <v>-0.47877040505409241</v>
      </c>
      <c r="GZ5" s="10">
        <v>136</v>
      </c>
      <c r="HA5" s="535">
        <v>0.31064000000000003</v>
      </c>
      <c r="HB5" s="535">
        <v>7.843E-2</v>
      </c>
      <c r="HC5" s="523">
        <v>7.8740000000000004E-2</v>
      </c>
      <c r="HD5" s="462">
        <v>0.19885</v>
      </c>
      <c r="HE5" s="463">
        <v>0.65429999999999999</v>
      </c>
      <c r="HF5" s="10">
        <v>114</v>
      </c>
      <c r="HG5" s="532">
        <v>3.42</v>
      </c>
      <c r="HH5" s="447">
        <v>4.46</v>
      </c>
      <c r="HI5" s="544">
        <v>0.73</v>
      </c>
      <c r="HJ5" s="449">
        <v>6.72</v>
      </c>
      <c r="HK5" s="379" t="s">
        <v>145</v>
      </c>
      <c r="HL5" s="362" t="s">
        <v>145</v>
      </c>
      <c r="HM5" s="557" t="s">
        <v>145</v>
      </c>
      <c r="HN5" s="557" t="s">
        <v>145</v>
      </c>
      <c r="HO5" s="557" t="s">
        <v>145</v>
      </c>
      <c r="HP5" s="562" t="s">
        <v>145</v>
      </c>
      <c r="HQ5" s="562" t="s">
        <v>145</v>
      </c>
      <c r="HR5" s="563" t="s">
        <v>145</v>
      </c>
      <c r="HS5" s="545" t="s">
        <v>145</v>
      </c>
      <c r="HT5" s="557" t="s">
        <v>145</v>
      </c>
      <c r="HU5" s="557" t="s">
        <v>145</v>
      </c>
      <c r="HV5" s="581" t="s">
        <v>145</v>
      </c>
      <c r="HW5" s="448" t="s">
        <v>145</v>
      </c>
      <c r="HX5" s="448" t="s">
        <v>145</v>
      </c>
      <c r="HY5" s="448" t="s">
        <v>145</v>
      </c>
      <c r="HZ5" s="448" t="s">
        <v>145</v>
      </c>
      <c r="IA5" s="448" t="s">
        <v>145</v>
      </c>
      <c r="IB5" s="448" t="s">
        <v>145</v>
      </c>
      <c r="IC5" s="449" t="s">
        <v>145</v>
      </c>
      <c r="ID5" s="40"/>
      <c r="IE5" s="355"/>
      <c r="IF5" s="355"/>
      <c r="IG5" s="647"/>
      <c r="IH5" s="115"/>
      <c r="II5" s="647" t="s">
        <v>4922</v>
      </c>
      <c r="IJ5" s="423" t="s">
        <v>4926</v>
      </c>
      <c r="IK5" s="10">
        <v>0</v>
      </c>
      <c r="IL5" s="749">
        <f t="shared" si="14"/>
        <v>14</v>
      </c>
      <c r="IM5" s="747">
        <f t="shared" si="15"/>
        <v>56.000000000000007</v>
      </c>
      <c r="IN5" s="750" t="str">
        <f t="shared" si="16"/>
        <v>B</v>
      </c>
      <c r="IO5" s="446">
        <v>1</v>
      </c>
      <c r="IP5" s="447">
        <v>3</v>
      </c>
      <c r="IQ5" s="448">
        <v>0</v>
      </c>
      <c r="IR5" s="449">
        <v>0</v>
      </c>
      <c r="IT5" s="435"/>
      <c r="IU5" s="435"/>
      <c r="IV5" s="435"/>
    </row>
    <row r="6" spans="1:277">
      <c r="A6" s="21">
        <v>4</v>
      </c>
      <c r="B6" s="9"/>
      <c r="C6" s="430" t="s">
        <v>16</v>
      </c>
      <c r="D6" s="423"/>
      <c r="E6" s="10" t="s">
        <v>17</v>
      </c>
      <c r="F6" s="76" t="s">
        <v>3143</v>
      </c>
      <c r="G6" s="102" t="s">
        <v>424</v>
      </c>
      <c r="H6" s="375" t="s">
        <v>2119</v>
      </c>
      <c r="I6" s="364" t="s">
        <v>2328</v>
      </c>
      <c r="J6" s="370">
        <v>1</v>
      </c>
      <c r="K6" s="359">
        <v>1563</v>
      </c>
      <c r="L6" s="371">
        <v>2</v>
      </c>
      <c r="M6" s="373" t="s">
        <v>1813</v>
      </c>
      <c r="N6" s="369" t="s">
        <v>1822</v>
      </c>
      <c r="O6" s="365" t="s">
        <v>145</v>
      </c>
      <c r="P6" s="364" t="s">
        <v>145</v>
      </c>
      <c r="Q6" s="370">
        <v>0</v>
      </c>
      <c r="R6" s="358" t="s">
        <v>145</v>
      </c>
      <c r="S6" s="372" t="s">
        <v>145</v>
      </c>
      <c r="T6" s="370">
        <v>0</v>
      </c>
      <c r="U6" s="358">
        <v>0</v>
      </c>
      <c r="V6" s="370" t="s">
        <v>145</v>
      </c>
      <c r="W6" s="369" t="s">
        <v>145</v>
      </c>
      <c r="X6" s="86">
        <v>0</v>
      </c>
      <c r="Y6" s="347">
        <v>0</v>
      </c>
      <c r="Z6" s="272"/>
      <c r="AA6" s="169">
        <v>1</v>
      </c>
      <c r="AB6" s="177"/>
      <c r="AC6" s="171"/>
      <c r="AD6" s="97" t="s">
        <v>145</v>
      </c>
      <c r="AE6" s="84" t="s">
        <v>145</v>
      </c>
      <c r="AF6" s="357">
        <v>0</v>
      </c>
      <c r="AG6" s="550">
        <v>0</v>
      </c>
      <c r="AH6" s="355" t="s">
        <v>145</v>
      </c>
      <c r="AI6" s="550" t="s">
        <v>145</v>
      </c>
      <c r="AJ6" s="550" t="s">
        <v>145</v>
      </c>
      <c r="AK6" s="590" t="s">
        <v>145</v>
      </c>
      <c r="AL6" s="55">
        <v>0</v>
      </c>
      <c r="AM6" s="363" t="s">
        <v>145</v>
      </c>
      <c r="AN6" s="397" t="s">
        <v>145</v>
      </c>
      <c r="AO6" s="86">
        <v>0</v>
      </c>
      <c r="AP6" s="347">
        <v>0</v>
      </c>
      <c r="AQ6" s="365" t="s">
        <v>4930</v>
      </c>
      <c r="AR6" s="685" t="s">
        <v>4931</v>
      </c>
      <c r="AS6" s="228">
        <v>2</v>
      </c>
      <c r="AT6" s="370">
        <v>6</v>
      </c>
      <c r="AU6" s="367">
        <v>2006</v>
      </c>
      <c r="AV6" s="358">
        <v>5</v>
      </c>
      <c r="AW6" s="589">
        <v>19</v>
      </c>
      <c r="AX6" s="687">
        <v>0</v>
      </c>
      <c r="AY6" s="174" t="s">
        <v>2152</v>
      </c>
      <c r="AZ6" s="358">
        <v>2000</v>
      </c>
      <c r="BA6" s="228">
        <v>1</v>
      </c>
      <c r="BB6" s="228">
        <v>0</v>
      </c>
      <c r="BC6" s="549" t="s">
        <v>145</v>
      </c>
      <c r="BD6" s="192" t="s">
        <v>145</v>
      </c>
      <c r="BE6" s="228">
        <v>0</v>
      </c>
      <c r="BF6" s="345" t="s">
        <v>145</v>
      </c>
      <c r="BG6" s="345">
        <v>0</v>
      </c>
      <c r="BH6" s="551" t="s">
        <v>145</v>
      </c>
      <c r="BI6" s="345">
        <v>3</v>
      </c>
      <c r="BJ6" s="345">
        <v>0</v>
      </c>
      <c r="BK6" s="888">
        <v>78.013999999999996</v>
      </c>
      <c r="BL6" s="925">
        <f t="shared" si="0"/>
        <v>49.042479554951676</v>
      </c>
      <c r="BM6" s="911">
        <v>39.753999999999998</v>
      </c>
      <c r="BN6" s="921">
        <v>38.26</v>
      </c>
      <c r="BO6" s="911">
        <v>3.2559999999999998</v>
      </c>
      <c r="BP6" s="1159">
        <f t="shared" si="17"/>
        <v>50.061425061425055</v>
      </c>
      <c r="BQ6" s="918">
        <v>1.6259999999999999</v>
      </c>
      <c r="BR6" s="921">
        <v>1.63</v>
      </c>
      <c r="BS6" s="911">
        <v>4.1240000000000006</v>
      </c>
      <c r="BT6" s="1159">
        <f t="shared" si="18"/>
        <v>49.296799224054304</v>
      </c>
      <c r="BU6" s="918">
        <v>2.0910000000000002</v>
      </c>
      <c r="BV6" s="921">
        <v>2.0329999999999999</v>
      </c>
      <c r="BW6" s="911">
        <v>4.0540000000000003</v>
      </c>
      <c r="BX6" s="1159">
        <f t="shared" si="19"/>
        <v>47.681302417365565</v>
      </c>
      <c r="BY6" s="918">
        <v>2.121</v>
      </c>
      <c r="BZ6" s="921">
        <v>1.9330000000000001</v>
      </c>
      <c r="CA6" s="911">
        <f t="shared" si="20"/>
        <v>66.58</v>
      </c>
      <c r="CB6" s="1159">
        <f t="shared" si="21"/>
        <v>49.059777711024324</v>
      </c>
      <c r="CC6" s="918">
        <f t="shared" si="22"/>
        <v>33.915999999999997</v>
      </c>
      <c r="CD6" s="921">
        <f t="shared" si="23"/>
        <v>32.663999999999994</v>
      </c>
      <c r="CE6" s="927">
        <v>2015</v>
      </c>
      <c r="CF6" s="926" t="s">
        <v>5631</v>
      </c>
      <c r="CG6" s="1001">
        <v>100</v>
      </c>
      <c r="CH6" s="1005">
        <v>100</v>
      </c>
      <c r="CI6" s="1006">
        <v>100</v>
      </c>
      <c r="CJ6" s="904" t="s">
        <v>1621</v>
      </c>
      <c r="CK6" s="904" t="s">
        <v>1621</v>
      </c>
      <c r="CL6" s="904">
        <v>2012</v>
      </c>
      <c r="CM6" s="905" t="s">
        <v>5576</v>
      </c>
      <c r="CN6" s="1044">
        <v>66.579999999999984</v>
      </c>
      <c r="CO6" s="1045">
        <f t="shared" si="1"/>
        <v>85.343656266823885</v>
      </c>
      <c r="CP6" s="1049">
        <v>33.915999999999997</v>
      </c>
      <c r="CQ6" s="1050">
        <v>32.663999999999994</v>
      </c>
      <c r="CR6" s="1046">
        <v>2015</v>
      </c>
      <c r="CS6" s="1047" t="s">
        <v>5635</v>
      </c>
      <c r="CT6" s="1068" t="str">
        <f t="shared" si="2"/>
        <v>-</v>
      </c>
      <c r="CU6" s="1070">
        <v>18</v>
      </c>
      <c r="CV6" s="1068" t="s">
        <v>5855</v>
      </c>
      <c r="CW6" s="1113">
        <v>24.512</v>
      </c>
      <c r="CX6" s="1113">
        <v>70.016999999999996</v>
      </c>
      <c r="CY6" s="1113">
        <v>85.457999999999998</v>
      </c>
      <c r="CZ6" s="1048">
        <v>20</v>
      </c>
      <c r="DA6" s="1124">
        <v>5</v>
      </c>
      <c r="DB6" s="1050" t="s">
        <v>647</v>
      </c>
      <c r="DC6" s="1145" t="s">
        <v>323</v>
      </c>
      <c r="DD6" s="1131">
        <f t="shared" ref="DD6:DD69" si="34">DK6+DO6+DS6</f>
        <v>11.434000000000012</v>
      </c>
      <c r="DE6" s="1132">
        <f t="shared" si="3"/>
        <v>14.656343733176113</v>
      </c>
      <c r="DF6" s="1132">
        <f t="shared" ref="DF6:DF69" si="35">IF(DD6=0,0,DH6/DD6*100)</f>
        <v>48.94175266748293</v>
      </c>
      <c r="DG6" s="1133">
        <f t="shared" ref="DG6:DG69" si="36">DM6+DQ6+DU6</f>
        <v>5.838000000000001</v>
      </c>
      <c r="DH6" s="1133">
        <f t="shared" ref="DH6:DH69" si="37">DN6+DR6+DV6</f>
        <v>5.5960000000000036</v>
      </c>
      <c r="DI6" s="1132">
        <f t="shared" si="5"/>
        <v>14.685314685314687</v>
      </c>
      <c r="DJ6" s="1134">
        <f t="shared" si="6"/>
        <v>14.626241505488771</v>
      </c>
      <c r="DK6" s="1135">
        <f t="shared" si="7"/>
        <v>11.434000000000012</v>
      </c>
      <c r="DL6" s="1132">
        <f t="shared" ref="DL6:DL69" si="38">IF(DN6=0,0,DN6/DK6*100)</f>
        <v>48.94175266748293</v>
      </c>
      <c r="DM6" s="1133">
        <f t="shared" si="8"/>
        <v>5.838000000000001</v>
      </c>
      <c r="DN6" s="1136">
        <f t="shared" si="9"/>
        <v>5.5960000000000036</v>
      </c>
      <c r="DO6" s="1135">
        <f t="shared" si="10"/>
        <v>0</v>
      </c>
      <c r="DP6" s="1132">
        <f t="shared" ref="DP6:DP69" si="39">IF(DR6=0,0,DR6/DO6*100)</f>
        <v>0</v>
      </c>
      <c r="DQ6" s="1133">
        <f t="shared" si="28"/>
        <v>0</v>
      </c>
      <c r="DR6" s="1136">
        <f t="shared" si="29"/>
        <v>0</v>
      </c>
      <c r="DS6" s="1135">
        <f t="shared" si="12"/>
        <v>0</v>
      </c>
      <c r="DT6" s="1132">
        <f t="shared" ref="DT6:DT69" si="40">IF(DV6=0,0,DV6/DS6*100)</f>
        <v>0</v>
      </c>
      <c r="DU6" s="1133">
        <f t="shared" si="30"/>
        <v>0</v>
      </c>
      <c r="DV6" s="1136">
        <f t="shared" si="31"/>
        <v>0</v>
      </c>
      <c r="DW6" s="1132">
        <f t="shared" si="32"/>
        <v>0</v>
      </c>
      <c r="DX6" s="1134">
        <f t="shared" si="33"/>
        <v>0</v>
      </c>
      <c r="DY6" s="414" t="s">
        <v>145</v>
      </c>
      <c r="DZ6" s="111" t="s">
        <v>145</v>
      </c>
      <c r="EA6" s="368"/>
      <c r="EB6" s="123" t="s">
        <v>145</v>
      </c>
      <c r="EC6" s="113" t="s">
        <v>145</v>
      </c>
      <c r="ED6" s="20"/>
      <c r="EE6" s="414" t="s">
        <v>145</v>
      </c>
      <c r="EF6" s="111" t="s">
        <v>145</v>
      </c>
      <c r="EG6" s="380" t="s">
        <v>145</v>
      </c>
      <c r="EH6" s="24" t="s">
        <v>332</v>
      </c>
      <c r="EI6" s="287">
        <v>0</v>
      </c>
      <c r="EJ6" s="40" t="s">
        <v>145</v>
      </c>
      <c r="EK6" s="355" t="s">
        <v>145</v>
      </c>
      <c r="EL6" s="364" t="s">
        <v>145</v>
      </c>
      <c r="EM6" s="364" t="s">
        <v>145</v>
      </c>
      <c r="EN6" s="355" t="s">
        <v>145</v>
      </c>
      <c r="EO6" s="364" t="s">
        <v>145</v>
      </c>
      <c r="EP6" s="205" t="s">
        <v>145</v>
      </c>
      <c r="EQ6" s="207" t="s">
        <v>145</v>
      </c>
      <c r="ER6" s="517" t="s">
        <v>145</v>
      </c>
      <c r="ES6" s="183"/>
      <c r="ET6" s="183"/>
      <c r="EU6" s="82"/>
      <c r="EV6" s="82"/>
      <c r="EW6" s="82"/>
      <c r="EX6" s="360"/>
      <c r="EY6" s="159"/>
      <c r="EZ6" s="156"/>
      <c r="FA6" s="323"/>
      <c r="FB6" s="323"/>
      <c r="FC6" s="323"/>
      <c r="FD6" s="160"/>
      <c r="FE6" s="156"/>
      <c r="FF6" s="156"/>
      <c r="FG6" s="156"/>
      <c r="FH6" s="157"/>
      <c r="FI6" s="242"/>
      <c r="FJ6" s="373"/>
      <c r="FK6" s="179"/>
      <c r="FL6" s="179"/>
      <c r="FM6" s="179"/>
      <c r="FN6" s="369"/>
      <c r="FO6" s="164"/>
      <c r="FP6" s="254"/>
      <c r="FQ6" s="82"/>
      <c r="FR6" s="257"/>
      <c r="FS6" s="82"/>
      <c r="FT6" s="259"/>
      <c r="FU6" s="82"/>
      <c r="FV6" s="259"/>
      <c r="FW6" s="82"/>
      <c r="FX6" s="259"/>
      <c r="FY6" s="82"/>
      <c r="FZ6" s="259"/>
      <c r="GA6" s="82"/>
      <c r="GB6" s="261"/>
      <c r="GC6" s="360"/>
      <c r="GD6" s="76">
        <v>1</v>
      </c>
      <c r="GE6" s="445" t="s">
        <v>3424</v>
      </c>
      <c r="GF6" s="447" t="s">
        <v>10</v>
      </c>
      <c r="GG6" s="448">
        <v>1</v>
      </c>
      <c r="GH6" s="449">
        <v>1</v>
      </c>
      <c r="GI6" s="447" t="s">
        <v>145</v>
      </c>
      <c r="GJ6" s="449" t="s">
        <v>145</v>
      </c>
      <c r="GK6" s="447" t="s">
        <v>145</v>
      </c>
      <c r="GL6" s="448" t="s">
        <v>145</v>
      </c>
      <c r="GM6" s="449" t="s">
        <v>145</v>
      </c>
      <c r="GN6" s="447" t="s">
        <v>10</v>
      </c>
      <c r="GO6" s="449">
        <v>13</v>
      </c>
      <c r="GP6" s="447">
        <v>1</v>
      </c>
      <c r="GQ6" s="448">
        <v>4</v>
      </c>
      <c r="GR6" s="449">
        <v>8</v>
      </c>
      <c r="GS6" s="446"/>
      <c r="GT6" s="461">
        <v>1.4048292636871338</v>
      </c>
      <c r="GU6" s="462">
        <v>1.3230555057525635</v>
      </c>
      <c r="GV6" s="462">
        <v>1.5271795988082886</v>
      </c>
      <c r="GW6" s="462">
        <v>1.5465918779373169</v>
      </c>
      <c r="GX6" s="462">
        <v>1.431373119354248</v>
      </c>
      <c r="GY6" s="463">
        <v>1.2859820127487183</v>
      </c>
      <c r="GZ6" s="10">
        <v>43</v>
      </c>
      <c r="HA6" s="535">
        <v>0.64259999999999995</v>
      </c>
      <c r="HB6" s="535">
        <v>0.43136999999999998</v>
      </c>
      <c r="HC6" s="523">
        <v>0.43307000000000001</v>
      </c>
      <c r="HD6" s="462">
        <v>0.76705999999999996</v>
      </c>
      <c r="HE6" s="463">
        <v>0.72770000000000001</v>
      </c>
      <c r="HF6" s="10">
        <v>20</v>
      </c>
      <c r="HG6" s="532">
        <v>7.73</v>
      </c>
      <c r="HH6" s="447">
        <v>7.84</v>
      </c>
      <c r="HI6" s="544">
        <v>6.79</v>
      </c>
      <c r="HJ6" s="449">
        <v>9.41</v>
      </c>
      <c r="HK6" s="379" t="s">
        <v>3987</v>
      </c>
      <c r="HL6" s="23" t="s">
        <v>4654</v>
      </c>
      <c r="HM6" s="557">
        <v>2003</v>
      </c>
      <c r="HN6" s="557">
        <v>2003</v>
      </c>
      <c r="HO6" s="557" t="s">
        <v>3985</v>
      </c>
      <c r="HP6" s="562" t="s">
        <v>3988</v>
      </c>
      <c r="HQ6" s="639" t="s">
        <v>4682</v>
      </c>
      <c r="HR6" s="563" t="s">
        <v>3989</v>
      </c>
      <c r="HS6" s="545" t="s">
        <v>145</v>
      </c>
      <c r="HT6" s="557" t="s">
        <v>145</v>
      </c>
      <c r="HU6" s="557" t="s">
        <v>145</v>
      </c>
      <c r="HV6" s="581" t="s">
        <v>145</v>
      </c>
      <c r="HW6" s="448" t="s">
        <v>145</v>
      </c>
      <c r="HX6" s="448" t="s">
        <v>145</v>
      </c>
      <c r="HY6" s="448" t="s">
        <v>145</v>
      </c>
      <c r="HZ6" s="448" t="s">
        <v>145</v>
      </c>
      <c r="IA6" s="448" t="s">
        <v>145</v>
      </c>
      <c r="IB6" s="448" t="s">
        <v>145</v>
      </c>
      <c r="IC6" s="449" t="s">
        <v>145</v>
      </c>
      <c r="ID6" s="40" t="s">
        <v>5020</v>
      </c>
      <c r="IE6" s="355"/>
      <c r="IF6" s="355"/>
      <c r="IG6" s="647"/>
      <c r="IH6" s="115"/>
      <c r="II6" s="647" t="s">
        <v>4920</v>
      </c>
      <c r="IJ6" s="423"/>
      <c r="IK6" s="10">
        <v>1</v>
      </c>
      <c r="IL6" s="749">
        <f t="shared" si="14"/>
        <v>8</v>
      </c>
      <c r="IM6" s="747">
        <f t="shared" si="15"/>
        <v>32</v>
      </c>
      <c r="IN6" s="750" t="str">
        <f t="shared" si="16"/>
        <v>C</v>
      </c>
      <c r="IO6" s="446">
        <v>1</v>
      </c>
      <c r="IP6" s="447">
        <v>1</v>
      </c>
      <c r="IQ6" s="448">
        <v>0</v>
      </c>
      <c r="IR6" s="449">
        <v>0</v>
      </c>
      <c r="IT6" s="435"/>
      <c r="IU6" s="435"/>
      <c r="IV6" s="435"/>
    </row>
    <row r="7" spans="1:277">
      <c r="A7" s="21">
        <v>5</v>
      </c>
      <c r="B7" s="9"/>
      <c r="C7" s="430" t="s">
        <v>19</v>
      </c>
      <c r="D7" s="423" t="s">
        <v>406</v>
      </c>
      <c r="E7" s="697" t="s">
        <v>12</v>
      </c>
      <c r="F7" s="76" t="s">
        <v>750</v>
      </c>
      <c r="G7" s="102" t="s">
        <v>430</v>
      </c>
      <c r="H7" s="375" t="s">
        <v>2120</v>
      </c>
      <c r="I7" s="364" t="s">
        <v>2121</v>
      </c>
      <c r="J7" s="370">
        <v>1</v>
      </c>
      <c r="K7" s="88">
        <v>1914</v>
      </c>
      <c r="L7" s="371">
        <v>2</v>
      </c>
      <c r="M7" s="373" t="s">
        <v>2322</v>
      </c>
      <c r="N7" s="369" t="s">
        <v>1822</v>
      </c>
      <c r="O7" s="365" t="s">
        <v>2986</v>
      </c>
      <c r="P7" s="377" t="s">
        <v>2842</v>
      </c>
      <c r="Q7" s="370">
        <v>1</v>
      </c>
      <c r="R7" s="177">
        <v>1999</v>
      </c>
      <c r="S7" s="372" t="s">
        <v>2856</v>
      </c>
      <c r="T7" s="370">
        <v>1</v>
      </c>
      <c r="U7" s="177">
        <v>2</v>
      </c>
      <c r="V7" s="370">
        <v>10</v>
      </c>
      <c r="W7" s="369" t="s">
        <v>2843</v>
      </c>
      <c r="X7" s="169">
        <v>1</v>
      </c>
      <c r="Y7" s="171">
        <v>1</v>
      </c>
      <c r="Z7" s="270"/>
      <c r="AA7" s="169">
        <v>1</v>
      </c>
      <c r="AB7" s="177">
        <v>1</v>
      </c>
      <c r="AC7" s="171"/>
      <c r="AD7" s="366" t="s">
        <v>941</v>
      </c>
      <c r="AE7" s="80">
        <v>2009</v>
      </c>
      <c r="AF7" s="357">
        <v>1</v>
      </c>
      <c r="AG7" s="550" t="s">
        <v>5171</v>
      </c>
      <c r="AH7" s="355" t="s">
        <v>323</v>
      </c>
      <c r="AI7" s="550">
        <v>0</v>
      </c>
      <c r="AJ7" s="550">
        <v>0</v>
      </c>
      <c r="AK7" s="590">
        <v>4408.8760000000002</v>
      </c>
      <c r="AL7" s="386">
        <v>7</v>
      </c>
      <c r="AM7" s="361" t="s">
        <v>2813</v>
      </c>
      <c r="AN7" s="344" t="s">
        <v>145</v>
      </c>
      <c r="AO7" s="169">
        <v>1</v>
      </c>
      <c r="AP7" s="171">
        <v>1</v>
      </c>
      <c r="AQ7" s="365" t="s">
        <v>5315</v>
      </c>
      <c r="AR7" s="377" t="s">
        <v>2798</v>
      </c>
      <c r="AS7" s="358">
        <v>1</v>
      </c>
      <c r="AT7" s="370">
        <v>2</v>
      </c>
      <c r="AU7" s="191">
        <v>2012</v>
      </c>
      <c r="AV7" s="177">
        <v>10</v>
      </c>
      <c r="AW7" s="589" t="s">
        <v>145</v>
      </c>
      <c r="AX7" s="687">
        <v>0</v>
      </c>
      <c r="AY7" s="174" t="s">
        <v>2187</v>
      </c>
      <c r="AZ7" s="177">
        <v>2011</v>
      </c>
      <c r="BA7" s="358">
        <v>1</v>
      </c>
      <c r="BB7" s="358">
        <v>2</v>
      </c>
      <c r="BC7" s="174" t="s">
        <v>3945</v>
      </c>
      <c r="BD7" s="177">
        <v>2011</v>
      </c>
      <c r="BE7" s="358">
        <v>1</v>
      </c>
      <c r="BF7" s="367" t="s">
        <v>323</v>
      </c>
      <c r="BG7" s="367">
        <v>0</v>
      </c>
      <c r="BH7" s="351" t="s">
        <v>145</v>
      </c>
      <c r="BI7" s="367">
        <v>2</v>
      </c>
      <c r="BJ7" s="367">
        <v>1</v>
      </c>
      <c r="BK7" s="888">
        <v>25021.973999999998</v>
      </c>
      <c r="BL7" s="925">
        <f t="shared" si="0"/>
        <v>50.378847008633286</v>
      </c>
      <c r="BM7" s="888">
        <v>12416.191999999999</v>
      </c>
      <c r="BN7" s="920">
        <v>12605.781999999999</v>
      </c>
      <c r="BO7" s="888">
        <v>4717.8919999999998</v>
      </c>
      <c r="BP7" s="1158">
        <f t="shared" si="17"/>
        <v>49.694863723035631</v>
      </c>
      <c r="BQ7" s="917">
        <v>2373.3420000000001</v>
      </c>
      <c r="BR7" s="920">
        <v>2344.5500000000002</v>
      </c>
      <c r="BS7" s="888">
        <v>3934.6570000000002</v>
      </c>
      <c r="BT7" s="1158">
        <f t="shared" si="18"/>
        <v>49.840761215018233</v>
      </c>
      <c r="BU7" s="917">
        <v>1973.5940000000001</v>
      </c>
      <c r="BV7" s="920">
        <v>1961.0630000000001</v>
      </c>
      <c r="BW7" s="888">
        <v>3270.5320000000002</v>
      </c>
      <c r="BX7" s="1158">
        <f t="shared" si="19"/>
        <v>49.892861467186371</v>
      </c>
      <c r="BY7" s="917">
        <v>1638.77</v>
      </c>
      <c r="BZ7" s="920">
        <v>1631.7619999999999</v>
      </c>
      <c r="CA7" s="888">
        <f t="shared" si="20"/>
        <v>13098.893</v>
      </c>
      <c r="CB7" s="1158">
        <f t="shared" si="21"/>
        <v>50.908172163861487</v>
      </c>
      <c r="CC7" s="917">
        <f t="shared" si="22"/>
        <v>6430.485999999999</v>
      </c>
      <c r="CD7" s="920">
        <f t="shared" si="23"/>
        <v>6668.4070000000002</v>
      </c>
      <c r="CE7" s="914">
        <v>2015</v>
      </c>
      <c r="CF7" s="910" t="s">
        <v>5630</v>
      </c>
      <c r="CG7" s="404">
        <v>56</v>
      </c>
      <c r="CH7" s="1007">
        <v>55.5</v>
      </c>
      <c r="CI7" s="824">
        <v>56.5</v>
      </c>
      <c r="CJ7" s="904">
        <v>39.9</v>
      </c>
      <c r="CK7" s="904">
        <v>25.8</v>
      </c>
      <c r="CL7" s="906">
        <v>2013</v>
      </c>
      <c r="CM7" s="1002" t="s">
        <v>5694</v>
      </c>
      <c r="CN7" s="1044">
        <v>9757.6710000000003</v>
      </c>
      <c r="CO7" s="1045">
        <f t="shared" si="1"/>
        <v>38.99640771747265</v>
      </c>
      <c r="CP7" s="1040">
        <f>IF(OR(CZ7=1,CZ7=10),CN7*(1-BL7/100),IF(DA7=6,CN7*(1-BL7/100),CN7*(1-CB7/100)))</f>
        <v>4841.8688553042221</v>
      </c>
      <c r="CQ7" s="1041">
        <f>IF(OR(CZ7=1,CZ7=10),CN7*BL7/100,IF(DA7=6,CN7*BL7/100,CN7*CB7/100))</f>
        <v>4915.8021446957773</v>
      </c>
      <c r="CR7" s="1046">
        <v>2012</v>
      </c>
      <c r="CS7" s="1047" t="s">
        <v>5732</v>
      </c>
      <c r="CT7" s="1068">
        <f t="shared" si="2"/>
        <v>10</v>
      </c>
      <c r="CU7" s="1070">
        <v>18</v>
      </c>
      <c r="CV7" s="1068" t="s">
        <v>5856</v>
      </c>
      <c r="CW7" s="1113">
        <v>9757.6710000000003</v>
      </c>
      <c r="CX7" s="1113">
        <v>8554.9660000000003</v>
      </c>
      <c r="CY7" s="1113">
        <v>18056.072</v>
      </c>
      <c r="CZ7" s="494">
        <v>1</v>
      </c>
      <c r="DA7" s="1124">
        <v>4</v>
      </c>
      <c r="DB7" s="1050" t="s">
        <v>647</v>
      </c>
      <c r="DC7" s="1143" t="s">
        <v>320</v>
      </c>
      <c r="DD7" s="978">
        <f t="shared" si="34"/>
        <v>8587.3776399999988</v>
      </c>
      <c r="DE7" s="979">
        <f t="shared" si="3"/>
        <v>34.319345228318113</v>
      </c>
      <c r="DF7" s="979">
        <f t="shared" si="35"/>
        <v>50.485295535509067</v>
      </c>
      <c r="DG7" s="980">
        <f t="shared" si="36"/>
        <v>4252.2563146957764</v>
      </c>
      <c r="DH7" s="980">
        <f t="shared" si="37"/>
        <v>4335.3629803042231</v>
      </c>
      <c r="DI7" s="979">
        <f t="shared" si="5"/>
        <v>34.247668807761485</v>
      </c>
      <c r="DJ7" s="981">
        <f t="shared" si="6"/>
        <v>34.391860658102949</v>
      </c>
      <c r="DK7" s="984">
        <f t="shared" si="7"/>
        <v>3341.2219999999998</v>
      </c>
      <c r="DL7" s="979">
        <f t="shared" si="38"/>
        <v>52.454008003784935</v>
      </c>
      <c r="DM7" s="980">
        <f t="shared" si="8"/>
        <v>1588.6171446957769</v>
      </c>
      <c r="DN7" s="985">
        <f t="shared" si="9"/>
        <v>1752.6048553042228</v>
      </c>
      <c r="DO7" s="984">
        <f t="shared" si="10"/>
        <v>3170.28316</v>
      </c>
      <c r="DP7" s="979">
        <f t="shared" si="39"/>
        <v>49.297769193588387</v>
      </c>
      <c r="DQ7" s="980">
        <f t="shared" si="28"/>
        <v>1607.5019799999998</v>
      </c>
      <c r="DR7" s="985">
        <f t="shared" si="29"/>
        <v>1562.8788750000003</v>
      </c>
      <c r="DS7" s="984">
        <f t="shared" si="12"/>
        <v>2075.8724799999995</v>
      </c>
      <c r="DT7" s="339">
        <f t="shared" si="40"/>
        <v>49.130149362546604</v>
      </c>
      <c r="DU7" s="980">
        <f t="shared" si="30"/>
        <v>1056.1371899999999</v>
      </c>
      <c r="DV7" s="985">
        <f t="shared" si="31"/>
        <v>1019.8792500000002</v>
      </c>
      <c r="DW7" s="979">
        <f t="shared" si="32"/>
        <v>44.499999999999993</v>
      </c>
      <c r="DX7" s="981">
        <f t="shared" si="33"/>
        <v>43.500000000000007</v>
      </c>
      <c r="DY7" s="414">
        <v>43.37</v>
      </c>
      <c r="DZ7" s="111">
        <v>2009</v>
      </c>
      <c r="EA7" s="368">
        <v>10652.808575999999</v>
      </c>
      <c r="EB7" s="415">
        <v>62.3</v>
      </c>
      <c r="EC7" s="113">
        <v>2000</v>
      </c>
      <c r="ED7" s="20">
        <v>12222.283136</v>
      </c>
      <c r="EE7" s="414">
        <v>40.5</v>
      </c>
      <c r="EF7" s="111">
        <v>2006</v>
      </c>
      <c r="EG7" s="380">
        <v>70.580368041992202</v>
      </c>
      <c r="EH7" s="24" t="s">
        <v>354</v>
      </c>
      <c r="EI7" s="287">
        <v>1</v>
      </c>
      <c r="EJ7" s="40">
        <v>2</v>
      </c>
      <c r="EK7" s="35" t="s">
        <v>145</v>
      </c>
      <c r="EL7" s="95" t="s">
        <v>1645</v>
      </c>
      <c r="EM7" s="95" t="s">
        <v>145</v>
      </c>
      <c r="EN7" s="35" t="s">
        <v>145</v>
      </c>
      <c r="EO7" s="95" t="s">
        <v>1646</v>
      </c>
      <c r="EP7" s="205">
        <v>0.28999999999999998</v>
      </c>
      <c r="EQ7" s="207" t="s">
        <v>145</v>
      </c>
      <c r="ER7" s="517" t="s">
        <v>145</v>
      </c>
      <c r="ES7" s="183"/>
      <c r="ET7" s="183"/>
      <c r="EU7" s="82"/>
      <c r="EV7" s="82"/>
      <c r="EW7" s="82"/>
      <c r="EX7" s="90"/>
      <c r="EY7" s="159"/>
      <c r="EZ7" s="156"/>
      <c r="FA7" s="323"/>
      <c r="FB7" s="323"/>
      <c r="FC7" s="323"/>
      <c r="FD7" s="160"/>
      <c r="FE7" s="156"/>
      <c r="FF7" s="156"/>
      <c r="FG7" s="156"/>
      <c r="FH7" s="157"/>
      <c r="FI7" s="242"/>
      <c r="FJ7" s="373"/>
      <c r="FK7" s="179"/>
      <c r="FL7" s="179"/>
      <c r="FM7" s="179"/>
      <c r="FN7" s="369"/>
      <c r="FO7" s="164"/>
      <c r="FP7" s="254">
        <v>1</v>
      </c>
      <c r="FQ7" s="82" t="s">
        <v>1701</v>
      </c>
      <c r="FR7" s="257">
        <v>1</v>
      </c>
      <c r="FS7" s="82" t="s">
        <v>1702</v>
      </c>
      <c r="FT7" s="259"/>
      <c r="FU7" s="82"/>
      <c r="FV7" s="259"/>
      <c r="FW7" s="82"/>
      <c r="FX7" s="259"/>
      <c r="FY7" s="82"/>
      <c r="FZ7" s="259"/>
      <c r="GA7" s="82"/>
      <c r="GB7" s="261"/>
      <c r="GC7" s="90"/>
      <c r="GD7" s="76">
        <v>1</v>
      </c>
      <c r="GE7" s="445" t="s">
        <v>3424</v>
      </c>
      <c r="GF7" s="447" t="s">
        <v>580</v>
      </c>
      <c r="GG7" s="448">
        <v>6</v>
      </c>
      <c r="GH7" s="449">
        <v>5</v>
      </c>
      <c r="GI7" s="447" t="s">
        <v>590</v>
      </c>
      <c r="GJ7" s="449">
        <v>38</v>
      </c>
      <c r="GK7" s="447">
        <v>15</v>
      </c>
      <c r="GL7" s="448">
        <v>7</v>
      </c>
      <c r="GM7" s="449">
        <v>16</v>
      </c>
      <c r="GN7" s="447" t="s">
        <v>580</v>
      </c>
      <c r="GO7" s="449">
        <v>69</v>
      </c>
      <c r="GP7" s="447">
        <v>19</v>
      </c>
      <c r="GQ7" s="448">
        <v>29</v>
      </c>
      <c r="GR7" s="449">
        <v>21</v>
      </c>
      <c r="GS7" s="446">
        <v>-2</v>
      </c>
      <c r="GT7" s="461">
        <v>-1.1202912330627441</v>
      </c>
      <c r="GU7" s="462">
        <v>-0.37216398119926453</v>
      </c>
      <c r="GV7" s="462">
        <v>-1.2555354833602905</v>
      </c>
      <c r="GW7" s="462">
        <v>-1.0521498918533325</v>
      </c>
      <c r="GX7" s="462">
        <v>-1.2796025276184082</v>
      </c>
      <c r="GY7" s="463">
        <v>-1.3247987031936646</v>
      </c>
      <c r="GZ7" s="10">
        <v>140</v>
      </c>
      <c r="HA7" s="535">
        <v>0.29703000000000002</v>
      </c>
      <c r="HB7" s="535">
        <v>0.23529</v>
      </c>
      <c r="HC7" s="523">
        <v>0.29920999999999998</v>
      </c>
      <c r="HD7" s="462">
        <v>9.7780000000000006E-2</v>
      </c>
      <c r="HE7" s="463">
        <v>0.49409999999999998</v>
      </c>
      <c r="HF7" s="10">
        <v>139</v>
      </c>
      <c r="HG7" s="532">
        <v>2.17</v>
      </c>
      <c r="HH7" s="447">
        <v>2.52</v>
      </c>
      <c r="HI7" s="544">
        <v>1.06</v>
      </c>
      <c r="HJ7" s="449">
        <v>3.65</v>
      </c>
      <c r="HK7" s="379" t="s">
        <v>3990</v>
      </c>
      <c r="HL7" s="23" t="s">
        <v>4655</v>
      </c>
      <c r="HM7" s="557">
        <v>2011</v>
      </c>
      <c r="HN7" s="557">
        <v>2011</v>
      </c>
      <c r="HO7" s="557" t="s">
        <v>3985</v>
      </c>
      <c r="HP7" s="562" t="s">
        <v>145</v>
      </c>
      <c r="HQ7" s="562" t="s">
        <v>145</v>
      </c>
      <c r="HR7" s="563" t="s">
        <v>145</v>
      </c>
      <c r="HS7" s="545">
        <v>62</v>
      </c>
      <c r="HT7" s="557">
        <v>76</v>
      </c>
      <c r="HU7" s="557">
        <v>2002</v>
      </c>
      <c r="HV7" s="583" t="s">
        <v>4166</v>
      </c>
      <c r="HW7" s="448">
        <v>4</v>
      </c>
      <c r="HX7" s="448">
        <v>20</v>
      </c>
      <c r="HY7" s="448">
        <v>11</v>
      </c>
      <c r="HZ7" s="448">
        <v>18</v>
      </c>
      <c r="IA7" s="448">
        <v>18</v>
      </c>
      <c r="IB7" s="448">
        <v>0</v>
      </c>
      <c r="IC7" s="449">
        <v>5</v>
      </c>
      <c r="ID7" s="40"/>
      <c r="IE7" s="355"/>
      <c r="IF7" s="355"/>
      <c r="IG7" s="784" t="s">
        <v>3422</v>
      </c>
      <c r="IH7" s="115">
        <v>49.6</v>
      </c>
      <c r="II7" s="647" t="s">
        <v>4922</v>
      </c>
      <c r="IJ7" s="423"/>
      <c r="IK7" s="10">
        <v>0</v>
      </c>
      <c r="IL7" s="749">
        <f t="shared" si="14"/>
        <v>18</v>
      </c>
      <c r="IM7" s="747">
        <f t="shared" si="15"/>
        <v>72</v>
      </c>
      <c r="IN7" s="750" t="str">
        <f t="shared" si="16"/>
        <v>B</v>
      </c>
      <c r="IO7" s="446"/>
      <c r="IP7" s="447">
        <v>2</v>
      </c>
      <c r="IQ7" s="448">
        <v>0</v>
      </c>
      <c r="IR7" s="449">
        <v>0</v>
      </c>
      <c r="IT7" s="435"/>
      <c r="IU7" s="435"/>
      <c r="IV7" s="435"/>
    </row>
    <row r="8" spans="1:277">
      <c r="A8" s="21">
        <v>6</v>
      </c>
      <c r="B8" s="9"/>
      <c r="C8" s="430" t="s">
        <v>21</v>
      </c>
      <c r="D8" s="424" t="s">
        <v>409</v>
      </c>
      <c r="E8" s="697" t="s">
        <v>17</v>
      </c>
      <c r="F8" s="76" t="s">
        <v>751</v>
      </c>
      <c r="G8" s="102" t="s">
        <v>453</v>
      </c>
      <c r="H8" s="375" t="s">
        <v>1587</v>
      </c>
      <c r="I8" s="364" t="s">
        <v>2123</v>
      </c>
      <c r="J8" s="358">
        <v>1</v>
      </c>
      <c r="K8" s="88">
        <v>1930</v>
      </c>
      <c r="L8" s="367">
        <v>2</v>
      </c>
      <c r="M8" s="403" t="s">
        <v>1825</v>
      </c>
      <c r="N8" s="347" t="s">
        <v>2122</v>
      </c>
      <c r="O8" s="365" t="s">
        <v>145</v>
      </c>
      <c r="P8" s="364" t="s">
        <v>145</v>
      </c>
      <c r="Q8" s="370">
        <v>0</v>
      </c>
      <c r="R8" s="358" t="s">
        <v>145</v>
      </c>
      <c r="S8" s="372" t="s">
        <v>145</v>
      </c>
      <c r="T8" s="370">
        <v>0</v>
      </c>
      <c r="U8" s="358">
        <v>0</v>
      </c>
      <c r="V8" s="370" t="s">
        <v>145</v>
      </c>
      <c r="W8" s="369" t="s">
        <v>145</v>
      </c>
      <c r="X8" s="86">
        <v>0</v>
      </c>
      <c r="Y8" s="347">
        <v>0</v>
      </c>
      <c r="Z8" s="272"/>
      <c r="AA8" s="1092">
        <v>1</v>
      </c>
      <c r="AB8" s="1093"/>
      <c r="AC8" s="1094"/>
      <c r="AD8" s="97" t="s">
        <v>145</v>
      </c>
      <c r="AE8" s="84" t="s">
        <v>145</v>
      </c>
      <c r="AF8" s="358">
        <v>0</v>
      </c>
      <c r="AG8" s="550">
        <v>0</v>
      </c>
      <c r="AH8" s="355" t="s">
        <v>145</v>
      </c>
      <c r="AI8" s="550" t="s">
        <v>145</v>
      </c>
      <c r="AJ8" s="550" t="s">
        <v>145</v>
      </c>
      <c r="AK8" s="590" t="s">
        <v>145</v>
      </c>
      <c r="AL8" s="358">
        <v>0</v>
      </c>
      <c r="AM8" s="1" t="s">
        <v>145</v>
      </c>
      <c r="AN8" s="403" t="s">
        <v>145</v>
      </c>
      <c r="AO8" s="86">
        <v>0</v>
      </c>
      <c r="AP8" s="347">
        <v>0</v>
      </c>
      <c r="AQ8" s="365" t="s">
        <v>5353</v>
      </c>
      <c r="AR8" s="377" t="s">
        <v>4934</v>
      </c>
      <c r="AS8" s="228">
        <v>1</v>
      </c>
      <c r="AT8" s="370">
        <v>3</v>
      </c>
      <c r="AU8" s="367">
        <v>2009</v>
      </c>
      <c r="AV8" s="358">
        <v>5</v>
      </c>
      <c r="AW8" s="589" t="s">
        <v>145</v>
      </c>
      <c r="AX8" s="687">
        <v>0</v>
      </c>
      <c r="AY8" s="174" t="s">
        <v>2188</v>
      </c>
      <c r="AZ8" s="358">
        <v>2002</v>
      </c>
      <c r="BA8" s="228">
        <v>1</v>
      </c>
      <c r="BB8" s="228">
        <v>0</v>
      </c>
      <c r="BC8" s="549" t="s">
        <v>145</v>
      </c>
      <c r="BD8" s="192" t="s">
        <v>145</v>
      </c>
      <c r="BE8" s="228">
        <v>0</v>
      </c>
      <c r="BF8" s="345" t="s">
        <v>145</v>
      </c>
      <c r="BG8" s="345">
        <v>0</v>
      </c>
      <c r="BH8" s="551" t="s">
        <v>145</v>
      </c>
      <c r="BI8" s="345">
        <v>1</v>
      </c>
      <c r="BJ8" s="345">
        <v>1</v>
      </c>
      <c r="BK8" s="888">
        <v>91.817999999999998</v>
      </c>
      <c r="BL8" s="925">
        <f t="shared" si="0"/>
        <v>52.200004356444275</v>
      </c>
      <c r="BM8" s="888">
        <v>43.889000000000003</v>
      </c>
      <c r="BN8" s="920">
        <v>47.929000000000002</v>
      </c>
      <c r="BO8" s="888">
        <v>7.28</v>
      </c>
      <c r="BP8" s="1158">
        <f t="shared" si="17"/>
        <v>49.739010989010993</v>
      </c>
      <c r="BQ8" s="917">
        <v>3.6589999999999998</v>
      </c>
      <c r="BR8" s="920">
        <v>3.621</v>
      </c>
      <c r="BS8" s="888">
        <v>7.3</v>
      </c>
      <c r="BT8" s="1158">
        <f t="shared" si="18"/>
        <v>49.945205479452056</v>
      </c>
      <c r="BU8" s="917">
        <v>3.6539999999999999</v>
      </c>
      <c r="BV8" s="920">
        <v>3.6459999999999999</v>
      </c>
      <c r="BW8" s="888">
        <v>7.62</v>
      </c>
      <c r="BX8" s="1158">
        <f t="shared" si="19"/>
        <v>49.960629921259844</v>
      </c>
      <c r="BY8" s="917">
        <v>3.8130000000000002</v>
      </c>
      <c r="BZ8" s="920">
        <v>3.8069999999999999</v>
      </c>
      <c r="CA8" s="888">
        <f t="shared" si="20"/>
        <v>69.617999999999995</v>
      </c>
      <c r="CB8" s="1158">
        <f t="shared" si="21"/>
        <v>52.938895113332762</v>
      </c>
      <c r="CC8" s="917">
        <f t="shared" si="22"/>
        <v>32.763000000000005</v>
      </c>
      <c r="CD8" s="920">
        <f t="shared" si="23"/>
        <v>36.854999999999997</v>
      </c>
      <c r="CE8" s="914">
        <v>2015</v>
      </c>
      <c r="CF8" s="910" t="s">
        <v>5630</v>
      </c>
      <c r="CG8" s="931">
        <v>90</v>
      </c>
      <c r="CH8" s="504">
        <v>90</v>
      </c>
      <c r="CI8" s="1008">
        <v>90</v>
      </c>
      <c r="CJ8" s="904" t="s">
        <v>1621</v>
      </c>
      <c r="CK8" s="904" t="s">
        <v>1621</v>
      </c>
      <c r="CL8" s="906">
        <v>2013</v>
      </c>
      <c r="CM8" s="1002" t="s">
        <v>5695</v>
      </c>
      <c r="CN8" s="1044">
        <v>47.720999999999997</v>
      </c>
      <c r="CO8" s="1045">
        <f t="shared" si="1"/>
        <v>51.973469254394558</v>
      </c>
      <c r="CP8" s="1040">
        <f>IF(OR(CZ8=1,CZ8=10),CN8*(1-BL8/100),IF(DA8=6,CN8*(1-BL8/100),CN8*(1-CB8/100)))</f>
        <v>22.810635921061227</v>
      </c>
      <c r="CQ8" s="1041">
        <f>IF(OR(CZ8=1,CZ8=10),CN8*BL8/100,IF(DA8=6,CN8*BL8/100,CN8*CB8/100))</f>
        <v>24.91036407893877</v>
      </c>
      <c r="CR8" s="1046">
        <v>2014</v>
      </c>
      <c r="CS8" s="1047" t="s">
        <v>5729</v>
      </c>
      <c r="CT8" s="1068" t="str">
        <f t="shared" si="2"/>
        <v>-</v>
      </c>
      <c r="CU8" s="1070">
        <v>18</v>
      </c>
      <c r="CV8" s="1068" t="s">
        <v>5857</v>
      </c>
      <c r="CW8" s="1113">
        <v>47.720999999999997</v>
      </c>
      <c r="CX8" s="1113">
        <v>61.570999999999998</v>
      </c>
      <c r="CY8" s="1113">
        <v>91.295000000000002</v>
      </c>
      <c r="CZ8" s="494">
        <v>1</v>
      </c>
      <c r="DA8" s="1124">
        <v>4</v>
      </c>
      <c r="DB8" s="1050" t="s">
        <v>647</v>
      </c>
      <c r="DC8" s="1146" t="s">
        <v>322</v>
      </c>
      <c r="DD8" s="978">
        <f t="shared" si="34"/>
        <v>24.117000000000001</v>
      </c>
      <c r="DE8" s="979">
        <f t="shared" si="3"/>
        <v>26.266091616023001</v>
      </c>
      <c r="DF8" s="979">
        <f t="shared" si="35"/>
        <v>54.119649712075415</v>
      </c>
      <c r="DG8" s="980">
        <f t="shared" si="36"/>
        <v>11.064964078938779</v>
      </c>
      <c r="DH8" s="980">
        <f t="shared" si="37"/>
        <v>13.052035921061227</v>
      </c>
      <c r="DI8" s="979">
        <f t="shared" si="5"/>
        <v>25.211246733666243</v>
      </c>
      <c r="DJ8" s="981">
        <f t="shared" si="6"/>
        <v>27.232022201717598</v>
      </c>
      <c r="DK8" s="984">
        <f t="shared" si="7"/>
        <v>21.896999999999998</v>
      </c>
      <c r="DL8" s="979">
        <f t="shared" si="38"/>
        <v>54.549189026173572</v>
      </c>
      <c r="DM8" s="980">
        <f t="shared" si="8"/>
        <v>9.9523640789387784</v>
      </c>
      <c r="DN8" s="985">
        <f t="shared" si="9"/>
        <v>11.944635921061227</v>
      </c>
      <c r="DO8" s="984">
        <f t="shared" si="10"/>
        <v>1.4919999999999995</v>
      </c>
      <c r="DP8" s="979">
        <f t="shared" si="39"/>
        <v>49.953083109919575</v>
      </c>
      <c r="DQ8" s="980">
        <f t="shared" si="28"/>
        <v>0.74669999999999981</v>
      </c>
      <c r="DR8" s="985">
        <f t="shared" si="29"/>
        <v>0.74529999999999985</v>
      </c>
      <c r="DS8" s="984">
        <f t="shared" si="12"/>
        <v>0.72799999999999987</v>
      </c>
      <c r="DT8" s="339">
        <f t="shared" si="40"/>
        <v>49.739010989010993</v>
      </c>
      <c r="DU8" s="980">
        <f t="shared" si="30"/>
        <v>0.36589999999999989</v>
      </c>
      <c r="DV8" s="985">
        <f t="shared" si="31"/>
        <v>0.36209999999999992</v>
      </c>
      <c r="DW8" s="979">
        <f t="shared" si="32"/>
        <v>9.9999999999999982</v>
      </c>
      <c r="DX8" s="981">
        <f t="shared" si="33"/>
        <v>9.9999999999999982</v>
      </c>
      <c r="DY8" s="414" t="s">
        <v>145</v>
      </c>
      <c r="DZ8" s="111" t="s">
        <v>145</v>
      </c>
      <c r="EA8" s="118"/>
      <c r="EB8" s="123" t="s">
        <v>145</v>
      </c>
      <c r="EC8" s="113" t="s">
        <v>145</v>
      </c>
      <c r="ED8" s="20"/>
      <c r="EE8" s="414" t="s">
        <v>145</v>
      </c>
      <c r="EF8" s="111" t="s">
        <v>145</v>
      </c>
      <c r="EG8" s="380">
        <v>98.949996948242202</v>
      </c>
      <c r="EH8" s="24" t="s">
        <v>335</v>
      </c>
      <c r="EI8" s="287">
        <v>0</v>
      </c>
      <c r="EJ8" s="40" t="s">
        <v>145</v>
      </c>
      <c r="EK8" s="35" t="s">
        <v>145</v>
      </c>
      <c r="EL8" s="95" t="s">
        <v>145</v>
      </c>
      <c r="EM8" s="95" t="s">
        <v>145</v>
      </c>
      <c r="EN8" s="35" t="s">
        <v>145</v>
      </c>
      <c r="EO8" s="95" t="s">
        <v>145</v>
      </c>
      <c r="EP8" s="205" t="s">
        <v>145</v>
      </c>
      <c r="EQ8" s="207" t="s">
        <v>145</v>
      </c>
      <c r="ER8" s="517">
        <v>1</v>
      </c>
      <c r="ES8" s="183" t="s">
        <v>145</v>
      </c>
      <c r="ET8" s="183" t="s">
        <v>3796</v>
      </c>
      <c r="EU8" s="82" t="s">
        <v>145</v>
      </c>
      <c r="EV8" s="82" t="s">
        <v>145</v>
      </c>
      <c r="EW8" s="82" t="s">
        <v>3796</v>
      </c>
      <c r="EX8" s="360" t="s">
        <v>145</v>
      </c>
      <c r="EY8" s="159"/>
      <c r="EZ8" s="156"/>
      <c r="FA8" s="323"/>
      <c r="FB8" s="323"/>
      <c r="FC8" s="323"/>
      <c r="FD8" s="160"/>
      <c r="FE8" s="156"/>
      <c r="FF8" s="156"/>
      <c r="FG8" s="156"/>
      <c r="FH8" s="157"/>
      <c r="FI8" s="243"/>
      <c r="FJ8" s="403"/>
      <c r="FK8" s="83"/>
      <c r="FL8" s="83"/>
      <c r="FM8" s="83"/>
      <c r="FN8" s="347"/>
      <c r="FO8" s="164"/>
      <c r="FP8" s="254"/>
      <c r="FQ8" s="82"/>
      <c r="FR8" s="257"/>
      <c r="FS8" s="82"/>
      <c r="FT8" s="259"/>
      <c r="FU8" s="82"/>
      <c r="FV8" s="259"/>
      <c r="FW8" s="82"/>
      <c r="FX8" s="259"/>
      <c r="FY8" s="82"/>
      <c r="FZ8" s="259"/>
      <c r="GA8" s="82"/>
      <c r="GB8" s="261"/>
      <c r="GC8" s="90"/>
      <c r="GD8" s="76">
        <v>2</v>
      </c>
      <c r="GE8" s="445" t="s">
        <v>3425</v>
      </c>
      <c r="GF8" s="447" t="s">
        <v>10</v>
      </c>
      <c r="GG8" s="448">
        <v>2</v>
      </c>
      <c r="GH8" s="449">
        <v>2</v>
      </c>
      <c r="GI8" s="447" t="s">
        <v>145</v>
      </c>
      <c r="GJ8" s="449" t="s">
        <v>145</v>
      </c>
      <c r="GK8" s="447" t="s">
        <v>145</v>
      </c>
      <c r="GL8" s="448" t="s">
        <v>145</v>
      </c>
      <c r="GM8" s="449" t="s">
        <v>145</v>
      </c>
      <c r="GN8" s="447" t="s">
        <v>590</v>
      </c>
      <c r="GO8" s="449">
        <v>39</v>
      </c>
      <c r="GP8" s="447">
        <v>9</v>
      </c>
      <c r="GQ8" s="448">
        <v>17</v>
      </c>
      <c r="GR8" s="449">
        <v>13</v>
      </c>
      <c r="GS8" s="446"/>
      <c r="GT8" s="461">
        <v>0.64654046297073364</v>
      </c>
      <c r="GU8" s="462">
        <v>0.97778099775314331</v>
      </c>
      <c r="GV8" s="462">
        <v>0.48129847645759583</v>
      </c>
      <c r="GW8" s="462">
        <v>0.59754198789596558</v>
      </c>
      <c r="GX8" s="462">
        <v>0.8620147705078125</v>
      </c>
      <c r="GY8" s="463">
        <v>1.2859820127487183</v>
      </c>
      <c r="GZ8" s="10">
        <v>60</v>
      </c>
      <c r="HA8" s="535">
        <v>0.59265999999999996</v>
      </c>
      <c r="HB8" s="535">
        <v>0.50980000000000003</v>
      </c>
      <c r="HC8" s="523">
        <v>0.41732000000000002</v>
      </c>
      <c r="HD8" s="462">
        <v>0.59377999999999997</v>
      </c>
      <c r="HE8" s="463">
        <v>0.76690000000000003</v>
      </c>
      <c r="HF8" s="10">
        <v>57</v>
      </c>
      <c r="HG8" s="532">
        <v>5.89</v>
      </c>
      <c r="HH8" s="447">
        <v>7.02</v>
      </c>
      <c r="HI8" s="544">
        <v>3.99</v>
      </c>
      <c r="HJ8" s="449">
        <v>7.41</v>
      </c>
      <c r="HK8" s="379" t="s">
        <v>3991</v>
      </c>
      <c r="HL8" s="23" t="s">
        <v>4656</v>
      </c>
      <c r="HM8" s="557">
        <v>2013</v>
      </c>
      <c r="HN8" s="809" t="s">
        <v>145</v>
      </c>
      <c r="HO8" s="557" t="s">
        <v>145</v>
      </c>
      <c r="HP8" s="562" t="s">
        <v>145</v>
      </c>
      <c r="HQ8" s="562" t="s">
        <v>145</v>
      </c>
      <c r="HR8" s="563" t="s">
        <v>145</v>
      </c>
      <c r="HS8" s="545">
        <v>8</v>
      </c>
      <c r="HT8" s="557">
        <v>116</v>
      </c>
      <c r="HU8" s="557">
        <v>2004</v>
      </c>
      <c r="HV8" s="583" t="s">
        <v>4167</v>
      </c>
      <c r="HW8" s="448">
        <v>3</v>
      </c>
      <c r="HX8" s="448">
        <v>24</v>
      </c>
      <c r="HY8" s="448">
        <v>20</v>
      </c>
      <c r="HZ8" s="448">
        <v>23</v>
      </c>
      <c r="IA8" s="448">
        <v>24</v>
      </c>
      <c r="IB8" s="448">
        <v>8</v>
      </c>
      <c r="IC8" s="449">
        <v>14</v>
      </c>
      <c r="ID8" s="660"/>
      <c r="IE8" s="355"/>
      <c r="IF8" s="355"/>
      <c r="IG8" s="647"/>
      <c r="IH8" s="339"/>
      <c r="II8" s="553" t="s">
        <v>4922</v>
      </c>
      <c r="IJ8" s="424" t="s">
        <v>4926</v>
      </c>
      <c r="IK8" s="24">
        <v>1</v>
      </c>
      <c r="IL8" s="749">
        <f t="shared" si="14"/>
        <v>6</v>
      </c>
      <c r="IM8" s="747">
        <f t="shared" si="15"/>
        <v>24</v>
      </c>
      <c r="IN8" s="750" t="str">
        <f t="shared" si="16"/>
        <v>D</v>
      </c>
      <c r="IO8" s="446"/>
      <c r="IP8" s="447">
        <v>1</v>
      </c>
      <c r="IQ8" s="448">
        <v>0</v>
      </c>
      <c r="IR8" s="449">
        <v>0</v>
      </c>
      <c r="IT8" s="435"/>
      <c r="IU8" s="435"/>
      <c r="IV8" s="435"/>
    </row>
    <row r="9" spans="1:277">
      <c r="A9" s="21">
        <v>7</v>
      </c>
      <c r="B9" s="9"/>
      <c r="C9" s="430" t="s">
        <v>22</v>
      </c>
      <c r="D9" s="424" t="s">
        <v>409</v>
      </c>
      <c r="E9" s="10" t="s">
        <v>12</v>
      </c>
      <c r="F9" s="76" t="s">
        <v>752</v>
      </c>
      <c r="G9" s="102" t="s">
        <v>432</v>
      </c>
      <c r="H9" s="375" t="s">
        <v>1676</v>
      </c>
      <c r="I9" s="364" t="s">
        <v>1989</v>
      </c>
      <c r="J9" s="370">
        <v>2</v>
      </c>
      <c r="K9" s="370">
        <v>1881</v>
      </c>
      <c r="L9" s="371">
        <v>2</v>
      </c>
      <c r="M9" s="371" t="s">
        <v>1805</v>
      </c>
      <c r="N9" s="351" t="s">
        <v>1806</v>
      </c>
      <c r="O9" s="365" t="s">
        <v>1678</v>
      </c>
      <c r="P9" s="377" t="s">
        <v>2822</v>
      </c>
      <c r="Q9" s="370">
        <v>2</v>
      </c>
      <c r="R9" s="358">
        <v>1968</v>
      </c>
      <c r="S9" s="372" t="s">
        <v>2823</v>
      </c>
      <c r="T9" s="370">
        <v>2</v>
      </c>
      <c r="U9" s="370">
        <v>2</v>
      </c>
      <c r="V9" s="370">
        <v>0</v>
      </c>
      <c r="W9" s="351" t="s">
        <v>1806</v>
      </c>
      <c r="X9" s="170">
        <v>1</v>
      </c>
      <c r="Y9" s="369">
        <v>1</v>
      </c>
      <c r="Z9" s="273" t="s">
        <v>2045</v>
      </c>
      <c r="AA9" s="169">
        <v>1</v>
      </c>
      <c r="AB9" s="177">
        <v>1</v>
      </c>
      <c r="AC9" s="171"/>
      <c r="AD9" s="97" t="s">
        <v>1679</v>
      </c>
      <c r="AE9" s="357">
        <v>2014</v>
      </c>
      <c r="AF9" s="357">
        <v>2</v>
      </c>
      <c r="AG9" s="550" t="s">
        <v>5171</v>
      </c>
      <c r="AH9" s="355" t="s">
        <v>3108</v>
      </c>
      <c r="AI9" s="550">
        <v>0</v>
      </c>
      <c r="AJ9" s="550">
        <v>0</v>
      </c>
      <c r="AK9" s="590">
        <v>30000</v>
      </c>
      <c r="AL9" s="387">
        <v>2</v>
      </c>
      <c r="AM9" s="361" t="s">
        <v>2826</v>
      </c>
      <c r="AN9" s="344">
        <v>3</v>
      </c>
      <c r="AO9" s="170">
        <v>1</v>
      </c>
      <c r="AP9" s="369">
        <v>1</v>
      </c>
      <c r="AQ9" s="365" t="s">
        <v>4932</v>
      </c>
      <c r="AR9" s="377" t="s">
        <v>2798</v>
      </c>
      <c r="AS9" s="370">
        <v>2</v>
      </c>
      <c r="AT9" s="370">
        <v>2</v>
      </c>
      <c r="AU9" s="367">
        <v>2012</v>
      </c>
      <c r="AV9" s="358">
        <v>5</v>
      </c>
      <c r="AW9" s="589">
        <v>1500</v>
      </c>
      <c r="AX9" s="687">
        <v>0</v>
      </c>
      <c r="AY9" s="174" t="s">
        <v>2189</v>
      </c>
      <c r="AZ9" s="370">
        <v>1994</v>
      </c>
      <c r="BA9" s="370">
        <v>1</v>
      </c>
      <c r="BB9" s="370">
        <v>1</v>
      </c>
      <c r="BC9" s="174" t="s">
        <v>4297</v>
      </c>
      <c r="BD9" s="370">
        <v>2007</v>
      </c>
      <c r="BE9" s="370">
        <v>0</v>
      </c>
      <c r="BF9" s="367" t="s">
        <v>145</v>
      </c>
      <c r="BG9" s="367">
        <v>0</v>
      </c>
      <c r="BH9" s="351" t="s">
        <v>145</v>
      </c>
      <c r="BI9" s="367">
        <v>3</v>
      </c>
      <c r="BJ9" s="367">
        <v>1</v>
      </c>
      <c r="BK9" s="888">
        <v>43416.754999999997</v>
      </c>
      <c r="BL9" s="925">
        <f t="shared" si="0"/>
        <v>51.067964429861235</v>
      </c>
      <c r="BM9" s="888">
        <v>21244.702000000001</v>
      </c>
      <c r="BN9" s="920">
        <v>22172.053</v>
      </c>
      <c r="BO9" s="888">
        <v>3718.14</v>
      </c>
      <c r="BP9" s="1158">
        <f t="shared" si="17"/>
        <v>49.121899659507172</v>
      </c>
      <c r="BQ9" s="917">
        <v>1891.7190000000001</v>
      </c>
      <c r="BR9" s="920">
        <v>1826.421</v>
      </c>
      <c r="BS9" s="888">
        <v>3638.3440000000001</v>
      </c>
      <c r="BT9" s="1158">
        <f t="shared" si="18"/>
        <v>49.1408179105659</v>
      </c>
      <c r="BU9" s="917">
        <v>1850.432</v>
      </c>
      <c r="BV9" s="920">
        <v>1787.912</v>
      </c>
      <c r="BW9" s="888">
        <v>3582.0189999999998</v>
      </c>
      <c r="BX9" s="1158">
        <f t="shared" si="19"/>
        <v>49.156941936935567</v>
      </c>
      <c r="BY9" s="917">
        <v>1821.2080000000001</v>
      </c>
      <c r="BZ9" s="920">
        <v>1760.8109999999999</v>
      </c>
      <c r="CA9" s="888">
        <f t="shared" si="20"/>
        <v>32478.252</v>
      </c>
      <c r="CB9" s="1158">
        <f t="shared" si="21"/>
        <v>51.717404618943164</v>
      </c>
      <c r="CC9" s="917">
        <f t="shared" si="22"/>
        <v>15681.342999999999</v>
      </c>
      <c r="CD9" s="920">
        <f t="shared" si="23"/>
        <v>16796.909</v>
      </c>
      <c r="CE9" s="914">
        <v>2015</v>
      </c>
      <c r="CF9" s="910" t="s">
        <v>5630</v>
      </c>
      <c r="CG9" s="930">
        <v>99.5</v>
      </c>
      <c r="CH9" s="495">
        <v>99.6</v>
      </c>
      <c r="CI9" s="497">
        <v>99.5</v>
      </c>
      <c r="CJ9" s="904" t="s">
        <v>1621</v>
      </c>
      <c r="CK9" s="904" t="s">
        <v>1621</v>
      </c>
      <c r="CL9" s="904" t="s">
        <v>5577</v>
      </c>
      <c r="CM9" s="905" t="s">
        <v>5573</v>
      </c>
      <c r="CN9" s="1044">
        <v>32000</v>
      </c>
      <c r="CO9" s="1045">
        <f t="shared" si="1"/>
        <v>73.70426463239825</v>
      </c>
      <c r="CP9" s="1040">
        <f>IF(OR(CZ9=1,CZ9=10),CN9*(1-BL9/100),IF(DA9=6,CN9*(1-BL9/100),CN9*(1-CB9/100)))</f>
        <v>15658.251382444405</v>
      </c>
      <c r="CQ9" s="1041">
        <f>IF(OR(CZ9=1,CZ9=10),CN9*BL9/100,IF(DA9=6,CN9*BL9/100,CN9*CB9/100))</f>
        <v>16341.748617555595</v>
      </c>
      <c r="CR9" s="995">
        <v>2015</v>
      </c>
      <c r="CS9" s="1013" t="s">
        <v>6107</v>
      </c>
      <c r="CT9" s="1068">
        <f t="shared" si="2"/>
        <v>0</v>
      </c>
      <c r="CU9" s="1070">
        <v>16</v>
      </c>
      <c r="CV9" s="1068" t="s">
        <v>5858</v>
      </c>
      <c r="CW9" s="1113">
        <v>32130.852999999999</v>
      </c>
      <c r="CX9" s="1113">
        <v>31996.331999999999</v>
      </c>
      <c r="CY9" s="1113">
        <v>43431.885999999999</v>
      </c>
      <c r="CZ9" s="494">
        <v>1</v>
      </c>
      <c r="DA9" s="1124">
        <v>6</v>
      </c>
      <c r="DB9" s="1050" t="s">
        <v>647</v>
      </c>
      <c r="DC9" s="1146" t="s">
        <v>322</v>
      </c>
      <c r="DD9" s="978">
        <f t="shared" si="34"/>
        <v>532.94451500000037</v>
      </c>
      <c r="DE9" s="979">
        <f t="shared" si="3"/>
        <v>1.2275088614982865</v>
      </c>
      <c r="DF9" s="979">
        <f t="shared" si="35"/>
        <v>90.447708697105995</v>
      </c>
      <c r="DG9" s="980">
        <f t="shared" si="36"/>
        <v>45.345053555594006</v>
      </c>
      <c r="DH9" s="980">
        <f t="shared" si="37"/>
        <v>482.03610244440466</v>
      </c>
      <c r="DI9" s="979">
        <f t="shared" si="5"/>
        <v>0.21344170210339503</v>
      </c>
      <c r="DJ9" s="981">
        <f t="shared" si="6"/>
        <v>2.1740706755680437</v>
      </c>
      <c r="DK9" s="984">
        <f t="shared" si="7"/>
        <v>478.25200000000041</v>
      </c>
      <c r="DL9" s="979">
        <f t="shared" si="38"/>
        <v>95.171663149219285</v>
      </c>
      <c r="DM9" s="980">
        <f t="shared" si="8"/>
        <v>23.091617555593984</v>
      </c>
      <c r="DN9" s="985">
        <f t="shared" si="9"/>
        <v>455.1603824444046</v>
      </c>
      <c r="DO9" s="984">
        <f t="shared" si="10"/>
        <v>36.10181500000003</v>
      </c>
      <c r="DP9" s="979">
        <f t="shared" si="39"/>
        <v>49.148817033160235</v>
      </c>
      <c r="DQ9" s="980">
        <f t="shared" si="28"/>
        <v>14.686560000000014</v>
      </c>
      <c r="DR9" s="985">
        <f t="shared" si="29"/>
        <v>17.743615000000013</v>
      </c>
      <c r="DS9" s="984">
        <f t="shared" si="12"/>
        <v>18.590700000000016</v>
      </c>
      <c r="DT9" s="339">
        <f t="shared" si="40"/>
        <v>49.121899659507172</v>
      </c>
      <c r="DU9" s="980">
        <f t="shared" si="30"/>
        <v>7.5668760000000068</v>
      </c>
      <c r="DV9" s="985">
        <f t="shared" si="31"/>
        <v>9.1321050000000081</v>
      </c>
      <c r="DW9" s="979">
        <f t="shared" si="32"/>
        <v>0.40000000000000036</v>
      </c>
      <c r="DX9" s="981">
        <f t="shared" si="33"/>
        <v>0.50000000000000044</v>
      </c>
      <c r="DY9" s="414">
        <v>0.92</v>
      </c>
      <c r="DZ9" s="111">
        <v>2010</v>
      </c>
      <c r="EA9" s="118">
        <v>375</v>
      </c>
      <c r="EB9" s="415">
        <v>6.5</v>
      </c>
      <c r="EC9" s="113">
        <v>2011</v>
      </c>
      <c r="ED9" s="20">
        <v>2649.6964650000004</v>
      </c>
      <c r="EE9" s="414">
        <v>30</v>
      </c>
      <c r="EF9" s="111" t="s">
        <v>145</v>
      </c>
      <c r="EG9" s="380">
        <v>97.916091918945298</v>
      </c>
      <c r="EH9" s="24" t="s">
        <v>358</v>
      </c>
      <c r="EI9" s="287">
        <v>0</v>
      </c>
      <c r="EJ9" s="40" t="s">
        <v>145</v>
      </c>
      <c r="EK9" s="35" t="s">
        <v>145</v>
      </c>
      <c r="EL9" s="95" t="s">
        <v>145</v>
      </c>
      <c r="EM9" s="95" t="s">
        <v>145</v>
      </c>
      <c r="EN9" s="35" t="s">
        <v>145</v>
      </c>
      <c r="EO9" s="95" t="s">
        <v>145</v>
      </c>
      <c r="EP9" s="205" t="s">
        <v>145</v>
      </c>
      <c r="EQ9" s="207" t="s">
        <v>145</v>
      </c>
      <c r="ER9" s="517">
        <v>3</v>
      </c>
      <c r="ES9" s="183" t="s">
        <v>3899</v>
      </c>
      <c r="ET9" s="183" t="s">
        <v>3862</v>
      </c>
      <c r="EU9" s="82" t="s">
        <v>3861</v>
      </c>
      <c r="EV9" s="82" t="s">
        <v>3861</v>
      </c>
      <c r="EW9" s="82" t="s">
        <v>3903</v>
      </c>
      <c r="EX9" s="360" t="s">
        <v>145</v>
      </c>
      <c r="EY9" s="166">
        <v>40117096</v>
      </c>
      <c r="EZ9" s="167">
        <v>2010</v>
      </c>
      <c r="FA9" s="323">
        <v>89</v>
      </c>
      <c r="FB9" s="323">
        <v>11</v>
      </c>
      <c r="FC9" s="323">
        <v>17.100000000000001</v>
      </c>
      <c r="FD9" s="160">
        <v>600329</v>
      </c>
      <c r="FE9" s="156">
        <v>79</v>
      </c>
      <c r="FF9" s="156" t="s">
        <v>1673</v>
      </c>
      <c r="FG9" s="156">
        <v>7</v>
      </c>
      <c r="FH9" s="157">
        <v>10</v>
      </c>
      <c r="FI9" s="242">
        <v>4</v>
      </c>
      <c r="FJ9" s="371" t="s">
        <v>1805</v>
      </c>
      <c r="FK9" s="372" t="s">
        <v>1806</v>
      </c>
      <c r="FL9" s="372" t="s">
        <v>1807</v>
      </c>
      <c r="FM9" s="372" t="s">
        <v>1808</v>
      </c>
      <c r="FN9" s="369" t="s">
        <v>1601</v>
      </c>
      <c r="FO9" s="165" t="s">
        <v>1674</v>
      </c>
      <c r="FP9" s="254">
        <v>1</v>
      </c>
      <c r="FQ9" s="82" t="s">
        <v>1696</v>
      </c>
      <c r="FR9" s="257"/>
      <c r="FS9" s="82"/>
      <c r="FT9" s="259"/>
      <c r="FU9" s="82"/>
      <c r="FV9" s="259"/>
      <c r="FW9" s="82"/>
      <c r="FX9" s="259"/>
      <c r="FY9" s="82"/>
      <c r="FZ9" s="259"/>
      <c r="GA9" s="82"/>
      <c r="GB9" s="261">
        <v>1</v>
      </c>
      <c r="GC9" s="90" t="s">
        <v>1700</v>
      </c>
      <c r="GD9" s="76">
        <v>1</v>
      </c>
      <c r="GE9" s="445" t="s">
        <v>3424</v>
      </c>
      <c r="GF9" s="447" t="s">
        <v>10</v>
      </c>
      <c r="GG9" s="448">
        <v>2</v>
      </c>
      <c r="GH9" s="449">
        <v>2</v>
      </c>
      <c r="GI9" s="447" t="s">
        <v>10</v>
      </c>
      <c r="GJ9" s="449">
        <v>27</v>
      </c>
      <c r="GK9" s="447">
        <v>7</v>
      </c>
      <c r="GL9" s="448">
        <v>9</v>
      </c>
      <c r="GM9" s="449">
        <v>11</v>
      </c>
      <c r="GN9" s="447" t="s">
        <v>590</v>
      </c>
      <c r="GO9" s="449">
        <v>51</v>
      </c>
      <c r="GP9" s="447">
        <v>14</v>
      </c>
      <c r="GQ9" s="448">
        <v>21</v>
      </c>
      <c r="GR9" s="449">
        <v>16</v>
      </c>
      <c r="GS9" s="446">
        <v>8</v>
      </c>
      <c r="GT9" s="461">
        <v>0.2367413341999054</v>
      </c>
      <c r="GU9" s="462">
        <v>5.9716705232858658E-2</v>
      </c>
      <c r="GV9" s="462">
        <v>-0.29012247920036316</v>
      </c>
      <c r="GW9" s="462">
        <v>-0.98913514614105225</v>
      </c>
      <c r="GX9" s="462">
        <v>-0.73170936107635498</v>
      </c>
      <c r="GY9" s="463">
        <v>-0.45917874574661255</v>
      </c>
      <c r="GZ9" s="10">
        <v>46</v>
      </c>
      <c r="HA9" s="535">
        <v>0.63058999999999998</v>
      </c>
      <c r="HB9" s="535">
        <v>0.54901</v>
      </c>
      <c r="HC9" s="523">
        <v>0.55118</v>
      </c>
      <c r="HD9" s="462">
        <v>0.48347000000000001</v>
      </c>
      <c r="HE9" s="463">
        <v>0.85709999999999997</v>
      </c>
      <c r="HF9" s="10">
        <v>59</v>
      </c>
      <c r="HG9" s="532">
        <v>5.8</v>
      </c>
      <c r="HH9" s="447">
        <v>6.62</v>
      </c>
      <c r="HI9" s="544">
        <v>3.42</v>
      </c>
      <c r="HJ9" s="449">
        <v>8.94</v>
      </c>
      <c r="HK9" s="379" t="s">
        <v>3992</v>
      </c>
      <c r="HL9" s="23" t="s">
        <v>4657</v>
      </c>
      <c r="HM9" s="557">
        <v>2000</v>
      </c>
      <c r="HN9" s="557">
        <v>2000</v>
      </c>
      <c r="HO9" s="557" t="s">
        <v>3985</v>
      </c>
      <c r="HP9" s="562" t="s">
        <v>3993</v>
      </c>
      <c r="HQ9" s="639" t="s">
        <v>4683</v>
      </c>
      <c r="HR9" s="563" t="s">
        <v>3994</v>
      </c>
      <c r="HS9" s="545">
        <v>79</v>
      </c>
      <c r="HT9" s="557">
        <v>66</v>
      </c>
      <c r="HU9" s="557">
        <v>2004</v>
      </c>
      <c r="HV9" s="583" t="s">
        <v>4168</v>
      </c>
      <c r="HW9" s="448">
        <v>6</v>
      </c>
      <c r="HX9" s="448">
        <v>19</v>
      </c>
      <c r="HY9" s="448">
        <v>22</v>
      </c>
      <c r="HZ9" s="448">
        <v>15</v>
      </c>
      <c r="IA9" s="448">
        <v>3</v>
      </c>
      <c r="IB9" s="448">
        <v>1</v>
      </c>
      <c r="IC9" s="449">
        <v>0</v>
      </c>
      <c r="ID9" s="660"/>
      <c r="IE9" s="355"/>
      <c r="IF9" s="355"/>
      <c r="IG9" s="647"/>
      <c r="IH9" s="339"/>
      <c r="II9" s="553" t="s">
        <v>4922</v>
      </c>
      <c r="IJ9" s="424" t="s">
        <v>4926</v>
      </c>
      <c r="IK9" s="24">
        <v>0</v>
      </c>
      <c r="IL9" s="749">
        <f t="shared" si="14"/>
        <v>20</v>
      </c>
      <c r="IM9" s="747">
        <f t="shared" si="15"/>
        <v>80</v>
      </c>
      <c r="IN9" s="750" t="str">
        <f t="shared" si="16"/>
        <v>A</v>
      </c>
      <c r="IO9" s="446"/>
      <c r="IP9" s="447">
        <v>6</v>
      </c>
      <c r="IQ9" s="448">
        <v>2</v>
      </c>
      <c r="IR9" s="449">
        <v>0</v>
      </c>
      <c r="IT9" s="435"/>
      <c r="IU9" s="435"/>
      <c r="IV9" s="435"/>
    </row>
    <row r="10" spans="1:277">
      <c r="A10" s="21">
        <v>8</v>
      </c>
      <c r="B10" s="9"/>
      <c r="C10" s="430" t="s">
        <v>23</v>
      </c>
      <c r="D10" s="423" t="s">
        <v>408</v>
      </c>
      <c r="E10" s="10" t="s">
        <v>20</v>
      </c>
      <c r="F10" s="76" t="s">
        <v>753</v>
      </c>
      <c r="G10" s="102" t="s">
        <v>429</v>
      </c>
      <c r="H10" s="375" t="s">
        <v>3107</v>
      </c>
      <c r="I10" s="95" t="s">
        <v>2124</v>
      </c>
      <c r="J10" s="176">
        <v>1</v>
      </c>
      <c r="K10" s="88">
        <v>1920</v>
      </c>
      <c r="L10" s="371">
        <v>2</v>
      </c>
      <c r="M10" s="240" t="s">
        <v>1835</v>
      </c>
      <c r="N10" s="369" t="s">
        <v>1822</v>
      </c>
      <c r="O10" s="365" t="s">
        <v>2987</v>
      </c>
      <c r="P10" s="377" t="s">
        <v>2988</v>
      </c>
      <c r="Q10" s="370">
        <v>2</v>
      </c>
      <c r="R10" s="358">
        <v>1991</v>
      </c>
      <c r="S10" s="234" t="s">
        <v>3110</v>
      </c>
      <c r="T10" s="176">
        <v>2</v>
      </c>
      <c r="U10" s="370">
        <v>2</v>
      </c>
      <c r="V10" s="176">
        <v>16</v>
      </c>
      <c r="W10" s="369" t="s">
        <v>1822</v>
      </c>
      <c r="X10" s="170">
        <v>1</v>
      </c>
      <c r="Y10" s="369">
        <v>1</v>
      </c>
      <c r="Z10" s="271"/>
      <c r="AA10" s="169">
        <v>1</v>
      </c>
      <c r="AB10" s="177">
        <v>1</v>
      </c>
      <c r="AC10" s="171">
        <v>1</v>
      </c>
      <c r="AD10" s="366" t="s">
        <v>942</v>
      </c>
      <c r="AE10" s="357">
        <v>2012</v>
      </c>
      <c r="AF10" s="357">
        <v>2</v>
      </c>
      <c r="AG10" s="550" t="s">
        <v>5171</v>
      </c>
      <c r="AH10" s="355" t="s">
        <v>2831</v>
      </c>
      <c r="AI10" s="55">
        <v>1</v>
      </c>
      <c r="AJ10" s="55">
        <v>1</v>
      </c>
      <c r="AK10" s="589">
        <v>1000</v>
      </c>
      <c r="AL10" s="386">
        <v>9</v>
      </c>
      <c r="AM10" s="361" t="s">
        <v>2832</v>
      </c>
      <c r="AN10" s="344" t="s">
        <v>145</v>
      </c>
      <c r="AO10" s="170">
        <v>0</v>
      </c>
      <c r="AP10" s="369">
        <v>0</v>
      </c>
      <c r="AQ10" s="365" t="s">
        <v>4933</v>
      </c>
      <c r="AR10" s="377" t="s">
        <v>4934</v>
      </c>
      <c r="AS10" s="370">
        <v>2</v>
      </c>
      <c r="AT10" s="370">
        <v>3</v>
      </c>
      <c r="AU10" s="367">
        <v>2012</v>
      </c>
      <c r="AV10" s="358">
        <v>10</v>
      </c>
      <c r="AW10" s="589" t="s">
        <v>145</v>
      </c>
      <c r="AX10" s="687">
        <v>0</v>
      </c>
      <c r="AY10" s="174" t="s">
        <v>2190</v>
      </c>
      <c r="AZ10" s="370">
        <v>2011</v>
      </c>
      <c r="BA10" s="370">
        <v>1</v>
      </c>
      <c r="BB10" s="370">
        <v>1</v>
      </c>
      <c r="BC10" s="174" t="s">
        <v>4298</v>
      </c>
      <c r="BD10" s="370">
        <v>2001</v>
      </c>
      <c r="BE10" s="370">
        <v>0</v>
      </c>
      <c r="BF10" s="367" t="s">
        <v>145</v>
      </c>
      <c r="BG10" s="367">
        <v>0</v>
      </c>
      <c r="BH10" s="1" t="s">
        <v>145</v>
      </c>
      <c r="BI10" s="367">
        <v>2</v>
      </c>
      <c r="BJ10" s="367">
        <v>1</v>
      </c>
      <c r="BK10" s="888">
        <v>3017.712</v>
      </c>
      <c r="BL10" s="925">
        <f t="shared" si="0"/>
        <v>53.623440540382916</v>
      </c>
      <c r="BM10" s="888">
        <v>1399.511</v>
      </c>
      <c r="BN10" s="920">
        <v>1618.201</v>
      </c>
      <c r="BO10" s="888">
        <v>207.244</v>
      </c>
      <c r="BP10" s="1158">
        <f t="shared" si="17"/>
        <v>48.580417285904545</v>
      </c>
      <c r="BQ10" s="917">
        <v>106.56399999999999</v>
      </c>
      <c r="BR10" s="920">
        <v>100.68</v>
      </c>
      <c r="BS10" s="888">
        <v>188.82900000000001</v>
      </c>
      <c r="BT10" s="1158">
        <f t="shared" si="18"/>
        <v>48.451773827113421</v>
      </c>
      <c r="BU10" s="917">
        <v>97.337999999999994</v>
      </c>
      <c r="BV10" s="920">
        <v>91.491</v>
      </c>
      <c r="BW10" s="888">
        <v>158.69999999999999</v>
      </c>
      <c r="BX10" s="1158">
        <f t="shared" si="19"/>
        <v>47.449905482041586</v>
      </c>
      <c r="BY10" s="917">
        <v>83.397000000000006</v>
      </c>
      <c r="BZ10" s="920">
        <v>75.302999999999997</v>
      </c>
      <c r="CA10" s="888">
        <f t="shared" si="20"/>
        <v>2462.9389999999999</v>
      </c>
      <c r="CB10" s="1158">
        <f t="shared" si="21"/>
        <v>54.842080944757463</v>
      </c>
      <c r="CC10" s="917">
        <f t="shared" si="22"/>
        <v>1112.212</v>
      </c>
      <c r="CD10" s="920">
        <f t="shared" si="23"/>
        <v>1350.7269999999999</v>
      </c>
      <c r="CE10" s="914">
        <v>2015</v>
      </c>
      <c r="CF10" s="910" t="s">
        <v>5630</v>
      </c>
      <c r="CG10" s="930">
        <v>99.6</v>
      </c>
      <c r="CH10" s="495">
        <v>100</v>
      </c>
      <c r="CI10" s="497">
        <v>99.1</v>
      </c>
      <c r="CJ10" s="904">
        <v>99.3</v>
      </c>
      <c r="CK10" s="904">
        <v>100</v>
      </c>
      <c r="CL10" s="904">
        <v>2010</v>
      </c>
      <c r="CM10" s="905" t="s">
        <v>5575</v>
      </c>
      <c r="CN10" s="1044">
        <v>2509.4340000000002</v>
      </c>
      <c r="CO10" s="1045">
        <f t="shared" si="1"/>
        <v>83.15684200480365</v>
      </c>
      <c r="CP10" s="1040">
        <f>IF(OR(CZ10=1,CZ10=10),CN10*(1-BL10/100),IF(DA10=6,CN10*(1-BL10/100),CN10*(1-CB10/100)))</f>
        <v>1163.7891511098474</v>
      </c>
      <c r="CQ10" s="1041">
        <f>IF(OR(CZ10=1,CZ10=10),CN10*BL10/100,IF(DA10=6,CN10*BL10/100,CN10*CB10/100))</f>
        <v>1345.6448488901526</v>
      </c>
      <c r="CR10" s="1046">
        <v>2013</v>
      </c>
      <c r="CS10" s="1047" t="s">
        <v>5733</v>
      </c>
      <c r="CT10" s="1068">
        <f t="shared" si="2"/>
        <v>16</v>
      </c>
      <c r="CU10" s="1070">
        <v>18</v>
      </c>
      <c r="CV10" s="1068" t="s">
        <v>5859</v>
      </c>
      <c r="CW10" s="1113">
        <v>2528.7730000000001</v>
      </c>
      <c r="CX10" s="1113">
        <v>2050.6550000000002</v>
      </c>
      <c r="CY10" s="1113">
        <v>3064.2669999999998</v>
      </c>
      <c r="CZ10" s="494">
        <v>2</v>
      </c>
      <c r="DA10" s="1124">
        <v>6</v>
      </c>
      <c r="DB10" s="1050" t="s">
        <v>647</v>
      </c>
      <c r="DC10" s="1146" t="s">
        <v>322</v>
      </c>
      <c r="DD10" s="978">
        <f t="shared" si="34"/>
        <v>508.27799999999979</v>
      </c>
      <c r="DE10" s="979">
        <f t="shared" si="3"/>
        <v>16.843157995196353</v>
      </c>
      <c r="DF10" s="979">
        <f t="shared" si="35"/>
        <v>53.62344054038293</v>
      </c>
      <c r="DG10" s="980">
        <f t="shared" si="36"/>
        <v>235.72184889015261</v>
      </c>
      <c r="DH10" s="980">
        <f t="shared" si="37"/>
        <v>272.55615110984741</v>
      </c>
      <c r="DI10" s="979">
        <f t="shared" si="5"/>
        <v>16.843157995196368</v>
      </c>
      <c r="DJ10" s="981">
        <f t="shared" si="6"/>
        <v>16.843157995196357</v>
      </c>
      <c r="DK10" s="984">
        <f t="shared" si="7"/>
        <v>506.0589079999998</v>
      </c>
      <c r="DL10" s="979">
        <f t="shared" si="38"/>
        <v>53.382892947681796</v>
      </c>
      <c r="DM10" s="980">
        <f t="shared" si="8"/>
        <v>235.72184889015261</v>
      </c>
      <c r="DN10" s="985">
        <f t="shared" si="9"/>
        <v>270.14888510984741</v>
      </c>
      <c r="DO10" s="984">
        <f t="shared" si="10"/>
        <v>1.3901160000000012</v>
      </c>
      <c r="DP10" s="979">
        <f t="shared" si="39"/>
        <v>107.9871032345502</v>
      </c>
      <c r="DQ10" s="980">
        <f t="shared" si="28"/>
        <v>0</v>
      </c>
      <c r="DR10" s="985">
        <f t="shared" si="29"/>
        <v>1.5011460000000012</v>
      </c>
      <c r="DS10" s="984">
        <f t="shared" si="12"/>
        <v>0.82897600000000071</v>
      </c>
      <c r="DT10" s="339">
        <f t="shared" si="40"/>
        <v>109.30593889328522</v>
      </c>
      <c r="DU10" s="980">
        <f t="shared" si="30"/>
        <v>0</v>
      </c>
      <c r="DV10" s="985">
        <f t="shared" si="31"/>
        <v>0.90612000000000081</v>
      </c>
      <c r="DW10" s="979">
        <f t="shared" si="32"/>
        <v>0</v>
      </c>
      <c r="DX10" s="981">
        <f t="shared" si="33"/>
        <v>0.9000000000000008</v>
      </c>
      <c r="DY10" s="414">
        <v>2.4700000000000002</v>
      </c>
      <c r="DZ10" s="111">
        <v>2010</v>
      </c>
      <c r="EA10" s="118">
        <v>77.505899999999997</v>
      </c>
      <c r="EB10" s="123">
        <v>35.799999999999997</v>
      </c>
      <c r="EC10" s="113">
        <v>2010</v>
      </c>
      <c r="ED10" s="20">
        <v>1109.8844879999999</v>
      </c>
      <c r="EE10" s="414">
        <v>35.799999999999997</v>
      </c>
      <c r="EF10" s="111">
        <v>2010</v>
      </c>
      <c r="EG10" s="380">
        <v>99.609947204589801</v>
      </c>
      <c r="EH10" s="24" t="s">
        <v>375</v>
      </c>
      <c r="EI10" s="287">
        <v>0</v>
      </c>
      <c r="EJ10" s="40" t="s">
        <v>145</v>
      </c>
      <c r="EK10" s="35" t="s">
        <v>145</v>
      </c>
      <c r="EL10" s="95" t="s">
        <v>145</v>
      </c>
      <c r="EM10" s="95" t="s">
        <v>145</v>
      </c>
      <c r="EN10" s="35" t="s">
        <v>145</v>
      </c>
      <c r="EO10" s="95" t="s">
        <v>145</v>
      </c>
      <c r="EP10" s="205" t="s">
        <v>145</v>
      </c>
      <c r="EQ10" s="207" t="s">
        <v>145</v>
      </c>
      <c r="ER10" s="517">
        <v>2</v>
      </c>
      <c r="ES10" s="183" t="s">
        <v>3785</v>
      </c>
      <c r="ET10" s="183" t="s">
        <v>145</v>
      </c>
      <c r="EU10" s="82" t="s">
        <v>3784</v>
      </c>
      <c r="EV10" s="82" t="s">
        <v>145</v>
      </c>
      <c r="EW10" s="82" t="s">
        <v>145</v>
      </c>
      <c r="EX10" s="360" t="s">
        <v>145</v>
      </c>
      <c r="EY10" s="159"/>
      <c r="EZ10" s="156"/>
      <c r="FA10" s="323"/>
      <c r="FB10" s="323"/>
      <c r="FC10" s="323"/>
      <c r="FD10" s="160"/>
      <c r="FE10" s="156"/>
      <c r="FF10" s="156"/>
      <c r="FG10" s="156"/>
      <c r="FH10" s="157"/>
      <c r="FI10" s="242"/>
      <c r="FJ10" s="240"/>
      <c r="FK10" s="179"/>
      <c r="FL10" s="179"/>
      <c r="FM10" s="179"/>
      <c r="FN10" s="172"/>
      <c r="FO10" s="164"/>
      <c r="FP10" s="254">
        <v>1</v>
      </c>
      <c r="FQ10" s="82" t="s">
        <v>1612</v>
      </c>
      <c r="FR10" s="257"/>
      <c r="FS10" s="82"/>
      <c r="FT10" s="259"/>
      <c r="FU10" s="82"/>
      <c r="FV10" s="259"/>
      <c r="FW10" s="82"/>
      <c r="FX10" s="259"/>
      <c r="FY10" s="82"/>
      <c r="FZ10" s="259"/>
      <c r="GA10" s="82"/>
      <c r="GB10" s="261"/>
      <c r="GC10" s="90"/>
      <c r="GD10" s="76">
        <v>1</v>
      </c>
      <c r="GE10" s="445" t="s">
        <v>3424</v>
      </c>
      <c r="GF10" s="447" t="s">
        <v>590</v>
      </c>
      <c r="GG10" s="448">
        <v>5</v>
      </c>
      <c r="GH10" s="449">
        <v>4</v>
      </c>
      <c r="GI10" s="447" t="s">
        <v>10</v>
      </c>
      <c r="GJ10" s="449">
        <v>28</v>
      </c>
      <c r="GK10" s="447">
        <v>7</v>
      </c>
      <c r="GL10" s="448">
        <v>9</v>
      </c>
      <c r="GM10" s="449">
        <v>12</v>
      </c>
      <c r="GN10" s="447" t="s">
        <v>580</v>
      </c>
      <c r="GO10" s="449">
        <v>62</v>
      </c>
      <c r="GP10" s="447">
        <v>19</v>
      </c>
      <c r="GQ10" s="448">
        <v>23</v>
      </c>
      <c r="GR10" s="449">
        <v>20</v>
      </c>
      <c r="GS10" s="446">
        <v>7</v>
      </c>
      <c r="GT10" s="461">
        <v>-0.60038983821868896</v>
      </c>
      <c r="GU10" s="462">
        <v>7.0397138595581055E-2</v>
      </c>
      <c r="GV10" s="462">
        <v>6.5453171730041504E-2</v>
      </c>
      <c r="GW10" s="462">
        <v>0.22855187952518463</v>
      </c>
      <c r="GX10" s="462">
        <v>-0.31475764513015747</v>
      </c>
      <c r="GY10" s="463">
        <v>-0.46610239148139954</v>
      </c>
      <c r="GZ10" s="10">
        <v>61</v>
      </c>
      <c r="HA10" s="535">
        <v>0.58969000000000005</v>
      </c>
      <c r="HB10" s="535">
        <v>0.52941000000000005</v>
      </c>
      <c r="HC10" s="523">
        <v>0.61416999999999999</v>
      </c>
      <c r="HD10" s="462">
        <v>0.38890000000000002</v>
      </c>
      <c r="HE10" s="463">
        <v>0.76600000000000001</v>
      </c>
      <c r="HF10" s="10">
        <v>74</v>
      </c>
      <c r="HG10" s="532">
        <v>5.08</v>
      </c>
      <c r="HH10" s="447">
        <v>5.64</v>
      </c>
      <c r="HI10" s="544">
        <v>3.02</v>
      </c>
      <c r="HJ10" s="449">
        <v>8.0399999999999991</v>
      </c>
      <c r="HK10" s="379" t="s">
        <v>3995</v>
      </c>
      <c r="HL10" s="23" t="s">
        <v>4658</v>
      </c>
      <c r="HM10" s="557">
        <v>2002</v>
      </c>
      <c r="HN10" s="557" t="s">
        <v>145</v>
      </c>
      <c r="HO10" s="557" t="s">
        <v>3985</v>
      </c>
      <c r="HP10" s="562" t="s">
        <v>145</v>
      </c>
      <c r="HQ10" s="562" t="s">
        <v>145</v>
      </c>
      <c r="HR10" s="563" t="s">
        <v>145</v>
      </c>
      <c r="HS10" s="545">
        <v>33</v>
      </c>
      <c r="HT10" s="557">
        <v>96</v>
      </c>
      <c r="HU10" s="557">
        <v>2003</v>
      </c>
      <c r="HV10" s="583" t="s">
        <v>4169</v>
      </c>
      <c r="HW10" s="448">
        <v>3</v>
      </c>
      <c r="HX10" s="448">
        <v>24</v>
      </c>
      <c r="HY10" s="448">
        <v>18</v>
      </c>
      <c r="HZ10" s="448">
        <v>20</v>
      </c>
      <c r="IA10" s="448">
        <v>19</v>
      </c>
      <c r="IB10" s="448">
        <v>2</v>
      </c>
      <c r="IC10" s="449">
        <v>10</v>
      </c>
      <c r="ID10" s="40"/>
      <c r="IE10" s="355"/>
      <c r="IF10" s="355"/>
      <c r="IG10" s="647"/>
      <c r="IH10" s="115"/>
      <c r="II10" s="647" t="s">
        <v>4922</v>
      </c>
      <c r="IJ10" s="423" t="s">
        <v>4926</v>
      </c>
      <c r="IK10" s="10">
        <v>0</v>
      </c>
      <c r="IL10" s="749">
        <f t="shared" si="14"/>
        <v>19</v>
      </c>
      <c r="IM10" s="747">
        <f t="shared" si="15"/>
        <v>76</v>
      </c>
      <c r="IN10" s="750" t="str">
        <f t="shared" si="16"/>
        <v>A</v>
      </c>
      <c r="IO10" s="446"/>
      <c r="IP10" s="447">
        <v>6</v>
      </c>
      <c r="IQ10" s="448">
        <v>0</v>
      </c>
      <c r="IR10" s="449">
        <v>0</v>
      </c>
      <c r="IT10" s="435"/>
      <c r="IU10" s="435"/>
      <c r="IV10" s="435"/>
    </row>
    <row r="11" spans="1:277">
      <c r="A11" s="21">
        <v>9</v>
      </c>
      <c r="B11" s="9"/>
      <c r="C11" s="430" t="s">
        <v>24</v>
      </c>
      <c r="D11" s="423"/>
      <c r="E11" s="10" t="s">
        <v>17</v>
      </c>
      <c r="F11" s="76" t="s">
        <v>754</v>
      </c>
      <c r="G11" s="102" t="s">
        <v>435</v>
      </c>
      <c r="H11" s="375" t="s">
        <v>2110</v>
      </c>
      <c r="I11" s="95" t="s">
        <v>2450</v>
      </c>
      <c r="J11" s="176">
        <v>5</v>
      </c>
      <c r="K11" s="88">
        <v>1838</v>
      </c>
      <c r="L11" s="371">
        <v>2</v>
      </c>
      <c r="M11" s="240" t="s">
        <v>145</v>
      </c>
      <c r="N11" s="369" t="s">
        <v>1822</v>
      </c>
      <c r="O11" s="365" t="s">
        <v>2834</v>
      </c>
      <c r="P11" s="23" t="s">
        <v>145</v>
      </c>
      <c r="Q11" s="370">
        <v>0</v>
      </c>
      <c r="R11" s="358" t="s">
        <v>145</v>
      </c>
      <c r="S11" s="234" t="s">
        <v>145</v>
      </c>
      <c r="T11" s="176">
        <v>0</v>
      </c>
      <c r="U11" s="358">
        <v>0</v>
      </c>
      <c r="V11" s="176" t="s">
        <v>145</v>
      </c>
      <c r="W11" s="369" t="s">
        <v>145</v>
      </c>
      <c r="X11" s="86">
        <v>1</v>
      </c>
      <c r="Y11" s="347">
        <v>0</v>
      </c>
      <c r="Z11" s="273" t="s">
        <v>2052</v>
      </c>
      <c r="AA11" s="169">
        <v>1</v>
      </c>
      <c r="AB11" s="177"/>
      <c r="AC11" s="171"/>
      <c r="AD11" s="106" t="s">
        <v>145</v>
      </c>
      <c r="AE11" s="84" t="s">
        <v>145</v>
      </c>
      <c r="AF11" s="357">
        <v>0</v>
      </c>
      <c r="AG11" s="550">
        <v>0</v>
      </c>
      <c r="AH11" s="355" t="s">
        <v>145</v>
      </c>
      <c r="AI11" s="550" t="s">
        <v>145</v>
      </c>
      <c r="AJ11" s="550" t="s">
        <v>145</v>
      </c>
      <c r="AK11" s="590" t="s">
        <v>145</v>
      </c>
      <c r="AL11" s="355">
        <v>0</v>
      </c>
      <c r="AM11" s="363" t="s">
        <v>145</v>
      </c>
      <c r="AN11" s="397" t="s">
        <v>145</v>
      </c>
      <c r="AO11" s="86">
        <v>1</v>
      </c>
      <c r="AP11" s="347">
        <v>1</v>
      </c>
      <c r="AQ11" s="365" t="s">
        <v>4935</v>
      </c>
      <c r="AR11" s="377" t="s">
        <v>4936</v>
      </c>
      <c r="AS11" s="370">
        <v>2</v>
      </c>
      <c r="AT11" s="370">
        <v>3</v>
      </c>
      <c r="AU11" s="367">
        <v>2005</v>
      </c>
      <c r="AV11" s="358">
        <v>10</v>
      </c>
      <c r="AW11" s="589">
        <v>10800</v>
      </c>
      <c r="AX11" s="687">
        <v>0</v>
      </c>
      <c r="AY11" s="174" t="s">
        <v>2153</v>
      </c>
      <c r="AZ11" s="358">
        <v>2001</v>
      </c>
      <c r="BA11" s="370">
        <v>1</v>
      </c>
      <c r="BB11" s="370">
        <v>2</v>
      </c>
      <c r="BC11" s="174" t="s">
        <v>3946</v>
      </c>
      <c r="BD11" s="358">
        <v>2000</v>
      </c>
      <c r="BE11" s="370">
        <v>2</v>
      </c>
      <c r="BF11" s="367" t="s">
        <v>2748</v>
      </c>
      <c r="BG11" s="367">
        <v>1</v>
      </c>
      <c r="BH11" s="1" t="s">
        <v>3947</v>
      </c>
      <c r="BI11" s="367">
        <v>3</v>
      </c>
      <c r="BJ11" s="367">
        <v>1</v>
      </c>
      <c r="BK11" s="888">
        <v>23968.973000000002</v>
      </c>
      <c r="BL11" s="925">
        <f t="shared" si="0"/>
        <v>50.035677373411033</v>
      </c>
      <c r="BM11" s="888">
        <v>11975.934999999999</v>
      </c>
      <c r="BN11" s="920">
        <v>11993.038</v>
      </c>
      <c r="BO11" s="888">
        <v>1545.971</v>
      </c>
      <c r="BP11" s="1158">
        <f t="shared" si="17"/>
        <v>48.634030004443815</v>
      </c>
      <c r="BQ11" s="917">
        <v>794.10299999999995</v>
      </c>
      <c r="BR11" s="920">
        <v>751.86800000000005</v>
      </c>
      <c r="BS11" s="888">
        <v>1522.9549999999999</v>
      </c>
      <c r="BT11" s="1158">
        <f t="shared" si="18"/>
        <v>48.611416620976989</v>
      </c>
      <c r="BU11" s="917">
        <v>782.625</v>
      </c>
      <c r="BV11" s="920">
        <v>740.33</v>
      </c>
      <c r="BW11" s="888">
        <v>1412.8140000000001</v>
      </c>
      <c r="BX11" s="1158">
        <f t="shared" si="19"/>
        <v>48.734369846278412</v>
      </c>
      <c r="BY11" s="917">
        <v>724.28800000000001</v>
      </c>
      <c r="BZ11" s="920">
        <v>688.52599999999995</v>
      </c>
      <c r="CA11" s="888">
        <f t="shared" si="20"/>
        <v>19487.233</v>
      </c>
      <c r="CB11" s="1158">
        <f t="shared" si="21"/>
        <v>50.352525676682781</v>
      </c>
      <c r="CC11" s="917">
        <f t="shared" si="22"/>
        <v>9674.9189999999999</v>
      </c>
      <c r="CD11" s="920">
        <f t="shared" si="23"/>
        <v>9812.3140000000003</v>
      </c>
      <c r="CE11" s="914">
        <v>2015</v>
      </c>
      <c r="CF11" s="910" t="s">
        <v>5630</v>
      </c>
      <c r="CG11" s="930">
        <v>100</v>
      </c>
      <c r="CH11" s="1005">
        <v>100</v>
      </c>
      <c r="CI11" s="1006">
        <v>100</v>
      </c>
      <c r="CJ11" s="904" t="s">
        <v>1621</v>
      </c>
      <c r="CK11" s="904" t="s">
        <v>1621</v>
      </c>
      <c r="CL11" s="904">
        <v>2012</v>
      </c>
      <c r="CM11" s="905" t="s">
        <v>5578</v>
      </c>
      <c r="CN11" s="1044">
        <v>15406.161</v>
      </c>
      <c r="CO11" s="1045">
        <f t="shared" si="1"/>
        <v>64.275432243175374</v>
      </c>
      <c r="CP11" s="1049">
        <v>7471.5860000000002</v>
      </c>
      <c r="CQ11" s="1050">
        <v>7934.5749999999998</v>
      </c>
      <c r="CR11" s="1046">
        <v>2015</v>
      </c>
      <c r="CS11" s="1047" t="s">
        <v>5734</v>
      </c>
      <c r="CT11" s="1068" t="str">
        <f t="shared" si="2"/>
        <v>-</v>
      </c>
      <c r="CU11" s="1070">
        <v>18</v>
      </c>
      <c r="CV11" s="1117" t="s">
        <v>5767</v>
      </c>
      <c r="CW11" s="1113">
        <v>14722.754000000001</v>
      </c>
      <c r="CX11" s="1113">
        <v>17406.251</v>
      </c>
      <c r="CY11" s="1113">
        <v>22262.501</v>
      </c>
      <c r="CZ11" s="1048">
        <v>20</v>
      </c>
      <c r="DA11" s="1124">
        <v>5</v>
      </c>
      <c r="DB11" s="1050" t="s">
        <v>647</v>
      </c>
      <c r="DC11" s="1145" t="s">
        <v>323</v>
      </c>
      <c r="DD11" s="1131">
        <f t="shared" si="34"/>
        <v>8562.8120000000017</v>
      </c>
      <c r="DE11" s="1132">
        <f t="shared" si="3"/>
        <v>35.724567756824626</v>
      </c>
      <c r="DF11" s="1132">
        <f t="shared" si="35"/>
        <v>47.396381001941883</v>
      </c>
      <c r="DG11" s="1133">
        <f t="shared" si="36"/>
        <v>4504.3489999999993</v>
      </c>
      <c r="DH11" s="1133">
        <f t="shared" si="37"/>
        <v>4058.4630000000006</v>
      </c>
      <c r="DI11" s="1132">
        <f t="shared" si="5"/>
        <v>37.611668734006983</v>
      </c>
      <c r="DJ11" s="1134">
        <f t="shared" si="6"/>
        <v>33.840157931626671</v>
      </c>
      <c r="DK11" s="1135">
        <f t="shared" si="7"/>
        <v>8562.8120000000017</v>
      </c>
      <c r="DL11" s="1132">
        <f t="shared" si="38"/>
        <v>47.396381001941883</v>
      </c>
      <c r="DM11" s="1133">
        <f t="shared" si="8"/>
        <v>4504.3489999999993</v>
      </c>
      <c r="DN11" s="1136">
        <f t="shared" si="9"/>
        <v>4058.4630000000006</v>
      </c>
      <c r="DO11" s="1135">
        <f t="shared" si="10"/>
        <v>0</v>
      </c>
      <c r="DP11" s="1132">
        <f t="shared" si="39"/>
        <v>0</v>
      </c>
      <c r="DQ11" s="1133">
        <f t="shared" si="28"/>
        <v>0</v>
      </c>
      <c r="DR11" s="1136">
        <f t="shared" si="29"/>
        <v>0</v>
      </c>
      <c r="DS11" s="1135">
        <f t="shared" si="12"/>
        <v>0</v>
      </c>
      <c r="DT11" s="1137">
        <f t="shared" si="40"/>
        <v>0</v>
      </c>
      <c r="DU11" s="1133">
        <f t="shared" si="30"/>
        <v>0</v>
      </c>
      <c r="DV11" s="1136">
        <f t="shared" si="31"/>
        <v>0</v>
      </c>
      <c r="DW11" s="1132">
        <f t="shared" si="32"/>
        <v>0</v>
      </c>
      <c r="DX11" s="1134">
        <f t="shared" si="33"/>
        <v>0</v>
      </c>
      <c r="DY11" s="414" t="s">
        <v>145</v>
      </c>
      <c r="DZ11" s="111" t="s">
        <v>145</v>
      </c>
      <c r="EA11" s="118"/>
      <c r="EB11" s="123" t="s">
        <v>145</v>
      </c>
      <c r="EC11" s="113" t="s">
        <v>145</v>
      </c>
      <c r="ED11" s="20"/>
      <c r="EE11" s="414" t="s">
        <v>145</v>
      </c>
      <c r="EF11" s="111" t="s">
        <v>145</v>
      </c>
      <c r="EG11" s="380" t="s">
        <v>145</v>
      </c>
      <c r="EH11" s="24" t="s">
        <v>335</v>
      </c>
      <c r="EI11" s="287">
        <v>0</v>
      </c>
      <c r="EJ11" s="40" t="s">
        <v>145</v>
      </c>
      <c r="EK11" s="35" t="s">
        <v>145</v>
      </c>
      <c r="EL11" s="95" t="s">
        <v>145</v>
      </c>
      <c r="EM11" s="95" t="s">
        <v>145</v>
      </c>
      <c r="EN11" s="35" t="s">
        <v>145</v>
      </c>
      <c r="EO11" s="95" t="s">
        <v>145</v>
      </c>
      <c r="EP11" s="205" t="s">
        <v>145</v>
      </c>
      <c r="EQ11" s="207" t="s">
        <v>145</v>
      </c>
      <c r="ER11" s="517" t="s">
        <v>145</v>
      </c>
      <c r="ES11" s="183"/>
      <c r="ET11" s="183"/>
      <c r="EU11" s="82"/>
      <c r="EV11" s="82"/>
      <c r="EW11" s="82"/>
      <c r="EX11" s="90"/>
      <c r="EY11" s="159"/>
      <c r="EZ11" s="156"/>
      <c r="FA11" s="323"/>
      <c r="FB11" s="323"/>
      <c r="FC11" s="323"/>
      <c r="FD11" s="160"/>
      <c r="FE11" s="156"/>
      <c r="FF11" s="156"/>
      <c r="FG11" s="156"/>
      <c r="FH11" s="157"/>
      <c r="FI11" s="242"/>
      <c r="FJ11" s="240"/>
      <c r="FK11" s="179"/>
      <c r="FL11" s="179"/>
      <c r="FM11" s="179"/>
      <c r="FN11" s="172"/>
      <c r="FO11" s="164"/>
      <c r="FP11" s="255"/>
      <c r="FQ11" s="183"/>
      <c r="FR11" s="257"/>
      <c r="FS11" s="82"/>
      <c r="FT11" s="259"/>
      <c r="FU11" s="82"/>
      <c r="FV11" s="259"/>
      <c r="FW11" s="82"/>
      <c r="FX11" s="259"/>
      <c r="FY11" s="82"/>
      <c r="FZ11" s="259"/>
      <c r="GA11" s="82"/>
      <c r="GB11" s="261"/>
      <c r="GC11" s="90"/>
      <c r="GD11" s="76">
        <v>2</v>
      </c>
      <c r="GE11" s="445" t="s">
        <v>3425</v>
      </c>
      <c r="GF11" s="447" t="s">
        <v>10</v>
      </c>
      <c r="GG11" s="448">
        <v>1</v>
      </c>
      <c r="GH11" s="449">
        <v>1</v>
      </c>
      <c r="GI11" s="447" t="s">
        <v>10</v>
      </c>
      <c r="GJ11" s="449">
        <v>17</v>
      </c>
      <c r="GK11" s="447">
        <v>2</v>
      </c>
      <c r="GL11" s="448">
        <v>5</v>
      </c>
      <c r="GM11" s="449">
        <v>10</v>
      </c>
      <c r="GN11" s="447" t="s">
        <v>10</v>
      </c>
      <c r="GO11" s="449">
        <v>22</v>
      </c>
      <c r="GP11" s="447">
        <v>5</v>
      </c>
      <c r="GQ11" s="448">
        <v>10</v>
      </c>
      <c r="GR11" s="449">
        <v>7</v>
      </c>
      <c r="GS11" s="446">
        <v>10</v>
      </c>
      <c r="GT11" s="461">
        <v>1.4381312131881714</v>
      </c>
      <c r="GU11" s="462">
        <v>1.016480565071106</v>
      </c>
      <c r="GV11" s="462">
        <v>1.6246250867843628</v>
      </c>
      <c r="GW11" s="462">
        <v>1.7893579006195068</v>
      </c>
      <c r="GX11" s="462">
        <v>1.7536464929580688</v>
      </c>
      <c r="GY11" s="463">
        <v>1.7606610059738159</v>
      </c>
      <c r="GZ11" s="10">
        <v>2</v>
      </c>
      <c r="HA11" s="535">
        <v>0.91034000000000004</v>
      </c>
      <c r="HB11" s="535">
        <v>0.94116999999999995</v>
      </c>
      <c r="HC11" s="523">
        <v>0.92913000000000001</v>
      </c>
      <c r="HD11" s="462">
        <v>0.80405000000000004</v>
      </c>
      <c r="HE11" s="463">
        <v>0.99780000000000002</v>
      </c>
      <c r="HF11" s="10">
        <v>12</v>
      </c>
      <c r="HG11" s="532">
        <v>8.18</v>
      </c>
      <c r="HH11" s="447">
        <v>8.23</v>
      </c>
      <c r="HI11" s="544">
        <v>7.48</v>
      </c>
      <c r="HJ11" s="449">
        <v>9.5</v>
      </c>
      <c r="HK11" s="379" t="s">
        <v>3996</v>
      </c>
      <c r="HL11" s="23" t="s">
        <v>4659</v>
      </c>
      <c r="HM11" s="557">
        <v>1988</v>
      </c>
      <c r="HN11" s="557">
        <v>2001</v>
      </c>
      <c r="HO11" s="557" t="s">
        <v>3985</v>
      </c>
      <c r="HP11" s="562" t="s">
        <v>3997</v>
      </c>
      <c r="HQ11" s="639" t="s">
        <v>4684</v>
      </c>
      <c r="HR11" s="563" t="s">
        <v>3998</v>
      </c>
      <c r="HS11" s="545">
        <v>50</v>
      </c>
      <c r="HT11" s="557">
        <v>83</v>
      </c>
      <c r="HU11" s="557">
        <v>1982</v>
      </c>
      <c r="HV11" s="583" t="s">
        <v>4170</v>
      </c>
      <c r="HW11" s="448">
        <v>2</v>
      </c>
      <c r="HX11" s="448">
        <v>10</v>
      </c>
      <c r="HY11" s="448">
        <v>21</v>
      </c>
      <c r="HZ11" s="448">
        <v>15</v>
      </c>
      <c r="IA11" s="448">
        <v>23</v>
      </c>
      <c r="IB11" s="448">
        <v>2</v>
      </c>
      <c r="IC11" s="449">
        <v>10</v>
      </c>
      <c r="ID11" s="40" t="s">
        <v>5209</v>
      </c>
      <c r="IE11" s="355" t="s">
        <v>5200</v>
      </c>
      <c r="IF11" s="355" t="s">
        <v>5202</v>
      </c>
      <c r="IG11" s="647"/>
      <c r="IH11" s="115"/>
      <c r="II11" s="647" t="s">
        <v>4920</v>
      </c>
      <c r="IJ11" s="423" t="s">
        <v>4926</v>
      </c>
      <c r="IK11" s="10">
        <v>0</v>
      </c>
      <c r="IL11" s="749">
        <f t="shared" si="14"/>
        <v>14</v>
      </c>
      <c r="IM11" s="747">
        <f t="shared" si="15"/>
        <v>56.000000000000007</v>
      </c>
      <c r="IN11" s="750" t="str">
        <f t="shared" si="16"/>
        <v>B</v>
      </c>
      <c r="IO11" s="446"/>
      <c r="IP11" s="447">
        <v>1</v>
      </c>
      <c r="IQ11" s="448">
        <v>2</v>
      </c>
      <c r="IR11" s="449">
        <v>0</v>
      </c>
      <c r="IT11" s="435"/>
      <c r="IU11" s="435"/>
      <c r="IV11" s="435"/>
    </row>
    <row r="12" spans="1:277">
      <c r="A12" s="21">
        <v>10</v>
      </c>
      <c r="B12" s="9"/>
      <c r="C12" s="430" t="s">
        <v>26</v>
      </c>
      <c r="D12" s="423"/>
      <c r="E12" s="10" t="s">
        <v>17</v>
      </c>
      <c r="F12" s="76" t="s">
        <v>755</v>
      </c>
      <c r="G12" s="102" t="s">
        <v>434</v>
      </c>
      <c r="H12" s="375" t="s">
        <v>3109</v>
      </c>
      <c r="I12" s="95" t="s">
        <v>2257</v>
      </c>
      <c r="J12" s="177">
        <v>5</v>
      </c>
      <c r="K12" s="88">
        <v>1868</v>
      </c>
      <c r="L12" s="191">
        <v>2</v>
      </c>
      <c r="M12" s="374" t="s">
        <v>1841</v>
      </c>
      <c r="N12" s="280">
        <v>14.3</v>
      </c>
      <c r="O12" s="365" t="s">
        <v>2835</v>
      </c>
      <c r="P12" s="377" t="s">
        <v>2836</v>
      </c>
      <c r="Q12" s="177">
        <v>2</v>
      </c>
      <c r="R12" s="370">
        <v>2005</v>
      </c>
      <c r="S12" s="277" t="s">
        <v>3018</v>
      </c>
      <c r="T12" s="177">
        <v>1</v>
      </c>
      <c r="U12" s="370">
        <v>1</v>
      </c>
      <c r="V12" s="177" t="s">
        <v>145</v>
      </c>
      <c r="W12" s="171" t="s">
        <v>2036</v>
      </c>
      <c r="X12" s="170">
        <v>1</v>
      </c>
      <c r="Y12" s="369">
        <v>1</v>
      </c>
      <c r="Z12" s="271"/>
      <c r="AA12" s="169">
        <v>1</v>
      </c>
      <c r="AB12" s="177">
        <v>1</v>
      </c>
      <c r="AC12" s="171"/>
      <c r="AD12" s="366" t="s">
        <v>3019</v>
      </c>
      <c r="AE12" s="357">
        <v>2005</v>
      </c>
      <c r="AF12" s="80">
        <v>2</v>
      </c>
      <c r="AG12" s="586" t="s">
        <v>5171</v>
      </c>
      <c r="AH12" s="25" t="s">
        <v>2785</v>
      </c>
      <c r="AI12" s="586">
        <v>1</v>
      </c>
      <c r="AJ12" s="586">
        <v>1</v>
      </c>
      <c r="AK12" s="591">
        <v>7500</v>
      </c>
      <c r="AL12" s="390">
        <v>1</v>
      </c>
      <c r="AM12" s="331" t="s">
        <v>2792</v>
      </c>
      <c r="AN12" s="398" t="s">
        <v>145</v>
      </c>
      <c r="AO12" s="170">
        <v>0</v>
      </c>
      <c r="AP12" s="369">
        <v>0</v>
      </c>
      <c r="AQ12" s="365" t="s">
        <v>4937</v>
      </c>
      <c r="AR12" s="377" t="s">
        <v>4938</v>
      </c>
      <c r="AS12" s="370">
        <v>2</v>
      </c>
      <c r="AT12" s="177">
        <v>2</v>
      </c>
      <c r="AU12" s="371">
        <v>2006</v>
      </c>
      <c r="AV12" s="370">
        <v>10</v>
      </c>
      <c r="AW12" s="726">
        <v>2500</v>
      </c>
      <c r="AX12" s="705">
        <v>0</v>
      </c>
      <c r="AY12" s="174" t="s">
        <v>2191</v>
      </c>
      <c r="AZ12" s="370">
        <v>1991</v>
      </c>
      <c r="BA12" s="177">
        <v>1</v>
      </c>
      <c r="BB12" s="177">
        <v>1</v>
      </c>
      <c r="BC12" s="174" t="s">
        <v>4299</v>
      </c>
      <c r="BD12" s="370">
        <v>1965</v>
      </c>
      <c r="BE12" s="177">
        <v>0</v>
      </c>
      <c r="BF12" s="367" t="s">
        <v>145</v>
      </c>
      <c r="BG12" s="367">
        <v>0</v>
      </c>
      <c r="BH12" s="552" t="s">
        <v>145</v>
      </c>
      <c r="BI12" s="367">
        <v>3</v>
      </c>
      <c r="BJ12" s="367">
        <v>1</v>
      </c>
      <c r="BK12" s="888">
        <v>8544.5859999999993</v>
      </c>
      <c r="BL12" s="925">
        <f t="shared" si="0"/>
        <v>50.889124411644993</v>
      </c>
      <c r="BM12" s="888">
        <v>4196.3209999999999</v>
      </c>
      <c r="BN12" s="920">
        <v>4348.2650000000003</v>
      </c>
      <c r="BO12" s="888">
        <v>403.86200000000002</v>
      </c>
      <c r="BP12" s="1158">
        <f t="shared" si="17"/>
        <v>48.675785292996125</v>
      </c>
      <c r="BQ12" s="917">
        <v>207.279</v>
      </c>
      <c r="BR12" s="920">
        <v>196.583</v>
      </c>
      <c r="BS12" s="888">
        <v>396.64400000000001</v>
      </c>
      <c r="BT12" s="1158">
        <f t="shared" si="18"/>
        <v>48.78303970310909</v>
      </c>
      <c r="BU12" s="917">
        <v>203.149</v>
      </c>
      <c r="BV12" s="920">
        <v>193.495</v>
      </c>
      <c r="BW12" s="888">
        <v>413.47800000000001</v>
      </c>
      <c r="BX12" s="1158">
        <f t="shared" si="19"/>
        <v>49.133690305167391</v>
      </c>
      <c r="BY12" s="917">
        <v>210.321</v>
      </c>
      <c r="BZ12" s="920">
        <v>203.15700000000001</v>
      </c>
      <c r="CA12" s="888">
        <f t="shared" si="20"/>
        <v>7330.601999999999</v>
      </c>
      <c r="CB12" s="1158">
        <f t="shared" si="21"/>
        <v>51.224033169445036</v>
      </c>
      <c r="CC12" s="917">
        <f t="shared" si="22"/>
        <v>3575.5720000000001</v>
      </c>
      <c r="CD12" s="920">
        <f t="shared" si="23"/>
        <v>3755.0300000000007</v>
      </c>
      <c r="CE12" s="914">
        <v>2015</v>
      </c>
      <c r="CF12" s="910" t="s">
        <v>5630</v>
      </c>
      <c r="CG12" s="930">
        <v>100</v>
      </c>
      <c r="CH12" s="1005">
        <v>100</v>
      </c>
      <c r="CI12" s="1006">
        <v>100</v>
      </c>
      <c r="CJ12" s="904" t="s">
        <v>1621</v>
      </c>
      <c r="CK12" s="904" t="s">
        <v>1621</v>
      </c>
      <c r="CL12" s="904">
        <v>2011</v>
      </c>
      <c r="CM12" s="905" t="s">
        <v>5576</v>
      </c>
      <c r="CN12" s="1044">
        <v>8401.94</v>
      </c>
      <c r="CO12" s="1045">
        <f t="shared" si="1"/>
        <v>98.330568619708444</v>
      </c>
      <c r="CP12" s="1049">
        <v>4093.9380000000001</v>
      </c>
      <c r="CQ12" s="1050">
        <v>4308.0020000000004</v>
      </c>
      <c r="CR12" s="1046">
        <v>2011</v>
      </c>
      <c r="CS12" s="1047" t="s">
        <v>5738</v>
      </c>
      <c r="CT12" s="1068" t="str">
        <f t="shared" si="2"/>
        <v>-</v>
      </c>
      <c r="CU12" s="1071">
        <v>16</v>
      </c>
      <c r="CV12" s="1117" t="s">
        <v>5768</v>
      </c>
      <c r="CW12" s="1113">
        <v>6384.3310000000001</v>
      </c>
      <c r="CX12" s="1113">
        <v>6900.0609999999997</v>
      </c>
      <c r="CY12" s="1113">
        <v>8221.6460000000006</v>
      </c>
      <c r="CZ12" s="1048">
        <v>20</v>
      </c>
      <c r="DA12" s="1124">
        <v>5</v>
      </c>
      <c r="DB12" s="1050" t="s">
        <v>647</v>
      </c>
      <c r="DC12" s="1145" t="s">
        <v>323</v>
      </c>
      <c r="DD12" s="1131">
        <f t="shared" si="34"/>
        <v>142.64599999999882</v>
      </c>
      <c r="DE12" s="1132">
        <f t="shared" si="3"/>
        <v>1.6694313802915535</v>
      </c>
      <c r="DF12" s="1132">
        <f t="shared" si="35"/>
        <v>28.225817758647459</v>
      </c>
      <c r="DG12" s="1133">
        <f t="shared" si="36"/>
        <v>102.38299999999981</v>
      </c>
      <c r="DH12" s="1133">
        <f t="shared" si="37"/>
        <v>40.26299999999992</v>
      </c>
      <c r="DI12" s="1132">
        <f t="shared" si="5"/>
        <v>2.4398276490287518</v>
      </c>
      <c r="DJ12" s="1134">
        <f t="shared" si="6"/>
        <v>0.9259555247897705</v>
      </c>
      <c r="DK12" s="1135">
        <f t="shared" si="7"/>
        <v>142.64599999999882</v>
      </c>
      <c r="DL12" s="1132">
        <f t="shared" si="38"/>
        <v>28.225817758647459</v>
      </c>
      <c r="DM12" s="1133">
        <f t="shared" si="8"/>
        <v>102.38299999999981</v>
      </c>
      <c r="DN12" s="1136">
        <f t="shared" si="9"/>
        <v>40.26299999999992</v>
      </c>
      <c r="DO12" s="1135">
        <f t="shared" si="10"/>
        <v>0</v>
      </c>
      <c r="DP12" s="1132">
        <f t="shared" si="39"/>
        <v>0</v>
      </c>
      <c r="DQ12" s="1133">
        <f t="shared" si="28"/>
        <v>0</v>
      </c>
      <c r="DR12" s="1136">
        <f t="shared" si="29"/>
        <v>0</v>
      </c>
      <c r="DS12" s="1135">
        <f t="shared" si="12"/>
        <v>0</v>
      </c>
      <c r="DT12" s="1137">
        <f t="shared" si="40"/>
        <v>0</v>
      </c>
      <c r="DU12" s="1133">
        <f t="shared" si="30"/>
        <v>0</v>
      </c>
      <c r="DV12" s="1136">
        <f t="shared" si="31"/>
        <v>0</v>
      </c>
      <c r="DW12" s="1132">
        <f t="shared" si="32"/>
        <v>0</v>
      </c>
      <c r="DX12" s="1134">
        <f t="shared" si="33"/>
        <v>0</v>
      </c>
      <c r="DY12" s="414" t="s">
        <v>145</v>
      </c>
      <c r="DZ12" s="111" t="s">
        <v>145</v>
      </c>
      <c r="EA12" s="118"/>
      <c r="EB12" s="123" t="s">
        <v>145</v>
      </c>
      <c r="EC12" s="113" t="s">
        <v>145</v>
      </c>
      <c r="ED12" s="20"/>
      <c r="EE12" s="414">
        <v>6.2</v>
      </c>
      <c r="EF12" s="121">
        <v>2012</v>
      </c>
      <c r="EG12" s="380" t="s">
        <v>145</v>
      </c>
      <c r="EH12" s="24" t="s">
        <v>376</v>
      </c>
      <c r="EI12" s="288">
        <v>0</v>
      </c>
      <c r="EJ12" s="40" t="s">
        <v>145</v>
      </c>
      <c r="EK12" s="35" t="s">
        <v>145</v>
      </c>
      <c r="EL12" s="95" t="s">
        <v>145</v>
      </c>
      <c r="EM12" s="95" t="s">
        <v>145</v>
      </c>
      <c r="EN12" s="35" t="s">
        <v>145</v>
      </c>
      <c r="EO12" s="95" t="s">
        <v>145</v>
      </c>
      <c r="EP12" s="205" t="s">
        <v>145</v>
      </c>
      <c r="EQ12" s="207" t="s">
        <v>145</v>
      </c>
      <c r="ER12" s="517" t="s">
        <v>145</v>
      </c>
      <c r="ES12" s="183"/>
      <c r="ET12" s="183"/>
      <c r="EU12" s="82"/>
      <c r="EV12" s="82"/>
      <c r="EW12" s="82"/>
      <c r="EX12" s="90"/>
      <c r="EY12" s="159"/>
      <c r="EZ12" s="156"/>
      <c r="FA12" s="323"/>
      <c r="FB12" s="323"/>
      <c r="FC12" s="323"/>
      <c r="FD12" s="160"/>
      <c r="FE12" s="156"/>
      <c r="FF12" s="156"/>
      <c r="FG12" s="156"/>
      <c r="FH12" s="157"/>
      <c r="FI12" s="244"/>
      <c r="FJ12" s="374"/>
      <c r="FK12" s="180"/>
      <c r="FL12" s="180"/>
      <c r="FM12" s="180"/>
      <c r="FN12" s="171"/>
      <c r="FO12" s="164"/>
      <c r="FP12" s="255"/>
      <c r="FQ12" s="183"/>
      <c r="FR12" s="257"/>
      <c r="FS12" s="82"/>
      <c r="FT12" s="259"/>
      <c r="FU12" s="82"/>
      <c r="FV12" s="259"/>
      <c r="FW12" s="82"/>
      <c r="FX12" s="259"/>
      <c r="FY12" s="82"/>
      <c r="FZ12" s="259"/>
      <c r="GA12" s="82"/>
      <c r="GB12" s="261"/>
      <c r="GC12" s="90"/>
      <c r="GD12" s="76">
        <v>1</v>
      </c>
      <c r="GE12" s="445" t="s">
        <v>3424</v>
      </c>
      <c r="GF12" s="447" t="s">
        <v>10</v>
      </c>
      <c r="GG12" s="448">
        <v>1</v>
      </c>
      <c r="GH12" s="449">
        <v>1</v>
      </c>
      <c r="GI12" s="447" t="s">
        <v>145</v>
      </c>
      <c r="GJ12" s="449" t="s">
        <v>145</v>
      </c>
      <c r="GK12" s="447" t="s">
        <v>145</v>
      </c>
      <c r="GL12" s="448" t="s">
        <v>145</v>
      </c>
      <c r="GM12" s="449" t="s">
        <v>145</v>
      </c>
      <c r="GN12" s="447" t="s">
        <v>10</v>
      </c>
      <c r="GO12" s="449">
        <v>21</v>
      </c>
      <c r="GP12" s="447">
        <v>8</v>
      </c>
      <c r="GQ12" s="448">
        <v>8</v>
      </c>
      <c r="GR12" s="449">
        <v>5</v>
      </c>
      <c r="GS12" s="446">
        <v>10</v>
      </c>
      <c r="GT12" s="461">
        <v>1.4644901752471924</v>
      </c>
      <c r="GU12" s="462">
        <v>1.3427889347076416</v>
      </c>
      <c r="GV12" s="462">
        <v>1.5663824081420898</v>
      </c>
      <c r="GW12" s="462">
        <v>1.4784309864044189</v>
      </c>
      <c r="GX12" s="462">
        <v>1.8288122415542603</v>
      </c>
      <c r="GY12" s="463">
        <v>1.5065270662307739</v>
      </c>
      <c r="GZ12" s="10">
        <v>20</v>
      </c>
      <c r="HA12" s="535">
        <v>0.79124000000000005</v>
      </c>
      <c r="HB12" s="535">
        <v>0.62744999999999995</v>
      </c>
      <c r="HC12" s="523">
        <v>0.74802999999999997</v>
      </c>
      <c r="HD12" s="462">
        <v>0.75971999999999995</v>
      </c>
      <c r="HE12" s="463">
        <v>0.86599999999999999</v>
      </c>
      <c r="HF12" s="10">
        <v>24</v>
      </c>
      <c r="HG12" s="532">
        <v>7.62</v>
      </c>
      <c r="HH12" s="447">
        <v>8.2799999999999994</v>
      </c>
      <c r="HI12" s="544">
        <v>6.28</v>
      </c>
      <c r="HJ12" s="449">
        <v>8.9600000000000009</v>
      </c>
      <c r="HK12" s="379" t="s">
        <v>3999</v>
      </c>
      <c r="HL12" s="23" t="s">
        <v>4660</v>
      </c>
      <c r="HM12" s="557">
        <v>1978</v>
      </c>
      <c r="HN12" s="557">
        <v>2009</v>
      </c>
      <c r="HO12" s="557" t="s">
        <v>3985</v>
      </c>
      <c r="HP12" s="562" t="s">
        <v>4000</v>
      </c>
      <c r="HQ12" s="639" t="s">
        <v>4685</v>
      </c>
      <c r="HR12" s="563" t="s">
        <v>4001</v>
      </c>
      <c r="HS12" s="545">
        <v>100</v>
      </c>
      <c r="HT12" s="557">
        <v>37</v>
      </c>
      <c r="HU12" s="557">
        <v>1987</v>
      </c>
      <c r="HV12" s="583" t="s">
        <v>4171</v>
      </c>
      <c r="HW12" s="448">
        <v>2</v>
      </c>
      <c r="HX12" s="448">
        <v>23</v>
      </c>
      <c r="HY12" s="448">
        <v>8</v>
      </c>
      <c r="HZ12" s="448">
        <v>2</v>
      </c>
      <c r="IA12" s="448">
        <v>2</v>
      </c>
      <c r="IB12" s="448">
        <v>0</v>
      </c>
      <c r="IC12" s="449">
        <v>0</v>
      </c>
      <c r="ID12" s="40" t="s">
        <v>5199</v>
      </c>
      <c r="IE12" s="355" t="s">
        <v>5200</v>
      </c>
      <c r="IF12" s="355"/>
      <c r="IG12" s="647"/>
      <c r="IH12" s="115"/>
      <c r="II12" s="647" t="s">
        <v>4920</v>
      </c>
      <c r="IJ12" s="423" t="s">
        <v>4925</v>
      </c>
      <c r="IK12" s="10">
        <v>0</v>
      </c>
      <c r="IL12" s="749">
        <f t="shared" si="14"/>
        <v>18</v>
      </c>
      <c r="IM12" s="747">
        <f t="shared" si="15"/>
        <v>72</v>
      </c>
      <c r="IN12" s="750" t="str">
        <f t="shared" si="16"/>
        <v>B</v>
      </c>
      <c r="IO12" s="446"/>
      <c r="IP12" s="447">
        <v>2</v>
      </c>
      <c r="IQ12" s="448">
        <v>0</v>
      </c>
      <c r="IR12" s="449">
        <v>0</v>
      </c>
      <c r="IT12" s="435"/>
      <c r="IU12" s="435"/>
      <c r="IV12" s="435"/>
    </row>
    <row r="13" spans="1:277">
      <c r="A13" s="21">
        <v>11</v>
      </c>
      <c r="B13" s="9"/>
      <c r="C13" s="430" t="s">
        <v>27</v>
      </c>
      <c r="D13" s="423" t="s">
        <v>408</v>
      </c>
      <c r="E13" s="10" t="s">
        <v>12</v>
      </c>
      <c r="F13" s="76" t="s">
        <v>756</v>
      </c>
      <c r="G13" s="102" t="s">
        <v>440</v>
      </c>
      <c r="H13" s="375" t="s">
        <v>2125</v>
      </c>
      <c r="I13" s="364" t="s">
        <v>2126</v>
      </c>
      <c r="J13" s="370">
        <v>1</v>
      </c>
      <c r="K13" s="359">
        <v>1920</v>
      </c>
      <c r="L13" s="371">
        <v>2</v>
      </c>
      <c r="M13" s="373" t="s">
        <v>145</v>
      </c>
      <c r="N13" s="369" t="s">
        <v>1822</v>
      </c>
      <c r="O13" s="365" t="s">
        <v>2989</v>
      </c>
      <c r="P13" s="377" t="s">
        <v>2990</v>
      </c>
      <c r="Q13" s="370">
        <v>2</v>
      </c>
      <c r="R13" s="358">
        <v>1994</v>
      </c>
      <c r="S13" s="372" t="s">
        <v>3054</v>
      </c>
      <c r="T13" s="370">
        <v>1</v>
      </c>
      <c r="U13" s="358">
        <v>2</v>
      </c>
      <c r="V13" s="370">
        <v>16</v>
      </c>
      <c r="W13" s="369" t="s">
        <v>1822</v>
      </c>
      <c r="X13" s="86">
        <v>0</v>
      </c>
      <c r="Y13" s="347">
        <v>0</v>
      </c>
      <c r="Z13" s="272"/>
      <c r="AA13" s="169">
        <v>1</v>
      </c>
      <c r="AB13" s="177"/>
      <c r="AC13" s="171"/>
      <c r="AD13" s="365" t="s">
        <v>2989</v>
      </c>
      <c r="AE13" s="358">
        <v>2015</v>
      </c>
      <c r="AF13" s="357">
        <v>2</v>
      </c>
      <c r="AG13" s="550" t="s">
        <v>5171</v>
      </c>
      <c r="AH13" s="355" t="s">
        <v>3055</v>
      </c>
      <c r="AI13" s="55">
        <v>1</v>
      </c>
      <c r="AJ13" s="55">
        <v>1</v>
      </c>
      <c r="AK13" s="590" t="s">
        <v>145</v>
      </c>
      <c r="AL13" s="386">
        <v>15</v>
      </c>
      <c r="AM13" s="361" t="s">
        <v>3053</v>
      </c>
      <c r="AN13" s="397">
        <v>3</v>
      </c>
      <c r="AO13" s="86">
        <v>0</v>
      </c>
      <c r="AP13" s="347">
        <v>0</v>
      </c>
      <c r="AQ13" s="365" t="s">
        <v>4939</v>
      </c>
      <c r="AR13" s="377" t="s">
        <v>4940</v>
      </c>
      <c r="AS13" s="370">
        <v>2</v>
      </c>
      <c r="AT13" s="370">
        <v>2</v>
      </c>
      <c r="AU13" s="367">
        <v>2013</v>
      </c>
      <c r="AV13" s="358">
        <v>5</v>
      </c>
      <c r="AW13" s="589" t="s">
        <v>145</v>
      </c>
      <c r="AX13" s="687">
        <v>0</v>
      </c>
      <c r="AY13" s="174" t="s">
        <v>2192</v>
      </c>
      <c r="AZ13" s="358">
        <v>2003</v>
      </c>
      <c r="BA13" s="370">
        <v>1</v>
      </c>
      <c r="BB13" s="370">
        <v>1</v>
      </c>
      <c r="BC13" s="174" t="s">
        <v>4300</v>
      </c>
      <c r="BD13" s="358">
        <v>2000</v>
      </c>
      <c r="BE13" s="370">
        <v>0</v>
      </c>
      <c r="BF13" s="367" t="s">
        <v>145</v>
      </c>
      <c r="BG13" s="367">
        <v>1</v>
      </c>
      <c r="BH13" s="1" t="s">
        <v>3948</v>
      </c>
      <c r="BI13" s="367">
        <v>2</v>
      </c>
      <c r="BJ13" s="367">
        <v>1</v>
      </c>
      <c r="BK13" s="888">
        <v>9753.9680000000008</v>
      </c>
      <c r="BL13" s="925">
        <f t="shared" si="0"/>
        <v>50.219787475210076</v>
      </c>
      <c r="BM13" s="888">
        <v>4855.5460000000003</v>
      </c>
      <c r="BN13" s="920">
        <v>4898.4219999999996</v>
      </c>
      <c r="BO13" s="888">
        <v>930.423</v>
      </c>
      <c r="BP13" s="1158">
        <f t="shared" si="17"/>
        <v>45.691045900627998</v>
      </c>
      <c r="BQ13" s="917">
        <v>505.303</v>
      </c>
      <c r="BR13" s="920">
        <v>425.12</v>
      </c>
      <c r="BS13" s="888">
        <v>618.62199999999996</v>
      </c>
      <c r="BT13" s="1158">
        <f t="shared" si="18"/>
        <v>46.907966415678722</v>
      </c>
      <c r="BU13" s="917">
        <v>328.43900000000002</v>
      </c>
      <c r="BV13" s="920">
        <v>290.18299999999999</v>
      </c>
      <c r="BW13" s="888">
        <v>588.88300000000004</v>
      </c>
      <c r="BX13" s="1158">
        <f t="shared" si="19"/>
        <v>47.092546397162081</v>
      </c>
      <c r="BY13" s="917">
        <v>311.56299999999999</v>
      </c>
      <c r="BZ13" s="920">
        <v>277.32</v>
      </c>
      <c r="CA13" s="888">
        <f t="shared" si="20"/>
        <v>7616.0400000000009</v>
      </c>
      <c r="CB13" s="1158">
        <f t="shared" si="21"/>
        <v>51.28385617722595</v>
      </c>
      <c r="CC13" s="917">
        <f t="shared" si="22"/>
        <v>3710.2410000000004</v>
      </c>
      <c r="CD13" s="920">
        <f t="shared" si="23"/>
        <v>3905.7989999999995</v>
      </c>
      <c r="CE13" s="914">
        <v>2015</v>
      </c>
      <c r="CF13" s="910" t="s">
        <v>5630</v>
      </c>
      <c r="CG13" s="930">
        <v>93.6</v>
      </c>
      <c r="CH13" s="495">
        <v>93.4</v>
      </c>
      <c r="CI13" s="497">
        <v>93.9</v>
      </c>
      <c r="CJ13" s="904">
        <v>95.5</v>
      </c>
      <c r="CK13" s="904">
        <v>91.7</v>
      </c>
      <c r="CL13" s="904">
        <v>2006</v>
      </c>
      <c r="CM13" s="905" t="s">
        <v>5575</v>
      </c>
      <c r="CN13" s="1044">
        <v>5096.4680000000008</v>
      </c>
      <c r="CO13" s="1045">
        <f t="shared" si="1"/>
        <v>52.250202174130578</v>
      </c>
      <c r="CP13" s="1049">
        <v>2463.5010000000002</v>
      </c>
      <c r="CQ13" s="1050">
        <v>2632.9670000000001</v>
      </c>
      <c r="CR13" s="1046">
        <v>2015</v>
      </c>
      <c r="CS13" s="1047" t="s">
        <v>5739</v>
      </c>
      <c r="CT13" s="1068">
        <f t="shared" si="2"/>
        <v>16</v>
      </c>
      <c r="CU13" s="1069">
        <v>18</v>
      </c>
      <c r="CV13" s="1068" t="s">
        <v>5860</v>
      </c>
      <c r="CW13" s="1113">
        <v>5211.7650000000003</v>
      </c>
      <c r="CX13" s="1113">
        <v>7150.5060000000003</v>
      </c>
      <c r="CY13" s="1113">
        <v>9780.7800000000007</v>
      </c>
      <c r="CZ13" s="1048">
        <v>10</v>
      </c>
      <c r="DA13" s="1124">
        <v>4</v>
      </c>
      <c r="DB13" s="1050" t="s">
        <v>647</v>
      </c>
      <c r="DC13" s="1146" t="s">
        <v>322</v>
      </c>
      <c r="DD13" s="982">
        <f t="shared" si="34"/>
        <v>2656.3993919999998</v>
      </c>
      <c r="DE13" s="979">
        <f t="shared" si="3"/>
        <v>27.234038413904983</v>
      </c>
      <c r="DF13" s="979">
        <f t="shared" si="35"/>
        <v>50.19508764441094</v>
      </c>
      <c r="DG13" s="983">
        <f t="shared" si="36"/>
        <v>1322.3301300000001</v>
      </c>
      <c r="DH13" s="983">
        <f t="shared" si="37"/>
        <v>1333.3820029999993</v>
      </c>
      <c r="DI13" s="979">
        <f t="shared" si="5"/>
        <v>27.233397232772589</v>
      </c>
      <c r="DJ13" s="981">
        <f t="shared" si="6"/>
        <v>27.220643770585699</v>
      </c>
      <c r="DK13" s="984">
        <f t="shared" si="7"/>
        <v>2519.5720000000001</v>
      </c>
      <c r="DL13" s="979">
        <f t="shared" si="38"/>
        <v>50.517786354190285</v>
      </c>
      <c r="DM13" s="983">
        <f t="shared" si="8"/>
        <v>1246.7400000000002</v>
      </c>
      <c r="DN13" s="986">
        <f t="shared" si="9"/>
        <v>1272.8319999999994</v>
      </c>
      <c r="DO13" s="984">
        <f t="shared" si="10"/>
        <v>77.280320000000074</v>
      </c>
      <c r="DP13" s="979">
        <f t="shared" si="39"/>
        <v>44.794952971209149</v>
      </c>
      <c r="DQ13" s="983">
        <f t="shared" si="28"/>
        <v>42.240131999999967</v>
      </c>
      <c r="DR13" s="986">
        <f t="shared" si="29"/>
        <v>34.617682999999971</v>
      </c>
      <c r="DS13" s="984">
        <f t="shared" si="12"/>
        <v>59.54707200000005</v>
      </c>
      <c r="DT13" s="339">
        <f t="shared" si="40"/>
        <v>43.549278124035979</v>
      </c>
      <c r="DU13" s="983">
        <f t="shared" si="30"/>
        <v>33.349997999999971</v>
      </c>
      <c r="DV13" s="986">
        <f t="shared" si="31"/>
        <v>25.932319999999976</v>
      </c>
      <c r="DW13" s="979">
        <f t="shared" si="32"/>
        <v>6.5999999999999943</v>
      </c>
      <c r="DX13" s="981">
        <f t="shared" si="33"/>
        <v>6.0999999999999943</v>
      </c>
      <c r="DY13" s="414">
        <v>0.43</v>
      </c>
      <c r="DZ13" s="111">
        <v>2008</v>
      </c>
      <c r="EA13" s="368">
        <v>39</v>
      </c>
      <c r="EB13" s="123">
        <v>15.8</v>
      </c>
      <c r="EC13" s="113">
        <v>2008</v>
      </c>
      <c r="ED13" s="20">
        <v>1448.5439999999999</v>
      </c>
      <c r="EE13" s="414">
        <v>6</v>
      </c>
      <c r="EF13" s="111">
        <v>2012</v>
      </c>
      <c r="EG13" s="380">
        <v>99.775772094726605</v>
      </c>
      <c r="EH13" s="24" t="s">
        <v>329</v>
      </c>
      <c r="EI13" s="287">
        <v>3</v>
      </c>
      <c r="EJ13" s="40">
        <v>3</v>
      </c>
      <c r="EK13" s="355" t="s">
        <v>728</v>
      </c>
      <c r="EL13" s="364" t="s">
        <v>145</v>
      </c>
      <c r="EM13" s="364" t="s">
        <v>145</v>
      </c>
      <c r="EN13" s="355" t="s">
        <v>145</v>
      </c>
      <c r="EO13" s="364" t="s">
        <v>145</v>
      </c>
      <c r="EP13" s="205">
        <v>0.94</v>
      </c>
      <c r="EQ13" s="207">
        <v>0.85</v>
      </c>
      <c r="ER13" s="517" t="s">
        <v>145</v>
      </c>
      <c r="ES13" s="183"/>
      <c r="ET13" s="183"/>
      <c r="EU13" s="82"/>
      <c r="EV13" s="82"/>
      <c r="EW13" s="82"/>
      <c r="EX13" s="360"/>
      <c r="EY13" s="159"/>
      <c r="EZ13" s="156"/>
      <c r="FA13" s="323"/>
      <c r="FB13" s="323"/>
      <c r="FC13" s="323"/>
      <c r="FD13" s="160"/>
      <c r="FE13" s="156"/>
      <c r="FF13" s="156"/>
      <c r="FG13" s="156"/>
      <c r="FH13" s="157"/>
      <c r="FI13" s="242"/>
      <c r="FJ13" s="373"/>
      <c r="FK13" s="179"/>
      <c r="FL13" s="179"/>
      <c r="FM13" s="179"/>
      <c r="FN13" s="369"/>
      <c r="FO13" s="164"/>
      <c r="FP13" s="255"/>
      <c r="FQ13" s="183"/>
      <c r="FR13" s="257"/>
      <c r="FS13" s="82"/>
      <c r="FT13" s="259"/>
      <c r="FU13" s="82"/>
      <c r="FV13" s="259"/>
      <c r="FW13" s="82"/>
      <c r="FX13" s="259"/>
      <c r="FY13" s="82"/>
      <c r="FZ13" s="259"/>
      <c r="GA13" s="82"/>
      <c r="GB13" s="261"/>
      <c r="GC13" s="360"/>
      <c r="GD13" s="76">
        <v>1</v>
      </c>
      <c r="GE13" s="445" t="s">
        <v>3424</v>
      </c>
      <c r="GF13" s="447" t="s">
        <v>580</v>
      </c>
      <c r="GG13" s="448">
        <v>6</v>
      </c>
      <c r="GH13" s="449">
        <v>6</v>
      </c>
      <c r="GI13" s="447" t="s">
        <v>590</v>
      </c>
      <c r="GJ13" s="449">
        <v>55</v>
      </c>
      <c r="GK13" s="447">
        <v>14</v>
      </c>
      <c r="GL13" s="448">
        <v>17</v>
      </c>
      <c r="GM13" s="449">
        <v>24</v>
      </c>
      <c r="GN13" s="447" t="s">
        <v>580</v>
      </c>
      <c r="GO13" s="449">
        <v>84</v>
      </c>
      <c r="GP13" s="447">
        <v>28</v>
      </c>
      <c r="GQ13" s="448">
        <v>34</v>
      </c>
      <c r="GR13" s="449">
        <v>22</v>
      </c>
      <c r="GS13" s="446">
        <v>1</v>
      </c>
      <c r="GT13" s="461">
        <v>-1.3539718389511108</v>
      </c>
      <c r="GU13" s="462">
        <v>-0.41039389371871948</v>
      </c>
      <c r="GV13" s="462">
        <v>-0.45513376593589783</v>
      </c>
      <c r="GW13" s="462">
        <v>-0.42655724287033081</v>
      </c>
      <c r="GX13" s="462">
        <v>-0.67366319894790649</v>
      </c>
      <c r="GY13" s="463">
        <v>-0.90131652355194092</v>
      </c>
      <c r="GZ13" s="10">
        <v>68</v>
      </c>
      <c r="HA13" s="535">
        <v>0.54720000000000002</v>
      </c>
      <c r="HB13" s="535">
        <v>0.43136999999999998</v>
      </c>
      <c r="HC13" s="523">
        <v>0.43307000000000001</v>
      </c>
      <c r="HD13" s="462">
        <v>0.46049000000000001</v>
      </c>
      <c r="HE13" s="463">
        <v>0.748</v>
      </c>
      <c r="HF13" s="10">
        <v>64</v>
      </c>
      <c r="HG13" s="532">
        <v>5.65</v>
      </c>
      <c r="HH13" s="447">
        <v>6.07</v>
      </c>
      <c r="HI13" s="544">
        <v>4.4000000000000004</v>
      </c>
      <c r="HJ13" s="449">
        <v>7.33</v>
      </c>
      <c r="HK13" s="379" t="s">
        <v>4002</v>
      </c>
      <c r="HL13" s="23" t="s">
        <v>4661</v>
      </c>
      <c r="HM13" s="557">
        <v>1998</v>
      </c>
      <c r="HN13" s="557">
        <v>2010</v>
      </c>
      <c r="HO13" s="557" t="s">
        <v>3985</v>
      </c>
      <c r="HP13" s="562" t="s">
        <v>145</v>
      </c>
      <c r="HQ13" s="562" t="s">
        <v>145</v>
      </c>
      <c r="HR13" s="563" t="s">
        <v>145</v>
      </c>
      <c r="HS13" s="545">
        <v>10</v>
      </c>
      <c r="HT13" s="557">
        <v>115</v>
      </c>
      <c r="HU13" s="557">
        <v>2005</v>
      </c>
      <c r="HV13" s="583" t="s">
        <v>4172</v>
      </c>
      <c r="HW13" s="448">
        <v>5</v>
      </c>
      <c r="HX13" s="448">
        <v>28</v>
      </c>
      <c r="HY13" s="448">
        <v>24</v>
      </c>
      <c r="HZ13" s="448">
        <v>24</v>
      </c>
      <c r="IA13" s="448">
        <v>19</v>
      </c>
      <c r="IB13" s="448">
        <v>3</v>
      </c>
      <c r="IC13" s="449">
        <v>12</v>
      </c>
      <c r="ID13" s="40"/>
      <c r="IE13" s="355"/>
      <c r="IF13" s="355"/>
      <c r="IG13" s="647"/>
      <c r="IH13" s="115">
        <v>42.6</v>
      </c>
      <c r="II13" s="647" t="s">
        <v>4922</v>
      </c>
      <c r="IJ13" s="423" t="s">
        <v>4926</v>
      </c>
      <c r="IK13" s="10">
        <v>0</v>
      </c>
      <c r="IL13" s="749">
        <f t="shared" si="14"/>
        <v>19</v>
      </c>
      <c r="IM13" s="747">
        <f t="shared" si="15"/>
        <v>76</v>
      </c>
      <c r="IN13" s="750" t="str">
        <f t="shared" si="16"/>
        <v>A</v>
      </c>
      <c r="IO13" s="446"/>
      <c r="IP13" s="902">
        <v>4</v>
      </c>
      <c r="IQ13" s="903">
        <v>0</v>
      </c>
      <c r="IR13" s="993">
        <v>0</v>
      </c>
      <c r="IT13" s="435"/>
      <c r="IU13" s="435"/>
      <c r="IV13" s="435"/>
    </row>
    <row r="14" spans="1:277">
      <c r="A14" s="21">
        <v>12</v>
      </c>
      <c r="B14" s="9"/>
      <c r="C14" s="430" t="s">
        <v>29</v>
      </c>
      <c r="D14" s="424" t="s">
        <v>409</v>
      </c>
      <c r="E14" s="10" t="s">
        <v>17</v>
      </c>
      <c r="F14" s="76" t="s">
        <v>734</v>
      </c>
      <c r="G14" s="102" t="s">
        <v>465</v>
      </c>
      <c r="H14" s="375" t="s">
        <v>963</v>
      </c>
      <c r="I14" s="364" t="s">
        <v>1683</v>
      </c>
      <c r="J14" s="358">
        <v>1</v>
      </c>
      <c r="K14" s="88">
        <v>1850</v>
      </c>
      <c r="L14" s="367">
        <v>2</v>
      </c>
      <c r="M14" s="403" t="s">
        <v>1809</v>
      </c>
      <c r="N14" s="347" t="s">
        <v>1822</v>
      </c>
      <c r="O14" s="365" t="s">
        <v>2998</v>
      </c>
      <c r="P14" s="377" t="s">
        <v>2997</v>
      </c>
      <c r="Q14" s="358">
        <v>1</v>
      </c>
      <c r="R14" s="358">
        <v>1914</v>
      </c>
      <c r="S14" s="377" t="s">
        <v>2999</v>
      </c>
      <c r="T14" s="358">
        <v>2</v>
      </c>
      <c r="U14" s="358">
        <v>2</v>
      </c>
      <c r="V14" s="358">
        <v>0</v>
      </c>
      <c r="W14" s="347" t="s">
        <v>3052</v>
      </c>
      <c r="X14" s="86">
        <v>1</v>
      </c>
      <c r="Y14" s="347">
        <v>1</v>
      </c>
      <c r="Z14" s="272"/>
      <c r="AA14" s="1092">
        <v>1</v>
      </c>
      <c r="AB14" s="1093"/>
      <c r="AC14" s="1094"/>
      <c r="AD14" s="106" t="s">
        <v>145</v>
      </c>
      <c r="AE14" s="84" t="s">
        <v>145</v>
      </c>
      <c r="AF14" s="358">
        <v>0</v>
      </c>
      <c r="AG14" s="550">
        <v>1</v>
      </c>
      <c r="AH14" s="355" t="s">
        <v>145</v>
      </c>
      <c r="AI14" s="550" t="s">
        <v>145</v>
      </c>
      <c r="AJ14" s="550" t="s">
        <v>145</v>
      </c>
      <c r="AK14" s="590" t="s">
        <v>145</v>
      </c>
      <c r="AL14" s="357">
        <v>0</v>
      </c>
      <c r="AM14" s="363" t="s">
        <v>145</v>
      </c>
      <c r="AN14" s="344" t="s">
        <v>145</v>
      </c>
      <c r="AO14" s="86">
        <v>0</v>
      </c>
      <c r="AP14" s="347">
        <v>0</v>
      </c>
      <c r="AQ14" s="365" t="s">
        <v>4941</v>
      </c>
      <c r="AR14" s="377" t="s">
        <v>4942</v>
      </c>
      <c r="AS14" s="370">
        <v>2</v>
      </c>
      <c r="AT14" s="358">
        <v>3</v>
      </c>
      <c r="AU14" s="367">
        <v>2007</v>
      </c>
      <c r="AV14" s="358">
        <v>5</v>
      </c>
      <c r="AW14" s="589">
        <v>200</v>
      </c>
      <c r="AX14" s="687">
        <v>0</v>
      </c>
      <c r="AY14" s="174" t="s">
        <v>4399</v>
      </c>
      <c r="AZ14" s="358">
        <v>2004</v>
      </c>
      <c r="BA14" s="228">
        <v>1</v>
      </c>
      <c r="BB14" s="228">
        <v>0</v>
      </c>
      <c r="BC14" s="549" t="s">
        <v>145</v>
      </c>
      <c r="BD14" s="192" t="s">
        <v>145</v>
      </c>
      <c r="BE14" s="228">
        <v>0</v>
      </c>
      <c r="BF14" s="345" t="s">
        <v>145</v>
      </c>
      <c r="BG14" s="345">
        <v>0</v>
      </c>
      <c r="BH14" s="551" t="s">
        <v>145</v>
      </c>
      <c r="BI14" s="345">
        <v>3</v>
      </c>
      <c r="BJ14" s="345">
        <v>1</v>
      </c>
      <c r="BK14" s="888">
        <v>388.01900000000001</v>
      </c>
      <c r="BL14" s="925">
        <f t="shared" si="0"/>
        <v>51.044407619214525</v>
      </c>
      <c r="BM14" s="888">
        <v>189.95699999999999</v>
      </c>
      <c r="BN14" s="920">
        <v>198.06200000000001</v>
      </c>
      <c r="BO14" s="888">
        <v>29.111999999999998</v>
      </c>
      <c r="BP14" s="1158">
        <f t="shared" si="17"/>
        <v>48.677521297059634</v>
      </c>
      <c r="BQ14" s="917">
        <v>14.941000000000001</v>
      </c>
      <c r="BR14" s="920">
        <v>14.170999999999999</v>
      </c>
      <c r="BS14" s="888">
        <v>27.137</v>
      </c>
      <c r="BT14" s="1158">
        <f t="shared" si="18"/>
        <v>48.85212072078712</v>
      </c>
      <c r="BU14" s="917">
        <v>13.88</v>
      </c>
      <c r="BV14" s="920">
        <v>13.257</v>
      </c>
      <c r="BW14" s="888">
        <v>24.928999999999998</v>
      </c>
      <c r="BX14" s="1158">
        <f t="shared" si="19"/>
        <v>48.947009506999883</v>
      </c>
      <c r="BY14" s="917">
        <v>12.727</v>
      </c>
      <c r="BZ14" s="920">
        <v>12.202</v>
      </c>
      <c r="CA14" s="888">
        <f t="shared" si="20"/>
        <v>306.84100000000001</v>
      </c>
      <c r="CB14" s="1158">
        <f t="shared" si="21"/>
        <v>51.633256311900958</v>
      </c>
      <c r="CC14" s="917">
        <f t="shared" si="22"/>
        <v>148.40899999999999</v>
      </c>
      <c r="CD14" s="920">
        <f t="shared" si="23"/>
        <v>158.43200000000002</v>
      </c>
      <c r="CE14" s="914">
        <v>2015</v>
      </c>
      <c r="CF14" s="910" t="s">
        <v>5630</v>
      </c>
      <c r="CG14" s="931">
        <v>85</v>
      </c>
      <c r="CH14" s="504">
        <v>85</v>
      </c>
      <c r="CI14" s="1008">
        <v>85</v>
      </c>
      <c r="CJ14" s="904" t="s">
        <v>1621</v>
      </c>
      <c r="CK14" s="904" t="s">
        <v>1621</v>
      </c>
      <c r="CL14" s="906">
        <v>2013</v>
      </c>
      <c r="CM14" s="1002" t="s">
        <v>5696</v>
      </c>
      <c r="CN14" s="1044">
        <v>172.12799999999999</v>
      </c>
      <c r="CO14" s="1045">
        <f t="shared" si="1"/>
        <v>44.360714294918544</v>
      </c>
      <c r="CP14" s="1040">
        <f>IF(OR(CZ14=1,CZ14=10),CN14*(1-BL14/100),IF(DA14=6,CN14*(1-BL14/100),CN14*(1-CB14/100)))</f>
        <v>84.26628205319841</v>
      </c>
      <c r="CQ14" s="1041">
        <f>IF(OR(CZ14=1,CZ14=10),CN14*BL14/100,IF(DA14=6,CN14*BL14/100,CN14*CB14/100))</f>
        <v>87.861717946801562</v>
      </c>
      <c r="CR14" s="1046">
        <v>2012</v>
      </c>
      <c r="CS14" s="1047" t="s">
        <v>5740</v>
      </c>
      <c r="CT14" s="1068">
        <f t="shared" si="2"/>
        <v>0</v>
      </c>
      <c r="CU14" s="1069">
        <v>18</v>
      </c>
      <c r="CV14" s="1068" t="s">
        <v>5861</v>
      </c>
      <c r="CW14" s="1113">
        <v>171.93199999999999</v>
      </c>
      <c r="CX14" s="1113">
        <v>231.90299999999999</v>
      </c>
      <c r="CY14" s="1113">
        <v>316.18200000000002</v>
      </c>
      <c r="CZ14" s="494">
        <v>1</v>
      </c>
      <c r="DA14" s="1124">
        <v>6</v>
      </c>
      <c r="DB14" s="1050" t="s">
        <v>647</v>
      </c>
      <c r="DC14" s="1146" t="s">
        <v>322</v>
      </c>
      <c r="DD14" s="982">
        <f t="shared" si="34"/>
        <v>146.88970000000003</v>
      </c>
      <c r="DE14" s="979">
        <f t="shared" si="3"/>
        <v>37.856316314407287</v>
      </c>
      <c r="DF14" s="979">
        <f t="shared" si="35"/>
        <v>52.089957330703527</v>
      </c>
      <c r="DG14" s="983">
        <f t="shared" si="36"/>
        <v>70.374917946801588</v>
      </c>
      <c r="DH14" s="983">
        <f t="shared" si="37"/>
        <v>76.514782053198445</v>
      </c>
      <c r="DI14" s="979">
        <f t="shared" si="5"/>
        <v>37.04781500381749</v>
      </c>
      <c r="DJ14" s="981">
        <f t="shared" si="6"/>
        <v>38.631732514666339</v>
      </c>
      <c r="DK14" s="984">
        <f t="shared" si="7"/>
        <v>134.71300000000002</v>
      </c>
      <c r="DL14" s="979">
        <f t="shared" si="38"/>
        <v>52.385651016010662</v>
      </c>
      <c r="DM14" s="983">
        <f t="shared" si="8"/>
        <v>64.142717946801582</v>
      </c>
      <c r="DN14" s="986">
        <f t="shared" si="9"/>
        <v>70.570282053198454</v>
      </c>
      <c r="DO14" s="984">
        <f t="shared" si="10"/>
        <v>7.8099000000000007</v>
      </c>
      <c r="DP14" s="979">
        <f t="shared" si="39"/>
        <v>48.897553105673566</v>
      </c>
      <c r="DQ14" s="983">
        <f t="shared" si="28"/>
        <v>3.9910500000000004</v>
      </c>
      <c r="DR14" s="986">
        <f t="shared" si="29"/>
        <v>3.8188500000000003</v>
      </c>
      <c r="DS14" s="984">
        <f t="shared" si="12"/>
        <v>4.3668000000000005</v>
      </c>
      <c r="DT14" s="339">
        <f t="shared" si="40"/>
        <v>48.677521297059634</v>
      </c>
      <c r="DU14" s="983">
        <f t="shared" si="30"/>
        <v>2.2411500000000006</v>
      </c>
      <c r="DV14" s="986">
        <f t="shared" si="31"/>
        <v>2.1256500000000003</v>
      </c>
      <c r="DW14" s="979">
        <f t="shared" si="32"/>
        <v>15.000000000000002</v>
      </c>
      <c r="DX14" s="981">
        <f t="shared" si="33"/>
        <v>15.000000000000002</v>
      </c>
      <c r="DY14" s="414" t="s">
        <v>145</v>
      </c>
      <c r="DZ14" s="111" t="s">
        <v>145</v>
      </c>
      <c r="EA14" s="118"/>
      <c r="EB14" s="123">
        <v>9.3000000000000007</v>
      </c>
      <c r="EC14" s="113">
        <v>2001</v>
      </c>
      <c r="ED14" s="20">
        <v>32.287368000000001</v>
      </c>
      <c r="EE14" s="414">
        <v>9.3000000000000007</v>
      </c>
      <c r="EF14" s="111">
        <v>2010</v>
      </c>
      <c r="EG14" s="380" t="s">
        <v>145</v>
      </c>
      <c r="EH14" s="24" t="s">
        <v>335</v>
      </c>
      <c r="EI14" s="287">
        <v>0</v>
      </c>
      <c r="EJ14" s="40" t="s">
        <v>145</v>
      </c>
      <c r="EK14" s="35" t="s">
        <v>145</v>
      </c>
      <c r="EL14" s="95" t="s">
        <v>145</v>
      </c>
      <c r="EM14" s="95" t="s">
        <v>145</v>
      </c>
      <c r="EN14" s="35" t="s">
        <v>145</v>
      </c>
      <c r="EO14" s="95" t="s">
        <v>145</v>
      </c>
      <c r="EP14" s="205" t="s">
        <v>145</v>
      </c>
      <c r="EQ14" s="207" t="s">
        <v>145</v>
      </c>
      <c r="ER14" s="517" t="s">
        <v>145</v>
      </c>
      <c r="ES14" s="183"/>
      <c r="ET14" s="183"/>
      <c r="EU14" s="82"/>
      <c r="EV14" s="82"/>
      <c r="EW14" s="82"/>
      <c r="EX14" s="90"/>
      <c r="EY14" s="159">
        <v>345700</v>
      </c>
      <c r="EZ14" s="156">
        <v>2010</v>
      </c>
      <c r="FA14" s="323">
        <v>84</v>
      </c>
      <c r="FB14" s="323">
        <v>16</v>
      </c>
      <c r="FC14" s="323">
        <v>9.3000000000000007</v>
      </c>
      <c r="FD14" s="160" t="s">
        <v>318</v>
      </c>
      <c r="FE14" s="156" t="s">
        <v>318</v>
      </c>
      <c r="FF14" s="156" t="s">
        <v>335</v>
      </c>
      <c r="FG14" s="156">
        <v>14</v>
      </c>
      <c r="FH14" s="157" t="s">
        <v>318</v>
      </c>
      <c r="FI14" s="243">
        <v>1</v>
      </c>
      <c r="FJ14" s="403" t="s">
        <v>1809</v>
      </c>
      <c r="FK14" s="83" t="s">
        <v>145</v>
      </c>
      <c r="FL14" s="83" t="s">
        <v>145</v>
      </c>
      <c r="FM14" s="83" t="s">
        <v>145</v>
      </c>
      <c r="FN14" s="347" t="s">
        <v>145</v>
      </c>
      <c r="FO14" s="164" t="s">
        <v>145</v>
      </c>
      <c r="FP14" s="255"/>
      <c r="FQ14" s="183"/>
      <c r="FR14" s="257"/>
      <c r="FS14" s="82"/>
      <c r="FT14" s="259"/>
      <c r="FU14" s="82"/>
      <c r="FV14" s="259"/>
      <c r="FW14" s="82"/>
      <c r="FX14" s="259"/>
      <c r="FY14" s="82"/>
      <c r="FZ14" s="259"/>
      <c r="GA14" s="82"/>
      <c r="GB14" s="261"/>
      <c r="GC14" s="90"/>
      <c r="GD14" s="76">
        <v>2</v>
      </c>
      <c r="GE14" s="445" t="s">
        <v>3425</v>
      </c>
      <c r="GF14" s="447" t="s">
        <v>10</v>
      </c>
      <c r="GG14" s="448">
        <v>1</v>
      </c>
      <c r="GH14" s="449">
        <v>1</v>
      </c>
      <c r="GI14" s="447" t="s">
        <v>145</v>
      </c>
      <c r="GJ14" s="449" t="s">
        <v>145</v>
      </c>
      <c r="GK14" s="447" t="s">
        <v>145</v>
      </c>
      <c r="GL14" s="448" t="s">
        <v>145</v>
      </c>
      <c r="GM14" s="449" t="s">
        <v>145</v>
      </c>
      <c r="GN14" s="447" t="s">
        <v>10</v>
      </c>
      <c r="GO14" s="449">
        <v>20</v>
      </c>
      <c r="GP14" s="447">
        <v>4</v>
      </c>
      <c r="GQ14" s="448">
        <v>9</v>
      </c>
      <c r="GR14" s="449">
        <v>7</v>
      </c>
      <c r="GS14" s="446"/>
      <c r="GT14" s="461">
        <v>0.90511327981948853</v>
      </c>
      <c r="GU14" s="462">
        <v>1.120907187461853</v>
      </c>
      <c r="GV14" s="462">
        <v>0.86234778165817261</v>
      </c>
      <c r="GW14" s="462">
        <v>0.15620195865631104</v>
      </c>
      <c r="GX14" s="462">
        <v>0.59814250469207764</v>
      </c>
      <c r="GY14" s="463">
        <v>1.3565871715545654</v>
      </c>
      <c r="GZ14" s="10">
        <v>92</v>
      </c>
      <c r="HA14" s="535">
        <v>0.49</v>
      </c>
      <c r="HB14" s="535">
        <v>0.19606999999999999</v>
      </c>
      <c r="HC14" s="523">
        <v>0.33857999999999999</v>
      </c>
      <c r="HD14" s="462">
        <v>0.41758000000000001</v>
      </c>
      <c r="HE14" s="463">
        <v>0.71379999999999999</v>
      </c>
      <c r="HF14" s="10" t="s">
        <v>145</v>
      </c>
      <c r="HG14" s="532" t="s">
        <v>145</v>
      </c>
      <c r="HH14" s="461" t="s">
        <v>145</v>
      </c>
      <c r="HI14" s="523" t="s">
        <v>145</v>
      </c>
      <c r="HJ14" s="463" t="s">
        <v>145</v>
      </c>
      <c r="HK14" s="379" t="s">
        <v>4003</v>
      </c>
      <c r="HL14" s="23" t="s">
        <v>4662</v>
      </c>
      <c r="HM14" s="557">
        <v>2003</v>
      </c>
      <c r="HN14" s="557">
        <v>2003</v>
      </c>
      <c r="HO14" s="526" t="s">
        <v>3985</v>
      </c>
      <c r="HP14" s="564" t="s">
        <v>4000</v>
      </c>
      <c r="HQ14" s="655" t="s">
        <v>963</v>
      </c>
      <c r="HR14" s="565" t="s">
        <v>145</v>
      </c>
      <c r="HS14" s="524" t="s">
        <v>145</v>
      </c>
      <c r="HT14" s="526" t="s">
        <v>145</v>
      </c>
      <c r="HU14" s="557">
        <v>2012</v>
      </c>
      <c r="HV14" s="656" t="s">
        <v>4874</v>
      </c>
      <c r="HW14" s="462" t="s">
        <v>145</v>
      </c>
      <c r="HX14" s="462" t="s">
        <v>145</v>
      </c>
      <c r="HY14" s="462" t="s">
        <v>145</v>
      </c>
      <c r="HZ14" s="462" t="s">
        <v>145</v>
      </c>
      <c r="IA14" s="462" t="s">
        <v>145</v>
      </c>
      <c r="IB14" s="462" t="s">
        <v>145</v>
      </c>
      <c r="IC14" s="463" t="s">
        <v>145</v>
      </c>
      <c r="ID14" s="660"/>
      <c r="IE14" s="355"/>
      <c r="IF14" s="355"/>
      <c r="IG14" s="647"/>
      <c r="IH14" s="339"/>
      <c r="II14" s="553" t="s">
        <v>4920</v>
      </c>
      <c r="IJ14" s="424" t="s">
        <v>4926</v>
      </c>
      <c r="IK14" s="24">
        <v>1</v>
      </c>
      <c r="IL14" s="749">
        <f t="shared" si="14"/>
        <v>14</v>
      </c>
      <c r="IM14" s="747">
        <f t="shared" si="15"/>
        <v>56.000000000000007</v>
      </c>
      <c r="IN14" s="750" t="str">
        <f t="shared" si="16"/>
        <v>B</v>
      </c>
      <c r="IO14" s="446"/>
      <c r="IP14" s="902">
        <v>6</v>
      </c>
      <c r="IQ14" s="903">
        <v>0</v>
      </c>
      <c r="IR14" s="993">
        <v>0</v>
      </c>
      <c r="IT14" s="435"/>
      <c r="IU14" s="435"/>
      <c r="IV14" s="435"/>
    </row>
    <row r="15" spans="1:277">
      <c r="A15" s="21">
        <v>13</v>
      </c>
      <c r="B15" s="9"/>
      <c r="C15" s="430" t="s">
        <v>30</v>
      </c>
      <c r="D15" s="423" t="s">
        <v>410</v>
      </c>
      <c r="E15" s="10" t="s">
        <v>17</v>
      </c>
      <c r="F15" s="76" t="s">
        <v>757</v>
      </c>
      <c r="G15" s="102" t="s">
        <v>444</v>
      </c>
      <c r="H15" s="375" t="s">
        <v>1197</v>
      </c>
      <c r="I15" s="364" t="s">
        <v>2128</v>
      </c>
      <c r="J15" s="370">
        <v>3</v>
      </c>
      <c r="K15" s="88">
        <v>1971</v>
      </c>
      <c r="L15" s="371">
        <v>2</v>
      </c>
      <c r="M15" s="373" t="s">
        <v>145</v>
      </c>
      <c r="N15" s="369" t="s">
        <v>2127</v>
      </c>
      <c r="O15" s="365" t="s">
        <v>2991</v>
      </c>
      <c r="P15" s="377" t="s">
        <v>2992</v>
      </c>
      <c r="Q15" s="370">
        <v>5</v>
      </c>
      <c r="R15" s="370">
        <v>1984</v>
      </c>
      <c r="S15" s="372" t="s">
        <v>1960</v>
      </c>
      <c r="T15" s="370">
        <v>2</v>
      </c>
      <c r="U15" s="370">
        <v>2</v>
      </c>
      <c r="V15" s="370">
        <v>0</v>
      </c>
      <c r="W15" s="369" t="s">
        <v>2036</v>
      </c>
      <c r="X15" s="170">
        <v>1</v>
      </c>
      <c r="Y15" s="369">
        <v>1</v>
      </c>
      <c r="Z15" s="271"/>
      <c r="AA15" s="169">
        <v>1</v>
      </c>
      <c r="AB15" s="177">
        <v>1</v>
      </c>
      <c r="AC15" s="171">
        <v>1</v>
      </c>
      <c r="AD15" s="366" t="s">
        <v>944</v>
      </c>
      <c r="AE15" s="357">
        <v>2005</v>
      </c>
      <c r="AF15" s="804">
        <v>3</v>
      </c>
      <c r="AG15" s="550" t="s">
        <v>5171</v>
      </c>
      <c r="AH15" s="355" t="s">
        <v>2872</v>
      </c>
      <c r="AI15" s="55">
        <v>1</v>
      </c>
      <c r="AJ15" s="55">
        <v>1</v>
      </c>
      <c r="AK15" s="590" t="s">
        <v>145</v>
      </c>
      <c r="AL15" s="386">
        <v>1</v>
      </c>
      <c r="AM15" s="361" t="s">
        <v>2774</v>
      </c>
      <c r="AN15" s="344" t="s">
        <v>145</v>
      </c>
      <c r="AO15" s="170">
        <v>0</v>
      </c>
      <c r="AP15" s="369">
        <v>0</v>
      </c>
      <c r="AQ15" s="365" t="s">
        <v>5354</v>
      </c>
      <c r="AR15" s="377" t="s">
        <v>5355</v>
      </c>
      <c r="AS15" s="370">
        <v>1</v>
      </c>
      <c r="AT15" s="370">
        <v>3</v>
      </c>
      <c r="AU15" s="371">
        <v>1994</v>
      </c>
      <c r="AV15" s="370">
        <v>5</v>
      </c>
      <c r="AW15" s="589" t="s">
        <v>145</v>
      </c>
      <c r="AX15" s="687">
        <v>0</v>
      </c>
      <c r="AY15" s="174" t="s">
        <v>2193</v>
      </c>
      <c r="AZ15" s="370">
        <v>1992</v>
      </c>
      <c r="BA15" s="370">
        <v>1</v>
      </c>
      <c r="BB15" s="370">
        <v>0</v>
      </c>
      <c r="BC15" s="175" t="s">
        <v>145</v>
      </c>
      <c r="BD15" s="370" t="s">
        <v>145</v>
      </c>
      <c r="BE15" s="370">
        <v>0</v>
      </c>
      <c r="BF15" s="367" t="s">
        <v>145</v>
      </c>
      <c r="BG15" s="367">
        <v>0</v>
      </c>
      <c r="BH15" s="351" t="s">
        <v>145</v>
      </c>
      <c r="BI15" s="367">
        <v>0</v>
      </c>
      <c r="BJ15" s="367">
        <v>0</v>
      </c>
      <c r="BK15" s="888">
        <v>1377.2370000000001</v>
      </c>
      <c r="BL15" s="925">
        <f t="shared" si="0"/>
        <v>38.020326203841456</v>
      </c>
      <c r="BM15" s="888">
        <v>853.60699999999997</v>
      </c>
      <c r="BN15" s="920">
        <v>523.63</v>
      </c>
      <c r="BO15" s="888">
        <v>108.72799999999999</v>
      </c>
      <c r="BP15" s="1158">
        <f t="shared" si="17"/>
        <v>48.570745346184978</v>
      </c>
      <c r="BQ15" s="917">
        <v>55.917999999999999</v>
      </c>
      <c r="BR15" s="920">
        <v>52.81</v>
      </c>
      <c r="BS15" s="888">
        <v>99.858000000000004</v>
      </c>
      <c r="BT15" s="1158">
        <f t="shared" si="18"/>
        <v>48.626048989565184</v>
      </c>
      <c r="BU15" s="917">
        <v>51.301000000000002</v>
      </c>
      <c r="BV15" s="920">
        <v>48.557000000000002</v>
      </c>
      <c r="BW15" s="888">
        <v>87.174999999999997</v>
      </c>
      <c r="BX15" s="1158">
        <f t="shared" si="19"/>
        <v>49.482076283338117</v>
      </c>
      <c r="BY15" s="917">
        <v>44.039000000000001</v>
      </c>
      <c r="BZ15" s="920">
        <v>43.136000000000003</v>
      </c>
      <c r="CA15" s="888">
        <f t="shared" si="20"/>
        <v>1081.4760000000001</v>
      </c>
      <c r="CB15" s="1158">
        <f t="shared" si="21"/>
        <v>35.056441381963161</v>
      </c>
      <c r="CC15" s="917">
        <f t="shared" si="22"/>
        <v>702.34899999999993</v>
      </c>
      <c r="CD15" s="920">
        <f t="shared" si="23"/>
        <v>379.12699999999995</v>
      </c>
      <c r="CE15" s="914">
        <v>2015</v>
      </c>
      <c r="CF15" s="910" t="s">
        <v>5630</v>
      </c>
      <c r="CG15" s="931">
        <v>98</v>
      </c>
      <c r="CH15" s="504">
        <v>98</v>
      </c>
      <c r="CI15" s="1008">
        <v>98</v>
      </c>
      <c r="CJ15" s="904" t="s">
        <v>1621</v>
      </c>
      <c r="CK15" s="904" t="s">
        <v>1621</v>
      </c>
      <c r="CL15" s="906">
        <v>2013</v>
      </c>
      <c r="CM15" s="1002" t="s">
        <v>5697</v>
      </c>
      <c r="CN15" s="1044">
        <v>349.71300000000002</v>
      </c>
      <c r="CO15" s="1045">
        <f t="shared" si="1"/>
        <v>25.392361663243147</v>
      </c>
      <c r="CP15" s="1040">
        <f>IF(OR(CZ15=1,CZ15=10),CN15*(1-BL15/100),IF(DA15=6,CN15*(1-BL15/100),CN15*(1-CB15/100)))</f>
        <v>216.75097662275994</v>
      </c>
      <c r="CQ15" s="1041">
        <f>IF(OR(CZ15=1,CZ15=10),CN15*BL15/100,IF(DA15=6,CN15*BL15/100,CN15*CB15/100))</f>
        <v>132.96202337724009</v>
      </c>
      <c r="CR15" s="1046">
        <v>2014</v>
      </c>
      <c r="CS15" s="1047" t="s">
        <v>5741</v>
      </c>
      <c r="CT15" s="1068">
        <f t="shared" si="2"/>
        <v>0</v>
      </c>
      <c r="CU15" s="1071">
        <v>20</v>
      </c>
      <c r="CV15" s="1068" t="s">
        <v>5862</v>
      </c>
      <c r="CW15" s="1113">
        <v>349.71300000000002</v>
      </c>
      <c r="CX15" s="1113">
        <v>997.149</v>
      </c>
      <c r="CY15" s="1113">
        <v>1314.0889999999999</v>
      </c>
      <c r="CZ15" s="494">
        <v>1</v>
      </c>
      <c r="DA15" s="1124">
        <v>6</v>
      </c>
      <c r="DB15" s="1050" t="s">
        <v>647</v>
      </c>
      <c r="DC15" s="1146" t="s">
        <v>322</v>
      </c>
      <c r="DD15" s="978">
        <f t="shared" si="34"/>
        <v>737.67822000000024</v>
      </c>
      <c r="DE15" s="979">
        <f t="shared" si="3"/>
        <v>53.562184286364669</v>
      </c>
      <c r="DF15" s="979">
        <f t="shared" si="35"/>
        <v>33.762015723164467</v>
      </c>
      <c r="DG15" s="980">
        <f t="shared" si="36"/>
        <v>488.62318337723997</v>
      </c>
      <c r="DH15" s="980">
        <f t="shared" si="37"/>
        <v>249.05503662275987</v>
      </c>
      <c r="DI15" s="979">
        <f t="shared" si="5"/>
        <v>57.242171558719647</v>
      </c>
      <c r="DJ15" s="981">
        <f t="shared" si="6"/>
        <v>47.563171824142984</v>
      </c>
      <c r="DK15" s="984">
        <f t="shared" si="7"/>
        <v>731.76300000000015</v>
      </c>
      <c r="DL15" s="979">
        <f t="shared" si="38"/>
        <v>33.639986802114869</v>
      </c>
      <c r="DM15" s="980">
        <f t="shared" si="8"/>
        <v>485.59802337724</v>
      </c>
      <c r="DN15" s="985">
        <f t="shared" si="9"/>
        <v>246.16497662275987</v>
      </c>
      <c r="DO15" s="984">
        <f t="shared" si="10"/>
        <v>3.7406600000000032</v>
      </c>
      <c r="DP15" s="979">
        <f t="shared" si="39"/>
        <v>49.025038362214161</v>
      </c>
      <c r="DQ15" s="980">
        <f t="shared" si="28"/>
        <v>1.9068000000000018</v>
      </c>
      <c r="DR15" s="985">
        <f t="shared" si="29"/>
        <v>1.8338600000000018</v>
      </c>
      <c r="DS15" s="984">
        <f t="shared" si="12"/>
        <v>2.1745600000000018</v>
      </c>
      <c r="DT15" s="339">
        <f t="shared" si="40"/>
        <v>48.570745346184978</v>
      </c>
      <c r="DU15" s="980">
        <f t="shared" si="30"/>
        <v>1.1183600000000009</v>
      </c>
      <c r="DV15" s="985">
        <f t="shared" si="31"/>
        <v>1.0562000000000009</v>
      </c>
      <c r="DW15" s="979">
        <f t="shared" si="32"/>
        <v>2.0000000000000018</v>
      </c>
      <c r="DX15" s="981">
        <f t="shared" si="33"/>
        <v>2.0000000000000018</v>
      </c>
      <c r="DY15" s="414" t="s">
        <v>145</v>
      </c>
      <c r="DZ15" s="111" t="s">
        <v>145</v>
      </c>
      <c r="EA15" s="118"/>
      <c r="EB15" s="123" t="s">
        <v>145</v>
      </c>
      <c r="EC15" s="113" t="s">
        <v>145</v>
      </c>
      <c r="ED15" s="20"/>
      <c r="EE15" s="414" t="s">
        <v>145</v>
      </c>
      <c r="EF15" s="111" t="s">
        <v>145</v>
      </c>
      <c r="EG15" s="380">
        <v>94.556793212890597</v>
      </c>
      <c r="EH15" s="24" t="s">
        <v>328</v>
      </c>
      <c r="EI15" s="287">
        <v>0</v>
      </c>
      <c r="EJ15" s="40" t="s">
        <v>145</v>
      </c>
      <c r="EK15" s="35" t="s">
        <v>145</v>
      </c>
      <c r="EL15" s="95" t="s">
        <v>145</v>
      </c>
      <c r="EM15" s="95" t="s">
        <v>145</v>
      </c>
      <c r="EN15" s="35" t="s">
        <v>145</v>
      </c>
      <c r="EO15" s="95" t="s">
        <v>145</v>
      </c>
      <c r="EP15" s="205" t="s">
        <v>145</v>
      </c>
      <c r="EQ15" s="207" t="s">
        <v>145</v>
      </c>
      <c r="ER15" s="517" t="s">
        <v>145</v>
      </c>
      <c r="ES15" s="183"/>
      <c r="ET15" s="183"/>
      <c r="EU15" s="82"/>
      <c r="EV15" s="82"/>
      <c r="EW15" s="82"/>
      <c r="EX15" s="90"/>
      <c r="EY15" s="159"/>
      <c r="EZ15" s="156"/>
      <c r="FA15" s="323"/>
      <c r="FB15" s="323"/>
      <c r="FC15" s="323"/>
      <c r="FD15" s="160"/>
      <c r="FE15" s="156"/>
      <c r="FF15" s="156"/>
      <c r="FG15" s="156"/>
      <c r="FH15" s="157"/>
      <c r="FI15" s="242"/>
      <c r="FJ15" s="373"/>
      <c r="FK15" s="179"/>
      <c r="FL15" s="179"/>
      <c r="FM15" s="179"/>
      <c r="FN15" s="369"/>
      <c r="FO15" s="164"/>
      <c r="FP15" s="255"/>
      <c r="FQ15" s="183"/>
      <c r="FR15" s="257"/>
      <c r="FS15" s="82"/>
      <c r="FT15" s="259"/>
      <c r="FU15" s="82"/>
      <c r="FV15" s="259"/>
      <c r="FW15" s="82"/>
      <c r="FX15" s="259"/>
      <c r="FY15" s="82"/>
      <c r="FZ15" s="259"/>
      <c r="GA15" s="82"/>
      <c r="GB15" s="261"/>
      <c r="GC15" s="90"/>
      <c r="GD15" s="76">
        <v>3</v>
      </c>
      <c r="GE15" s="445" t="s">
        <v>3435</v>
      </c>
      <c r="GF15" s="447" t="s">
        <v>580</v>
      </c>
      <c r="GG15" s="448">
        <v>6</v>
      </c>
      <c r="GH15" s="449">
        <v>6</v>
      </c>
      <c r="GI15" s="447" t="s">
        <v>580</v>
      </c>
      <c r="GJ15" s="449">
        <v>74</v>
      </c>
      <c r="GK15" s="447">
        <v>12</v>
      </c>
      <c r="GL15" s="448">
        <v>27</v>
      </c>
      <c r="GM15" s="449">
        <v>35</v>
      </c>
      <c r="GN15" s="447" t="s">
        <v>580</v>
      </c>
      <c r="GO15" s="449">
        <v>87</v>
      </c>
      <c r="GP15" s="447">
        <v>28</v>
      </c>
      <c r="GQ15" s="448">
        <v>37</v>
      </c>
      <c r="GR15" s="449">
        <v>22</v>
      </c>
      <c r="GS15" s="446">
        <v>-5</v>
      </c>
      <c r="GT15" s="461">
        <v>-1.3208080530166626</v>
      </c>
      <c r="GU15" s="462">
        <v>-1.3421005010604858</v>
      </c>
      <c r="GV15" s="462">
        <v>0.58405262231826782</v>
      </c>
      <c r="GW15" s="462">
        <v>0.60090500116348267</v>
      </c>
      <c r="GX15" s="462">
        <v>0.35160991549491882</v>
      </c>
      <c r="GY15" s="463">
        <v>0.45250546932220459</v>
      </c>
      <c r="GZ15" s="10">
        <v>18</v>
      </c>
      <c r="HA15" s="535">
        <v>0.80884999999999996</v>
      </c>
      <c r="HB15" s="535">
        <v>0.82352000000000003</v>
      </c>
      <c r="HC15" s="523">
        <v>0.93700000000000006</v>
      </c>
      <c r="HD15" s="462">
        <v>0.70550000000000002</v>
      </c>
      <c r="HE15" s="463">
        <v>0.78400000000000003</v>
      </c>
      <c r="HF15" s="10">
        <v>27</v>
      </c>
      <c r="HG15" s="532">
        <v>7.4</v>
      </c>
      <c r="HH15" s="447">
        <v>7.72</v>
      </c>
      <c r="HI15" s="544">
        <v>7.06</v>
      </c>
      <c r="HJ15" s="449">
        <v>7.44</v>
      </c>
      <c r="HK15" s="379" t="s">
        <v>145</v>
      </c>
      <c r="HL15" s="362" t="s">
        <v>145</v>
      </c>
      <c r="HM15" s="557" t="s">
        <v>145</v>
      </c>
      <c r="HN15" s="557" t="s">
        <v>145</v>
      </c>
      <c r="HO15" s="557" t="s">
        <v>145</v>
      </c>
      <c r="HP15" s="562" t="s">
        <v>145</v>
      </c>
      <c r="HQ15" s="562" t="s">
        <v>145</v>
      </c>
      <c r="HR15" s="563" t="s">
        <v>145</v>
      </c>
      <c r="HS15" s="545" t="s">
        <v>145</v>
      </c>
      <c r="HT15" s="557" t="s">
        <v>145</v>
      </c>
      <c r="HU15" s="557" t="s">
        <v>145</v>
      </c>
      <c r="HV15" s="581" t="s">
        <v>145</v>
      </c>
      <c r="HW15" s="448" t="s">
        <v>145</v>
      </c>
      <c r="HX15" s="448" t="s">
        <v>145</v>
      </c>
      <c r="HY15" s="448" t="s">
        <v>145</v>
      </c>
      <c r="HZ15" s="448" t="s">
        <v>145</v>
      </c>
      <c r="IA15" s="448" t="s">
        <v>145</v>
      </c>
      <c r="IB15" s="448" t="s">
        <v>145</v>
      </c>
      <c r="IC15" s="449" t="s">
        <v>145</v>
      </c>
      <c r="ID15" s="40"/>
      <c r="IE15" s="355"/>
      <c r="IF15" s="355"/>
      <c r="IG15" s="647"/>
      <c r="IH15" s="115">
        <v>25.1</v>
      </c>
      <c r="II15" s="647" t="s">
        <v>4920</v>
      </c>
      <c r="IJ15" s="423"/>
      <c r="IK15" s="10">
        <v>0</v>
      </c>
      <c r="IL15" s="749">
        <f t="shared" si="14"/>
        <v>15</v>
      </c>
      <c r="IM15" s="747">
        <f t="shared" si="15"/>
        <v>60</v>
      </c>
      <c r="IN15" s="750" t="str">
        <f t="shared" si="16"/>
        <v>B</v>
      </c>
      <c r="IO15" s="446"/>
      <c r="IP15" s="902">
        <v>6</v>
      </c>
      <c r="IQ15" s="903">
        <v>0</v>
      </c>
      <c r="IR15" s="993">
        <v>0</v>
      </c>
      <c r="IT15" s="435"/>
      <c r="IU15" s="435"/>
      <c r="IV15" s="435"/>
    </row>
    <row r="16" spans="1:277">
      <c r="A16" s="21">
        <v>14</v>
      </c>
      <c r="B16" s="9"/>
      <c r="C16" s="430" t="s">
        <v>31</v>
      </c>
      <c r="D16" s="423" t="s">
        <v>411</v>
      </c>
      <c r="E16" s="10" t="s">
        <v>9</v>
      </c>
      <c r="F16" s="76" t="s">
        <v>758</v>
      </c>
      <c r="G16" s="102" t="s">
        <v>442</v>
      </c>
      <c r="H16" s="375" t="s">
        <v>2132</v>
      </c>
      <c r="I16" s="364" t="s">
        <v>4636</v>
      </c>
      <c r="J16" s="358">
        <v>6</v>
      </c>
      <c r="K16" s="88">
        <v>1873</v>
      </c>
      <c r="L16" s="367">
        <v>2</v>
      </c>
      <c r="M16" s="403" t="s">
        <v>2129</v>
      </c>
      <c r="N16" s="347" t="s">
        <v>1822</v>
      </c>
      <c r="O16" s="365" t="s">
        <v>2130</v>
      </c>
      <c r="P16" s="341" t="s">
        <v>2131</v>
      </c>
      <c r="Q16" s="358">
        <v>4</v>
      </c>
      <c r="R16" s="358">
        <v>1973</v>
      </c>
      <c r="S16" s="377" t="s">
        <v>1962</v>
      </c>
      <c r="T16" s="358">
        <v>1</v>
      </c>
      <c r="U16" s="358">
        <v>1</v>
      </c>
      <c r="V16" s="358">
        <v>18</v>
      </c>
      <c r="W16" s="347" t="s">
        <v>1822</v>
      </c>
      <c r="X16" s="86">
        <v>1</v>
      </c>
      <c r="Y16" s="347">
        <v>0</v>
      </c>
      <c r="Z16" s="272"/>
      <c r="AA16" s="1092">
        <v>1</v>
      </c>
      <c r="AB16" s="1093">
        <v>1</v>
      </c>
      <c r="AC16" s="1094"/>
      <c r="AD16" s="174" t="s">
        <v>2130</v>
      </c>
      <c r="AE16" s="358">
        <v>2016</v>
      </c>
      <c r="AF16" s="358">
        <v>2</v>
      </c>
      <c r="AG16" s="358" t="s">
        <v>5171</v>
      </c>
      <c r="AH16" s="358" t="s">
        <v>2964</v>
      </c>
      <c r="AI16" s="358">
        <v>0</v>
      </c>
      <c r="AJ16" s="358">
        <v>0</v>
      </c>
      <c r="AK16" s="590">
        <v>90000</v>
      </c>
      <c r="AL16" s="389">
        <v>13</v>
      </c>
      <c r="AM16" s="1" t="s">
        <v>2966</v>
      </c>
      <c r="AN16" s="403" t="s">
        <v>145</v>
      </c>
      <c r="AO16" s="86">
        <v>1</v>
      </c>
      <c r="AP16" s="347">
        <v>1</v>
      </c>
      <c r="AQ16" s="365" t="s">
        <v>5316</v>
      </c>
      <c r="AR16" s="377" t="s">
        <v>4993</v>
      </c>
      <c r="AS16" s="358">
        <v>1</v>
      </c>
      <c r="AT16" s="370">
        <v>2</v>
      </c>
      <c r="AU16" s="371">
        <v>2010</v>
      </c>
      <c r="AV16" s="370">
        <v>5</v>
      </c>
      <c r="AW16" s="589" t="s">
        <v>145</v>
      </c>
      <c r="AX16" s="687">
        <v>0</v>
      </c>
      <c r="AY16" s="174" t="s">
        <v>4301</v>
      </c>
      <c r="AZ16" s="358">
        <v>1994</v>
      </c>
      <c r="BA16" s="358">
        <v>1</v>
      </c>
      <c r="BB16" s="358">
        <v>2</v>
      </c>
      <c r="BC16" s="174" t="s">
        <v>3949</v>
      </c>
      <c r="BD16" s="358">
        <v>1994</v>
      </c>
      <c r="BE16" s="358">
        <v>2</v>
      </c>
      <c r="BF16" s="367" t="s">
        <v>2748</v>
      </c>
      <c r="BG16" s="367">
        <v>0</v>
      </c>
      <c r="BH16" s="330" t="s">
        <v>145</v>
      </c>
      <c r="BI16" s="367">
        <v>0</v>
      </c>
      <c r="BJ16" s="367">
        <v>1</v>
      </c>
      <c r="BK16" s="888">
        <v>160995.64199999999</v>
      </c>
      <c r="BL16" s="925">
        <f t="shared" si="0"/>
        <v>49.516046527520288</v>
      </c>
      <c r="BM16" s="888">
        <v>81276.964999999997</v>
      </c>
      <c r="BN16" s="920">
        <v>79718.676999999996</v>
      </c>
      <c r="BO16" s="888">
        <v>15331.343999999999</v>
      </c>
      <c r="BP16" s="1158">
        <f t="shared" si="17"/>
        <v>48.936133714043599</v>
      </c>
      <c r="BQ16" s="917">
        <v>7828.777</v>
      </c>
      <c r="BR16" s="920">
        <v>7502.567</v>
      </c>
      <c r="BS16" s="888">
        <v>15667.941000000001</v>
      </c>
      <c r="BT16" s="1158">
        <f t="shared" si="18"/>
        <v>48.968004155747074</v>
      </c>
      <c r="BU16" s="917">
        <v>7995.6629999999996</v>
      </c>
      <c r="BV16" s="920">
        <v>7672.2780000000002</v>
      </c>
      <c r="BW16" s="888">
        <v>16409.061000000002</v>
      </c>
      <c r="BX16" s="1158">
        <f t="shared" si="19"/>
        <v>48.949851548482876</v>
      </c>
      <c r="BY16" s="917">
        <v>8376.85</v>
      </c>
      <c r="BZ16" s="920">
        <v>8032.2110000000002</v>
      </c>
      <c r="CA16" s="888">
        <f t="shared" si="20"/>
        <v>113587.29599999997</v>
      </c>
      <c r="CB16" s="1158">
        <f t="shared" si="21"/>
        <v>49.751709029150589</v>
      </c>
      <c r="CC16" s="917">
        <f t="shared" si="22"/>
        <v>57075.674999999996</v>
      </c>
      <c r="CD16" s="920">
        <f t="shared" si="23"/>
        <v>56511.620999999999</v>
      </c>
      <c r="CE16" s="914">
        <v>2015</v>
      </c>
      <c r="CF16" s="910" t="s">
        <v>5630</v>
      </c>
      <c r="CG16" s="1026">
        <v>30.5</v>
      </c>
      <c r="CH16" s="495">
        <v>30.5</v>
      </c>
      <c r="CI16" s="497">
        <v>30.5</v>
      </c>
      <c r="CJ16" s="904">
        <v>35</v>
      </c>
      <c r="CK16" s="904">
        <v>29.2</v>
      </c>
      <c r="CL16" s="904">
        <v>2011</v>
      </c>
      <c r="CM16" s="905" t="s">
        <v>5575</v>
      </c>
      <c r="CN16" s="1044">
        <f t="shared" ref="CN16" si="41">CP16+CQ16</f>
        <v>91422.65</v>
      </c>
      <c r="CO16" s="1045">
        <f t="shared" si="1"/>
        <v>56.785791754537051</v>
      </c>
      <c r="CP16" s="1049">
        <v>45782.697</v>
      </c>
      <c r="CQ16" s="1050">
        <v>45639.953000000001</v>
      </c>
      <c r="CR16" s="1046">
        <v>2015</v>
      </c>
      <c r="CS16" s="1047" t="s">
        <v>5683</v>
      </c>
      <c r="CT16" s="1068">
        <f t="shared" si="2"/>
        <v>18</v>
      </c>
      <c r="CU16" s="1070">
        <v>18</v>
      </c>
      <c r="CV16" s="1117" t="s">
        <v>5769</v>
      </c>
      <c r="CW16" s="1113">
        <v>92007.112999999998</v>
      </c>
      <c r="CX16" s="1113">
        <v>97373.463000000003</v>
      </c>
      <c r="CY16" s="1113">
        <v>163654.85999999999</v>
      </c>
      <c r="CZ16" s="1048">
        <v>10</v>
      </c>
      <c r="DA16" s="1124">
        <v>4</v>
      </c>
      <c r="DB16" s="1050" t="s">
        <v>647</v>
      </c>
      <c r="DC16" s="1143" t="s">
        <v>320</v>
      </c>
      <c r="DD16" s="978">
        <f t="shared" si="34"/>
        <v>55113.446469999981</v>
      </c>
      <c r="DE16" s="979">
        <f t="shared" si="3"/>
        <v>34.232880955870833</v>
      </c>
      <c r="DF16" s="979">
        <f t="shared" si="35"/>
        <v>48.990897229947826</v>
      </c>
      <c r="DG16" s="980">
        <f t="shared" si="36"/>
        <v>28112.874549999997</v>
      </c>
      <c r="DH16" s="980">
        <f t="shared" si="37"/>
        <v>27000.571919999998</v>
      </c>
      <c r="DI16" s="979">
        <f t="shared" si="5"/>
        <v>34.588981699796491</v>
      </c>
      <c r="DJ16" s="981">
        <f t="shared" si="6"/>
        <v>33.869819390003173</v>
      </c>
      <c r="DK16" s="984">
        <f t="shared" si="7"/>
        <v>22164.645999999979</v>
      </c>
      <c r="DL16" s="979">
        <f t="shared" si="38"/>
        <v>49.049590054359577</v>
      </c>
      <c r="DM16" s="980">
        <f t="shared" si="8"/>
        <v>11292.977999999996</v>
      </c>
      <c r="DN16" s="985">
        <f t="shared" si="9"/>
        <v>10871.667999999998</v>
      </c>
      <c r="DO16" s="984">
        <f t="shared" si="10"/>
        <v>22293.516390000004</v>
      </c>
      <c r="DP16" s="979">
        <f t="shared" si="39"/>
        <v>48.9587181495328</v>
      </c>
      <c r="DQ16" s="980">
        <f t="shared" si="28"/>
        <v>11378.896535</v>
      </c>
      <c r="DR16" s="985">
        <f t="shared" si="29"/>
        <v>10914.619855000001</v>
      </c>
      <c r="DS16" s="984">
        <f t="shared" si="12"/>
        <v>10655.284079999999</v>
      </c>
      <c r="DT16" s="339">
        <f t="shared" si="40"/>
        <v>48.936133714043606</v>
      </c>
      <c r="DU16" s="980">
        <f t="shared" si="30"/>
        <v>5441.0000150000005</v>
      </c>
      <c r="DV16" s="985">
        <f t="shared" si="31"/>
        <v>5214.2840650000007</v>
      </c>
      <c r="DW16" s="979">
        <f t="shared" si="32"/>
        <v>69.5</v>
      </c>
      <c r="DX16" s="981">
        <f t="shared" si="33"/>
        <v>69.5</v>
      </c>
      <c r="DY16" s="414">
        <v>43.25</v>
      </c>
      <c r="DZ16" s="111">
        <v>2010</v>
      </c>
      <c r="EA16" s="118">
        <v>65163.753913999994</v>
      </c>
      <c r="EB16" s="123">
        <v>31.5</v>
      </c>
      <c r="EC16" s="113">
        <v>2010</v>
      </c>
      <c r="ED16" s="20">
        <v>47405.502269999997</v>
      </c>
      <c r="EE16" s="414">
        <v>31.5</v>
      </c>
      <c r="EF16" s="111">
        <v>2010</v>
      </c>
      <c r="EG16" s="380">
        <v>58.7877197265625</v>
      </c>
      <c r="EH16" s="24" t="s">
        <v>330</v>
      </c>
      <c r="EI16" s="287">
        <v>1</v>
      </c>
      <c r="EJ16" s="40">
        <v>1</v>
      </c>
      <c r="EK16" s="35" t="s">
        <v>728</v>
      </c>
      <c r="EL16" s="95" t="s">
        <v>1638</v>
      </c>
      <c r="EM16" s="95" t="s">
        <v>1660</v>
      </c>
      <c r="EN16" s="35" t="s">
        <v>728</v>
      </c>
      <c r="EO16" s="95" t="s">
        <v>1725</v>
      </c>
      <c r="EP16" s="205">
        <v>0.1</v>
      </c>
      <c r="EQ16" s="207" t="s">
        <v>145</v>
      </c>
      <c r="ER16" s="517">
        <v>4</v>
      </c>
      <c r="ES16" s="183" t="s">
        <v>3806</v>
      </c>
      <c r="ET16" s="183" t="s">
        <v>3900</v>
      </c>
      <c r="EU16" s="82" t="s">
        <v>3807</v>
      </c>
      <c r="EV16" s="82" t="s">
        <v>145</v>
      </c>
      <c r="EW16" s="82" t="s">
        <v>145</v>
      </c>
      <c r="EX16" s="360" t="s">
        <v>145</v>
      </c>
      <c r="EY16" s="159"/>
      <c r="EZ16" s="156"/>
      <c r="FA16" s="323"/>
      <c r="FB16" s="323"/>
      <c r="FC16" s="323"/>
      <c r="FD16" s="160"/>
      <c r="FE16" s="156"/>
      <c r="FF16" s="156"/>
      <c r="FG16" s="156"/>
      <c r="FH16" s="157"/>
      <c r="FI16" s="243"/>
      <c r="FJ16" s="403"/>
      <c r="FK16" s="83"/>
      <c r="FL16" s="83"/>
      <c r="FM16" s="83"/>
      <c r="FN16" s="347"/>
      <c r="FO16" s="164"/>
      <c r="FP16" s="255">
        <v>1</v>
      </c>
      <c r="FQ16" s="183" t="s">
        <v>1853</v>
      </c>
      <c r="FR16" s="255">
        <v>1</v>
      </c>
      <c r="FS16" s="183" t="s">
        <v>1853</v>
      </c>
      <c r="FT16" s="259"/>
      <c r="FU16" s="82"/>
      <c r="FV16" s="259"/>
      <c r="FW16" s="82"/>
      <c r="FX16" s="259"/>
      <c r="FY16" s="82"/>
      <c r="FZ16" s="259"/>
      <c r="GA16" s="82"/>
      <c r="GB16" s="261"/>
      <c r="GC16" s="90"/>
      <c r="GD16" s="76">
        <v>2</v>
      </c>
      <c r="GE16" s="445" t="s">
        <v>3425</v>
      </c>
      <c r="GF16" s="447" t="s">
        <v>590</v>
      </c>
      <c r="GG16" s="448">
        <v>3</v>
      </c>
      <c r="GH16" s="449">
        <v>4</v>
      </c>
      <c r="GI16" s="447" t="s">
        <v>590</v>
      </c>
      <c r="GJ16" s="449">
        <v>49</v>
      </c>
      <c r="GK16" s="447">
        <v>12</v>
      </c>
      <c r="GL16" s="448">
        <v>12</v>
      </c>
      <c r="GM16" s="449">
        <v>25</v>
      </c>
      <c r="GN16" s="447" t="s">
        <v>590</v>
      </c>
      <c r="GO16" s="449">
        <v>54</v>
      </c>
      <c r="GP16" s="447">
        <v>15</v>
      </c>
      <c r="GQ16" s="448">
        <v>23</v>
      </c>
      <c r="GR16" s="449">
        <v>16</v>
      </c>
      <c r="GS16" s="446">
        <v>8</v>
      </c>
      <c r="GT16" s="461">
        <v>-0.42340254783630371</v>
      </c>
      <c r="GU16" s="462">
        <v>-1.6127743721008301</v>
      </c>
      <c r="GV16" s="462">
        <v>-0.81985312700271606</v>
      </c>
      <c r="GW16" s="462">
        <v>-0.92749875783920288</v>
      </c>
      <c r="GX16" s="462">
        <v>-0.83167016506195068</v>
      </c>
      <c r="GY16" s="463">
        <v>-0.89083665609359741</v>
      </c>
      <c r="GZ16" s="10">
        <v>148</v>
      </c>
      <c r="HA16" s="535">
        <v>0.27572000000000002</v>
      </c>
      <c r="HB16" s="535">
        <v>0.39215</v>
      </c>
      <c r="HC16" s="523">
        <v>0.34644999999999998</v>
      </c>
      <c r="HD16" s="462">
        <v>9.4140000000000001E-2</v>
      </c>
      <c r="HE16" s="463">
        <v>0.3866</v>
      </c>
      <c r="HF16" s="10">
        <v>145</v>
      </c>
      <c r="HG16" s="532">
        <v>1.97</v>
      </c>
      <c r="HH16" s="447">
        <v>2.57</v>
      </c>
      <c r="HI16" s="544">
        <v>0.27</v>
      </c>
      <c r="HJ16" s="449">
        <v>4.18</v>
      </c>
      <c r="HK16" s="379" t="s">
        <v>145</v>
      </c>
      <c r="HL16" s="362" t="s">
        <v>145</v>
      </c>
      <c r="HM16" s="557" t="s">
        <v>145</v>
      </c>
      <c r="HN16" s="557" t="s">
        <v>145</v>
      </c>
      <c r="HO16" s="557" t="s">
        <v>145</v>
      </c>
      <c r="HP16" s="562" t="s">
        <v>145</v>
      </c>
      <c r="HQ16" s="562" t="s">
        <v>145</v>
      </c>
      <c r="HR16" s="563" t="s">
        <v>145</v>
      </c>
      <c r="HS16" s="545">
        <v>19</v>
      </c>
      <c r="HT16" s="557">
        <v>107</v>
      </c>
      <c r="HU16" s="557">
        <v>2008</v>
      </c>
      <c r="HV16" s="583" t="s">
        <v>4173</v>
      </c>
      <c r="HW16" s="448">
        <v>2</v>
      </c>
      <c r="HX16" s="448">
        <v>25</v>
      </c>
      <c r="HY16" s="448">
        <v>16</v>
      </c>
      <c r="HZ16" s="448">
        <v>20</v>
      </c>
      <c r="IA16" s="448">
        <v>23</v>
      </c>
      <c r="IB16" s="448">
        <v>6</v>
      </c>
      <c r="IC16" s="449">
        <v>15</v>
      </c>
      <c r="ID16" s="40"/>
      <c r="IE16" s="355"/>
      <c r="IF16" s="355"/>
      <c r="IG16" s="647"/>
      <c r="IH16" s="115"/>
      <c r="II16" s="647" t="s">
        <v>4921</v>
      </c>
      <c r="IJ16" s="423" t="s">
        <v>4926</v>
      </c>
      <c r="IK16" s="10">
        <v>0</v>
      </c>
      <c r="IL16" s="749">
        <f t="shared" si="14"/>
        <v>17</v>
      </c>
      <c r="IM16" s="747">
        <f t="shared" si="15"/>
        <v>68</v>
      </c>
      <c r="IN16" s="750" t="str">
        <f t="shared" si="16"/>
        <v>B</v>
      </c>
      <c r="IO16" s="446"/>
      <c r="IP16" s="902">
        <v>4</v>
      </c>
      <c r="IQ16" s="903">
        <v>1</v>
      </c>
      <c r="IR16" s="993">
        <v>1</v>
      </c>
      <c r="IT16" s="435"/>
      <c r="IU16" s="435"/>
      <c r="IV16" s="435"/>
    </row>
    <row r="17" spans="1:256">
      <c r="A17" s="21">
        <v>15</v>
      </c>
      <c r="B17" s="9"/>
      <c r="C17" s="430" t="s">
        <v>33</v>
      </c>
      <c r="D17" s="424" t="s">
        <v>409</v>
      </c>
      <c r="E17" s="10" t="s">
        <v>17</v>
      </c>
      <c r="F17" s="76" t="s">
        <v>759</v>
      </c>
      <c r="G17" s="102" t="s">
        <v>457</v>
      </c>
      <c r="H17" s="251" t="s">
        <v>1711</v>
      </c>
      <c r="I17" s="95" t="s">
        <v>1712</v>
      </c>
      <c r="J17" s="358">
        <v>1</v>
      </c>
      <c r="K17" s="88">
        <v>1890</v>
      </c>
      <c r="L17" s="367">
        <v>2</v>
      </c>
      <c r="M17" s="403" t="s">
        <v>2135</v>
      </c>
      <c r="N17" s="347" t="s">
        <v>1822</v>
      </c>
      <c r="O17" s="365" t="s">
        <v>3059</v>
      </c>
      <c r="P17" s="377" t="s">
        <v>3057</v>
      </c>
      <c r="Q17" s="358">
        <v>4</v>
      </c>
      <c r="R17" s="358">
        <v>1904</v>
      </c>
      <c r="S17" s="377" t="s">
        <v>3058</v>
      </c>
      <c r="T17" s="358">
        <v>1</v>
      </c>
      <c r="U17" s="358">
        <v>2</v>
      </c>
      <c r="V17" s="358">
        <v>16</v>
      </c>
      <c r="W17" s="347" t="s">
        <v>1822</v>
      </c>
      <c r="X17" s="86">
        <v>1</v>
      </c>
      <c r="Y17" s="347">
        <v>0</v>
      </c>
      <c r="Z17" s="272"/>
      <c r="AA17" s="1092">
        <v>1</v>
      </c>
      <c r="AB17" s="1093">
        <v>1</v>
      </c>
      <c r="AC17" s="1094"/>
      <c r="AD17" s="174" t="s">
        <v>3059</v>
      </c>
      <c r="AE17" s="358">
        <v>2015</v>
      </c>
      <c r="AF17" s="358">
        <v>2</v>
      </c>
      <c r="AG17" s="358">
        <v>4</v>
      </c>
      <c r="AH17" s="358" t="s">
        <v>3112</v>
      </c>
      <c r="AI17" s="358">
        <v>0</v>
      </c>
      <c r="AJ17" s="358">
        <v>0</v>
      </c>
      <c r="AK17" s="590" t="s">
        <v>145</v>
      </c>
      <c r="AL17" s="389">
        <v>10</v>
      </c>
      <c r="AM17" s="1" t="s">
        <v>3111</v>
      </c>
      <c r="AN17" s="403" t="s">
        <v>145</v>
      </c>
      <c r="AO17" s="86">
        <v>0</v>
      </c>
      <c r="AP17" s="347">
        <v>0</v>
      </c>
      <c r="AQ17" s="365" t="s">
        <v>5356</v>
      </c>
      <c r="AR17" s="377" t="s">
        <v>5237</v>
      </c>
      <c r="AS17" s="228">
        <v>1</v>
      </c>
      <c r="AT17" s="370">
        <v>2</v>
      </c>
      <c r="AU17" s="371">
        <v>2009</v>
      </c>
      <c r="AV17" s="370">
        <v>5</v>
      </c>
      <c r="AW17" s="589" t="s">
        <v>145</v>
      </c>
      <c r="AX17" s="687">
        <v>0</v>
      </c>
      <c r="AY17" s="174" t="s">
        <v>2194</v>
      </c>
      <c r="AZ17" s="358">
        <v>2001</v>
      </c>
      <c r="BA17" s="228">
        <v>1</v>
      </c>
      <c r="BB17" s="228">
        <v>0</v>
      </c>
      <c r="BC17" s="549" t="s">
        <v>145</v>
      </c>
      <c r="BD17" s="192" t="s">
        <v>145</v>
      </c>
      <c r="BE17" s="228">
        <v>0</v>
      </c>
      <c r="BF17" s="345" t="s">
        <v>145</v>
      </c>
      <c r="BG17" s="345">
        <v>0</v>
      </c>
      <c r="BH17" s="551" t="s">
        <v>145</v>
      </c>
      <c r="BI17" s="345">
        <v>1</v>
      </c>
      <c r="BJ17" s="345">
        <v>1</v>
      </c>
      <c r="BK17" s="888">
        <v>284.21499999999997</v>
      </c>
      <c r="BL17" s="925">
        <f t="shared" si="0"/>
        <v>52.086976408704679</v>
      </c>
      <c r="BM17" s="888">
        <v>136.17599999999999</v>
      </c>
      <c r="BN17" s="920">
        <v>148.03899999999999</v>
      </c>
      <c r="BO17" s="888">
        <v>17.36</v>
      </c>
      <c r="BP17" s="1158">
        <f t="shared" si="17"/>
        <v>49.377880184331794</v>
      </c>
      <c r="BQ17" s="917">
        <v>8.7880000000000003</v>
      </c>
      <c r="BR17" s="920">
        <v>8.5719999999999992</v>
      </c>
      <c r="BS17" s="888">
        <v>18.577999999999999</v>
      </c>
      <c r="BT17" s="1158">
        <f t="shared" si="18"/>
        <v>48.70814942404995</v>
      </c>
      <c r="BU17" s="917">
        <v>9.5289999999999999</v>
      </c>
      <c r="BV17" s="920">
        <v>9.0489999999999995</v>
      </c>
      <c r="BW17" s="888">
        <v>19.103000000000002</v>
      </c>
      <c r="BX17" s="1158">
        <f t="shared" si="19"/>
        <v>48.57352248337957</v>
      </c>
      <c r="BY17" s="917">
        <v>9.8239999999999998</v>
      </c>
      <c r="BZ17" s="920">
        <v>9.2789999999999999</v>
      </c>
      <c r="CA17" s="888">
        <f t="shared" si="20"/>
        <v>229.17399999999995</v>
      </c>
      <c r="CB17" s="1158">
        <f t="shared" si="21"/>
        <v>52.858963058636675</v>
      </c>
      <c r="CC17" s="917">
        <f t="shared" si="22"/>
        <v>108.035</v>
      </c>
      <c r="CD17" s="920">
        <f t="shared" si="23"/>
        <v>121.13899999999998</v>
      </c>
      <c r="CE17" s="914">
        <v>2015</v>
      </c>
      <c r="CF17" s="910" t="s">
        <v>5630</v>
      </c>
      <c r="CG17" s="931">
        <v>90</v>
      </c>
      <c r="CH17" s="504">
        <v>90</v>
      </c>
      <c r="CI17" s="1008">
        <v>90</v>
      </c>
      <c r="CJ17" s="904" t="s">
        <v>1621</v>
      </c>
      <c r="CK17" s="904" t="s">
        <v>1621</v>
      </c>
      <c r="CL17" s="906">
        <v>2013</v>
      </c>
      <c r="CM17" s="1004" t="s">
        <v>5698</v>
      </c>
      <c r="CN17" s="1125">
        <v>220</v>
      </c>
      <c r="CO17" s="1045">
        <f t="shared" si="1"/>
        <v>77.406188976655002</v>
      </c>
      <c r="CP17" s="1040">
        <f>IF(OR(CZ17=1,CZ17=10),CN17*(1-BL17/100),IF(DA17=6,CN17*(1-BL17/100),CN17*(1-CB17/100)))</f>
        <v>105.4086519008497</v>
      </c>
      <c r="CQ17" s="1041">
        <f>IF(OR(CZ17=1,CZ17=10),CN17*BL17/100,IF(DA17=6,CN17*BL17/100,CN17*CB17/100))</f>
        <v>114.5913480991503</v>
      </c>
      <c r="CR17" s="1046">
        <v>2012</v>
      </c>
      <c r="CS17" s="1047" t="s">
        <v>5636</v>
      </c>
      <c r="CT17" s="1068">
        <f t="shared" si="2"/>
        <v>16</v>
      </c>
      <c r="CU17" s="1071">
        <v>18</v>
      </c>
      <c r="CV17" s="1068" t="s">
        <v>5863</v>
      </c>
      <c r="CW17" s="1113">
        <v>235.51</v>
      </c>
      <c r="CX17" s="1113">
        <v>219.56100000000001</v>
      </c>
      <c r="CY17" s="1113">
        <v>288.72500000000002</v>
      </c>
      <c r="CZ17" s="494">
        <v>1</v>
      </c>
      <c r="DA17" s="1124">
        <v>4</v>
      </c>
      <c r="DB17" s="1050" t="s">
        <v>647</v>
      </c>
      <c r="DC17" s="1146" t="s">
        <v>322</v>
      </c>
      <c r="DD17" s="978">
        <f t="shared" si="34"/>
        <v>14.678099999999947</v>
      </c>
      <c r="DE17" s="979">
        <f t="shared" si="3"/>
        <v>5.1644353746283445</v>
      </c>
      <c r="DF17" s="979">
        <f t="shared" si="35"/>
        <v>62.934929594768519</v>
      </c>
      <c r="DG17" s="980">
        <f t="shared" si="36"/>
        <v>5.4404480991502915</v>
      </c>
      <c r="DH17" s="980">
        <f t="shared" si="37"/>
        <v>9.2376519008496842</v>
      </c>
      <c r="DI17" s="979">
        <f t="shared" si="5"/>
        <v>3.9951592785441572</v>
      </c>
      <c r="DJ17" s="981">
        <f t="shared" si="6"/>
        <v>6.2400123621813748</v>
      </c>
      <c r="DK17" s="984">
        <f t="shared" si="7"/>
        <v>9.1739999999999498</v>
      </c>
      <c r="DL17" s="979">
        <f t="shared" si="38"/>
        <v>71.371832361562269</v>
      </c>
      <c r="DM17" s="980">
        <f t="shared" si="8"/>
        <v>2.6263480991502917</v>
      </c>
      <c r="DN17" s="985">
        <f t="shared" si="9"/>
        <v>6.5476519008496865</v>
      </c>
      <c r="DO17" s="984">
        <f t="shared" si="10"/>
        <v>3.7680999999999991</v>
      </c>
      <c r="DP17" s="979">
        <f t="shared" si="39"/>
        <v>48.639898091876546</v>
      </c>
      <c r="DQ17" s="980">
        <f t="shared" si="28"/>
        <v>1.9352999999999994</v>
      </c>
      <c r="DR17" s="985">
        <f t="shared" si="29"/>
        <v>1.8327999999999995</v>
      </c>
      <c r="DS17" s="984">
        <f t="shared" si="12"/>
        <v>1.7359999999999995</v>
      </c>
      <c r="DT17" s="339">
        <f t="shared" si="40"/>
        <v>49.377880184331794</v>
      </c>
      <c r="DU17" s="980">
        <f t="shared" si="30"/>
        <v>0.8787999999999998</v>
      </c>
      <c r="DV17" s="985">
        <f t="shared" si="31"/>
        <v>0.85719999999999974</v>
      </c>
      <c r="DW17" s="979">
        <f t="shared" si="32"/>
        <v>9.9999999999999982</v>
      </c>
      <c r="DX17" s="981">
        <f t="shared" si="33"/>
        <v>9.9999999999999982</v>
      </c>
      <c r="DY17" s="414" t="s">
        <v>145</v>
      </c>
      <c r="DZ17" s="111" t="s">
        <v>145</v>
      </c>
      <c r="EA17" s="118"/>
      <c r="EB17" s="123" t="s">
        <v>145</v>
      </c>
      <c r="EC17" s="113" t="s">
        <v>145</v>
      </c>
      <c r="ED17" s="20"/>
      <c r="EE17" s="414" t="s">
        <v>145</v>
      </c>
      <c r="EF17" s="111" t="s">
        <v>145</v>
      </c>
      <c r="EG17" s="380" t="s">
        <v>145</v>
      </c>
      <c r="EH17" s="24" t="s">
        <v>335</v>
      </c>
      <c r="EI17" s="287">
        <v>0</v>
      </c>
      <c r="EJ17" s="40" t="s">
        <v>145</v>
      </c>
      <c r="EK17" s="35" t="s">
        <v>145</v>
      </c>
      <c r="EL17" s="95" t="s">
        <v>145</v>
      </c>
      <c r="EM17" s="95" t="s">
        <v>145</v>
      </c>
      <c r="EN17" s="35" t="s">
        <v>145</v>
      </c>
      <c r="EO17" s="95" t="s">
        <v>145</v>
      </c>
      <c r="EP17" s="205" t="s">
        <v>145</v>
      </c>
      <c r="EQ17" s="207" t="s">
        <v>145</v>
      </c>
      <c r="ER17" s="517" t="s">
        <v>145</v>
      </c>
      <c r="ES17" s="183"/>
      <c r="ET17" s="183"/>
      <c r="EU17" s="82"/>
      <c r="EV17" s="82"/>
      <c r="EW17" s="82"/>
      <c r="EX17" s="90"/>
      <c r="EY17" s="159">
        <v>256600</v>
      </c>
      <c r="EZ17" s="156">
        <v>2010</v>
      </c>
      <c r="FA17" s="323">
        <v>44</v>
      </c>
      <c r="FB17" s="323">
        <v>56</v>
      </c>
      <c r="FC17" s="323">
        <v>13.9</v>
      </c>
      <c r="FD17" s="160" t="s">
        <v>318</v>
      </c>
      <c r="FE17" s="156">
        <v>97.6</v>
      </c>
      <c r="FF17" s="156" t="s">
        <v>335</v>
      </c>
      <c r="FG17" s="156" t="s">
        <v>318</v>
      </c>
      <c r="FH17" s="157" t="s">
        <v>318</v>
      </c>
      <c r="FI17" s="243">
        <v>1</v>
      </c>
      <c r="FJ17" s="403" t="s">
        <v>145</v>
      </c>
      <c r="FK17" s="83" t="s">
        <v>145</v>
      </c>
      <c r="FL17" s="83" t="s">
        <v>145</v>
      </c>
      <c r="FM17" s="83" t="s">
        <v>145</v>
      </c>
      <c r="FN17" s="347" t="s">
        <v>145</v>
      </c>
      <c r="FO17" s="164" t="s">
        <v>145</v>
      </c>
      <c r="FP17" s="255"/>
      <c r="FQ17" s="183"/>
      <c r="FR17" s="257"/>
      <c r="FS17" s="82"/>
      <c r="FT17" s="259"/>
      <c r="FU17" s="82"/>
      <c r="FV17" s="259"/>
      <c r="FW17" s="82"/>
      <c r="FX17" s="259"/>
      <c r="FY17" s="82"/>
      <c r="FZ17" s="259"/>
      <c r="GA17" s="82"/>
      <c r="GB17" s="261"/>
      <c r="GC17" s="90"/>
      <c r="GD17" s="76">
        <v>2</v>
      </c>
      <c r="GE17" s="445" t="s">
        <v>3425</v>
      </c>
      <c r="GF17" s="447" t="s">
        <v>10</v>
      </c>
      <c r="GG17" s="448">
        <v>1</v>
      </c>
      <c r="GH17" s="449">
        <v>1</v>
      </c>
      <c r="GI17" s="447" t="s">
        <v>145</v>
      </c>
      <c r="GJ17" s="449" t="s">
        <v>145</v>
      </c>
      <c r="GK17" s="447" t="s">
        <v>145</v>
      </c>
      <c r="GL17" s="448" t="s">
        <v>145</v>
      </c>
      <c r="GM17" s="449" t="s">
        <v>145</v>
      </c>
      <c r="GN17" s="447" t="s">
        <v>10</v>
      </c>
      <c r="GO17" s="449">
        <v>18</v>
      </c>
      <c r="GP17" s="447">
        <v>3</v>
      </c>
      <c r="GQ17" s="448">
        <v>9</v>
      </c>
      <c r="GR17" s="449">
        <v>6</v>
      </c>
      <c r="GS17" s="446"/>
      <c r="GT17" s="461">
        <v>1.1830390691757202</v>
      </c>
      <c r="GU17" s="462">
        <v>1.2929487228393555</v>
      </c>
      <c r="GV17" s="462">
        <v>1.3450701236724854</v>
      </c>
      <c r="GW17" s="462">
        <v>0.42688986659049988</v>
      </c>
      <c r="GX17" s="462">
        <v>0.99901491403579712</v>
      </c>
      <c r="GY17" s="463">
        <v>1.6100748777389526</v>
      </c>
      <c r="GZ17" s="10">
        <v>59</v>
      </c>
      <c r="HA17" s="535">
        <v>0.59330000000000005</v>
      </c>
      <c r="HB17" s="535">
        <v>9.8030000000000006E-2</v>
      </c>
      <c r="HC17" s="523">
        <v>0.22047</v>
      </c>
      <c r="HD17" s="462">
        <v>0.67295000000000005</v>
      </c>
      <c r="HE17" s="463">
        <v>0.88649999999999995</v>
      </c>
      <c r="HF17" s="10">
        <v>35</v>
      </c>
      <c r="HG17" s="532">
        <v>6.95</v>
      </c>
      <c r="HH17" s="447">
        <v>7.86</v>
      </c>
      <c r="HI17" s="544">
        <v>5.2</v>
      </c>
      <c r="HJ17" s="449">
        <v>8.65</v>
      </c>
      <c r="HK17" s="379" t="s">
        <v>4004</v>
      </c>
      <c r="HL17" s="23" t="s">
        <v>4663</v>
      </c>
      <c r="HM17" s="557">
        <v>2005</v>
      </c>
      <c r="HN17" s="809" t="s">
        <v>145</v>
      </c>
      <c r="HO17" s="557" t="s">
        <v>3985</v>
      </c>
      <c r="HP17" s="562" t="s">
        <v>4686</v>
      </c>
      <c r="HQ17" s="639" t="s">
        <v>4875</v>
      </c>
      <c r="HR17" s="563" t="s">
        <v>145</v>
      </c>
      <c r="HS17" s="545" t="s">
        <v>145</v>
      </c>
      <c r="HT17" s="557" t="s">
        <v>145</v>
      </c>
      <c r="HU17" s="557">
        <v>2008</v>
      </c>
      <c r="HV17" s="583" t="s">
        <v>4876</v>
      </c>
      <c r="HW17" s="448" t="s">
        <v>145</v>
      </c>
      <c r="HX17" s="448" t="s">
        <v>145</v>
      </c>
      <c r="HY17" s="448" t="s">
        <v>145</v>
      </c>
      <c r="HZ17" s="448" t="s">
        <v>145</v>
      </c>
      <c r="IA17" s="448" t="s">
        <v>145</v>
      </c>
      <c r="IB17" s="448" t="s">
        <v>145</v>
      </c>
      <c r="IC17" s="449" t="s">
        <v>145</v>
      </c>
      <c r="ID17" s="660"/>
      <c r="IE17" s="355"/>
      <c r="IF17" s="355"/>
      <c r="IG17" s="647"/>
      <c r="IH17" s="339"/>
      <c r="II17" s="553" t="s">
        <v>4920</v>
      </c>
      <c r="IJ17" s="424" t="s">
        <v>4926</v>
      </c>
      <c r="IK17" s="24">
        <v>1</v>
      </c>
      <c r="IL17" s="749">
        <f t="shared" si="14"/>
        <v>15</v>
      </c>
      <c r="IM17" s="747">
        <f t="shared" si="15"/>
        <v>60</v>
      </c>
      <c r="IN17" s="750" t="str">
        <f t="shared" si="16"/>
        <v>B</v>
      </c>
      <c r="IO17" s="446"/>
      <c r="IP17" s="902">
        <v>4</v>
      </c>
      <c r="IQ17" s="903">
        <v>0</v>
      </c>
      <c r="IR17" s="993">
        <v>1</v>
      </c>
      <c r="IT17" s="435"/>
      <c r="IU17" s="435"/>
      <c r="IV17" s="435"/>
    </row>
    <row r="18" spans="1:256">
      <c r="A18" s="21">
        <v>16</v>
      </c>
      <c r="B18" s="9"/>
      <c r="C18" s="430" t="s">
        <v>34</v>
      </c>
      <c r="D18" s="423" t="s">
        <v>408</v>
      </c>
      <c r="E18" s="10" t="s">
        <v>12</v>
      </c>
      <c r="F18" s="76" t="s">
        <v>760</v>
      </c>
      <c r="G18" s="102" t="s">
        <v>451</v>
      </c>
      <c r="H18" s="251" t="s">
        <v>3061</v>
      </c>
      <c r="I18" s="377" t="s">
        <v>2798</v>
      </c>
      <c r="J18" s="358">
        <v>2</v>
      </c>
      <c r="K18" s="88">
        <v>1917</v>
      </c>
      <c r="L18" s="367">
        <v>2</v>
      </c>
      <c r="M18" s="403" t="s">
        <v>1810</v>
      </c>
      <c r="N18" s="347" t="s">
        <v>1822</v>
      </c>
      <c r="O18" s="365" t="s">
        <v>3060</v>
      </c>
      <c r="P18" s="377" t="s">
        <v>2798</v>
      </c>
      <c r="Q18" s="358">
        <v>2</v>
      </c>
      <c r="R18" s="358">
        <v>1923</v>
      </c>
      <c r="S18" s="377" t="s">
        <v>3062</v>
      </c>
      <c r="T18" s="358">
        <v>2</v>
      </c>
      <c r="U18" s="358">
        <v>2</v>
      </c>
      <c r="V18" s="358">
        <v>16</v>
      </c>
      <c r="W18" s="347" t="s">
        <v>1822</v>
      </c>
      <c r="X18" s="86">
        <v>1</v>
      </c>
      <c r="Y18" s="347">
        <v>1</v>
      </c>
      <c r="Z18" s="273" t="s">
        <v>2030</v>
      </c>
      <c r="AA18" s="1092">
        <v>1</v>
      </c>
      <c r="AB18" s="1093"/>
      <c r="AC18" s="1094"/>
      <c r="AD18" s="106" t="s">
        <v>145</v>
      </c>
      <c r="AE18" s="84" t="s">
        <v>145</v>
      </c>
      <c r="AF18" s="358">
        <v>0</v>
      </c>
      <c r="AG18" s="550">
        <v>1</v>
      </c>
      <c r="AH18" s="355" t="s">
        <v>145</v>
      </c>
      <c r="AI18" s="550" t="s">
        <v>145</v>
      </c>
      <c r="AJ18" s="550" t="s">
        <v>145</v>
      </c>
      <c r="AK18" s="590" t="s">
        <v>145</v>
      </c>
      <c r="AL18" s="358">
        <v>0</v>
      </c>
      <c r="AM18" s="330" t="s">
        <v>145</v>
      </c>
      <c r="AN18" s="403" t="s">
        <v>145</v>
      </c>
      <c r="AO18" s="86">
        <v>0</v>
      </c>
      <c r="AP18" s="347">
        <v>0</v>
      </c>
      <c r="AQ18" s="365" t="s">
        <v>4943</v>
      </c>
      <c r="AR18" s="377" t="s">
        <v>4944</v>
      </c>
      <c r="AS18" s="228">
        <v>2</v>
      </c>
      <c r="AT18" s="358">
        <v>2</v>
      </c>
      <c r="AU18" s="367">
        <v>2014</v>
      </c>
      <c r="AV18" s="358">
        <v>5</v>
      </c>
      <c r="AW18" s="589" t="s">
        <v>145</v>
      </c>
      <c r="AX18" s="687">
        <v>0</v>
      </c>
      <c r="AY18" s="174" t="s">
        <v>4441</v>
      </c>
      <c r="AZ18" s="358">
        <v>2011</v>
      </c>
      <c r="BA18" s="228">
        <v>1</v>
      </c>
      <c r="BB18" s="228">
        <v>0</v>
      </c>
      <c r="BC18" s="549" t="s">
        <v>145</v>
      </c>
      <c r="BD18" s="192" t="s">
        <v>145</v>
      </c>
      <c r="BE18" s="228">
        <v>0</v>
      </c>
      <c r="BF18" s="345" t="s">
        <v>145</v>
      </c>
      <c r="BG18" s="345">
        <v>0</v>
      </c>
      <c r="BH18" s="551" t="s">
        <v>145</v>
      </c>
      <c r="BI18" s="345">
        <v>0</v>
      </c>
      <c r="BJ18" s="345">
        <v>0</v>
      </c>
      <c r="BK18" s="888">
        <v>9495.8259999999991</v>
      </c>
      <c r="BL18" s="925">
        <f t="shared" si="0"/>
        <v>53.521378761573771</v>
      </c>
      <c r="BM18" s="888">
        <v>4413.5290000000005</v>
      </c>
      <c r="BN18" s="920">
        <v>5082.2969999999996</v>
      </c>
      <c r="BO18" s="888">
        <v>586.33000000000004</v>
      </c>
      <c r="BP18" s="1158">
        <f t="shared" si="17"/>
        <v>48.505108044957609</v>
      </c>
      <c r="BQ18" s="917">
        <v>301.93</v>
      </c>
      <c r="BR18" s="920">
        <v>284.39999999999998</v>
      </c>
      <c r="BS18" s="888">
        <v>497.26799999999997</v>
      </c>
      <c r="BT18" s="1158">
        <f t="shared" si="18"/>
        <v>48.628103960037649</v>
      </c>
      <c r="BU18" s="917">
        <v>255.45599999999999</v>
      </c>
      <c r="BV18" s="920">
        <v>241.81200000000001</v>
      </c>
      <c r="BW18" s="888">
        <v>442.21100000000001</v>
      </c>
      <c r="BX18" s="1158">
        <f t="shared" si="19"/>
        <v>48.679476539480021</v>
      </c>
      <c r="BY18" s="917">
        <v>226.94499999999999</v>
      </c>
      <c r="BZ18" s="920">
        <v>215.26599999999999</v>
      </c>
      <c r="CA18" s="888">
        <f t="shared" si="20"/>
        <v>7970.0169999999989</v>
      </c>
      <c r="CB18" s="1158">
        <f t="shared" si="21"/>
        <v>54.464363124946921</v>
      </c>
      <c r="CC18" s="917">
        <f t="shared" si="22"/>
        <v>3629.1979999999999</v>
      </c>
      <c r="CD18" s="920">
        <f t="shared" si="23"/>
        <v>4340.8190000000004</v>
      </c>
      <c r="CE18" s="914">
        <v>2015</v>
      </c>
      <c r="CF18" s="910" t="s">
        <v>5630</v>
      </c>
      <c r="CG18" s="930">
        <v>100</v>
      </c>
      <c r="CH18" s="1005">
        <v>100</v>
      </c>
      <c r="CI18" s="1006">
        <v>100</v>
      </c>
      <c r="CJ18" s="904" t="s">
        <v>1621</v>
      </c>
      <c r="CK18" s="904" t="s">
        <v>1621</v>
      </c>
      <c r="CL18" s="904">
        <v>2012</v>
      </c>
      <c r="CM18" s="905" t="s">
        <v>5579</v>
      </c>
      <c r="CN18" s="1044">
        <v>7008.6819999999998</v>
      </c>
      <c r="CO18" s="1045">
        <f t="shared" si="1"/>
        <v>73.808028917126336</v>
      </c>
      <c r="CP18" s="1040">
        <f>IF(OR(CZ18=1,CZ18=10),CN18*(1-BL18/100),IF(DA18=6,CN18*(1-BL18/100),CN18*(1-CB18/100)))</f>
        <v>3257.5387605857563</v>
      </c>
      <c r="CQ18" s="1041">
        <f>IF(OR(CZ18=1,CZ18=10),CN18*BL18/100,IF(DA18=6,CN18*BL18/100,CN18*CB18/100))</f>
        <v>3751.1432394142439</v>
      </c>
      <c r="CR18" s="1046">
        <v>2015</v>
      </c>
      <c r="CS18" s="1047" t="s">
        <v>5749</v>
      </c>
      <c r="CT18" s="1068">
        <f t="shared" si="2"/>
        <v>16</v>
      </c>
      <c r="CU18" s="1071">
        <v>18</v>
      </c>
      <c r="CV18" s="1068" t="s">
        <v>5864</v>
      </c>
      <c r="CW18" s="1113">
        <v>7008.6819999999998</v>
      </c>
      <c r="CX18" s="1113">
        <v>7828.768</v>
      </c>
      <c r="CY18" s="1113">
        <v>9589.6890000000003</v>
      </c>
      <c r="CZ18" s="494">
        <v>1</v>
      </c>
      <c r="DA18" s="1124">
        <v>6</v>
      </c>
      <c r="DB18" s="1050" t="s">
        <v>647</v>
      </c>
      <c r="DC18" s="1146" t="s">
        <v>322</v>
      </c>
      <c r="DD18" s="982">
        <f t="shared" si="34"/>
        <v>961.33499999999913</v>
      </c>
      <c r="DE18" s="979">
        <f t="shared" si="3"/>
        <v>10.123763851612269</v>
      </c>
      <c r="DF18" s="979">
        <f t="shared" si="35"/>
        <v>61.339258488014792</v>
      </c>
      <c r="DG18" s="983">
        <f t="shared" si="36"/>
        <v>371.65923941424353</v>
      </c>
      <c r="DH18" s="983">
        <f t="shared" si="37"/>
        <v>589.67576058575651</v>
      </c>
      <c r="DI18" s="979">
        <f t="shared" si="5"/>
        <v>8.420908515934606</v>
      </c>
      <c r="DJ18" s="981">
        <f t="shared" si="6"/>
        <v>11.602544294159836</v>
      </c>
      <c r="DK18" s="984">
        <f t="shared" si="7"/>
        <v>961.33499999999913</v>
      </c>
      <c r="DL18" s="979">
        <f t="shared" si="38"/>
        <v>61.339258488014792</v>
      </c>
      <c r="DM18" s="983">
        <f t="shared" si="8"/>
        <v>371.65923941424353</v>
      </c>
      <c r="DN18" s="986">
        <f t="shared" si="9"/>
        <v>589.67576058575651</v>
      </c>
      <c r="DO18" s="984">
        <f t="shared" si="10"/>
        <v>0</v>
      </c>
      <c r="DP18" s="979">
        <f t="shared" si="39"/>
        <v>0</v>
      </c>
      <c r="DQ18" s="983">
        <f t="shared" si="28"/>
        <v>0</v>
      </c>
      <c r="DR18" s="986">
        <f t="shared" si="29"/>
        <v>0</v>
      </c>
      <c r="DS18" s="984">
        <f t="shared" si="12"/>
        <v>0</v>
      </c>
      <c r="DT18" s="339">
        <f t="shared" si="40"/>
        <v>0</v>
      </c>
      <c r="DU18" s="983">
        <f t="shared" si="30"/>
        <v>0</v>
      </c>
      <c r="DV18" s="986">
        <f t="shared" si="31"/>
        <v>0</v>
      </c>
      <c r="DW18" s="979">
        <f t="shared" si="32"/>
        <v>0</v>
      </c>
      <c r="DX18" s="981">
        <f t="shared" si="33"/>
        <v>0</v>
      </c>
      <c r="DY18" s="414">
        <v>7.0000000000000007E-2</v>
      </c>
      <c r="DZ18" s="111">
        <v>2011</v>
      </c>
      <c r="EA18" s="118">
        <v>7</v>
      </c>
      <c r="EB18" s="123">
        <v>5.4</v>
      </c>
      <c r="EC18" s="113">
        <v>2009</v>
      </c>
      <c r="ED18" s="20">
        <v>511.54200000000003</v>
      </c>
      <c r="EE18" s="414">
        <v>27.1</v>
      </c>
      <c r="EF18" s="111">
        <v>2003</v>
      </c>
      <c r="EG18" s="380">
        <v>99.617057800292997</v>
      </c>
      <c r="EH18" s="24" t="s">
        <v>356</v>
      </c>
      <c r="EI18" s="287">
        <v>0</v>
      </c>
      <c r="EJ18" s="40" t="s">
        <v>145</v>
      </c>
      <c r="EK18" s="35" t="s">
        <v>145</v>
      </c>
      <c r="EL18" s="95" t="s">
        <v>145</v>
      </c>
      <c r="EM18" s="95" t="s">
        <v>145</v>
      </c>
      <c r="EN18" s="35" t="s">
        <v>145</v>
      </c>
      <c r="EO18" s="95" t="s">
        <v>145</v>
      </c>
      <c r="EP18" s="205" t="s">
        <v>145</v>
      </c>
      <c r="EQ18" s="207" t="s">
        <v>145</v>
      </c>
      <c r="ER18" s="517" t="s">
        <v>145</v>
      </c>
      <c r="ES18" s="183"/>
      <c r="ET18" s="183"/>
      <c r="EU18" s="82"/>
      <c r="EV18" s="82"/>
      <c r="EW18" s="82"/>
      <c r="EX18" s="90"/>
      <c r="EY18" s="159"/>
      <c r="EZ18" s="156"/>
      <c r="FA18" s="323"/>
      <c r="FB18" s="323"/>
      <c r="FC18" s="323"/>
      <c r="FD18" s="160"/>
      <c r="FE18" s="156"/>
      <c r="FF18" s="156"/>
      <c r="FG18" s="156"/>
      <c r="FH18" s="157"/>
      <c r="FI18" s="243"/>
      <c r="FJ18" s="403"/>
      <c r="FK18" s="83"/>
      <c r="FL18" s="83"/>
      <c r="FM18" s="83"/>
      <c r="FN18" s="347"/>
      <c r="FO18" s="164"/>
      <c r="FP18" s="255"/>
      <c r="FQ18" s="183"/>
      <c r="FR18" s="257"/>
      <c r="FS18" s="82"/>
      <c r="FT18" s="259"/>
      <c r="FU18" s="82"/>
      <c r="FV18" s="259"/>
      <c r="FW18" s="82"/>
      <c r="FX18" s="259"/>
      <c r="FY18" s="82"/>
      <c r="FZ18" s="259"/>
      <c r="GA18" s="82"/>
      <c r="GB18" s="261"/>
      <c r="GC18" s="90"/>
      <c r="GD18" s="76">
        <v>1</v>
      </c>
      <c r="GE18" s="445" t="s">
        <v>3424</v>
      </c>
      <c r="GF18" s="447" t="s">
        <v>580</v>
      </c>
      <c r="GG18" s="448">
        <v>7</v>
      </c>
      <c r="GH18" s="449">
        <v>6</v>
      </c>
      <c r="GI18" s="447" t="s">
        <v>580</v>
      </c>
      <c r="GJ18" s="449">
        <v>62</v>
      </c>
      <c r="GK18" s="447">
        <v>15</v>
      </c>
      <c r="GL18" s="448">
        <v>20</v>
      </c>
      <c r="GM18" s="449">
        <v>27</v>
      </c>
      <c r="GN18" s="447" t="s">
        <v>580</v>
      </c>
      <c r="GO18" s="449">
        <v>93</v>
      </c>
      <c r="GP18" s="447">
        <v>29</v>
      </c>
      <c r="GQ18" s="448">
        <v>36</v>
      </c>
      <c r="GR18" s="449">
        <v>28</v>
      </c>
      <c r="GS18" s="446">
        <v>7</v>
      </c>
      <c r="GT18" s="461">
        <v>-1.5394941568374634</v>
      </c>
      <c r="GU18" s="462">
        <v>-2.5405453518033028E-2</v>
      </c>
      <c r="GV18" s="462">
        <v>-0.94329619407653809</v>
      </c>
      <c r="GW18" s="462">
        <v>-1.093110203742981</v>
      </c>
      <c r="GX18" s="462">
        <v>-0.88880389928817749</v>
      </c>
      <c r="GY18" s="463">
        <v>-0.51814579963684082</v>
      </c>
      <c r="GZ18" s="10">
        <v>55</v>
      </c>
      <c r="HA18" s="535">
        <v>0.60528999999999999</v>
      </c>
      <c r="HB18" s="535">
        <v>0.35293999999999998</v>
      </c>
      <c r="HC18" s="523">
        <v>0.32283000000000001</v>
      </c>
      <c r="HD18" s="462">
        <v>0.60690999999999995</v>
      </c>
      <c r="HE18" s="463">
        <v>0.8861</v>
      </c>
      <c r="HF18" s="10">
        <v>38</v>
      </c>
      <c r="HG18" s="532">
        <v>6.89</v>
      </c>
      <c r="HH18" s="447">
        <v>7.39</v>
      </c>
      <c r="HI18" s="544">
        <v>4.99</v>
      </c>
      <c r="HJ18" s="449">
        <v>9.69</v>
      </c>
      <c r="HK18" s="379" t="s">
        <v>145</v>
      </c>
      <c r="HL18" s="362" t="s">
        <v>145</v>
      </c>
      <c r="HM18" s="557" t="s">
        <v>145</v>
      </c>
      <c r="HN18" s="557" t="s">
        <v>145</v>
      </c>
      <c r="HO18" s="557" t="s">
        <v>145</v>
      </c>
      <c r="HP18" s="562" t="s">
        <v>145</v>
      </c>
      <c r="HQ18" s="562" t="s">
        <v>145</v>
      </c>
      <c r="HR18" s="563" t="s">
        <v>145</v>
      </c>
      <c r="HS18" s="545" t="s">
        <v>145</v>
      </c>
      <c r="HT18" s="557" t="s">
        <v>145</v>
      </c>
      <c r="HU18" s="557" t="s">
        <v>145</v>
      </c>
      <c r="HV18" s="581" t="s">
        <v>145</v>
      </c>
      <c r="HW18" s="448" t="s">
        <v>145</v>
      </c>
      <c r="HX18" s="448" t="s">
        <v>145</v>
      </c>
      <c r="HY18" s="448" t="s">
        <v>145</v>
      </c>
      <c r="HZ18" s="448" t="s">
        <v>145</v>
      </c>
      <c r="IA18" s="448" t="s">
        <v>145</v>
      </c>
      <c r="IB18" s="448" t="s">
        <v>145</v>
      </c>
      <c r="IC18" s="449" t="s">
        <v>145</v>
      </c>
      <c r="ID18" s="40"/>
      <c r="IE18" s="355"/>
      <c r="IF18" s="355"/>
      <c r="IG18" s="647"/>
      <c r="IH18" s="115"/>
      <c r="II18" s="647" t="s">
        <v>4922</v>
      </c>
      <c r="IJ18" s="423" t="s">
        <v>4926</v>
      </c>
      <c r="IK18" s="10">
        <v>0</v>
      </c>
      <c r="IL18" s="749">
        <f t="shared" si="14"/>
        <v>10</v>
      </c>
      <c r="IM18" s="747">
        <f t="shared" si="15"/>
        <v>40</v>
      </c>
      <c r="IN18" s="750" t="str">
        <f t="shared" si="16"/>
        <v>C</v>
      </c>
      <c r="IO18" s="446"/>
      <c r="IP18" s="902">
        <v>6</v>
      </c>
      <c r="IQ18" s="903">
        <v>0</v>
      </c>
      <c r="IR18" s="993">
        <v>0</v>
      </c>
      <c r="IT18" s="435"/>
      <c r="IU18" s="435"/>
      <c r="IV18" s="435"/>
    </row>
    <row r="19" spans="1:256">
      <c r="A19" s="21">
        <v>17</v>
      </c>
      <c r="B19" s="9"/>
      <c r="C19" s="430" t="s">
        <v>35</v>
      </c>
      <c r="D19" s="423"/>
      <c r="E19" s="10" t="s">
        <v>17</v>
      </c>
      <c r="F19" s="76" t="s">
        <v>761</v>
      </c>
      <c r="G19" s="102" t="s">
        <v>458</v>
      </c>
      <c r="H19" s="251" t="s">
        <v>2137</v>
      </c>
      <c r="I19" s="95" t="s">
        <v>2136</v>
      </c>
      <c r="J19" s="176">
        <v>5</v>
      </c>
      <c r="K19" s="359">
        <v>1796</v>
      </c>
      <c r="L19" s="371">
        <v>2</v>
      </c>
      <c r="M19" s="240" t="s">
        <v>1813</v>
      </c>
      <c r="N19" s="369" t="s">
        <v>1822</v>
      </c>
      <c r="O19" s="365" t="s">
        <v>2012</v>
      </c>
      <c r="P19" s="377" t="s">
        <v>2092</v>
      </c>
      <c r="Q19" s="176">
        <v>5</v>
      </c>
      <c r="R19" s="176">
        <v>2000</v>
      </c>
      <c r="S19" s="234" t="s">
        <v>3020</v>
      </c>
      <c r="T19" s="176">
        <v>1</v>
      </c>
      <c r="U19" s="176">
        <v>2</v>
      </c>
      <c r="V19" s="176">
        <v>12</v>
      </c>
      <c r="W19" s="369" t="s">
        <v>2036</v>
      </c>
      <c r="X19" s="170">
        <v>1</v>
      </c>
      <c r="Y19" s="369">
        <v>1</v>
      </c>
      <c r="Z19" s="273" t="s">
        <v>1976</v>
      </c>
      <c r="AA19" s="169">
        <v>1</v>
      </c>
      <c r="AB19" s="177">
        <v>1</v>
      </c>
      <c r="AC19" s="171">
        <v>1</v>
      </c>
      <c r="AD19" s="366" t="s">
        <v>3021</v>
      </c>
      <c r="AE19" s="357">
        <v>2001</v>
      </c>
      <c r="AF19" s="804">
        <v>3</v>
      </c>
      <c r="AG19" s="55">
        <v>4</v>
      </c>
      <c r="AH19" s="355" t="s">
        <v>3022</v>
      </c>
      <c r="AI19" s="55">
        <v>1</v>
      </c>
      <c r="AJ19" s="55">
        <v>1</v>
      </c>
      <c r="AK19" s="589">
        <v>10000</v>
      </c>
      <c r="AL19" s="386">
        <v>1</v>
      </c>
      <c r="AM19" s="361" t="s">
        <v>2752</v>
      </c>
      <c r="AN19" s="344" t="s">
        <v>145</v>
      </c>
      <c r="AO19" s="170">
        <v>0</v>
      </c>
      <c r="AP19" s="172">
        <v>0</v>
      </c>
      <c r="AQ19" s="365" t="s">
        <v>4945</v>
      </c>
      <c r="AR19" s="377" t="s">
        <v>4946</v>
      </c>
      <c r="AS19" s="55">
        <v>2</v>
      </c>
      <c r="AT19" s="370">
        <v>3</v>
      </c>
      <c r="AU19" s="371">
        <v>2004</v>
      </c>
      <c r="AV19" s="370">
        <v>5</v>
      </c>
      <c r="AW19" s="589">
        <v>3500</v>
      </c>
      <c r="AX19" s="687">
        <v>1</v>
      </c>
      <c r="AY19" s="174" t="s">
        <v>4400</v>
      </c>
      <c r="AZ19" s="55">
        <v>1988</v>
      </c>
      <c r="BA19" s="55">
        <v>1</v>
      </c>
      <c r="BB19" s="55">
        <v>2</v>
      </c>
      <c r="BC19" s="174" t="s">
        <v>4401</v>
      </c>
      <c r="BD19" s="55">
        <v>1988</v>
      </c>
      <c r="BE19" s="55">
        <v>1</v>
      </c>
      <c r="BF19" s="367" t="s">
        <v>323</v>
      </c>
      <c r="BG19" s="367">
        <v>0</v>
      </c>
      <c r="BH19" s="56" t="s">
        <v>145</v>
      </c>
      <c r="BI19" s="367">
        <v>3</v>
      </c>
      <c r="BJ19" s="367">
        <v>1</v>
      </c>
      <c r="BK19" s="888">
        <v>11299.191999999999</v>
      </c>
      <c r="BL19" s="925">
        <f t="shared" si="0"/>
        <v>50.800897975713667</v>
      </c>
      <c r="BM19" s="888">
        <v>5559.1009999999997</v>
      </c>
      <c r="BN19" s="920">
        <v>5740.0910000000003</v>
      </c>
      <c r="BO19" s="888">
        <v>652.95100000000002</v>
      </c>
      <c r="BP19" s="1158">
        <f t="shared" si="17"/>
        <v>48.814535853379503</v>
      </c>
      <c r="BQ19" s="917">
        <v>334.21600000000001</v>
      </c>
      <c r="BR19" s="920">
        <v>318.73500000000001</v>
      </c>
      <c r="BS19" s="888">
        <v>651.19000000000005</v>
      </c>
      <c r="BT19" s="1158">
        <f t="shared" si="18"/>
        <v>48.850258757044791</v>
      </c>
      <c r="BU19" s="917">
        <v>333.08199999999999</v>
      </c>
      <c r="BV19" s="920">
        <v>318.108</v>
      </c>
      <c r="BW19" s="888">
        <v>610.44399999999996</v>
      </c>
      <c r="BX19" s="1158">
        <f t="shared" si="19"/>
        <v>48.846741060605076</v>
      </c>
      <c r="BY19" s="917">
        <v>312.262</v>
      </c>
      <c r="BZ19" s="920">
        <v>298.18200000000002</v>
      </c>
      <c r="CA19" s="888">
        <f t="shared" si="20"/>
        <v>9384.6069999999982</v>
      </c>
      <c r="CB19" s="1158">
        <f t="shared" si="21"/>
        <v>51.201568696483527</v>
      </c>
      <c r="CC19" s="917">
        <f t="shared" si="22"/>
        <v>4579.5409999999993</v>
      </c>
      <c r="CD19" s="920">
        <f t="shared" si="23"/>
        <v>4805.0660000000007</v>
      </c>
      <c r="CE19" s="914">
        <v>2015</v>
      </c>
      <c r="CF19" s="910" t="s">
        <v>5630</v>
      </c>
      <c r="CG19" s="930">
        <v>100</v>
      </c>
      <c r="CH19" s="1005">
        <v>100</v>
      </c>
      <c r="CI19" s="1006">
        <v>100</v>
      </c>
      <c r="CJ19" s="904" t="s">
        <v>1621</v>
      </c>
      <c r="CK19" s="904" t="s">
        <v>1621</v>
      </c>
      <c r="CL19" s="904">
        <v>2010</v>
      </c>
      <c r="CM19" s="905" t="s">
        <v>5576</v>
      </c>
      <c r="CN19" s="1044">
        <v>8001.8779999999997</v>
      </c>
      <c r="CO19" s="1045">
        <f t="shared" si="1"/>
        <v>70.818143456629471</v>
      </c>
      <c r="CP19" s="1040">
        <f>IF(OR(CZ19=1,CZ19=10),CN19*(1-BL19/100),IF(DA19=6,CN19*(1-BL19/100),CN19*(1-CB19/100)))</f>
        <v>3936.8521210789227</v>
      </c>
      <c r="CQ19" s="1041">
        <f>IF(OR(CZ19=1,CZ19=10),CN19*BL19/100,IF(DA19=6,CN19*BL19/100,CN19*CB19/100))</f>
        <v>4065.025878921077</v>
      </c>
      <c r="CR19" s="1046">
        <v>2014</v>
      </c>
      <c r="CS19" s="1047" t="s">
        <v>5750</v>
      </c>
      <c r="CT19" s="1068">
        <f t="shared" si="2"/>
        <v>12</v>
      </c>
      <c r="CU19" s="1071">
        <v>18</v>
      </c>
      <c r="CV19" s="1068" t="s">
        <v>5865</v>
      </c>
      <c r="CW19" s="1113">
        <v>8008.7759999999998</v>
      </c>
      <c r="CX19" s="1113">
        <v>8206.7620000000006</v>
      </c>
      <c r="CY19" s="1113">
        <v>10449.361000000001</v>
      </c>
      <c r="CZ19" s="494">
        <v>1</v>
      </c>
      <c r="DA19" s="1124">
        <v>4</v>
      </c>
      <c r="DB19" s="1050" t="s">
        <v>647</v>
      </c>
      <c r="DC19" s="1145" t="s">
        <v>323</v>
      </c>
      <c r="DD19" s="1140">
        <f t="shared" si="34"/>
        <v>1382.7289999999985</v>
      </c>
      <c r="DE19" s="1132">
        <f t="shared" si="3"/>
        <v>12.237414852318631</v>
      </c>
      <c r="DF19" s="1132">
        <f t="shared" si="35"/>
        <v>53.52025748204634</v>
      </c>
      <c r="DG19" s="1141">
        <f t="shared" si="36"/>
        <v>642.68887892107659</v>
      </c>
      <c r="DH19" s="1141">
        <f t="shared" si="37"/>
        <v>740.04012107892368</v>
      </c>
      <c r="DI19" s="1132">
        <f t="shared" si="5"/>
        <v>11.561021807682152</v>
      </c>
      <c r="DJ19" s="1134">
        <f t="shared" si="6"/>
        <v>12.892480643232373</v>
      </c>
      <c r="DK19" s="1135">
        <f t="shared" si="7"/>
        <v>1382.7289999999985</v>
      </c>
      <c r="DL19" s="1132">
        <f t="shared" si="38"/>
        <v>53.52025748204634</v>
      </c>
      <c r="DM19" s="1141">
        <f t="shared" si="8"/>
        <v>642.68887892107659</v>
      </c>
      <c r="DN19" s="1142">
        <f t="shared" si="9"/>
        <v>740.04012107892368</v>
      </c>
      <c r="DO19" s="1135">
        <f t="shared" si="10"/>
        <v>0</v>
      </c>
      <c r="DP19" s="1132">
        <f t="shared" si="39"/>
        <v>0</v>
      </c>
      <c r="DQ19" s="1141">
        <f t="shared" si="28"/>
        <v>0</v>
      </c>
      <c r="DR19" s="1142">
        <f t="shared" si="29"/>
        <v>0</v>
      </c>
      <c r="DS19" s="1135">
        <f t="shared" si="12"/>
        <v>0</v>
      </c>
      <c r="DT19" s="1137">
        <f t="shared" si="40"/>
        <v>0</v>
      </c>
      <c r="DU19" s="1141">
        <f t="shared" si="30"/>
        <v>0</v>
      </c>
      <c r="DV19" s="1142">
        <f t="shared" si="31"/>
        <v>0</v>
      </c>
      <c r="DW19" s="1132">
        <f t="shared" si="32"/>
        <v>0</v>
      </c>
      <c r="DX19" s="1134">
        <f t="shared" si="33"/>
        <v>0</v>
      </c>
      <c r="DY19" s="414" t="s">
        <v>145</v>
      </c>
      <c r="DZ19" s="111" t="s">
        <v>145</v>
      </c>
      <c r="EA19" s="118"/>
      <c r="EB19" s="123" t="s">
        <v>145</v>
      </c>
      <c r="EC19" s="113" t="s">
        <v>145</v>
      </c>
      <c r="ED19" s="20"/>
      <c r="EE19" s="414">
        <v>15.2</v>
      </c>
      <c r="EF19" s="111">
        <v>2007</v>
      </c>
      <c r="EG19" s="380" t="s">
        <v>145</v>
      </c>
      <c r="EH19" s="24" t="s">
        <v>377</v>
      </c>
      <c r="EI19" s="287">
        <v>0</v>
      </c>
      <c r="EJ19" s="40" t="s">
        <v>145</v>
      </c>
      <c r="EK19" s="35" t="s">
        <v>145</v>
      </c>
      <c r="EL19" s="95" t="s">
        <v>145</v>
      </c>
      <c r="EM19" s="95" t="s">
        <v>145</v>
      </c>
      <c r="EN19" s="35" t="s">
        <v>145</v>
      </c>
      <c r="EO19" s="95" t="s">
        <v>145</v>
      </c>
      <c r="EP19" s="205" t="s">
        <v>145</v>
      </c>
      <c r="EQ19" s="207" t="s">
        <v>145</v>
      </c>
      <c r="ER19" s="517" t="s">
        <v>145</v>
      </c>
      <c r="ES19" s="183"/>
      <c r="ET19" s="183"/>
      <c r="EU19" s="82"/>
      <c r="EV19" s="82"/>
      <c r="EW19" s="82"/>
      <c r="EX19" s="90"/>
      <c r="EY19" s="159"/>
      <c r="EZ19" s="156"/>
      <c r="FA19" s="323"/>
      <c r="FB19" s="323"/>
      <c r="FC19" s="323"/>
      <c r="FD19" s="160"/>
      <c r="FE19" s="156"/>
      <c r="FF19" s="156"/>
      <c r="FG19" s="156"/>
      <c r="FH19" s="157"/>
      <c r="FI19" s="242"/>
      <c r="FJ19" s="240"/>
      <c r="FK19" s="179"/>
      <c r="FL19" s="179"/>
      <c r="FM19" s="179"/>
      <c r="FN19" s="369"/>
      <c r="FO19" s="164"/>
      <c r="FP19" s="255">
        <v>2</v>
      </c>
      <c r="FQ19" s="183"/>
      <c r="FR19" s="257"/>
      <c r="FS19" s="82"/>
      <c r="FT19" s="259"/>
      <c r="FU19" s="82"/>
      <c r="FV19" s="259"/>
      <c r="FW19" s="82"/>
      <c r="FX19" s="259"/>
      <c r="FY19" s="82"/>
      <c r="FZ19" s="259"/>
      <c r="GA19" s="82"/>
      <c r="GB19" s="261"/>
      <c r="GC19" s="90"/>
      <c r="GD19" s="76">
        <v>1</v>
      </c>
      <c r="GE19" s="445" t="s">
        <v>3424</v>
      </c>
      <c r="GF19" s="447" t="s">
        <v>10</v>
      </c>
      <c r="GG19" s="448">
        <v>1</v>
      </c>
      <c r="GH19" s="449">
        <v>1</v>
      </c>
      <c r="GI19" s="447" t="s">
        <v>145</v>
      </c>
      <c r="GJ19" s="449" t="s">
        <v>145</v>
      </c>
      <c r="GK19" s="447" t="s">
        <v>145</v>
      </c>
      <c r="GL19" s="448" t="s">
        <v>145</v>
      </c>
      <c r="GM19" s="449" t="s">
        <v>145</v>
      </c>
      <c r="GN19" s="447" t="s">
        <v>10</v>
      </c>
      <c r="GO19" s="449">
        <v>11</v>
      </c>
      <c r="GP19" s="447">
        <v>2</v>
      </c>
      <c r="GQ19" s="448">
        <v>4</v>
      </c>
      <c r="GR19" s="449">
        <v>5</v>
      </c>
      <c r="GS19" s="446">
        <v>10</v>
      </c>
      <c r="GT19" s="461">
        <v>1.3732528686523438</v>
      </c>
      <c r="GU19" s="462">
        <v>0.9173169732093811</v>
      </c>
      <c r="GV19" s="462">
        <v>1.590151309967041</v>
      </c>
      <c r="GW19" s="462">
        <v>1.2914557456970215</v>
      </c>
      <c r="GX19" s="462">
        <v>1.4032244682312012</v>
      </c>
      <c r="GY19" s="463">
        <v>1.6297614574432373</v>
      </c>
      <c r="GZ19" s="10">
        <v>25</v>
      </c>
      <c r="HA19" s="535">
        <v>0.75638000000000005</v>
      </c>
      <c r="HB19" s="535">
        <v>0.62744999999999995</v>
      </c>
      <c r="HC19" s="523">
        <v>0.67715999999999998</v>
      </c>
      <c r="HD19" s="462">
        <v>0.69879999999999998</v>
      </c>
      <c r="HE19" s="463">
        <v>0.89319999999999999</v>
      </c>
      <c r="HF19" s="10">
        <v>25</v>
      </c>
      <c r="HG19" s="532">
        <v>7.57</v>
      </c>
      <c r="HH19" s="447">
        <v>8.26</v>
      </c>
      <c r="HI19" s="544">
        <v>6.18</v>
      </c>
      <c r="HJ19" s="449">
        <v>8.99</v>
      </c>
      <c r="HK19" s="379" t="s">
        <v>4005</v>
      </c>
      <c r="HL19" s="23" t="s">
        <v>4664</v>
      </c>
      <c r="HM19" s="557">
        <v>1992</v>
      </c>
      <c r="HN19" s="557">
        <v>2011</v>
      </c>
      <c r="HO19" s="557" t="s">
        <v>3985</v>
      </c>
      <c r="HP19" s="562" t="s">
        <v>4006</v>
      </c>
      <c r="HQ19" s="639" t="s">
        <v>4687</v>
      </c>
      <c r="HR19" s="563" t="s">
        <v>4007</v>
      </c>
      <c r="HS19" s="545">
        <v>92</v>
      </c>
      <c r="HT19" s="557">
        <v>59</v>
      </c>
      <c r="HU19" s="557">
        <v>1994</v>
      </c>
      <c r="HV19" s="583" t="s">
        <v>4174</v>
      </c>
      <c r="HW19" s="448">
        <v>2</v>
      </c>
      <c r="HX19" s="448">
        <v>17</v>
      </c>
      <c r="HY19" s="448">
        <v>14</v>
      </c>
      <c r="HZ19" s="448">
        <v>15</v>
      </c>
      <c r="IA19" s="448">
        <v>11</v>
      </c>
      <c r="IB19" s="448">
        <v>0</v>
      </c>
      <c r="IC19" s="449">
        <v>0</v>
      </c>
      <c r="ID19" s="40" t="s">
        <v>5199</v>
      </c>
      <c r="IE19" s="355" t="s">
        <v>5200</v>
      </c>
      <c r="IF19" s="355"/>
      <c r="IG19" s="647"/>
      <c r="IH19" s="115"/>
      <c r="II19" s="647" t="s">
        <v>4920</v>
      </c>
      <c r="IJ19" s="423" t="s">
        <v>4925</v>
      </c>
      <c r="IK19" s="10">
        <v>0</v>
      </c>
      <c r="IL19" s="749">
        <f t="shared" si="14"/>
        <v>22</v>
      </c>
      <c r="IM19" s="747">
        <f t="shared" si="15"/>
        <v>88</v>
      </c>
      <c r="IN19" s="750" t="str">
        <f t="shared" si="16"/>
        <v>A</v>
      </c>
      <c r="IO19" s="446"/>
      <c r="IP19" s="902">
        <v>3</v>
      </c>
      <c r="IQ19" s="903">
        <v>0</v>
      </c>
      <c r="IR19" s="993">
        <v>0</v>
      </c>
      <c r="IT19" s="435"/>
      <c r="IU19" s="435"/>
      <c r="IV19" s="435"/>
    </row>
    <row r="20" spans="1:256">
      <c r="A20" s="21">
        <v>18</v>
      </c>
      <c r="B20" s="9"/>
      <c r="C20" s="430" t="s">
        <v>36</v>
      </c>
      <c r="D20" s="424" t="s">
        <v>409</v>
      </c>
      <c r="E20" s="697" t="s">
        <v>12</v>
      </c>
      <c r="F20" s="76" t="s">
        <v>762</v>
      </c>
      <c r="G20" s="102" t="s">
        <v>466</v>
      </c>
      <c r="H20" s="375" t="s">
        <v>1737</v>
      </c>
      <c r="I20" s="364" t="s">
        <v>2138</v>
      </c>
      <c r="J20" s="358">
        <v>1</v>
      </c>
      <c r="K20" s="359">
        <v>2000</v>
      </c>
      <c r="L20" s="367">
        <v>2</v>
      </c>
      <c r="M20" s="403" t="s">
        <v>1810</v>
      </c>
      <c r="N20" s="347" t="s">
        <v>2139</v>
      </c>
      <c r="O20" s="292" t="s">
        <v>3064</v>
      </c>
      <c r="P20" s="377" t="s">
        <v>3063</v>
      </c>
      <c r="Q20" s="358">
        <v>0</v>
      </c>
      <c r="R20" s="358">
        <v>1989</v>
      </c>
      <c r="S20" s="377" t="s">
        <v>1852</v>
      </c>
      <c r="T20" s="358">
        <v>1</v>
      </c>
      <c r="U20" s="358">
        <v>1</v>
      </c>
      <c r="V20" s="358">
        <v>18</v>
      </c>
      <c r="W20" s="347" t="s">
        <v>1822</v>
      </c>
      <c r="X20" s="86">
        <v>0</v>
      </c>
      <c r="Y20" s="347">
        <v>0</v>
      </c>
      <c r="Z20" s="272"/>
      <c r="AA20" s="1092">
        <v>1</v>
      </c>
      <c r="AB20" s="1093">
        <v>1</v>
      </c>
      <c r="AC20" s="1094"/>
      <c r="AD20" s="367" t="s">
        <v>145</v>
      </c>
      <c r="AE20" s="358" t="s">
        <v>145</v>
      </c>
      <c r="AF20" s="358">
        <v>0</v>
      </c>
      <c r="AG20" s="550">
        <v>1</v>
      </c>
      <c r="AH20" s="355" t="s">
        <v>145</v>
      </c>
      <c r="AI20" s="550" t="s">
        <v>145</v>
      </c>
      <c r="AJ20" s="550" t="s">
        <v>145</v>
      </c>
      <c r="AK20" s="590" t="s">
        <v>145</v>
      </c>
      <c r="AL20" s="358">
        <v>0</v>
      </c>
      <c r="AM20" s="330" t="s">
        <v>145</v>
      </c>
      <c r="AN20" s="243" t="s">
        <v>145</v>
      </c>
      <c r="AO20" s="86">
        <v>0</v>
      </c>
      <c r="AP20" s="347">
        <v>0</v>
      </c>
      <c r="AQ20" s="592" t="s">
        <v>4947</v>
      </c>
      <c r="AR20" s="377" t="s">
        <v>4934</v>
      </c>
      <c r="AS20" s="358">
        <v>2</v>
      </c>
      <c r="AT20" s="358">
        <v>3</v>
      </c>
      <c r="AU20" s="367">
        <v>2013</v>
      </c>
      <c r="AV20" s="358">
        <v>5</v>
      </c>
      <c r="AW20" s="589" t="s">
        <v>145</v>
      </c>
      <c r="AX20" s="687">
        <v>0</v>
      </c>
      <c r="AY20" s="174" t="s">
        <v>1738</v>
      </c>
      <c r="AZ20" s="358">
        <v>2009</v>
      </c>
      <c r="BA20" s="358">
        <v>1</v>
      </c>
      <c r="BB20" s="358">
        <v>0</v>
      </c>
      <c r="BC20" s="174" t="s">
        <v>145</v>
      </c>
      <c r="BD20" s="55" t="s">
        <v>145</v>
      </c>
      <c r="BE20" s="55">
        <v>0</v>
      </c>
      <c r="BF20" s="367" t="s">
        <v>145</v>
      </c>
      <c r="BG20" s="367">
        <v>0</v>
      </c>
      <c r="BH20" s="56" t="s">
        <v>145</v>
      </c>
      <c r="BI20" s="367">
        <v>0</v>
      </c>
      <c r="BJ20" s="367">
        <v>1</v>
      </c>
      <c r="BK20" s="888">
        <v>359.28699999999998</v>
      </c>
      <c r="BL20" s="925">
        <f t="shared" si="0"/>
        <v>50.150158508379093</v>
      </c>
      <c r="BM20" s="888">
        <v>179.10400000000001</v>
      </c>
      <c r="BN20" s="920">
        <v>180.18299999999999</v>
      </c>
      <c r="BO20" s="888">
        <v>39.453000000000003</v>
      </c>
      <c r="BP20" s="1158">
        <f t="shared" si="17"/>
        <v>49.349859326286968</v>
      </c>
      <c r="BQ20" s="917">
        <v>19.983000000000001</v>
      </c>
      <c r="BR20" s="920">
        <v>19.47</v>
      </c>
      <c r="BS20" s="888">
        <v>37.880000000000003</v>
      </c>
      <c r="BT20" s="1158">
        <f t="shared" si="18"/>
        <v>49.086589229144664</v>
      </c>
      <c r="BU20" s="917">
        <v>19.286000000000001</v>
      </c>
      <c r="BV20" s="920">
        <v>18.594000000000001</v>
      </c>
      <c r="BW20" s="888">
        <v>39.271000000000001</v>
      </c>
      <c r="BX20" s="1158">
        <f t="shared" si="19"/>
        <v>49.695704209212899</v>
      </c>
      <c r="BY20" s="917">
        <v>19.754999999999999</v>
      </c>
      <c r="BZ20" s="920">
        <v>19.515999999999998</v>
      </c>
      <c r="CA20" s="888">
        <f t="shared" si="20"/>
        <v>242.68299999999994</v>
      </c>
      <c r="CB20" s="1158">
        <f t="shared" si="21"/>
        <v>50.51981391362397</v>
      </c>
      <c r="CC20" s="917">
        <f t="shared" si="22"/>
        <v>120.08000000000001</v>
      </c>
      <c r="CD20" s="920">
        <f t="shared" si="23"/>
        <v>122.60300000000001</v>
      </c>
      <c r="CE20" s="914">
        <v>2015</v>
      </c>
      <c r="CF20" s="910" t="s">
        <v>5630</v>
      </c>
      <c r="CG20" s="930">
        <v>95.2</v>
      </c>
      <c r="CH20" s="495">
        <v>95</v>
      </c>
      <c r="CI20" s="497">
        <v>95.4</v>
      </c>
      <c r="CJ20" s="904">
        <v>94.6</v>
      </c>
      <c r="CK20" s="904">
        <v>95.6</v>
      </c>
      <c r="CL20" s="904">
        <v>2011</v>
      </c>
      <c r="CM20" s="905" t="s">
        <v>5573</v>
      </c>
      <c r="CN20" s="1044">
        <f>CP20+CQ20</f>
        <v>197.3</v>
      </c>
      <c r="CO20" s="1045">
        <f t="shared" si="1"/>
        <v>54.914316410000929</v>
      </c>
      <c r="CP20" s="1049">
        <v>99.263000000000005</v>
      </c>
      <c r="CQ20" s="1050">
        <v>98.037000000000006</v>
      </c>
      <c r="CR20" s="1046">
        <v>2015</v>
      </c>
      <c r="CS20" s="1047" t="s">
        <v>5637</v>
      </c>
      <c r="CT20" s="1068">
        <f t="shared" si="2"/>
        <v>18</v>
      </c>
      <c r="CU20" s="1071">
        <v>18</v>
      </c>
      <c r="CV20" s="1068" t="s">
        <v>5866</v>
      </c>
      <c r="CW20" s="1113">
        <v>196.58699999999999</v>
      </c>
      <c r="CX20" s="1113">
        <v>203.524</v>
      </c>
      <c r="CY20" s="1113">
        <v>347.36900000000003</v>
      </c>
      <c r="CZ20" s="1048">
        <v>10</v>
      </c>
      <c r="DA20" s="1124">
        <v>4</v>
      </c>
      <c r="DB20" s="1050" t="s">
        <v>647</v>
      </c>
      <c r="DC20" s="1146" t="s">
        <v>322</v>
      </c>
      <c r="DD20" s="982">
        <f t="shared" si="34"/>
        <v>50.979991999999918</v>
      </c>
      <c r="DE20" s="979">
        <f t="shared" si="3"/>
        <v>14.18921141037664</v>
      </c>
      <c r="DF20" s="979">
        <f t="shared" si="35"/>
        <v>53.383060554423082</v>
      </c>
      <c r="DG20" s="983">
        <f t="shared" si="36"/>
        <v>23.768200000000007</v>
      </c>
      <c r="DH20" s="983">
        <f t="shared" si="37"/>
        <v>27.214679999999998</v>
      </c>
      <c r="DI20" s="979">
        <f t="shared" si="5"/>
        <v>13.270613721636595</v>
      </c>
      <c r="DJ20" s="981">
        <f t="shared" si="6"/>
        <v>15.103911023792477</v>
      </c>
      <c r="DK20" s="984">
        <f t="shared" si="7"/>
        <v>45.382999999999925</v>
      </c>
      <c r="DL20" s="979">
        <f t="shared" si="38"/>
        <v>54.130401251570071</v>
      </c>
      <c r="DM20" s="983">
        <f t="shared" si="8"/>
        <v>20.817000000000007</v>
      </c>
      <c r="DN20" s="986">
        <f t="shared" si="9"/>
        <v>24.566000000000003</v>
      </c>
      <c r="DO20" s="984">
        <f t="shared" si="10"/>
        <v>3.703247999999995</v>
      </c>
      <c r="DP20" s="979">
        <f t="shared" si="39"/>
        <v>47.338444522214004</v>
      </c>
      <c r="DQ20" s="983">
        <f t="shared" si="28"/>
        <v>1.9520500000000016</v>
      </c>
      <c r="DR20" s="986">
        <f t="shared" si="29"/>
        <v>1.7530599999999974</v>
      </c>
      <c r="DS20" s="984">
        <f t="shared" si="12"/>
        <v>1.8937439999999974</v>
      </c>
      <c r="DT20" s="339">
        <f t="shared" si="40"/>
        <v>47.293615187691671</v>
      </c>
      <c r="DU20" s="983">
        <f t="shared" si="30"/>
        <v>0.99915000000000087</v>
      </c>
      <c r="DV20" s="986">
        <f t="shared" si="31"/>
        <v>0.89561999999999853</v>
      </c>
      <c r="DW20" s="979">
        <f t="shared" si="32"/>
        <v>5.0000000000000044</v>
      </c>
      <c r="DX20" s="981">
        <f t="shared" si="33"/>
        <v>4.5999999999999925</v>
      </c>
      <c r="DY20" s="414">
        <v>12.2</v>
      </c>
      <c r="DZ20" s="111">
        <v>1999</v>
      </c>
      <c r="EA20" s="368">
        <v>43.505200000000002</v>
      </c>
      <c r="EB20" s="123">
        <v>33.5</v>
      </c>
      <c r="EC20" s="113">
        <v>2002</v>
      </c>
      <c r="ED20" s="20">
        <v>119.461</v>
      </c>
      <c r="EE20" s="414">
        <v>41</v>
      </c>
      <c r="EF20" s="111">
        <v>2013</v>
      </c>
      <c r="EG20" s="380">
        <v>70.298423767089801</v>
      </c>
      <c r="EH20" s="24" t="s">
        <v>371</v>
      </c>
      <c r="EI20" s="287">
        <v>3</v>
      </c>
      <c r="EJ20" s="40" t="s">
        <v>145</v>
      </c>
      <c r="EK20" s="355" t="s">
        <v>145</v>
      </c>
      <c r="EL20" s="364" t="s">
        <v>145</v>
      </c>
      <c r="EM20" s="364" t="s">
        <v>145</v>
      </c>
      <c r="EN20" s="355" t="s">
        <v>145</v>
      </c>
      <c r="EO20" s="364" t="s">
        <v>145</v>
      </c>
      <c r="EP20" s="205" t="s">
        <v>145</v>
      </c>
      <c r="EQ20" s="207" t="s">
        <v>145</v>
      </c>
      <c r="ER20" s="517" t="s">
        <v>145</v>
      </c>
      <c r="ES20" s="183"/>
      <c r="ET20" s="183"/>
      <c r="EU20" s="82"/>
      <c r="EV20" s="82"/>
      <c r="EW20" s="82"/>
      <c r="EX20" s="360"/>
      <c r="EY20" s="159">
        <v>312900</v>
      </c>
      <c r="EZ20" s="156">
        <v>2010</v>
      </c>
      <c r="FA20" s="323">
        <v>52</v>
      </c>
      <c r="FB20" s="323">
        <v>48</v>
      </c>
      <c r="FC20" s="323" t="s">
        <v>145</v>
      </c>
      <c r="FD20" s="160" t="s">
        <v>318</v>
      </c>
      <c r="FE20" s="156" t="s">
        <v>318</v>
      </c>
      <c r="FF20" s="156" t="s">
        <v>335</v>
      </c>
      <c r="FG20" s="156">
        <v>6</v>
      </c>
      <c r="FH20" s="157" t="s">
        <v>318</v>
      </c>
      <c r="FI20" s="243">
        <v>1</v>
      </c>
      <c r="FJ20" s="403" t="s">
        <v>1810</v>
      </c>
      <c r="FK20" s="83" t="s">
        <v>145</v>
      </c>
      <c r="FL20" s="235" t="s">
        <v>1852</v>
      </c>
      <c r="FM20" s="83" t="s">
        <v>145</v>
      </c>
      <c r="FN20" s="347" t="s">
        <v>145</v>
      </c>
      <c r="FO20" s="165" t="s">
        <v>1735</v>
      </c>
      <c r="FP20" s="255"/>
      <c r="FQ20" s="183"/>
      <c r="FR20" s="257"/>
      <c r="FS20" s="82"/>
      <c r="FT20" s="259"/>
      <c r="FU20" s="82"/>
      <c r="FV20" s="259"/>
      <c r="FW20" s="82"/>
      <c r="FX20" s="259"/>
      <c r="FY20" s="82"/>
      <c r="FZ20" s="259"/>
      <c r="GA20" s="82"/>
      <c r="GB20" s="261"/>
      <c r="GC20" s="360"/>
      <c r="GD20" s="76">
        <v>2</v>
      </c>
      <c r="GE20" s="445" t="s">
        <v>3425</v>
      </c>
      <c r="GF20" s="447" t="s">
        <v>10</v>
      </c>
      <c r="GG20" s="448">
        <v>1</v>
      </c>
      <c r="GH20" s="449">
        <v>2</v>
      </c>
      <c r="GI20" s="447" t="s">
        <v>145</v>
      </c>
      <c r="GJ20" s="449" t="s">
        <v>145</v>
      </c>
      <c r="GK20" s="447" t="s">
        <v>145</v>
      </c>
      <c r="GL20" s="448" t="s">
        <v>145</v>
      </c>
      <c r="GM20" s="449" t="s">
        <v>145</v>
      </c>
      <c r="GN20" s="447" t="s">
        <v>10</v>
      </c>
      <c r="GO20" s="449">
        <v>22</v>
      </c>
      <c r="GP20" s="447">
        <v>8</v>
      </c>
      <c r="GQ20" s="448">
        <v>9</v>
      </c>
      <c r="GR20" s="449">
        <v>5</v>
      </c>
      <c r="GS20" s="446"/>
      <c r="GT20" s="461">
        <v>0.70198327302932739</v>
      </c>
      <c r="GU20" s="462">
        <v>0.17344166338443756</v>
      </c>
      <c r="GV20" s="462">
        <v>-0.18518771231174469</v>
      </c>
      <c r="GW20" s="462">
        <v>-0.49239137768745422</v>
      </c>
      <c r="GX20" s="462">
        <v>-0.44881483912467957</v>
      </c>
      <c r="GY20" s="463">
        <v>1.8382901325821877E-2</v>
      </c>
      <c r="GZ20" s="10">
        <v>120</v>
      </c>
      <c r="HA20" s="535">
        <v>0.37737999999999999</v>
      </c>
      <c r="HB20" s="535">
        <v>0.29410999999999998</v>
      </c>
      <c r="HC20" s="523">
        <v>0.37795000000000001</v>
      </c>
      <c r="HD20" s="462">
        <v>0.15295</v>
      </c>
      <c r="HE20" s="463">
        <v>0.60119999999999996</v>
      </c>
      <c r="HF20" s="10" t="s">
        <v>145</v>
      </c>
      <c r="HG20" s="532" t="s">
        <v>145</v>
      </c>
      <c r="HH20" s="461" t="s">
        <v>145</v>
      </c>
      <c r="HI20" s="523" t="s">
        <v>145</v>
      </c>
      <c r="HJ20" s="463" t="s">
        <v>145</v>
      </c>
      <c r="HK20" s="379" t="s">
        <v>145</v>
      </c>
      <c r="HL20" s="362" t="s">
        <v>145</v>
      </c>
      <c r="HM20" s="557" t="s">
        <v>145</v>
      </c>
      <c r="HN20" s="557" t="s">
        <v>145</v>
      </c>
      <c r="HO20" s="526" t="s">
        <v>145</v>
      </c>
      <c r="HP20" s="564" t="s">
        <v>145</v>
      </c>
      <c r="HQ20" s="564" t="s">
        <v>145</v>
      </c>
      <c r="HR20" s="565" t="s">
        <v>145</v>
      </c>
      <c r="HS20" s="576">
        <v>51</v>
      </c>
      <c r="HT20" s="577">
        <v>83</v>
      </c>
      <c r="HU20" s="577">
        <v>1994</v>
      </c>
      <c r="HV20" s="584" t="s">
        <v>4175</v>
      </c>
      <c r="HW20" s="575">
        <v>1</v>
      </c>
      <c r="HX20" s="575">
        <v>19</v>
      </c>
      <c r="HY20" s="575">
        <v>20</v>
      </c>
      <c r="HZ20" s="575">
        <v>16</v>
      </c>
      <c r="IA20" s="575">
        <v>19</v>
      </c>
      <c r="IB20" s="575">
        <v>2</v>
      </c>
      <c r="IC20" s="113">
        <v>6</v>
      </c>
      <c r="ID20" s="660"/>
      <c r="IE20" s="355"/>
      <c r="IF20" s="355"/>
      <c r="IG20" s="647"/>
      <c r="IH20" s="339"/>
      <c r="II20" s="553" t="s">
        <v>4922</v>
      </c>
      <c r="IJ20" s="424" t="s">
        <v>4926</v>
      </c>
      <c r="IK20" s="24">
        <v>1</v>
      </c>
      <c r="IL20" s="749">
        <f t="shared" si="14"/>
        <v>9</v>
      </c>
      <c r="IM20" s="747">
        <f t="shared" si="15"/>
        <v>36</v>
      </c>
      <c r="IN20" s="750" t="str">
        <f t="shared" si="16"/>
        <v>C</v>
      </c>
      <c r="IO20" s="446"/>
      <c r="IP20" s="902">
        <v>4</v>
      </c>
      <c r="IQ20" s="903">
        <v>0</v>
      </c>
      <c r="IR20" s="993">
        <v>1</v>
      </c>
      <c r="IT20" s="435"/>
      <c r="IU20" s="435"/>
      <c r="IV20" s="435"/>
    </row>
    <row r="21" spans="1:256">
      <c r="A21" s="71">
        <v>19</v>
      </c>
      <c r="B21" s="9"/>
      <c r="C21" s="431" t="s">
        <v>38</v>
      </c>
      <c r="D21" s="423" t="s">
        <v>406</v>
      </c>
      <c r="E21" s="10" t="s">
        <v>9</v>
      </c>
      <c r="F21" s="76" t="s">
        <v>763</v>
      </c>
      <c r="G21" s="102" t="s">
        <v>445</v>
      </c>
      <c r="H21" s="375" t="s">
        <v>964</v>
      </c>
      <c r="I21" s="364" t="s">
        <v>2140</v>
      </c>
      <c r="J21" s="358">
        <v>2</v>
      </c>
      <c r="K21" s="359">
        <v>1960</v>
      </c>
      <c r="L21" s="367">
        <v>2</v>
      </c>
      <c r="M21" s="403" t="s">
        <v>1847</v>
      </c>
      <c r="N21" s="347" t="s">
        <v>1822</v>
      </c>
      <c r="O21" s="365" t="s">
        <v>2993</v>
      </c>
      <c r="P21" s="377" t="s">
        <v>2994</v>
      </c>
      <c r="Q21" s="358">
        <v>6</v>
      </c>
      <c r="R21" s="358">
        <v>1992</v>
      </c>
      <c r="S21" s="377" t="s">
        <v>2995</v>
      </c>
      <c r="T21" s="358">
        <v>1</v>
      </c>
      <c r="U21" s="358">
        <v>2</v>
      </c>
      <c r="V21" s="358">
        <v>18</v>
      </c>
      <c r="W21" s="347" t="s">
        <v>2996</v>
      </c>
      <c r="X21" s="86">
        <v>0</v>
      </c>
      <c r="Y21" s="347">
        <v>0</v>
      </c>
      <c r="Z21" s="272"/>
      <c r="AA21" s="1092">
        <v>1</v>
      </c>
      <c r="AB21" s="1093">
        <v>1</v>
      </c>
      <c r="AC21" s="1094"/>
      <c r="AD21" s="367" t="s">
        <v>145</v>
      </c>
      <c r="AE21" s="358" t="s">
        <v>145</v>
      </c>
      <c r="AF21" s="358">
        <v>0</v>
      </c>
      <c r="AG21" s="550">
        <v>1</v>
      </c>
      <c r="AH21" s="355" t="s">
        <v>145</v>
      </c>
      <c r="AI21" s="550" t="s">
        <v>145</v>
      </c>
      <c r="AJ21" s="550" t="s">
        <v>145</v>
      </c>
      <c r="AK21" s="590" t="s">
        <v>145</v>
      </c>
      <c r="AL21" s="358">
        <v>0</v>
      </c>
      <c r="AM21" s="360" t="s">
        <v>145</v>
      </c>
      <c r="AN21" s="397" t="s">
        <v>145</v>
      </c>
      <c r="AO21" s="86">
        <v>0</v>
      </c>
      <c r="AP21" s="347">
        <v>0</v>
      </c>
      <c r="AQ21" s="365" t="s">
        <v>5357</v>
      </c>
      <c r="AR21" s="377" t="s">
        <v>5358</v>
      </c>
      <c r="AS21" s="358">
        <v>1</v>
      </c>
      <c r="AT21" s="370">
        <v>2</v>
      </c>
      <c r="AU21" s="371">
        <v>2007</v>
      </c>
      <c r="AV21" s="370">
        <v>5</v>
      </c>
      <c r="AW21" s="589" t="s">
        <v>145</v>
      </c>
      <c r="AX21" s="687">
        <v>0</v>
      </c>
      <c r="AY21" s="174" t="s">
        <v>4302</v>
      </c>
      <c r="AZ21" s="358">
        <v>1992</v>
      </c>
      <c r="BA21" s="358">
        <v>0</v>
      </c>
      <c r="BB21" s="358">
        <v>0</v>
      </c>
      <c r="BC21" s="175" t="s">
        <v>145</v>
      </c>
      <c r="BD21" s="358" t="s">
        <v>145</v>
      </c>
      <c r="BE21" s="55">
        <v>0</v>
      </c>
      <c r="BF21" s="367" t="s">
        <v>145</v>
      </c>
      <c r="BG21" s="367">
        <v>0</v>
      </c>
      <c r="BH21" s="56" t="s">
        <v>145</v>
      </c>
      <c r="BI21" s="367">
        <v>3</v>
      </c>
      <c r="BJ21" s="367">
        <v>0</v>
      </c>
      <c r="BK21" s="888">
        <v>10879.829</v>
      </c>
      <c r="BL21" s="925">
        <f t="shared" si="0"/>
        <v>50.128361392444674</v>
      </c>
      <c r="BM21" s="888">
        <v>5425.9489999999996</v>
      </c>
      <c r="BN21" s="920">
        <v>5453.88</v>
      </c>
      <c r="BO21" s="888">
        <v>1707.7329999999999</v>
      </c>
      <c r="BP21" s="1158">
        <f t="shared" si="17"/>
        <v>49.40344889979874</v>
      </c>
      <c r="BQ21" s="917">
        <v>864.05399999999997</v>
      </c>
      <c r="BR21" s="920">
        <v>843.67899999999997</v>
      </c>
      <c r="BS21" s="888">
        <v>1523.6479999999999</v>
      </c>
      <c r="BT21" s="1158">
        <f t="shared" si="18"/>
        <v>49.478422837820808</v>
      </c>
      <c r="BU21" s="917">
        <v>769.77099999999996</v>
      </c>
      <c r="BV21" s="920">
        <v>753.87699999999995</v>
      </c>
      <c r="BW21" s="888">
        <v>1355.3810000000001</v>
      </c>
      <c r="BX21" s="1158">
        <f t="shared" si="19"/>
        <v>49.625677208106055</v>
      </c>
      <c r="BY21" s="917">
        <v>682.76400000000001</v>
      </c>
      <c r="BZ21" s="920">
        <v>672.61699999999996</v>
      </c>
      <c r="CA21" s="888">
        <f t="shared" si="20"/>
        <v>6293.0669999999991</v>
      </c>
      <c r="CB21" s="1158">
        <f t="shared" si="21"/>
        <v>50.590705613018272</v>
      </c>
      <c r="CC21" s="917">
        <f t="shared" si="22"/>
        <v>3109.3599999999997</v>
      </c>
      <c r="CD21" s="920">
        <f t="shared" si="23"/>
        <v>3183.7070000000003</v>
      </c>
      <c r="CE21" s="914">
        <v>2015</v>
      </c>
      <c r="CF21" s="910" t="s">
        <v>5630</v>
      </c>
      <c r="CG21" s="930">
        <v>80.2</v>
      </c>
      <c r="CH21" s="495">
        <v>80.599999999999994</v>
      </c>
      <c r="CI21" s="497">
        <v>79.7</v>
      </c>
      <c r="CJ21" s="904">
        <v>86.9</v>
      </c>
      <c r="CK21" s="904">
        <v>75.8</v>
      </c>
      <c r="CL21" s="904" t="s">
        <v>5577</v>
      </c>
      <c r="CM21" s="905" t="s">
        <v>5580</v>
      </c>
      <c r="CN21" s="1044">
        <v>4470</v>
      </c>
      <c r="CO21" s="1045">
        <f t="shared" si="1"/>
        <v>41.085204556064255</v>
      </c>
      <c r="CP21" s="1040">
        <f t="shared" ref="CP21:CP26" si="42">IF(OR(CZ21=1,CZ21=10),CN21*(1-BL21/100),IF(DA21=6,CN21*(1-BL21/100),CN21*(1-CB21/100)))</f>
        <v>2229.2622457577231</v>
      </c>
      <c r="CQ21" s="1041">
        <f t="shared" ref="CQ21:CQ26" si="43">IF(OR(CZ21=1,CZ21=10),CN21*BL21/100,IF(DA21=6,CN21*BL21/100,CN21*CB21/100))</f>
        <v>2240.7377542422769</v>
      </c>
      <c r="CR21" s="1046">
        <v>2015</v>
      </c>
      <c r="CS21" s="1013" t="s">
        <v>5751</v>
      </c>
      <c r="CT21" s="1068">
        <f t="shared" si="2"/>
        <v>18</v>
      </c>
      <c r="CU21" s="1071">
        <v>18</v>
      </c>
      <c r="CV21" s="1068" t="s">
        <v>5867</v>
      </c>
      <c r="CW21" s="1113">
        <v>4470</v>
      </c>
      <c r="CX21" s="1113">
        <v>5196.4620000000004</v>
      </c>
      <c r="CY21" s="1113">
        <v>10448.647000000001</v>
      </c>
      <c r="CZ21" s="494">
        <v>1</v>
      </c>
      <c r="DA21" s="1124">
        <v>4</v>
      </c>
      <c r="DB21" s="1050" t="s">
        <v>5753</v>
      </c>
      <c r="DC21" s="1143" t="s">
        <v>320</v>
      </c>
      <c r="DD21" s="982">
        <f t="shared" si="34"/>
        <v>2731.2458759999986</v>
      </c>
      <c r="DE21" s="979">
        <f t="shared" si="3"/>
        <v>25.103757384422114</v>
      </c>
      <c r="DF21" s="979">
        <f t="shared" si="35"/>
        <v>51.398315219194281</v>
      </c>
      <c r="DG21" s="983">
        <f t="shared" si="36"/>
        <v>1329.5160202422769</v>
      </c>
      <c r="DH21" s="983">
        <f t="shared" si="37"/>
        <v>1403.8143647577233</v>
      </c>
      <c r="DI21" s="979">
        <f t="shared" si="5"/>
        <v>24.502921428901693</v>
      </c>
      <c r="DJ21" s="981">
        <f t="shared" si="6"/>
        <v>25.739736935131013</v>
      </c>
      <c r="DK21" s="984">
        <f t="shared" si="7"/>
        <v>1823.0669999999991</v>
      </c>
      <c r="DL21" s="979">
        <f t="shared" si="38"/>
        <v>51.724332992573721</v>
      </c>
      <c r="DM21" s="983">
        <f t="shared" si="8"/>
        <v>880.09775424227655</v>
      </c>
      <c r="DN21" s="986">
        <f t="shared" si="9"/>
        <v>942.96924575772346</v>
      </c>
      <c r="DO21" s="984">
        <f t="shared" si="10"/>
        <v>570.04774199999986</v>
      </c>
      <c r="DP21" s="979">
        <f t="shared" si="39"/>
        <v>50.798952555100207</v>
      </c>
      <c r="DQ21" s="983">
        <f t="shared" si="28"/>
        <v>281.79179000000011</v>
      </c>
      <c r="DR21" s="986">
        <f t="shared" si="29"/>
        <v>289.57828199999994</v>
      </c>
      <c r="DS21" s="984">
        <f t="shared" si="12"/>
        <v>338.13113399999992</v>
      </c>
      <c r="DT21" s="339">
        <f t="shared" si="40"/>
        <v>50.651010740702752</v>
      </c>
      <c r="DU21" s="983">
        <f t="shared" si="30"/>
        <v>167.62647600000005</v>
      </c>
      <c r="DV21" s="986">
        <f t="shared" si="31"/>
        <v>171.26683699999995</v>
      </c>
      <c r="DW21" s="979">
        <f t="shared" si="32"/>
        <v>19.400000000000006</v>
      </c>
      <c r="DX21" s="981">
        <f t="shared" si="33"/>
        <v>20.299999999999997</v>
      </c>
      <c r="DY21" s="414">
        <v>47.3</v>
      </c>
      <c r="DZ21" s="111">
        <v>2003</v>
      </c>
      <c r="EA21" s="368">
        <v>4304.2631059999994</v>
      </c>
      <c r="EB21" s="123">
        <v>33.299999999999997</v>
      </c>
      <c r="EC21" s="113">
        <v>2007</v>
      </c>
      <c r="ED21" s="20">
        <v>3030.2740259999996</v>
      </c>
      <c r="EE21" s="414">
        <v>37.4</v>
      </c>
      <c r="EF21" s="111">
        <v>2007</v>
      </c>
      <c r="EG21" s="380">
        <v>28.702112197876001</v>
      </c>
      <c r="EH21" s="24" t="s">
        <v>372</v>
      </c>
      <c r="EI21" s="287">
        <v>1</v>
      </c>
      <c r="EJ21" s="40">
        <v>2</v>
      </c>
      <c r="EK21" s="355" t="s">
        <v>145</v>
      </c>
      <c r="EL21" s="364" t="s">
        <v>1645</v>
      </c>
      <c r="EM21" s="364" t="s">
        <v>145</v>
      </c>
      <c r="EN21" s="355" t="s">
        <v>145</v>
      </c>
      <c r="EO21" s="364" t="s">
        <v>1646</v>
      </c>
      <c r="EP21" s="205">
        <v>0.6</v>
      </c>
      <c r="EQ21" s="207" t="s">
        <v>145</v>
      </c>
      <c r="ER21" s="517" t="s">
        <v>145</v>
      </c>
      <c r="ES21" s="183"/>
      <c r="ET21" s="183"/>
      <c r="EU21" s="82"/>
      <c r="EV21" s="82"/>
      <c r="EW21" s="82"/>
      <c r="EX21" s="360"/>
      <c r="EY21" s="159"/>
      <c r="EZ21" s="156"/>
      <c r="FA21" s="323"/>
      <c r="FB21" s="323"/>
      <c r="FC21" s="323"/>
      <c r="FD21" s="160"/>
      <c r="FE21" s="156"/>
      <c r="FF21" s="156"/>
      <c r="FG21" s="156"/>
      <c r="FH21" s="157"/>
      <c r="FI21" s="243"/>
      <c r="FJ21" s="403"/>
      <c r="FK21" s="83"/>
      <c r="FL21" s="83"/>
      <c r="FM21" s="83"/>
      <c r="FN21" s="347"/>
      <c r="FO21" s="164"/>
      <c r="FP21" s="255"/>
      <c r="FQ21" s="183"/>
      <c r="FR21" s="257">
        <v>1</v>
      </c>
      <c r="FS21" s="82" t="s">
        <v>1854</v>
      </c>
      <c r="FT21" s="259"/>
      <c r="FU21" s="82"/>
      <c r="FV21" s="259"/>
      <c r="FW21" s="82"/>
      <c r="FX21" s="259">
        <v>1</v>
      </c>
      <c r="FY21" s="82" t="s">
        <v>1860</v>
      </c>
      <c r="FZ21" s="259"/>
      <c r="GA21" s="82"/>
      <c r="GB21" s="261"/>
      <c r="GC21" s="360"/>
      <c r="GD21" s="76">
        <v>1</v>
      </c>
      <c r="GE21" s="445" t="s">
        <v>3424</v>
      </c>
      <c r="GF21" s="447" t="s">
        <v>10</v>
      </c>
      <c r="GG21" s="448">
        <v>2</v>
      </c>
      <c r="GH21" s="449">
        <v>2</v>
      </c>
      <c r="GI21" s="447" t="s">
        <v>145</v>
      </c>
      <c r="GJ21" s="449" t="s">
        <v>145</v>
      </c>
      <c r="GK21" s="447" t="s">
        <v>145</v>
      </c>
      <c r="GL21" s="448" t="s">
        <v>145</v>
      </c>
      <c r="GM21" s="449" t="s">
        <v>145</v>
      </c>
      <c r="GN21" s="447" t="s">
        <v>590</v>
      </c>
      <c r="GO21" s="449">
        <v>36</v>
      </c>
      <c r="GP21" s="447">
        <v>12</v>
      </c>
      <c r="GQ21" s="448">
        <v>11</v>
      </c>
      <c r="GR21" s="449">
        <v>13</v>
      </c>
      <c r="GS21" s="446">
        <v>7</v>
      </c>
      <c r="GT21" s="461">
        <v>0.11524518579244614</v>
      </c>
      <c r="GU21" s="462">
        <v>0.28032535314559937</v>
      </c>
      <c r="GV21" s="462">
        <v>-0.55364251136779785</v>
      </c>
      <c r="GW21" s="462">
        <v>-0.42389330267906189</v>
      </c>
      <c r="GX21" s="462">
        <v>-0.63234573602676392</v>
      </c>
      <c r="GY21" s="463">
        <v>-0.825234055519104</v>
      </c>
      <c r="GZ21" s="10">
        <v>180</v>
      </c>
      <c r="HA21" s="535">
        <v>0.16850000000000001</v>
      </c>
      <c r="HB21" s="535">
        <v>0.17646999999999999</v>
      </c>
      <c r="HC21" s="523">
        <v>0.11022999999999999</v>
      </c>
      <c r="HD21" s="462">
        <v>0.11964</v>
      </c>
      <c r="HE21" s="463">
        <v>0.27560000000000001</v>
      </c>
      <c r="HF21" s="10">
        <v>149</v>
      </c>
      <c r="HG21" s="532">
        <v>1.84</v>
      </c>
      <c r="HH21" s="447">
        <v>2.94</v>
      </c>
      <c r="HI21" s="544">
        <v>0.18</v>
      </c>
      <c r="HJ21" s="449">
        <v>2.96</v>
      </c>
      <c r="HK21" s="379" t="s">
        <v>4008</v>
      </c>
      <c r="HL21" s="23" t="s">
        <v>4665</v>
      </c>
      <c r="HM21" s="557">
        <v>2009</v>
      </c>
      <c r="HN21" s="557">
        <v>2009</v>
      </c>
      <c r="HO21" s="557" t="s">
        <v>3985</v>
      </c>
      <c r="HP21" s="562" t="s">
        <v>4009</v>
      </c>
      <c r="HQ21" s="639" t="s">
        <v>4688</v>
      </c>
      <c r="HR21" s="563" t="s">
        <v>4010</v>
      </c>
      <c r="HS21" s="545" t="s">
        <v>145</v>
      </c>
      <c r="HT21" s="557" t="s">
        <v>145</v>
      </c>
      <c r="HU21" s="557" t="s">
        <v>145</v>
      </c>
      <c r="HV21" s="581" t="s">
        <v>145</v>
      </c>
      <c r="HW21" s="448" t="s">
        <v>145</v>
      </c>
      <c r="HX21" s="448" t="s">
        <v>145</v>
      </c>
      <c r="HY21" s="448" t="s">
        <v>145</v>
      </c>
      <c r="HZ21" s="448" t="s">
        <v>145</v>
      </c>
      <c r="IA21" s="448" t="s">
        <v>145</v>
      </c>
      <c r="IB21" s="448" t="s">
        <v>145</v>
      </c>
      <c r="IC21" s="449" t="s">
        <v>145</v>
      </c>
      <c r="ID21" s="40"/>
      <c r="IE21" s="355"/>
      <c r="IF21" s="355"/>
      <c r="IG21" s="647"/>
      <c r="IH21" s="115"/>
      <c r="II21" s="647" t="s">
        <v>4921</v>
      </c>
      <c r="IJ21" s="423" t="s">
        <v>4918</v>
      </c>
      <c r="IK21" s="10">
        <v>0</v>
      </c>
      <c r="IL21" s="749">
        <f t="shared" si="14"/>
        <v>10</v>
      </c>
      <c r="IM21" s="747">
        <f t="shared" si="15"/>
        <v>40</v>
      </c>
      <c r="IN21" s="750" t="str">
        <f t="shared" si="16"/>
        <v>C</v>
      </c>
      <c r="IO21" s="446">
        <v>1</v>
      </c>
      <c r="IP21" s="902">
        <v>4</v>
      </c>
      <c r="IQ21" s="903">
        <v>0</v>
      </c>
      <c r="IR21" s="993">
        <v>0</v>
      </c>
      <c r="IT21" s="435"/>
      <c r="IU21" s="435"/>
      <c r="IV21" s="435"/>
    </row>
    <row r="22" spans="1:256">
      <c r="A22" s="21">
        <v>20</v>
      </c>
      <c r="B22" s="9"/>
      <c r="C22" s="430" t="s">
        <v>39</v>
      </c>
      <c r="D22" s="423" t="s">
        <v>411</v>
      </c>
      <c r="E22" s="10" t="s">
        <v>20</v>
      </c>
      <c r="F22" s="76" t="s">
        <v>764</v>
      </c>
      <c r="G22" s="102" t="s">
        <v>448</v>
      </c>
      <c r="H22" s="251" t="s">
        <v>2142</v>
      </c>
      <c r="I22" s="95" t="s">
        <v>2141</v>
      </c>
      <c r="J22" s="176">
        <v>6</v>
      </c>
      <c r="K22" s="346">
        <v>1958</v>
      </c>
      <c r="L22" s="371">
        <v>2</v>
      </c>
      <c r="M22" s="240" t="s">
        <v>1825</v>
      </c>
      <c r="N22" s="369" t="s">
        <v>1822</v>
      </c>
      <c r="O22" s="365" t="s">
        <v>3067</v>
      </c>
      <c r="P22" s="377" t="s">
        <v>3068</v>
      </c>
      <c r="Q22" s="370">
        <v>2</v>
      </c>
      <c r="R22" s="358">
        <v>1985</v>
      </c>
      <c r="S22" s="350" t="s">
        <v>3069</v>
      </c>
      <c r="T22" s="349">
        <v>1</v>
      </c>
      <c r="U22" s="358">
        <v>2</v>
      </c>
      <c r="V22" s="349">
        <v>15</v>
      </c>
      <c r="W22" s="369" t="s">
        <v>3070</v>
      </c>
      <c r="X22" s="86">
        <v>1</v>
      </c>
      <c r="Y22" s="347">
        <v>1</v>
      </c>
      <c r="Z22" s="272"/>
      <c r="AA22" s="169">
        <v>1</v>
      </c>
      <c r="AB22" s="177">
        <v>1</v>
      </c>
      <c r="AC22" s="171"/>
      <c r="AD22" s="174" t="s">
        <v>3067</v>
      </c>
      <c r="AE22" s="358">
        <v>2004</v>
      </c>
      <c r="AF22" s="357">
        <v>2</v>
      </c>
      <c r="AG22" s="550" t="s">
        <v>5171</v>
      </c>
      <c r="AH22" s="355" t="s">
        <v>3073</v>
      </c>
      <c r="AI22" s="550">
        <v>0</v>
      </c>
      <c r="AJ22" s="550">
        <v>0</v>
      </c>
      <c r="AK22" s="590" t="s">
        <v>145</v>
      </c>
      <c r="AL22" s="387">
        <v>6</v>
      </c>
      <c r="AM22" s="361" t="s">
        <v>3404</v>
      </c>
      <c r="AN22" s="344" t="s">
        <v>145</v>
      </c>
      <c r="AO22" s="86">
        <v>0</v>
      </c>
      <c r="AP22" s="347">
        <v>0</v>
      </c>
      <c r="AQ22" s="365" t="s">
        <v>5317</v>
      </c>
      <c r="AR22" s="377" t="s">
        <v>4934</v>
      </c>
      <c r="AS22" s="358">
        <v>1</v>
      </c>
      <c r="AT22" s="370">
        <v>3</v>
      </c>
      <c r="AU22" s="371">
        <v>2006</v>
      </c>
      <c r="AV22" s="370">
        <v>5</v>
      </c>
      <c r="AW22" s="589" t="s">
        <v>145</v>
      </c>
      <c r="AX22" s="687">
        <v>0</v>
      </c>
      <c r="AY22" s="174" t="s">
        <v>4303</v>
      </c>
      <c r="AZ22" s="358">
        <v>2000</v>
      </c>
      <c r="BA22" s="358">
        <v>0</v>
      </c>
      <c r="BB22" s="358">
        <v>0</v>
      </c>
      <c r="BC22" s="175" t="s">
        <v>145</v>
      </c>
      <c r="BD22" s="358" t="s">
        <v>145</v>
      </c>
      <c r="BE22" s="55">
        <v>0</v>
      </c>
      <c r="BF22" s="367" t="s">
        <v>145</v>
      </c>
      <c r="BG22" s="367">
        <v>0</v>
      </c>
      <c r="BH22" s="56" t="s">
        <v>145</v>
      </c>
      <c r="BI22" s="367">
        <v>0</v>
      </c>
      <c r="BJ22" s="367">
        <v>0</v>
      </c>
      <c r="BK22" s="888">
        <v>774.83</v>
      </c>
      <c r="BL22" s="925">
        <f t="shared" si="0"/>
        <v>46.274150458810311</v>
      </c>
      <c r="BM22" s="888">
        <v>416.28399999999999</v>
      </c>
      <c r="BN22" s="920">
        <v>358.54599999999999</v>
      </c>
      <c r="BO22" s="888">
        <v>65.933999999999997</v>
      </c>
      <c r="BP22" s="1158">
        <f t="shared" si="17"/>
        <v>49.184032517365857</v>
      </c>
      <c r="BQ22" s="917">
        <v>33.505000000000003</v>
      </c>
      <c r="BR22" s="920">
        <v>32.429000000000002</v>
      </c>
      <c r="BS22" s="888">
        <v>71.519000000000005</v>
      </c>
      <c r="BT22" s="1158">
        <f t="shared" si="18"/>
        <v>49.282008976635581</v>
      </c>
      <c r="BU22" s="917">
        <v>36.273000000000003</v>
      </c>
      <c r="BV22" s="920">
        <v>35.246000000000002</v>
      </c>
      <c r="BW22" s="888">
        <v>70.706999999999994</v>
      </c>
      <c r="BX22" s="1158">
        <f t="shared" si="19"/>
        <v>49.364277935706518</v>
      </c>
      <c r="BY22" s="917">
        <v>35.802999999999997</v>
      </c>
      <c r="BZ22" s="920">
        <v>34.904000000000003</v>
      </c>
      <c r="CA22" s="888">
        <f t="shared" si="20"/>
        <v>566.67000000000007</v>
      </c>
      <c r="CB22" s="1158">
        <f t="shared" si="21"/>
        <v>45.17038135069793</v>
      </c>
      <c r="CC22" s="917">
        <f t="shared" si="22"/>
        <v>310.70299999999997</v>
      </c>
      <c r="CD22" s="920">
        <f t="shared" si="23"/>
        <v>255.96699999999998</v>
      </c>
      <c r="CE22" s="914">
        <v>2015</v>
      </c>
      <c r="CF22" s="910" t="s">
        <v>5630</v>
      </c>
      <c r="CG22" s="930">
        <v>99.9</v>
      </c>
      <c r="CH22" s="495">
        <v>100</v>
      </c>
      <c r="CI22" s="497">
        <v>99.8</v>
      </c>
      <c r="CJ22" s="904">
        <v>100</v>
      </c>
      <c r="CK22" s="904">
        <v>99.8</v>
      </c>
      <c r="CL22" s="904">
        <v>2010</v>
      </c>
      <c r="CM22" s="905" t="s">
        <v>5573</v>
      </c>
      <c r="CN22" s="1044">
        <v>381.79</v>
      </c>
      <c r="CO22" s="1045">
        <f t="shared" si="1"/>
        <v>49.274034304299008</v>
      </c>
      <c r="CP22" s="1040">
        <f t="shared" si="42"/>
        <v>205.11992096330812</v>
      </c>
      <c r="CQ22" s="1041">
        <f t="shared" si="43"/>
        <v>176.6700790366919</v>
      </c>
      <c r="CR22" s="1046">
        <v>2013</v>
      </c>
      <c r="CS22" s="1047" t="s">
        <v>5752</v>
      </c>
      <c r="CT22" s="1068">
        <f t="shared" si="2"/>
        <v>15</v>
      </c>
      <c r="CU22" s="1071">
        <v>18</v>
      </c>
      <c r="CV22" s="1068" t="s">
        <v>5868</v>
      </c>
      <c r="CW22" s="1113">
        <v>381.79</v>
      </c>
      <c r="CX22" s="1113">
        <v>467.89600000000002</v>
      </c>
      <c r="CY22" s="1113">
        <v>725.29600000000005</v>
      </c>
      <c r="CZ22" s="494">
        <v>1</v>
      </c>
      <c r="DA22" s="1124">
        <v>4</v>
      </c>
      <c r="DB22" s="1050" t="s">
        <v>647</v>
      </c>
      <c r="DC22" s="1146" t="s">
        <v>322</v>
      </c>
      <c r="DD22" s="982">
        <f t="shared" si="34"/>
        <v>185.08816000000004</v>
      </c>
      <c r="DE22" s="979">
        <f t="shared" si="3"/>
        <v>23.887583082740736</v>
      </c>
      <c r="DF22" s="979">
        <f t="shared" si="35"/>
        <v>42.953627592012403</v>
      </c>
      <c r="DG22" s="983">
        <f t="shared" si="36"/>
        <v>105.58307903669186</v>
      </c>
      <c r="DH22" s="983">
        <f t="shared" si="37"/>
        <v>79.50207896330808</v>
      </c>
      <c r="DI22" s="979">
        <f t="shared" si="5"/>
        <v>25.36323256159061</v>
      </c>
      <c r="DJ22" s="981">
        <f t="shared" si="6"/>
        <v>22.173466992605714</v>
      </c>
      <c r="DK22" s="984">
        <f t="shared" si="7"/>
        <v>184.88000000000005</v>
      </c>
      <c r="DL22" s="979">
        <f t="shared" si="38"/>
        <v>42.891021723987485</v>
      </c>
      <c r="DM22" s="983">
        <f t="shared" si="8"/>
        <v>105.58307903669186</v>
      </c>
      <c r="DN22" s="986">
        <f t="shared" si="9"/>
        <v>79.296920963308082</v>
      </c>
      <c r="DO22" s="984">
        <f t="shared" si="10"/>
        <v>0.14222599999998434</v>
      </c>
      <c r="DP22" s="979">
        <f t="shared" si="39"/>
        <v>98.645817220491054</v>
      </c>
      <c r="DQ22" s="983">
        <f t="shared" si="28"/>
        <v>0</v>
      </c>
      <c r="DR22" s="986">
        <f t="shared" si="29"/>
        <v>0.14030000000000015</v>
      </c>
      <c r="DS22" s="984">
        <f t="shared" si="12"/>
        <v>6.5933999999992735E-2</v>
      </c>
      <c r="DT22" s="339">
        <f t="shared" si="40"/>
        <v>98.368065034742642</v>
      </c>
      <c r="DU22" s="983">
        <f t="shared" si="30"/>
        <v>0</v>
      </c>
      <c r="DV22" s="986">
        <f t="shared" si="31"/>
        <v>6.4858000000000068E-2</v>
      </c>
      <c r="DW22" s="979">
        <f t="shared" si="32"/>
        <v>0</v>
      </c>
      <c r="DX22" s="981">
        <f t="shared" si="33"/>
        <v>0.20000000000000018</v>
      </c>
      <c r="DY22" s="414">
        <v>1.66</v>
      </c>
      <c r="DZ22" s="111">
        <v>2012</v>
      </c>
      <c r="EA22" s="118">
        <v>75.303234000000003</v>
      </c>
      <c r="EB22" s="123">
        <v>23.2</v>
      </c>
      <c r="EC22" s="113">
        <v>2007</v>
      </c>
      <c r="ED22" s="20">
        <v>171.27794400000002</v>
      </c>
      <c r="EE22" s="414">
        <v>12</v>
      </c>
      <c r="EF22" s="121">
        <v>2012</v>
      </c>
      <c r="EG22" s="380">
        <v>52.814689636230497</v>
      </c>
      <c r="EH22" s="24" t="s">
        <v>335</v>
      </c>
      <c r="EI22" s="288">
        <v>0</v>
      </c>
      <c r="EJ22" s="40" t="s">
        <v>145</v>
      </c>
      <c r="EK22" s="35" t="s">
        <v>145</v>
      </c>
      <c r="EL22" s="95" t="s">
        <v>145</v>
      </c>
      <c r="EM22" s="95" t="s">
        <v>145</v>
      </c>
      <c r="EN22" s="35" t="s">
        <v>145</v>
      </c>
      <c r="EO22" s="95" t="s">
        <v>145</v>
      </c>
      <c r="EP22" s="205" t="s">
        <v>145</v>
      </c>
      <c r="EQ22" s="207" t="s">
        <v>145</v>
      </c>
      <c r="ER22" s="517" t="s">
        <v>145</v>
      </c>
      <c r="ES22" s="183"/>
      <c r="ET22" s="183"/>
      <c r="EU22" s="82"/>
      <c r="EV22" s="82"/>
      <c r="EW22" s="82"/>
      <c r="EX22" s="90"/>
      <c r="EY22" s="159"/>
      <c r="EZ22" s="156"/>
      <c r="FA22" s="323"/>
      <c r="FB22" s="323"/>
      <c r="FC22" s="323"/>
      <c r="FD22" s="160"/>
      <c r="FE22" s="156"/>
      <c r="FF22" s="156"/>
      <c r="FG22" s="156"/>
      <c r="FH22" s="157"/>
      <c r="FI22" s="242"/>
      <c r="FJ22" s="240"/>
      <c r="FK22" s="179"/>
      <c r="FL22" s="179"/>
      <c r="FM22" s="179"/>
      <c r="FN22" s="172"/>
      <c r="FO22" s="164"/>
      <c r="FP22" s="255"/>
      <c r="FQ22" s="183"/>
      <c r="FR22" s="257"/>
      <c r="FS22" s="82"/>
      <c r="FT22" s="259"/>
      <c r="FU22" s="82"/>
      <c r="FV22" s="259"/>
      <c r="FW22" s="82"/>
      <c r="FX22" s="259"/>
      <c r="FY22" s="82"/>
      <c r="FZ22" s="259"/>
      <c r="GA22" s="82"/>
      <c r="GB22" s="261"/>
      <c r="GC22" s="90"/>
      <c r="GD22" s="76">
        <v>2</v>
      </c>
      <c r="GE22" s="445" t="s">
        <v>3425</v>
      </c>
      <c r="GF22" s="447" t="s">
        <v>590</v>
      </c>
      <c r="GG22" s="448">
        <v>3</v>
      </c>
      <c r="GH22" s="449">
        <v>4</v>
      </c>
      <c r="GI22" s="447" t="s">
        <v>145</v>
      </c>
      <c r="GJ22" s="449" t="s">
        <v>145</v>
      </c>
      <c r="GK22" s="447" t="s">
        <v>145</v>
      </c>
      <c r="GL22" s="448" t="s">
        <v>145</v>
      </c>
      <c r="GM22" s="449" t="s">
        <v>145</v>
      </c>
      <c r="GN22" s="447" t="s">
        <v>590</v>
      </c>
      <c r="GO22" s="449">
        <v>59</v>
      </c>
      <c r="GP22" s="447">
        <v>18</v>
      </c>
      <c r="GQ22" s="448">
        <v>21</v>
      </c>
      <c r="GR22" s="449">
        <v>20</v>
      </c>
      <c r="GS22" s="446">
        <v>5</v>
      </c>
      <c r="GT22" s="461">
        <v>-0.1830267459154129</v>
      </c>
      <c r="GU22" s="462">
        <v>0.79980015754699707</v>
      </c>
      <c r="GV22" s="462">
        <v>0.35873487591743469</v>
      </c>
      <c r="GW22" s="462">
        <v>-1.0974836349487305</v>
      </c>
      <c r="GX22" s="462">
        <v>0.24319683015346527</v>
      </c>
      <c r="GY22" s="463">
        <v>0.82372254133224487</v>
      </c>
      <c r="GZ22" s="10">
        <v>143</v>
      </c>
      <c r="HA22" s="535">
        <v>0.28284999999999999</v>
      </c>
      <c r="HB22" s="535">
        <v>0.35293999999999998</v>
      </c>
      <c r="HC22" s="523">
        <v>0.24409</v>
      </c>
      <c r="HD22" s="462">
        <v>0.17546</v>
      </c>
      <c r="HE22" s="463">
        <v>0.42899999999999999</v>
      </c>
      <c r="HF22" s="10">
        <v>123</v>
      </c>
      <c r="HG22" s="532">
        <v>2.85</v>
      </c>
      <c r="HH22" s="447">
        <v>3.18</v>
      </c>
      <c r="HI22" s="544">
        <v>1.67</v>
      </c>
      <c r="HJ22" s="449">
        <v>4.54</v>
      </c>
      <c r="HK22" s="379" t="s">
        <v>145</v>
      </c>
      <c r="HL22" s="362" t="s">
        <v>145</v>
      </c>
      <c r="HM22" s="557" t="s">
        <v>145</v>
      </c>
      <c r="HN22" s="557" t="s">
        <v>145</v>
      </c>
      <c r="HO22" s="557" t="s">
        <v>145</v>
      </c>
      <c r="HP22" s="562" t="s">
        <v>145</v>
      </c>
      <c r="HQ22" s="562" t="s">
        <v>145</v>
      </c>
      <c r="HR22" s="563" t="s">
        <v>145</v>
      </c>
      <c r="HS22" s="545" t="s">
        <v>145</v>
      </c>
      <c r="HT22" s="557" t="s">
        <v>145</v>
      </c>
      <c r="HU22" s="557" t="s">
        <v>145</v>
      </c>
      <c r="HV22" s="581" t="s">
        <v>145</v>
      </c>
      <c r="HW22" s="448" t="s">
        <v>145</v>
      </c>
      <c r="HX22" s="448" t="s">
        <v>145</v>
      </c>
      <c r="HY22" s="448" t="s">
        <v>145</v>
      </c>
      <c r="HZ22" s="448" t="s">
        <v>145</v>
      </c>
      <c r="IA22" s="448" t="s">
        <v>145</v>
      </c>
      <c r="IB22" s="448" t="s">
        <v>145</v>
      </c>
      <c r="IC22" s="449" t="s">
        <v>145</v>
      </c>
      <c r="ID22" s="40"/>
      <c r="IE22" s="355"/>
      <c r="IF22" s="355"/>
      <c r="IG22" s="647"/>
      <c r="IH22" s="115">
        <v>22.9</v>
      </c>
      <c r="II22" s="647" t="s">
        <v>4921</v>
      </c>
      <c r="IJ22" s="423" t="s">
        <v>4926</v>
      </c>
      <c r="IK22" s="10">
        <v>0</v>
      </c>
      <c r="IL22" s="749">
        <f t="shared" si="14"/>
        <v>12</v>
      </c>
      <c r="IM22" s="747">
        <f t="shared" si="15"/>
        <v>48</v>
      </c>
      <c r="IN22" s="750" t="str">
        <f t="shared" si="16"/>
        <v>C</v>
      </c>
      <c r="IO22" s="446"/>
      <c r="IP22" s="902">
        <v>4</v>
      </c>
      <c r="IQ22" s="903">
        <v>0</v>
      </c>
      <c r="IR22" s="993">
        <v>0</v>
      </c>
      <c r="IT22" s="435"/>
      <c r="IU22" s="435"/>
      <c r="IV22" s="435"/>
    </row>
    <row r="23" spans="1:256">
      <c r="A23" s="21">
        <v>21</v>
      </c>
      <c r="B23" s="9"/>
      <c r="C23" s="431" t="s">
        <v>40</v>
      </c>
      <c r="D23" s="424" t="s">
        <v>409</v>
      </c>
      <c r="E23" s="10" t="s">
        <v>20</v>
      </c>
      <c r="F23" s="76" t="s">
        <v>765</v>
      </c>
      <c r="G23" s="102" t="s">
        <v>464</v>
      </c>
      <c r="H23" s="251" t="s">
        <v>1741</v>
      </c>
      <c r="I23" s="364" t="s">
        <v>1742</v>
      </c>
      <c r="J23" s="176">
        <v>4</v>
      </c>
      <c r="K23" s="346">
        <v>1940</v>
      </c>
      <c r="L23" s="371">
        <v>1</v>
      </c>
      <c r="M23" s="240" t="s">
        <v>2146</v>
      </c>
      <c r="N23" s="351" t="s">
        <v>2150</v>
      </c>
      <c r="O23" s="365" t="s">
        <v>3004</v>
      </c>
      <c r="P23" s="377" t="s">
        <v>3005</v>
      </c>
      <c r="Q23" s="370">
        <v>5</v>
      </c>
      <c r="R23" s="370">
        <v>2011</v>
      </c>
      <c r="S23" s="350" t="s">
        <v>1817</v>
      </c>
      <c r="T23" s="349">
        <v>1</v>
      </c>
      <c r="U23" s="370">
        <v>2</v>
      </c>
      <c r="V23" s="349">
        <v>18</v>
      </c>
      <c r="W23" s="351" t="s">
        <v>1812</v>
      </c>
      <c r="X23" s="170">
        <v>1</v>
      </c>
      <c r="Y23" s="369">
        <v>1</v>
      </c>
      <c r="Z23" s="273" t="s">
        <v>2061</v>
      </c>
      <c r="AA23" s="169">
        <v>1</v>
      </c>
      <c r="AB23" s="177">
        <v>1</v>
      </c>
      <c r="AC23" s="171"/>
      <c r="AD23" s="366" t="s">
        <v>945</v>
      </c>
      <c r="AE23" s="357">
        <v>2012</v>
      </c>
      <c r="AF23" s="357">
        <v>2</v>
      </c>
      <c r="AG23" s="550" t="s">
        <v>5171</v>
      </c>
      <c r="AH23" s="355" t="s">
        <v>3116</v>
      </c>
      <c r="AI23" s="55">
        <v>0</v>
      </c>
      <c r="AJ23" s="55">
        <v>0</v>
      </c>
      <c r="AK23" s="590" t="s">
        <v>145</v>
      </c>
      <c r="AL23" s="386">
        <v>9</v>
      </c>
      <c r="AM23" s="361" t="s">
        <v>3117</v>
      </c>
      <c r="AN23" s="397" t="s">
        <v>145</v>
      </c>
      <c r="AO23" s="170">
        <v>1</v>
      </c>
      <c r="AP23" s="369">
        <v>1</v>
      </c>
      <c r="AQ23" s="365" t="s">
        <v>5318</v>
      </c>
      <c r="AR23" s="377" t="s">
        <v>4934</v>
      </c>
      <c r="AS23" s="55">
        <v>1</v>
      </c>
      <c r="AT23" s="370">
        <v>3</v>
      </c>
      <c r="AU23" s="371">
        <v>2010</v>
      </c>
      <c r="AV23" s="370">
        <v>5</v>
      </c>
      <c r="AW23" s="589" t="s">
        <v>145</v>
      </c>
      <c r="AX23" s="687">
        <v>0</v>
      </c>
      <c r="AY23" s="174" t="s">
        <v>4304</v>
      </c>
      <c r="AZ23" s="55">
        <v>2010</v>
      </c>
      <c r="BA23" s="55">
        <v>1</v>
      </c>
      <c r="BB23" s="55">
        <v>1</v>
      </c>
      <c r="BC23" s="174" t="s">
        <v>4305</v>
      </c>
      <c r="BD23" s="55">
        <v>2004</v>
      </c>
      <c r="BE23" s="55">
        <v>0</v>
      </c>
      <c r="BF23" s="367" t="s">
        <v>145</v>
      </c>
      <c r="BG23" s="367">
        <v>0</v>
      </c>
      <c r="BH23" s="56" t="s">
        <v>145</v>
      </c>
      <c r="BI23" s="367">
        <v>0</v>
      </c>
      <c r="BJ23" s="367">
        <v>0</v>
      </c>
      <c r="BK23" s="888">
        <v>10724.705</v>
      </c>
      <c r="BL23" s="925">
        <f t="shared" si="0"/>
        <v>49.922025827283825</v>
      </c>
      <c r="BM23" s="888">
        <v>5370.7150000000001</v>
      </c>
      <c r="BN23" s="920">
        <v>5353.99</v>
      </c>
      <c r="BO23" s="888">
        <v>1185.5630000000001</v>
      </c>
      <c r="BP23" s="1158">
        <f t="shared" si="17"/>
        <v>48.992082242782537</v>
      </c>
      <c r="BQ23" s="917">
        <v>604.73099999999999</v>
      </c>
      <c r="BR23" s="920">
        <v>580.83199999999999</v>
      </c>
      <c r="BS23" s="888">
        <v>1160.1179999999999</v>
      </c>
      <c r="BT23" s="1158">
        <f t="shared" si="18"/>
        <v>49.106384005764937</v>
      </c>
      <c r="BU23" s="917">
        <v>590.42600000000004</v>
      </c>
      <c r="BV23" s="920">
        <v>569.69200000000001</v>
      </c>
      <c r="BW23" s="888">
        <v>1133.9749999999999</v>
      </c>
      <c r="BX23" s="1158">
        <f t="shared" si="19"/>
        <v>49.175158182499615</v>
      </c>
      <c r="BY23" s="917">
        <v>576.34100000000001</v>
      </c>
      <c r="BZ23" s="920">
        <v>557.63400000000001</v>
      </c>
      <c r="CA23" s="888">
        <f t="shared" si="20"/>
        <v>7245.0489999999991</v>
      </c>
      <c r="CB23" s="1158">
        <f t="shared" si="21"/>
        <v>50.321702448113179</v>
      </c>
      <c r="CC23" s="917">
        <f t="shared" si="22"/>
        <v>3599.2170000000001</v>
      </c>
      <c r="CD23" s="920">
        <f t="shared" si="23"/>
        <v>3645.8319999999994</v>
      </c>
      <c r="CE23" s="914">
        <v>2015</v>
      </c>
      <c r="CF23" s="910" t="s">
        <v>5630</v>
      </c>
      <c r="CG23" s="930">
        <v>75.8</v>
      </c>
      <c r="CH23" s="495">
        <v>76.2</v>
      </c>
      <c r="CI23" s="497">
        <v>75.400000000000006</v>
      </c>
      <c r="CJ23" s="904">
        <v>79</v>
      </c>
      <c r="CK23" s="904">
        <v>71.900000000000006</v>
      </c>
      <c r="CL23" s="904">
        <v>2008</v>
      </c>
      <c r="CM23" s="905" t="s">
        <v>5575</v>
      </c>
      <c r="CN23" s="1110">
        <v>5973.9009999999998</v>
      </c>
      <c r="CO23" s="1045">
        <f t="shared" si="1"/>
        <v>55.702240760934686</v>
      </c>
      <c r="CP23" s="1040">
        <f t="shared" si="42"/>
        <v>2991.6085998836334</v>
      </c>
      <c r="CQ23" s="1041">
        <f t="shared" si="43"/>
        <v>2982.2924001163665</v>
      </c>
      <c r="CR23" s="1046">
        <v>2015</v>
      </c>
      <c r="CS23" s="1047" t="s">
        <v>6108</v>
      </c>
      <c r="CT23" s="1068">
        <f t="shared" si="2"/>
        <v>18</v>
      </c>
      <c r="CU23" s="1071">
        <v>18</v>
      </c>
      <c r="CV23" s="1117" t="s">
        <v>5770</v>
      </c>
      <c r="CW23" s="1113">
        <v>5973.9009999999998</v>
      </c>
      <c r="CX23" s="1113">
        <v>6060.98</v>
      </c>
      <c r="CY23" s="1113">
        <v>10631.486000000001</v>
      </c>
      <c r="CZ23" s="494">
        <v>1</v>
      </c>
      <c r="DA23" s="1124">
        <v>5</v>
      </c>
      <c r="DB23" s="1050" t="s">
        <v>5753</v>
      </c>
      <c r="DC23" s="1146" t="s">
        <v>322</v>
      </c>
      <c r="DD23" s="982">
        <f t="shared" si="34"/>
        <v>2113.2247519999992</v>
      </c>
      <c r="DE23" s="979">
        <f t="shared" si="3"/>
        <v>19.704269273607053</v>
      </c>
      <c r="DF23" s="979">
        <f t="shared" si="35"/>
        <v>51.284013537034014</v>
      </c>
      <c r="DG23" s="983">
        <f t="shared" si="36"/>
        <v>1029.2249241163668</v>
      </c>
      <c r="DH23" s="983">
        <f t="shared" si="37"/>
        <v>1083.7464678836329</v>
      </c>
      <c r="DI23" s="979">
        <f t="shared" si="5"/>
        <v>19.163648119782316</v>
      </c>
      <c r="DJ23" s="981">
        <f t="shared" si="6"/>
        <v>20.241847068889427</v>
      </c>
      <c r="DK23" s="984">
        <f t="shared" si="7"/>
        <v>1271.1479999999992</v>
      </c>
      <c r="DL23" s="979">
        <f t="shared" si="38"/>
        <v>52.200027052997243</v>
      </c>
      <c r="DM23" s="983">
        <f t="shared" si="8"/>
        <v>607.60840011636674</v>
      </c>
      <c r="DN23" s="986">
        <f t="shared" si="9"/>
        <v>663.53959988363295</v>
      </c>
      <c r="DO23" s="984">
        <f t="shared" si="10"/>
        <v>555.17050599999993</v>
      </c>
      <c r="DP23" s="979">
        <f t="shared" si="39"/>
        <v>49.952616899284628</v>
      </c>
      <c r="DQ23" s="983">
        <f t="shared" si="28"/>
        <v>277.69054599999998</v>
      </c>
      <c r="DR23" s="986">
        <f t="shared" si="29"/>
        <v>277.32219599999996</v>
      </c>
      <c r="DS23" s="984">
        <f t="shared" si="12"/>
        <v>286.90624600000001</v>
      </c>
      <c r="DT23" s="339">
        <f t="shared" si="40"/>
        <v>49.801868726134316</v>
      </c>
      <c r="DU23" s="983">
        <f t="shared" si="30"/>
        <v>143.92597799999999</v>
      </c>
      <c r="DV23" s="986">
        <f t="shared" si="31"/>
        <v>142.88467199999999</v>
      </c>
      <c r="DW23" s="979">
        <f t="shared" si="32"/>
        <v>23.799999999999997</v>
      </c>
      <c r="DX23" s="981">
        <f t="shared" si="33"/>
        <v>24.6</v>
      </c>
      <c r="DY23" s="414">
        <v>15.61</v>
      </c>
      <c r="DZ23" s="111">
        <v>2008</v>
      </c>
      <c r="EA23" s="118">
        <v>1573.744848</v>
      </c>
      <c r="EB23" s="123">
        <v>51.3</v>
      </c>
      <c r="EC23" s="113">
        <v>2009</v>
      </c>
      <c r="ED23" s="20">
        <v>5175.199404</v>
      </c>
      <c r="EE23" s="414">
        <v>45</v>
      </c>
      <c r="EF23" s="111" t="s">
        <v>145</v>
      </c>
      <c r="EG23" s="380">
        <v>94.460563659667997</v>
      </c>
      <c r="EH23" s="24" t="s">
        <v>358</v>
      </c>
      <c r="EI23" s="287">
        <v>2</v>
      </c>
      <c r="EJ23" s="40">
        <v>1</v>
      </c>
      <c r="EK23" s="35" t="s">
        <v>145</v>
      </c>
      <c r="EL23" s="364" t="s">
        <v>145</v>
      </c>
      <c r="EM23" s="364" t="s">
        <v>1643</v>
      </c>
      <c r="EN23" s="35" t="s">
        <v>145</v>
      </c>
      <c r="EO23" s="364" t="s">
        <v>1644</v>
      </c>
      <c r="EP23" s="205">
        <v>0.74</v>
      </c>
      <c r="EQ23" s="207" t="s">
        <v>145</v>
      </c>
      <c r="ER23" s="517">
        <v>1</v>
      </c>
      <c r="ES23" s="183" t="s">
        <v>145</v>
      </c>
      <c r="ET23" s="183" t="s">
        <v>145</v>
      </c>
      <c r="EU23" s="82" t="s">
        <v>3863</v>
      </c>
      <c r="EV23" s="82" t="s">
        <v>145</v>
      </c>
      <c r="EW23" s="82" t="s">
        <v>145</v>
      </c>
      <c r="EX23" s="360" t="s">
        <v>145</v>
      </c>
      <c r="EY23" s="159">
        <v>8274325</v>
      </c>
      <c r="EZ23" s="156">
        <v>2001</v>
      </c>
      <c r="FA23" s="323">
        <v>65</v>
      </c>
      <c r="FB23" s="323">
        <v>35</v>
      </c>
      <c r="FC23" s="323">
        <v>58.6</v>
      </c>
      <c r="FD23" s="231" t="s">
        <v>1744</v>
      </c>
      <c r="FE23" s="156">
        <v>74</v>
      </c>
      <c r="FF23" s="156" t="s">
        <v>1673</v>
      </c>
      <c r="FG23" s="156">
        <v>10</v>
      </c>
      <c r="FH23" s="230" t="s">
        <v>1739</v>
      </c>
      <c r="FI23" s="242">
        <v>2</v>
      </c>
      <c r="FJ23" s="240" t="s">
        <v>1811</v>
      </c>
      <c r="FK23" s="236" t="s">
        <v>1818</v>
      </c>
      <c r="FL23" s="236" t="s">
        <v>1817</v>
      </c>
      <c r="FM23" s="236" t="s">
        <v>1812</v>
      </c>
      <c r="FN23" s="172" t="s">
        <v>145</v>
      </c>
      <c r="FO23" s="165" t="s">
        <v>1740</v>
      </c>
      <c r="FP23" s="255">
        <v>1</v>
      </c>
      <c r="FQ23" s="183" t="s">
        <v>1855</v>
      </c>
      <c r="FR23" s="257">
        <v>1</v>
      </c>
      <c r="FS23" s="82" t="s">
        <v>1856</v>
      </c>
      <c r="FT23" s="259"/>
      <c r="FU23" s="82"/>
      <c r="FV23" s="259"/>
      <c r="FW23" s="82"/>
      <c r="FX23" s="259"/>
      <c r="FY23" s="82"/>
      <c r="FZ23" s="259">
        <v>1</v>
      </c>
      <c r="GA23" s="82" t="s">
        <v>1857</v>
      </c>
      <c r="GB23" s="261"/>
      <c r="GC23" s="90"/>
      <c r="GD23" s="76">
        <v>1</v>
      </c>
      <c r="GE23" s="445" t="s">
        <v>3424</v>
      </c>
      <c r="GF23" s="447" t="s">
        <v>590</v>
      </c>
      <c r="GG23" s="448">
        <v>3</v>
      </c>
      <c r="GH23" s="449">
        <v>3</v>
      </c>
      <c r="GI23" s="447" t="s">
        <v>145</v>
      </c>
      <c r="GJ23" s="449" t="s">
        <v>145</v>
      </c>
      <c r="GK23" s="447" t="s">
        <v>145</v>
      </c>
      <c r="GL23" s="448" t="s">
        <v>145</v>
      </c>
      <c r="GM23" s="449" t="s">
        <v>145</v>
      </c>
      <c r="GN23" s="447" t="s">
        <v>590</v>
      </c>
      <c r="GO23" s="449">
        <v>48</v>
      </c>
      <c r="GP23" s="447">
        <v>14</v>
      </c>
      <c r="GQ23" s="448">
        <v>22</v>
      </c>
      <c r="GR23" s="449">
        <v>12</v>
      </c>
      <c r="GS23" s="446">
        <v>9</v>
      </c>
      <c r="GT23" s="461">
        <v>-0.10269919782876968</v>
      </c>
      <c r="GU23" s="462">
        <v>-0.34758844971656799</v>
      </c>
      <c r="GV23" s="462">
        <v>-0.39799454808235168</v>
      </c>
      <c r="GW23" s="462">
        <v>-0.78808808326721191</v>
      </c>
      <c r="GX23" s="462">
        <v>-1.0710729360580444</v>
      </c>
      <c r="GY23" s="463">
        <v>-0.58881908655166626</v>
      </c>
      <c r="GZ23" s="10">
        <v>103</v>
      </c>
      <c r="HA23" s="535">
        <v>0.45617000000000002</v>
      </c>
      <c r="HB23" s="535">
        <v>0.41176000000000001</v>
      </c>
      <c r="HC23" s="523">
        <v>0.39369999999999999</v>
      </c>
      <c r="HD23" s="462">
        <v>0.23241999999999999</v>
      </c>
      <c r="HE23" s="463">
        <v>0.74239999999999995</v>
      </c>
      <c r="HF23" s="10">
        <v>107</v>
      </c>
      <c r="HG23" s="532">
        <v>3.78</v>
      </c>
      <c r="HH23" s="447">
        <v>4.1100000000000003</v>
      </c>
      <c r="HI23" s="544">
        <v>1.86</v>
      </c>
      <c r="HJ23" s="449">
        <v>6.97</v>
      </c>
      <c r="HK23" s="379" t="s">
        <v>145</v>
      </c>
      <c r="HL23" s="362" t="s">
        <v>145</v>
      </c>
      <c r="HM23" s="557" t="s">
        <v>145</v>
      </c>
      <c r="HN23" s="557" t="s">
        <v>145</v>
      </c>
      <c r="HO23" s="557" t="s">
        <v>145</v>
      </c>
      <c r="HP23" s="562" t="s">
        <v>145</v>
      </c>
      <c r="HQ23" s="562" t="s">
        <v>145</v>
      </c>
      <c r="HR23" s="563" t="s">
        <v>145</v>
      </c>
      <c r="HS23" s="545" t="s">
        <v>145</v>
      </c>
      <c r="HT23" s="557" t="s">
        <v>145</v>
      </c>
      <c r="HU23" s="557" t="s">
        <v>145</v>
      </c>
      <c r="HV23" s="581" t="s">
        <v>145</v>
      </c>
      <c r="HW23" s="448" t="s">
        <v>145</v>
      </c>
      <c r="HX23" s="448" t="s">
        <v>145</v>
      </c>
      <c r="HY23" s="448" t="s">
        <v>145</v>
      </c>
      <c r="HZ23" s="448" t="s">
        <v>145</v>
      </c>
      <c r="IA23" s="448" t="s">
        <v>145</v>
      </c>
      <c r="IB23" s="448" t="s">
        <v>145</v>
      </c>
      <c r="IC23" s="449" t="s">
        <v>145</v>
      </c>
      <c r="ID23" s="660"/>
      <c r="IE23" s="355"/>
      <c r="IF23" s="355"/>
      <c r="IG23" s="647"/>
      <c r="IH23" s="339"/>
      <c r="II23" s="553" t="s">
        <v>4923</v>
      </c>
      <c r="IJ23" s="424" t="s">
        <v>4918</v>
      </c>
      <c r="IK23" s="24">
        <v>0</v>
      </c>
      <c r="IL23" s="749">
        <f t="shared" si="14"/>
        <v>13</v>
      </c>
      <c r="IM23" s="747">
        <f t="shared" si="15"/>
        <v>52</v>
      </c>
      <c r="IN23" s="750" t="str">
        <f t="shared" si="16"/>
        <v>B</v>
      </c>
      <c r="IO23" s="446"/>
      <c r="IP23" s="902">
        <v>5</v>
      </c>
      <c r="IQ23" s="903">
        <v>0</v>
      </c>
      <c r="IR23" s="993">
        <v>0</v>
      </c>
      <c r="IT23" s="435"/>
      <c r="IU23" s="435"/>
      <c r="IV23" s="435"/>
    </row>
    <row r="24" spans="1:256" ht="15" customHeight="1">
      <c r="A24" s="21">
        <v>22</v>
      </c>
      <c r="B24" s="9"/>
      <c r="C24" s="430" t="s">
        <v>41</v>
      </c>
      <c r="D24" s="423" t="s">
        <v>408</v>
      </c>
      <c r="E24" s="10" t="s">
        <v>12</v>
      </c>
      <c r="F24" s="76" t="s">
        <v>766</v>
      </c>
      <c r="G24" s="102" t="s">
        <v>441</v>
      </c>
      <c r="H24" s="375" t="s">
        <v>2144</v>
      </c>
      <c r="I24" s="364" t="s">
        <v>2145</v>
      </c>
      <c r="J24" s="176">
        <v>5</v>
      </c>
      <c r="K24" s="346">
        <v>2002</v>
      </c>
      <c r="L24" s="371">
        <v>2</v>
      </c>
      <c r="M24" s="240" t="s">
        <v>1813</v>
      </c>
      <c r="N24" s="369" t="s">
        <v>2143</v>
      </c>
      <c r="O24" s="365" t="s">
        <v>3006</v>
      </c>
      <c r="P24" s="377" t="s">
        <v>2348</v>
      </c>
      <c r="Q24" s="349">
        <v>2</v>
      </c>
      <c r="R24" s="349">
        <v>2001</v>
      </c>
      <c r="S24" s="350" t="s">
        <v>2062</v>
      </c>
      <c r="T24" s="349">
        <v>1</v>
      </c>
      <c r="U24" s="349">
        <v>2</v>
      </c>
      <c r="V24" s="349">
        <v>16</v>
      </c>
      <c r="W24" s="369" t="s">
        <v>1822</v>
      </c>
      <c r="X24" s="170">
        <v>1</v>
      </c>
      <c r="Y24" s="369">
        <v>1</v>
      </c>
      <c r="Z24" s="273" t="s">
        <v>2031</v>
      </c>
      <c r="AA24" s="169">
        <v>1</v>
      </c>
      <c r="AB24" s="177"/>
      <c r="AC24" s="171"/>
      <c r="AD24" s="366" t="s">
        <v>946</v>
      </c>
      <c r="AE24" s="357">
        <v>2013</v>
      </c>
      <c r="AF24" s="357">
        <v>1</v>
      </c>
      <c r="AG24" s="550" t="s">
        <v>5171</v>
      </c>
      <c r="AH24" s="355" t="s">
        <v>323</v>
      </c>
      <c r="AI24" s="55">
        <v>1</v>
      </c>
      <c r="AJ24" s="804">
        <v>0</v>
      </c>
      <c r="AK24" s="590" t="s">
        <v>145</v>
      </c>
      <c r="AL24" s="386">
        <v>5</v>
      </c>
      <c r="AM24" s="361" t="s">
        <v>3056</v>
      </c>
      <c r="AN24" s="397" t="s">
        <v>145</v>
      </c>
      <c r="AO24" s="170">
        <v>1</v>
      </c>
      <c r="AP24" s="172">
        <v>1</v>
      </c>
      <c r="AQ24" s="365" t="s">
        <v>4948</v>
      </c>
      <c r="AR24" s="377" t="s">
        <v>2798</v>
      </c>
      <c r="AS24" s="55">
        <v>2</v>
      </c>
      <c r="AT24" s="370">
        <v>2</v>
      </c>
      <c r="AU24" s="371">
        <v>2009</v>
      </c>
      <c r="AV24" s="370">
        <v>5</v>
      </c>
      <c r="AW24" s="589">
        <v>600</v>
      </c>
      <c r="AX24" s="687">
        <v>0</v>
      </c>
      <c r="AY24" s="174" t="s">
        <v>4306</v>
      </c>
      <c r="AZ24" s="55">
        <v>2005</v>
      </c>
      <c r="BA24" s="55">
        <v>1</v>
      </c>
      <c r="BB24" s="55">
        <v>2</v>
      </c>
      <c r="BC24" s="174" t="s">
        <v>4307</v>
      </c>
      <c r="BD24" s="55">
        <v>2005</v>
      </c>
      <c r="BE24" s="55">
        <v>1</v>
      </c>
      <c r="BF24" s="367" t="s">
        <v>323</v>
      </c>
      <c r="BG24" s="367">
        <v>0</v>
      </c>
      <c r="BH24" s="56" t="s">
        <v>145</v>
      </c>
      <c r="BI24" s="367">
        <v>3</v>
      </c>
      <c r="BJ24" s="367">
        <v>1</v>
      </c>
      <c r="BK24" s="888">
        <v>3810.4160000000002</v>
      </c>
      <c r="BL24" s="925">
        <f t="shared" si="0"/>
        <v>50.22981742675865</v>
      </c>
      <c r="BM24" s="888">
        <v>1896.451</v>
      </c>
      <c r="BN24" s="920">
        <v>1913.9649999999999</v>
      </c>
      <c r="BO24" s="888">
        <v>172.49</v>
      </c>
      <c r="BP24" s="1158">
        <f t="shared" si="17"/>
        <v>48.46193982259841</v>
      </c>
      <c r="BQ24" s="917">
        <v>88.897999999999996</v>
      </c>
      <c r="BR24" s="920">
        <v>83.591999999999999</v>
      </c>
      <c r="BS24" s="888">
        <v>175.952</v>
      </c>
      <c r="BT24" s="1158">
        <f t="shared" si="18"/>
        <v>48.477425661544054</v>
      </c>
      <c r="BU24" s="917">
        <v>90.655000000000001</v>
      </c>
      <c r="BV24" s="920">
        <v>85.296999999999997</v>
      </c>
      <c r="BW24" s="888">
        <v>165.89099999999999</v>
      </c>
      <c r="BX24" s="1158">
        <f t="shared" si="19"/>
        <v>48.493287761240815</v>
      </c>
      <c r="BY24" s="917">
        <v>85.444999999999993</v>
      </c>
      <c r="BZ24" s="920">
        <v>80.445999999999998</v>
      </c>
      <c r="CA24" s="888">
        <f t="shared" si="20"/>
        <v>3296.0830000000001</v>
      </c>
      <c r="CB24" s="1158">
        <f t="shared" si="21"/>
        <v>50.503279195335793</v>
      </c>
      <c r="CC24" s="917">
        <f t="shared" si="22"/>
        <v>1631.4530000000002</v>
      </c>
      <c r="CD24" s="920">
        <f t="shared" si="23"/>
        <v>1664.6299999999999</v>
      </c>
      <c r="CE24" s="914">
        <v>2015</v>
      </c>
      <c r="CF24" s="910" t="s">
        <v>5630</v>
      </c>
      <c r="CG24" s="930">
        <v>99.5</v>
      </c>
      <c r="CH24" s="495">
        <v>99.7</v>
      </c>
      <c r="CI24" s="497">
        <v>99.4</v>
      </c>
      <c r="CJ24" s="904">
        <v>99.1</v>
      </c>
      <c r="CK24" s="904">
        <v>99.8</v>
      </c>
      <c r="CL24" s="904">
        <v>2006</v>
      </c>
      <c r="CM24" s="905" t="s">
        <v>5573</v>
      </c>
      <c r="CN24" s="1125">
        <v>3014.585</v>
      </c>
      <c r="CO24" s="1045">
        <f t="shared" si="1"/>
        <v>79.114327674458636</v>
      </c>
      <c r="CP24" s="1040">
        <f t="shared" si="42"/>
        <v>1500.3644583255477</v>
      </c>
      <c r="CQ24" s="1041">
        <f t="shared" si="43"/>
        <v>1514.2205416744523</v>
      </c>
      <c r="CR24" s="1046">
        <v>2014</v>
      </c>
      <c r="CS24" s="1047" t="s">
        <v>5760</v>
      </c>
      <c r="CT24" s="1068">
        <f t="shared" si="2"/>
        <v>16</v>
      </c>
      <c r="CU24" s="1071">
        <v>18</v>
      </c>
      <c r="CV24" s="1068" t="s">
        <v>5869</v>
      </c>
      <c r="CW24" s="1113">
        <v>3278.9079999999999</v>
      </c>
      <c r="CX24" s="1113">
        <v>3014.585</v>
      </c>
      <c r="CY24" s="1113">
        <v>3871.643</v>
      </c>
      <c r="CZ24" s="494">
        <v>1</v>
      </c>
      <c r="DA24" s="1124">
        <v>4</v>
      </c>
      <c r="DB24" s="1050" t="s">
        <v>647</v>
      </c>
      <c r="DC24" s="1146" t="s">
        <v>322</v>
      </c>
      <c r="DD24" s="978">
        <f t="shared" si="34"/>
        <v>284.0696650000001</v>
      </c>
      <c r="DE24" s="979">
        <f t="shared" si="3"/>
        <v>7.4550827258756014</v>
      </c>
      <c r="DF24" s="979">
        <f t="shared" si="35"/>
        <v>53.474723647647316</v>
      </c>
      <c r="DG24" s="980">
        <f t="shared" si="36"/>
        <v>131.88353567445247</v>
      </c>
      <c r="DH24" s="980">
        <f t="shared" si="37"/>
        <v>151.90546832554756</v>
      </c>
      <c r="DI24" s="979">
        <f t="shared" si="5"/>
        <v>6.9542284864967492</v>
      </c>
      <c r="DJ24" s="981">
        <f t="shared" si="6"/>
        <v>7.9366899773792925</v>
      </c>
      <c r="DK24" s="984">
        <f t="shared" si="7"/>
        <v>281.49800000000005</v>
      </c>
      <c r="DL24" s="979">
        <f t="shared" si="38"/>
        <v>53.43180353876317</v>
      </c>
      <c r="DM24" s="980">
        <f t="shared" si="8"/>
        <v>131.08854167445247</v>
      </c>
      <c r="DN24" s="985">
        <f t="shared" si="9"/>
        <v>150.40945832554758</v>
      </c>
      <c r="DO24" s="984">
        <f t="shared" si="10"/>
        <v>1.7092150000000015</v>
      </c>
      <c r="DP24" s="979">
        <f t="shared" si="39"/>
        <v>58.182147945108234</v>
      </c>
      <c r="DQ24" s="980">
        <f t="shared" si="28"/>
        <v>0.52830000000000044</v>
      </c>
      <c r="DR24" s="985">
        <f t="shared" si="29"/>
        <v>0.99445799999998252</v>
      </c>
      <c r="DS24" s="984">
        <f t="shared" si="12"/>
        <v>0.86245000000000083</v>
      </c>
      <c r="DT24" s="339">
        <f t="shared" si="40"/>
        <v>58.154327787117012</v>
      </c>
      <c r="DU24" s="980">
        <f t="shared" si="30"/>
        <v>0.26669400000000021</v>
      </c>
      <c r="DV24" s="985">
        <f t="shared" si="31"/>
        <v>0.50155199999999112</v>
      </c>
      <c r="DW24" s="979">
        <f t="shared" si="32"/>
        <v>0.30000000000000027</v>
      </c>
      <c r="DX24" s="981">
        <f t="shared" si="33"/>
        <v>0.59999999999998932</v>
      </c>
      <c r="DY24" s="414">
        <v>0.04</v>
      </c>
      <c r="DZ24" s="111">
        <v>2007</v>
      </c>
      <c r="EA24" s="118">
        <v>2</v>
      </c>
      <c r="EB24" s="123">
        <v>14</v>
      </c>
      <c r="EC24" s="113">
        <v>2007</v>
      </c>
      <c r="ED24" s="20">
        <v>525.31191999999999</v>
      </c>
      <c r="EE24" s="414">
        <v>18.600000000000001</v>
      </c>
      <c r="EF24" s="111">
        <v>2007</v>
      </c>
      <c r="EG24" s="380">
        <v>98.153381347656307</v>
      </c>
      <c r="EH24" s="24" t="s">
        <v>340</v>
      </c>
      <c r="EI24" s="287">
        <v>0</v>
      </c>
      <c r="EJ24" s="40" t="s">
        <v>145</v>
      </c>
      <c r="EK24" s="35" t="s">
        <v>145</v>
      </c>
      <c r="EL24" s="364" t="s">
        <v>145</v>
      </c>
      <c r="EM24" s="364" t="s">
        <v>145</v>
      </c>
      <c r="EN24" s="35" t="s">
        <v>145</v>
      </c>
      <c r="EO24" s="364" t="s">
        <v>145</v>
      </c>
      <c r="EP24" s="205" t="s">
        <v>145</v>
      </c>
      <c r="EQ24" s="207" t="s">
        <v>145</v>
      </c>
      <c r="ER24" s="517" t="s">
        <v>145</v>
      </c>
      <c r="ES24" s="183"/>
      <c r="ET24" s="183"/>
      <c r="EU24" s="82"/>
      <c r="EV24" s="82"/>
      <c r="EW24" s="82"/>
      <c r="EX24" s="90"/>
      <c r="EY24" s="159"/>
      <c r="EZ24" s="156"/>
      <c r="FA24" s="323"/>
      <c r="FB24" s="323"/>
      <c r="FC24" s="323"/>
      <c r="FD24" s="160"/>
      <c r="FE24" s="156"/>
      <c r="FF24" s="156"/>
      <c r="FG24" s="156"/>
      <c r="FH24" s="157"/>
      <c r="FI24" s="242"/>
      <c r="FJ24" s="240"/>
      <c r="FK24" s="179"/>
      <c r="FL24" s="179"/>
      <c r="FM24" s="179"/>
      <c r="FN24" s="172"/>
      <c r="FO24" s="164"/>
      <c r="FP24" s="255"/>
      <c r="FQ24" s="183"/>
      <c r="FR24" s="257"/>
      <c r="FS24" s="82"/>
      <c r="FT24" s="259"/>
      <c r="FU24" s="82"/>
      <c r="FV24" s="259"/>
      <c r="FW24" s="82"/>
      <c r="FX24" s="259"/>
      <c r="FY24" s="82"/>
      <c r="FZ24" s="259"/>
      <c r="GA24" s="82"/>
      <c r="GB24" s="261"/>
      <c r="GC24" s="90"/>
      <c r="GD24" s="76">
        <v>1</v>
      </c>
      <c r="GE24" s="445" t="s">
        <v>3424</v>
      </c>
      <c r="GF24" s="447" t="s">
        <v>590</v>
      </c>
      <c r="GG24" s="448">
        <v>3</v>
      </c>
      <c r="GH24" s="449">
        <v>3</v>
      </c>
      <c r="GI24" s="447" t="s">
        <v>145</v>
      </c>
      <c r="GJ24" s="449" t="s">
        <v>145</v>
      </c>
      <c r="GK24" s="447" t="s">
        <v>145</v>
      </c>
      <c r="GL24" s="448" t="s">
        <v>145</v>
      </c>
      <c r="GM24" s="449" t="s">
        <v>145</v>
      </c>
      <c r="GN24" s="447" t="s">
        <v>590</v>
      </c>
      <c r="GO24" s="449">
        <v>50</v>
      </c>
      <c r="GP24" s="447">
        <v>10</v>
      </c>
      <c r="GQ24" s="448">
        <v>23</v>
      </c>
      <c r="GR24" s="449">
        <v>17</v>
      </c>
      <c r="GS24" s="446">
        <v>-6</v>
      </c>
      <c r="GT24" s="461">
        <v>-0.16004045307636261</v>
      </c>
      <c r="GU24" s="462">
        <v>-0.36593383550643921</v>
      </c>
      <c r="GV24" s="462">
        <v>-0.45276486873626709</v>
      </c>
      <c r="GW24" s="462">
        <v>-8.300231397151947E-2</v>
      </c>
      <c r="GX24" s="462">
        <v>-0.16539673507213593</v>
      </c>
      <c r="GY24" s="463">
        <v>-0.22317834198474884</v>
      </c>
      <c r="GZ24" s="10">
        <v>97</v>
      </c>
      <c r="HA24" s="535">
        <v>0.47069</v>
      </c>
      <c r="HB24" s="535">
        <v>0.23529</v>
      </c>
      <c r="HC24" s="523">
        <v>0.28345999999999999</v>
      </c>
      <c r="HD24" s="462">
        <v>0.39979999999999999</v>
      </c>
      <c r="HE24" s="463">
        <v>0.7288</v>
      </c>
      <c r="HF24" s="10">
        <v>69</v>
      </c>
      <c r="HG24" s="532">
        <v>5.23</v>
      </c>
      <c r="HH24" s="447">
        <v>5.63</v>
      </c>
      <c r="HI24" s="544">
        <v>3.71</v>
      </c>
      <c r="HJ24" s="449">
        <v>7.5</v>
      </c>
      <c r="HK24" s="379" t="s">
        <v>3987</v>
      </c>
      <c r="HL24" s="23" t="s">
        <v>4666</v>
      </c>
      <c r="HM24" s="557">
        <v>2001</v>
      </c>
      <c r="HN24" s="557">
        <v>2001</v>
      </c>
      <c r="HO24" s="557" t="s">
        <v>3985</v>
      </c>
      <c r="HP24" s="562" t="s">
        <v>4011</v>
      </c>
      <c r="HQ24" s="639" t="s">
        <v>4689</v>
      </c>
      <c r="HR24" s="563" t="s">
        <v>4012</v>
      </c>
      <c r="HS24" s="545">
        <v>24</v>
      </c>
      <c r="HT24" s="557">
        <v>102</v>
      </c>
      <c r="HU24" s="557">
        <v>2000</v>
      </c>
      <c r="HV24" s="583" t="s">
        <v>4176</v>
      </c>
      <c r="HW24" s="448">
        <v>4</v>
      </c>
      <c r="HX24" s="448">
        <v>30</v>
      </c>
      <c r="HY24" s="448">
        <v>21</v>
      </c>
      <c r="HZ24" s="448">
        <v>19</v>
      </c>
      <c r="IA24" s="448">
        <v>16</v>
      </c>
      <c r="IB24" s="448">
        <v>0</v>
      </c>
      <c r="IC24" s="449">
        <v>12</v>
      </c>
      <c r="ID24" s="40"/>
      <c r="IE24" s="355"/>
      <c r="IF24" s="355"/>
      <c r="IG24" s="647">
        <v>1</v>
      </c>
      <c r="IH24" s="115"/>
      <c r="II24" s="647" t="s">
        <v>4922</v>
      </c>
      <c r="IJ24" s="423" t="s">
        <v>4926</v>
      </c>
      <c r="IK24" s="10">
        <v>0</v>
      </c>
      <c r="IL24" s="749">
        <f t="shared" si="14"/>
        <v>20</v>
      </c>
      <c r="IM24" s="747">
        <f t="shared" si="15"/>
        <v>80</v>
      </c>
      <c r="IN24" s="750" t="str">
        <f t="shared" si="16"/>
        <v>A</v>
      </c>
      <c r="IO24" s="446"/>
      <c r="IP24" s="902">
        <v>4</v>
      </c>
      <c r="IQ24" s="903">
        <v>0</v>
      </c>
      <c r="IR24" s="993">
        <v>0</v>
      </c>
      <c r="IT24" s="435"/>
      <c r="IU24" s="435"/>
      <c r="IV24" s="435"/>
    </row>
    <row r="25" spans="1:256">
      <c r="A25" s="21">
        <v>23</v>
      </c>
      <c r="B25" s="9"/>
      <c r="C25" s="430" t="s">
        <v>42</v>
      </c>
      <c r="D25" s="423" t="s">
        <v>406</v>
      </c>
      <c r="E25" s="10" t="s">
        <v>12</v>
      </c>
      <c r="F25" s="76" t="s">
        <v>767</v>
      </c>
      <c r="G25" s="102" t="s">
        <v>449</v>
      </c>
      <c r="H25" s="251" t="s">
        <v>2148</v>
      </c>
      <c r="I25" s="95" t="s">
        <v>2149</v>
      </c>
      <c r="J25" s="176">
        <v>2</v>
      </c>
      <c r="K25" s="346">
        <v>1966</v>
      </c>
      <c r="L25" s="371">
        <v>2</v>
      </c>
      <c r="M25" s="240" t="s">
        <v>1816</v>
      </c>
      <c r="N25" s="348" t="s">
        <v>1822</v>
      </c>
      <c r="O25" s="365" t="s">
        <v>2901</v>
      </c>
      <c r="P25" s="377" t="s">
        <v>2902</v>
      </c>
      <c r="Q25" s="370">
        <v>2</v>
      </c>
      <c r="R25" s="358">
        <v>1999</v>
      </c>
      <c r="S25" s="350" t="s">
        <v>3186</v>
      </c>
      <c r="T25" s="349">
        <v>1</v>
      </c>
      <c r="U25" s="358">
        <v>2</v>
      </c>
      <c r="V25" s="349">
        <v>16</v>
      </c>
      <c r="W25" s="369" t="s">
        <v>1822</v>
      </c>
      <c r="X25" s="86">
        <v>1</v>
      </c>
      <c r="Y25" s="347">
        <v>1</v>
      </c>
      <c r="Z25" s="272"/>
      <c r="AA25" s="169">
        <v>1</v>
      </c>
      <c r="AB25" s="177">
        <v>1</v>
      </c>
      <c r="AC25" s="171"/>
      <c r="AD25" s="174" t="s">
        <v>4626</v>
      </c>
      <c r="AE25" s="358">
        <v>1999</v>
      </c>
      <c r="AF25" s="357">
        <v>1</v>
      </c>
      <c r="AG25" s="818" t="s">
        <v>5171</v>
      </c>
      <c r="AH25" s="355" t="s">
        <v>323</v>
      </c>
      <c r="AI25" s="55">
        <v>0</v>
      </c>
      <c r="AJ25" s="55">
        <v>0</v>
      </c>
      <c r="AK25" s="590" t="s">
        <v>145</v>
      </c>
      <c r="AL25" s="695">
        <v>10</v>
      </c>
      <c r="AM25" s="361" t="s">
        <v>2920</v>
      </c>
      <c r="AN25" s="344" t="s">
        <v>145</v>
      </c>
      <c r="AO25" s="86">
        <v>1</v>
      </c>
      <c r="AP25" s="347">
        <v>1</v>
      </c>
      <c r="AQ25" s="365" t="s">
        <v>4949</v>
      </c>
      <c r="AR25" s="377" t="s">
        <v>4950</v>
      </c>
      <c r="AS25" s="55">
        <v>2</v>
      </c>
      <c r="AT25" s="370">
        <v>2</v>
      </c>
      <c r="AU25" s="367">
        <v>2010</v>
      </c>
      <c r="AV25" s="358">
        <v>5</v>
      </c>
      <c r="AW25" s="589">
        <v>120</v>
      </c>
      <c r="AX25" s="687">
        <v>0</v>
      </c>
      <c r="AY25" s="174" t="s">
        <v>4308</v>
      </c>
      <c r="AZ25" s="358">
        <v>2010</v>
      </c>
      <c r="BA25" s="358">
        <v>1</v>
      </c>
      <c r="BB25" s="358">
        <v>0</v>
      </c>
      <c r="BC25" s="175" t="s">
        <v>145</v>
      </c>
      <c r="BD25" s="358" t="s">
        <v>145</v>
      </c>
      <c r="BE25" s="55">
        <v>0</v>
      </c>
      <c r="BF25" s="367" t="s">
        <v>145</v>
      </c>
      <c r="BG25" s="367">
        <v>0</v>
      </c>
      <c r="BH25" s="56" t="s">
        <v>145</v>
      </c>
      <c r="BI25" s="367">
        <v>0</v>
      </c>
      <c r="BJ25" s="367">
        <v>1</v>
      </c>
      <c r="BK25" s="888">
        <v>2262.4850000000001</v>
      </c>
      <c r="BL25" s="925">
        <f t="shared" si="0"/>
        <v>50.036840023248772</v>
      </c>
      <c r="BM25" s="888">
        <v>1130.4090000000001</v>
      </c>
      <c r="BN25" s="920">
        <v>1132.076</v>
      </c>
      <c r="BO25" s="888">
        <v>266.262</v>
      </c>
      <c r="BP25" s="1158">
        <f t="shared" si="17"/>
        <v>49.492980598057557</v>
      </c>
      <c r="BQ25" s="917">
        <v>134.48099999999999</v>
      </c>
      <c r="BR25" s="920">
        <v>131.78100000000001</v>
      </c>
      <c r="BS25" s="888">
        <v>236.661</v>
      </c>
      <c r="BT25" s="1158">
        <f t="shared" si="18"/>
        <v>49.564989584257653</v>
      </c>
      <c r="BU25" s="917">
        <v>119.36</v>
      </c>
      <c r="BV25" s="920">
        <v>117.301</v>
      </c>
      <c r="BW25" s="888">
        <v>221.029</v>
      </c>
      <c r="BX25" s="1158">
        <f t="shared" si="19"/>
        <v>49.575395083903018</v>
      </c>
      <c r="BY25" s="917">
        <v>111.453</v>
      </c>
      <c r="BZ25" s="920">
        <v>109.57599999999999</v>
      </c>
      <c r="CA25" s="888">
        <f t="shared" si="20"/>
        <v>1538.5330000000001</v>
      </c>
      <c r="CB25" s="1158">
        <f t="shared" si="21"/>
        <v>50.269834966165817</v>
      </c>
      <c r="CC25" s="917">
        <f t="shared" si="22"/>
        <v>765.11500000000012</v>
      </c>
      <c r="CD25" s="920">
        <f t="shared" si="23"/>
        <v>773.41800000000001</v>
      </c>
      <c r="CE25" s="914">
        <v>2015</v>
      </c>
      <c r="CF25" s="910" t="s">
        <v>5630</v>
      </c>
      <c r="CG25" s="930">
        <v>72.2</v>
      </c>
      <c r="CH25" s="495">
        <v>71.8</v>
      </c>
      <c r="CI25" s="497">
        <v>72.7</v>
      </c>
      <c r="CJ25" s="904">
        <v>77.5</v>
      </c>
      <c r="CK25" s="904">
        <v>66.900000000000006</v>
      </c>
      <c r="CL25" s="904" t="s">
        <v>5581</v>
      </c>
      <c r="CM25" s="905" t="s">
        <v>5582</v>
      </c>
      <c r="CN25" s="1044">
        <v>824.07299999999998</v>
      </c>
      <c r="CO25" s="1045">
        <f t="shared" si="1"/>
        <v>36.42335750292267</v>
      </c>
      <c r="CP25" s="1040">
        <f t="shared" si="42"/>
        <v>411.73291131521313</v>
      </c>
      <c r="CQ25" s="1041">
        <f t="shared" si="43"/>
        <v>412.34008868478685</v>
      </c>
      <c r="CR25" s="1046">
        <v>2014</v>
      </c>
      <c r="CS25" s="1047" t="s">
        <v>5761</v>
      </c>
      <c r="CT25" s="1068">
        <f t="shared" si="2"/>
        <v>16</v>
      </c>
      <c r="CU25" s="1071">
        <v>18</v>
      </c>
      <c r="CV25" s="1068" t="s">
        <v>5870</v>
      </c>
      <c r="CW25" s="1113">
        <v>824.07299999999998</v>
      </c>
      <c r="CX25" s="1113">
        <v>1267.7190000000001</v>
      </c>
      <c r="CY25" s="1113">
        <v>2155.7840000000001</v>
      </c>
      <c r="CZ25" s="494">
        <v>1</v>
      </c>
      <c r="DA25" s="1124">
        <v>4</v>
      </c>
      <c r="DB25" s="1050" t="s">
        <v>647</v>
      </c>
      <c r="DC25" s="1143" t="s">
        <v>320</v>
      </c>
      <c r="DD25" s="982">
        <f t="shared" si="34"/>
        <v>915.71865600000012</v>
      </c>
      <c r="DE25" s="979">
        <f t="shared" si="3"/>
        <v>40.474021087432625</v>
      </c>
      <c r="DF25" s="979">
        <f t="shared" si="35"/>
        <v>50.123642486455267</v>
      </c>
      <c r="DG25" s="983">
        <f t="shared" si="36"/>
        <v>456.39499668478697</v>
      </c>
      <c r="DH25" s="983">
        <f t="shared" si="37"/>
        <v>458.99154531521322</v>
      </c>
      <c r="DI25" s="979">
        <f t="shared" si="5"/>
        <v>40.374324398053005</v>
      </c>
      <c r="DJ25" s="981">
        <f t="shared" si="6"/>
        <v>40.544234248867852</v>
      </c>
      <c r="DK25" s="984">
        <f t="shared" si="7"/>
        <v>714.46000000000015</v>
      </c>
      <c r="DL25" s="979">
        <f t="shared" si="38"/>
        <v>50.538576171543973</v>
      </c>
      <c r="DM25" s="983">
        <f t="shared" si="8"/>
        <v>353.38208868478699</v>
      </c>
      <c r="DN25" s="986">
        <f t="shared" si="9"/>
        <v>361.07791131521316</v>
      </c>
      <c r="DO25" s="984">
        <f t="shared" si="10"/>
        <v>127.23782</v>
      </c>
      <c r="DP25" s="979">
        <f t="shared" si="39"/>
        <v>48.678467612852842</v>
      </c>
      <c r="DQ25" s="983">
        <f t="shared" si="28"/>
        <v>65.089266000000009</v>
      </c>
      <c r="DR25" s="986">
        <f t="shared" si="29"/>
        <v>61.937421000000001</v>
      </c>
      <c r="DS25" s="984">
        <f t="shared" si="12"/>
        <v>74.020836000000003</v>
      </c>
      <c r="DT25" s="339">
        <f t="shared" si="40"/>
        <v>48.602819076509753</v>
      </c>
      <c r="DU25" s="983">
        <f t="shared" si="30"/>
        <v>37.923642000000001</v>
      </c>
      <c r="DV25" s="986">
        <f t="shared" si="31"/>
        <v>35.976213000000001</v>
      </c>
      <c r="DW25" s="979">
        <f t="shared" si="32"/>
        <v>28.200000000000003</v>
      </c>
      <c r="DX25" s="981">
        <f t="shared" si="33"/>
        <v>27.3</v>
      </c>
      <c r="DY25" s="414">
        <v>31.2</v>
      </c>
      <c r="DZ25" s="111">
        <v>1994</v>
      </c>
      <c r="EA25" s="118">
        <v>633.59025599999995</v>
      </c>
      <c r="EB25" s="123">
        <v>30.6</v>
      </c>
      <c r="EC25" s="113">
        <v>2003</v>
      </c>
      <c r="ED25" s="20">
        <v>621.40582800000004</v>
      </c>
      <c r="EE25" s="414">
        <v>30.3</v>
      </c>
      <c r="EF25" s="121">
        <v>2003</v>
      </c>
      <c r="EG25" s="380">
        <v>86.728813171386705</v>
      </c>
      <c r="EH25" s="24" t="s">
        <v>335</v>
      </c>
      <c r="EI25" s="288">
        <v>1</v>
      </c>
      <c r="EJ25" s="40">
        <v>1</v>
      </c>
      <c r="EK25" s="35" t="s">
        <v>145</v>
      </c>
      <c r="EL25" s="95" t="s">
        <v>1645</v>
      </c>
      <c r="EM25" s="95" t="s">
        <v>1639</v>
      </c>
      <c r="EN25" s="35" t="s">
        <v>145</v>
      </c>
      <c r="EO25" s="95" t="s">
        <v>1646</v>
      </c>
      <c r="EP25" s="205">
        <v>0.72</v>
      </c>
      <c r="EQ25" s="207" t="s">
        <v>145</v>
      </c>
      <c r="ER25" s="517" t="s">
        <v>145</v>
      </c>
      <c r="ES25" s="183"/>
      <c r="ET25" s="183"/>
      <c r="EU25" s="82"/>
      <c r="EV25" s="82"/>
      <c r="EW25" s="82"/>
      <c r="EX25" s="90"/>
      <c r="EY25" s="159"/>
      <c r="EZ25" s="156"/>
      <c r="FA25" s="323"/>
      <c r="FB25" s="323"/>
      <c r="FC25" s="323"/>
      <c r="FD25" s="160"/>
      <c r="FE25" s="156"/>
      <c r="FF25" s="156"/>
      <c r="FG25" s="156"/>
      <c r="FH25" s="157"/>
      <c r="FI25" s="242"/>
      <c r="FJ25" s="240"/>
      <c r="FK25" s="179"/>
      <c r="FL25" s="179"/>
      <c r="FM25" s="179"/>
      <c r="FN25" s="172"/>
      <c r="FO25" s="164"/>
      <c r="FP25" s="255">
        <v>1</v>
      </c>
      <c r="FQ25" s="183" t="s">
        <v>1858</v>
      </c>
      <c r="FR25" s="257"/>
      <c r="FS25" s="82"/>
      <c r="FT25" s="259">
        <v>1</v>
      </c>
      <c r="FU25" s="82" t="s">
        <v>1859</v>
      </c>
      <c r="FV25" s="259"/>
      <c r="FW25" s="82"/>
      <c r="FX25" s="259"/>
      <c r="FY25" s="82"/>
      <c r="FZ25" s="259"/>
      <c r="GA25" s="82"/>
      <c r="GB25" s="261"/>
      <c r="GC25" s="90"/>
      <c r="GD25" s="76">
        <v>2</v>
      </c>
      <c r="GE25" s="445" t="s">
        <v>3431</v>
      </c>
      <c r="GF25" s="447" t="s">
        <v>10</v>
      </c>
      <c r="GG25" s="448">
        <v>3</v>
      </c>
      <c r="GH25" s="449">
        <v>2</v>
      </c>
      <c r="GI25" s="447" t="s">
        <v>145</v>
      </c>
      <c r="GJ25" s="449" t="s">
        <v>145</v>
      </c>
      <c r="GK25" s="447" t="s">
        <v>145</v>
      </c>
      <c r="GL25" s="448" t="s">
        <v>145</v>
      </c>
      <c r="GM25" s="449" t="s">
        <v>145</v>
      </c>
      <c r="GN25" s="447" t="s">
        <v>590</v>
      </c>
      <c r="GO25" s="449">
        <v>41</v>
      </c>
      <c r="GP25" s="447">
        <v>11</v>
      </c>
      <c r="GQ25" s="448">
        <v>17</v>
      </c>
      <c r="GR25" s="449">
        <v>13</v>
      </c>
      <c r="GS25" s="446">
        <v>8</v>
      </c>
      <c r="GT25" s="461">
        <v>0.4713079035282135</v>
      </c>
      <c r="GU25" s="462">
        <v>1.0563554763793945</v>
      </c>
      <c r="GV25" s="462">
        <v>0.27771461009979248</v>
      </c>
      <c r="GW25" s="462">
        <v>0.65586107969284058</v>
      </c>
      <c r="GX25" s="462">
        <v>0.59308719635009766</v>
      </c>
      <c r="GY25" s="463">
        <v>0.92223060131072998</v>
      </c>
      <c r="GZ25" s="10">
        <v>112</v>
      </c>
      <c r="HA25" s="535">
        <v>0.41983999999999999</v>
      </c>
      <c r="HB25" s="535">
        <v>0.31372</v>
      </c>
      <c r="HC25" s="523">
        <v>0.30708000000000002</v>
      </c>
      <c r="HD25" s="462">
        <v>0.29693999999999998</v>
      </c>
      <c r="HE25" s="463">
        <v>0.65549999999999997</v>
      </c>
      <c r="HF25" s="10">
        <v>104</v>
      </c>
      <c r="HG25" s="532">
        <v>4.01</v>
      </c>
      <c r="HH25" s="447">
        <v>4.0599999999999996</v>
      </c>
      <c r="HI25" s="544">
        <v>3.03</v>
      </c>
      <c r="HJ25" s="449">
        <v>5.86</v>
      </c>
      <c r="HK25" s="379" t="s">
        <v>145</v>
      </c>
      <c r="HL25" s="362" t="s">
        <v>145</v>
      </c>
      <c r="HM25" s="557" t="s">
        <v>145</v>
      </c>
      <c r="HN25" s="557" t="s">
        <v>145</v>
      </c>
      <c r="HO25" s="557" t="s">
        <v>145</v>
      </c>
      <c r="HP25" s="562" t="s">
        <v>145</v>
      </c>
      <c r="HQ25" s="562" t="s">
        <v>145</v>
      </c>
      <c r="HR25" s="563" t="s">
        <v>145</v>
      </c>
      <c r="HS25" s="545" t="s">
        <v>145</v>
      </c>
      <c r="HT25" s="557" t="s">
        <v>145</v>
      </c>
      <c r="HU25" s="809">
        <v>1966</v>
      </c>
      <c r="HV25" s="583" t="s">
        <v>4874</v>
      </c>
      <c r="HW25" s="448" t="s">
        <v>145</v>
      </c>
      <c r="HX25" s="448" t="s">
        <v>145</v>
      </c>
      <c r="HY25" s="448" t="s">
        <v>145</v>
      </c>
      <c r="HZ25" s="448" t="s">
        <v>145</v>
      </c>
      <c r="IA25" s="448" t="s">
        <v>145</v>
      </c>
      <c r="IB25" s="448" t="s">
        <v>145</v>
      </c>
      <c r="IC25" s="449" t="s">
        <v>145</v>
      </c>
      <c r="ID25" s="40"/>
      <c r="IE25" s="355"/>
      <c r="IF25" s="355"/>
      <c r="IG25" s="647"/>
      <c r="IH25" s="115"/>
      <c r="II25" s="647" t="s">
        <v>4922</v>
      </c>
      <c r="IJ25" s="423" t="s">
        <v>4926</v>
      </c>
      <c r="IK25" s="10">
        <v>0</v>
      </c>
      <c r="IL25" s="749">
        <f t="shared" si="14"/>
        <v>14</v>
      </c>
      <c r="IM25" s="747">
        <f t="shared" si="15"/>
        <v>56.000000000000007</v>
      </c>
      <c r="IN25" s="750" t="str">
        <f t="shared" si="16"/>
        <v>B</v>
      </c>
      <c r="IO25" s="446">
        <v>1</v>
      </c>
      <c r="IP25" s="902">
        <v>4</v>
      </c>
      <c r="IQ25" s="903">
        <v>0</v>
      </c>
      <c r="IR25" s="993">
        <v>0</v>
      </c>
      <c r="IT25" s="435"/>
      <c r="IU25" s="435"/>
      <c r="IV25" s="435"/>
    </row>
    <row r="26" spans="1:256">
      <c r="A26" s="21">
        <v>24</v>
      </c>
      <c r="B26" s="9"/>
      <c r="C26" s="430" t="s">
        <v>43</v>
      </c>
      <c r="D26" s="424" t="s">
        <v>409</v>
      </c>
      <c r="E26" s="10" t="s">
        <v>12</v>
      </c>
      <c r="F26" s="76" t="s">
        <v>768</v>
      </c>
      <c r="G26" s="102" t="s">
        <v>447</v>
      </c>
      <c r="H26" s="375" t="s">
        <v>1746</v>
      </c>
      <c r="I26" s="95" t="s">
        <v>1750</v>
      </c>
      <c r="J26" s="176">
        <v>1</v>
      </c>
      <c r="K26" s="346">
        <v>1850</v>
      </c>
      <c r="L26" s="371">
        <v>2</v>
      </c>
      <c r="M26" s="240" t="s">
        <v>1813</v>
      </c>
      <c r="N26" s="369" t="s">
        <v>1822</v>
      </c>
      <c r="O26" s="292" t="s">
        <v>2971</v>
      </c>
      <c r="P26" s="377" t="s">
        <v>2970</v>
      </c>
      <c r="Q26" s="370">
        <v>1</v>
      </c>
      <c r="R26" s="349">
        <v>1997</v>
      </c>
      <c r="S26" s="350" t="s">
        <v>2969</v>
      </c>
      <c r="T26" s="349">
        <v>1</v>
      </c>
      <c r="U26" s="349">
        <v>2</v>
      </c>
      <c r="V26" s="349">
        <v>18</v>
      </c>
      <c r="W26" s="351" t="s">
        <v>1815</v>
      </c>
      <c r="X26" s="170">
        <v>1</v>
      </c>
      <c r="Y26" s="369">
        <v>1</v>
      </c>
      <c r="Z26" s="273" t="s">
        <v>2046</v>
      </c>
      <c r="AA26" s="169">
        <v>1</v>
      </c>
      <c r="AB26" s="177">
        <v>1</v>
      </c>
      <c r="AC26" s="171">
        <v>1</v>
      </c>
      <c r="AD26" s="366" t="s">
        <v>947</v>
      </c>
      <c r="AE26" s="357">
        <v>2012</v>
      </c>
      <c r="AF26" s="357">
        <v>2</v>
      </c>
      <c r="AG26" s="550" t="s">
        <v>5171</v>
      </c>
      <c r="AH26" s="355" t="s">
        <v>2746</v>
      </c>
      <c r="AI26" s="55">
        <v>1</v>
      </c>
      <c r="AJ26" s="55">
        <v>1</v>
      </c>
      <c r="AK26" s="590" t="s">
        <v>145</v>
      </c>
      <c r="AL26" s="386">
        <v>4</v>
      </c>
      <c r="AM26" s="361" t="s">
        <v>2750</v>
      </c>
      <c r="AN26" s="528" t="s">
        <v>145</v>
      </c>
      <c r="AO26" s="170">
        <v>1</v>
      </c>
      <c r="AP26" s="172">
        <v>1</v>
      </c>
      <c r="AQ26" s="592" t="s">
        <v>4951</v>
      </c>
      <c r="AR26" s="377" t="s">
        <v>4952</v>
      </c>
      <c r="AS26" s="55">
        <v>2</v>
      </c>
      <c r="AT26" s="370">
        <v>2</v>
      </c>
      <c r="AU26" s="371">
        <v>2010</v>
      </c>
      <c r="AV26" s="370">
        <v>5</v>
      </c>
      <c r="AW26" s="589">
        <v>2200</v>
      </c>
      <c r="AX26" s="687">
        <v>0</v>
      </c>
      <c r="AY26" s="174" t="s">
        <v>2154</v>
      </c>
      <c r="AZ26" s="55">
        <v>2008</v>
      </c>
      <c r="BA26" s="55">
        <v>1</v>
      </c>
      <c r="BB26" s="55">
        <v>2</v>
      </c>
      <c r="BC26" s="174" t="s">
        <v>4309</v>
      </c>
      <c r="BD26" s="55">
        <v>2008</v>
      </c>
      <c r="BE26" s="55">
        <v>2</v>
      </c>
      <c r="BF26" s="367" t="s">
        <v>4366</v>
      </c>
      <c r="BG26" s="367">
        <v>0</v>
      </c>
      <c r="BH26" s="56" t="s">
        <v>145</v>
      </c>
      <c r="BI26" s="367">
        <v>1</v>
      </c>
      <c r="BJ26" s="367">
        <v>1</v>
      </c>
      <c r="BK26" s="888">
        <v>207847.52799999999</v>
      </c>
      <c r="BL26" s="925">
        <f t="shared" si="0"/>
        <v>50.828985562917062</v>
      </c>
      <c r="BM26" s="888">
        <v>102200.738</v>
      </c>
      <c r="BN26" s="920">
        <v>105646.79</v>
      </c>
      <c r="BO26" s="888">
        <v>15032.203</v>
      </c>
      <c r="BP26" s="1158">
        <f t="shared" si="17"/>
        <v>48.968763926351976</v>
      </c>
      <c r="BQ26" s="917">
        <v>7671.1189999999997</v>
      </c>
      <c r="BR26" s="920">
        <v>7361.0839999999998</v>
      </c>
      <c r="BS26" s="888">
        <v>15407.519</v>
      </c>
      <c r="BT26" s="1158">
        <f t="shared" si="18"/>
        <v>49.015750037368115</v>
      </c>
      <c r="BU26" s="917">
        <v>7855.4080000000004</v>
      </c>
      <c r="BV26" s="920">
        <v>7552.1109999999999</v>
      </c>
      <c r="BW26" s="888">
        <v>17422.670999999998</v>
      </c>
      <c r="BX26" s="1158">
        <f t="shared" si="19"/>
        <v>49.046389041037401</v>
      </c>
      <c r="BY26" s="917">
        <v>8877.48</v>
      </c>
      <c r="BZ26" s="920">
        <v>8545.1910000000007</v>
      </c>
      <c r="CA26" s="888">
        <f t="shared" si="20"/>
        <v>159985.13499999998</v>
      </c>
      <c r="CB26" s="1158">
        <f t="shared" si="21"/>
        <v>51.372525328681306</v>
      </c>
      <c r="CC26" s="917">
        <f t="shared" si="22"/>
        <v>77796.731</v>
      </c>
      <c r="CD26" s="920">
        <f t="shared" si="23"/>
        <v>82188.40399999998</v>
      </c>
      <c r="CE26" s="914">
        <v>2015</v>
      </c>
      <c r="CF26" s="910" t="s">
        <v>5630</v>
      </c>
      <c r="CG26" s="930">
        <v>92.8</v>
      </c>
      <c r="CH26" s="504">
        <v>92.8</v>
      </c>
      <c r="CI26" s="1008">
        <v>92.8</v>
      </c>
      <c r="CJ26" s="904" t="s">
        <v>1621</v>
      </c>
      <c r="CK26" s="904" t="s">
        <v>1621</v>
      </c>
      <c r="CL26" s="904">
        <v>2011</v>
      </c>
      <c r="CM26" s="905" t="s">
        <v>5583</v>
      </c>
      <c r="CN26" s="1044">
        <v>142822.046</v>
      </c>
      <c r="CO26" s="1045">
        <f t="shared" si="1"/>
        <v>68.714815795163091</v>
      </c>
      <c r="CP26" s="1040">
        <f t="shared" si="42"/>
        <v>70227.04885799723</v>
      </c>
      <c r="CQ26" s="1041">
        <f t="shared" si="43"/>
        <v>72594.997142002772</v>
      </c>
      <c r="CR26" s="1046">
        <v>2014</v>
      </c>
      <c r="CS26" s="1047" t="s">
        <v>5762</v>
      </c>
      <c r="CT26" s="1068">
        <f t="shared" si="2"/>
        <v>18</v>
      </c>
      <c r="CU26" s="1071">
        <v>18</v>
      </c>
      <c r="CV26" s="1068" t="s">
        <v>5871</v>
      </c>
      <c r="CW26" s="1113">
        <v>140488.492</v>
      </c>
      <c r="CX26" s="1113">
        <v>150803.26800000001</v>
      </c>
      <c r="CY26" s="1113">
        <v>202656.788</v>
      </c>
      <c r="CZ26" s="494">
        <v>1</v>
      </c>
      <c r="DA26" s="1124">
        <v>4</v>
      </c>
      <c r="DB26" s="1050" t="s">
        <v>647</v>
      </c>
      <c r="DC26" s="1146" t="s">
        <v>322</v>
      </c>
      <c r="DD26" s="978">
        <f t="shared" si="34"/>
        <v>20609.181295999981</v>
      </c>
      <c r="DE26" s="979">
        <f t="shared" si="3"/>
        <v>9.9155287023668528</v>
      </c>
      <c r="DF26" s="979">
        <f t="shared" si="35"/>
        <v>54.744584406111294</v>
      </c>
      <c r="DG26" s="980">
        <f t="shared" si="36"/>
        <v>9326.7706460027712</v>
      </c>
      <c r="DH26" s="980">
        <f t="shared" si="37"/>
        <v>11282.410649997211</v>
      </c>
      <c r="DI26" s="979">
        <f t="shared" si="5"/>
        <v>9.1259327755566417</v>
      </c>
      <c r="DJ26" s="981">
        <f t="shared" si="6"/>
        <v>10.679369103403154</v>
      </c>
      <c r="DK26" s="984">
        <f t="shared" si="7"/>
        <v>17163.088999999978</v>
      </c>
      <c r="DL26" s="979">
        <f t="shared" si="38"/>
        <v>55.895572516096728</v>
      </c>
      <c r="DM26" s="980">
        <f t="shared" si="8"/>
        <v>7569.68214200277</v>
      </c>
      <c r="DN26" s="985">
        <f t="shared" si="9"/>
        <v>9593.4068579972081</v>
      </c>
      <c r="DO26" s="984">
        <f t="shared" si="10"/>
        <v>2363.7736800000021</v>
      </c>
      <c r="DP26" s="979">
        <f t="shared" si="39"/>
        <v>49.032009866528334</v>
      </c>
      <c r="DQ26" s="980">
        <f t="shared" si="28"/>
        <v>1204.7679360000011</v>
      </c>
      <c r="DR26" s="985">
        <f t="shared" si="29"/>
        <v>1159.005744000001</v>
      </c>
      <c r="DS26" s="984">
        <f t="shared" si="12"/>
        <v>1082.3186160000009</v>
      </c>
      <c r="DT26" s="339">
        <f t="shared" si="40"/>
        <v>48.968763926351983</v>
      </c>
      <c r="DU26" s="980">
        <f t="shared" si="30"/>
        <v>552.32056800000043</v>
      </c>
      <c r="DV26" s="985">
        <f t="shared" si="31"/>
        <v>529.99804800000049</v>
      </c>
      <c r="DW26" s="979">
        <f t="shared" si="32"/>
        <v>7.2000000000000064</v>
      </c>
      <c r="DX26" s="981">
        <f t="shared" si="33"/>
        <v>7.2000000000000064</v>
      </c>
      <c r="DY26" s="414">
        <v>6.14</v>
      </c>
      <c r="DZ26" s="111">
        <v>2009</v>
      </c>
      <c r="EA26" s="118">
        <v>11995.955854</v>
      </c>
      <c r="EB26" s="123">
        <v>21.4</v>
      </c>
      <c r="EC26" s="113">
        <v>2009</v>
      </c>
      <c r="ED26" s="20">
        <v>42084.172995999994</v>
      </c>
      <c r="EE26" s="414">
        <v>21.4</v>
      </c>
      <c r="EF26" s="111" t="s">
        <v>145</v>
      </c>
      <c r="EG26" s="380">
        <v>91.333740234375</v>
      </c>
      <c r="EH26" s="24" t="s">
        <v>354</v>
      </c>
      <c r="EI26" s="287">
        <v>3</v>
      </c>
      <c r="EJ26" s="40">
        <v>1</v>
      </c>
      <c r="EK26" s="35" t="s">
        <v>145</v>
      </c>
      <c r="EL26" s="95" t="s">
        <v>145</v>
      </c>
      <c r="EM26" s="95" t="s">
        <v>1647</v>
      </c>
      <c r="EN26" s="35" t="s">
        <v>145</v>
      </c>
      <c r="EO26" s="95" t="s">
        <v>1648</v>
      </c>
      <c r="EP26" s="205">
        <v>0.91</v>
      </c>
      <c r="EQ26" s="207">
        <v>0.94</v>
      </c>
      <c r="ER26" s="517">
        <v>1</v>
      </c>
      <c r="ES26" s="183" t="s">
        <v>145</v>
      </c>
      <c r="ET26" s="183" t="s">
        <v>3794</v>
      </c>
      <c r="EU26" s="82" t="s">
        <v>145</v>
      </c>
      <c r="EV26" s="82" t="s">
        <v>145</v>
      </c>
      <c r="EW26" s="82" t="s">
        <v>145</v>
      </c>
      <c r="EX26" s="360" t="s">
        <v>145</v>
      </c>
      <c r="EY26" s="159">
        <v>189953000</v>
      </c>
      <c r="EZ26" s="156">
        <v>2008</v>
      </c>
      <c r="FA26" s="323">
        <v>87</v>
      </c>
      <c r="FB26" s="323">
        <v>13</v>
      </c>
      <c r="FC26" s="323">
        <v>24.1</v>
      </c>
      <c r="FD26" s="231" t="s">
        <v>1743</v>
      </c>
      <c r="FE26" s="156">
        <v>79</v>
      </c>
      <c r="FF26" s="156" t="s">
        <v>354</v>
      </c>
      <c r="FG26" s="156">
        <v>8.9</v>
      </c>
      <c r="FH26" s="157" t="s">
        <v>318</v>
      </c>
      <c r="FI26" s="242">
        <v>1</v>
      </c>
      <c r="FJ26" s="240" t="s">
        <v>1813</v>
      </c>
      <c r="FK26" s="179" t="s">
        <v>145</v>
      </c>
      <c r="FL26" s="236" t="s">
        <v>1814</v>
      </c>
      <c r="FM26" s="236" t="s">
        <v>1815</v>
      </c>
      <c r="FN26" s="369" t="s">
        <v>145</v>
      </c>
      <c r="FO26" s="165" t="s">
        <v>1745</v>
      </c>
      <c r="FP26" s="255">
        <v>1</v>
      </c>
      <c r="FQ26" s="183" t="s">
        <v>1861</v>
      </c>
      <c r="FR26" s="257">
        <v>1</v>
      </c>
      <c r="FS26" s="82" t="s">
        <v>1862</v>
      </c>
      <c r="FT26" s="259"/>
      <c r="FU26" s="82"/>
      <c r="FV26" s="259"/>
      <c r="FW26" s="82"/>
      <c r="FX26" s="259"/>
      <c r="FY26" s="82"/>
      <c r="FZ26" s="259"/>
      <c r="GA26" s="82"/>
      <c r="GB26" s="261"/>
      <c r="GC26" s="90"/>
      <c r="GD26" s="76">
        <v>1</v>
      </c>
      <c r="GE26" s="445" t="s">
        <v>3424</v>
      </c>
      <c r="GF26" s="447" t="s">
        <v>10</v>
      </c>
      <c r="GG26" s="448">
        <v>2</v>
      </c>
      <c r="GH26" s="449">
        <v>2</v>
      </c>
      <c r="GI26" s="447" t="s">
        <v>10</v>
      </c>
      <c r="GJ26" s="449">
        <v>30</v>
      </c>
      <c r="GK26" s="447">
        <v>7</v>
      </c>
      <c r="GL26" s="448">
        <v>7</v>
      </c>
      <c r="GM26" s="449">
        <v>16</v>
      </c>
      <c r="GN26" s="447" t="s">
        <v>590</v>
      </c>
      <c r="GO26" s="449">
        <v>45</v>
      </c>
      <c r="GP26" s="447">
        <v>13</v>
      </c>
      <c r="GQ26" s="448">
        <v>21</v>
      </c>
      <c r="GR26" s="449">
        <v>11</v>
      </c>
      <c r="GS26" s="446">
        <v>8</v>
      </c>
      <c r="GT26" s="461">
        <v>0.36718088388442993</v>
      </c>
      <c r="GU26" s="462">
        <v>-0.27828651666641235</v>
      </c>
      <c r="GV26" s="462">
        <v>-7.9037651419639587E-2</v>
      </c>
      <c r="GW26" s="462">
        <v>6.5406553447246552E-2</v>
      </c>
      <c r="GX26" s="462">
        <v>-0.11938825249671936</v>
      </c>
      <c r="GY26" s="463">
        <v>-0.11527151614427567</v>
      </c>
      <c r="GZ26" s="10">
        <v>57</v>
      </c>
      <c r="HA26" s="535">
        <v>0.60082000000000002</v>
      </c>
      <c r="HB26" s="535">
        <v>0.70587999999999995</v>
      </c>
      <c r="HC26" s="523">
        <v>0.59841999999999995</v>
      </c>
      <c r="HD26" s="462">
        <v>0.46681</v>
      </c>
      <c r="HE26" s="463">
        <v>0.73719999999999997</v>
      </c>
      <c r="HF26" s="10">
        <v>65</v>
      </c>
      <c r="HG26" s="532">
        <v>5.5</v>
      </c>
      <c r="HH26" s="447">
        <v>6.14</v>
      </c>
      <c r="HI26" s="544">
        <v>4.01</v>
      </c>
      <c r="HJ26" s="449">
        <v>7.22</v>
      </c>
      <c r="HK26" s="379" t="s">
        <v>4013</v>
      </c>
      <c r="HL26" s="23" t="s">
        <v>4667</v>
      </c>
      <c r="HM26" s="557">
        <v>2011</v>
      </c>
      <c r="HN26" s="809" t="s">
        <v>145</v>
      </c>
      <c r="HO26" s="557" t="s">
        <v>3985</v>
      </c>
      <c r="HP26" s="562" t="s">
        <v>4690</v>
      </c>
      <c r="HQ26" s="639" t="s">
        <v>4691</v>
      </c>
      <c r="HR26" s="563" t="s">
        <v>4692</v>
      </c>
      <c r="HS26" s="545">
        <v>18</v>
      </c>
      <c r="HT26" s="557">
        <v>108</v>
      </c>
      <c r="HU26" s="557">
        <v>2011</v>
      </c>
      <c r="HV26" s="583" t="s">
        <v>4177</v>
      </c>
      <c r="HW26" s="448">
        <v>6</v>
      </c>
      <c r="HX26" s="448">
        <v>29</v>
      </c>
      <c r="HY26" s="448">
        <v>19</v>
      </c>
      <c r="HZ26" s="448">
        <v>16</v>
      </c>
      <c r="IA26" s="448">
        <v>22</v>
      </c>
      <c r="IB26" s="448">
        <v>3</v>
      </c>
      <c r="IC26" s="449">
        <v>13</v>
      </c>
      <c r="ID26" s="660"/>
      <c r="IE26" s="355"/>
      <c r="IF26" s="355"/>
      <c r="IG26" s="647"/>
      <c r="IH26" s="339"/>
      <c r="II26" s="553" t="s">
        <v>4922</v>
      </c>
      <c r="IJ26" s="424" t="s">
        <v>4926</v>
      </c>
      <c r="IK26" s="24">
        <v>0</v>
      </c>
      <c r="IL26" s="749">
        <f t="shared" si="14"/>
        <v>20</v>
      </c>
      <c r="IM26" s="747">
        <f t="shared" si="15"/>
        <v>80</v>
      </c>
      <c r="IN26" s="750" t="str">
        <f t="shared" si="16"/>
        <v>A</v>
      </c>
      <c r="IO26" s="446"/>
      <c r="IP26" s="902">
        <v>3</v>
      </c>
      <c r="IQ26" s="903">
        <v>1</v>
      </c>
      <c r="IR26" s="993">
        <v>0</v>
      </c>
      <c r="IT26" s="435"/>
      <c r="IU26" s="435"/>
      <c r="IV26" s="435"/>
    </row>
    <row r="27" spans="1:256">
      <c r="A27" s="21">
        <v>25</v>
      </c>
      <c r="B27" s="9"/>
      <c r="C27" s="430" t="s">
        <v>45</v>
      </c>
      <c r="D27" s="423"/>
      <c r="E27" s="10" t="s">
        <v>17</v>
      </c>
      <c r="F27" s="76" t="s">
        <v>769</v>
      </c>
      <c r="G27" s="102" t="s">
        <v>463</v>
      </c>
      <c r="H27" s="251" t="s">
        <v>2196</v>
      </c>
      <c r="I27" s="95" t="s">
        <v>2195</v>
      </c>
      <c r="J27" s="176">
        <v>2</v>
      </c>
      <c r="K27" s="346">
        <v>2009</v>
      </c>
      <c r="L27" s="371">
        <v>2</v>
      </c>
      <c r="M27" s="373" t="s">
        <v>1834</v>
      </c>
      <c r="N27" s="369" t="s">
        <v>1822</v>
      </c>
      <c r="O27" s="365" t="s">
        <v>3118</v>
      </c>
      <c r="P27" s="377" t="s">
        <v>3071</v>
      </c>
      <c r="Q27" s="370">
        <v>2</v>
      </c>
      <c r="R27" s="358">
        <v>1965</v>
      </c>
      <c r="S27" s="372" t="s">
        <v>3072</v>
      </c>
      <c r="T27" s="349">
        <v>1</v>
      </c>
      <c r="U27" s="358">
        <v>2</v>
      </c>
      <c r="V27" s="349">
        <v>12</v>
      </c>
      <c r="W27" s="369" t="s">
        <v>2036</v>
      </c>
      <c r="X27" s="86">
        <v>1</v>
      </c>
      <c r="Y27" s="347">
        <v>1</v>
      </c>
      <c r="Z27" s="272"/>
      <c r="AA27" s="169">
        <v>1</v>
      </c>
      <c r="AB27" s="177">
        <v>1</v>
      </c>
      <c r="AC27" s="171"/>
      <c r="AD27" s="174" t="s">
        <v>3118</v>
      </c>
      <c r="AE27" s="358">
        <v>2000</v>
      </c>
      <c r="AF27" s="804">
        <v>2</v>
      </c>
      <c r="AG27" s="550" t="s">
        <v>5171</v>
      </c>
      <c r="AH27" s="355" t="s">
        <v>3074</v>
      </c>
      <c r="AI27" s="55">
        <v>1</v>
      </c>
      <c r="AJ27" s="55">
        <v>1</v>
      </c>
      <c r="AK27" s="590" t="s">
        <v>145</v>
      </c>
      <c r="AL27" s="386">
        <v>9</v>
      </c>
      <c r="AM27" s="361" t="s">
        <v>3119</v>
      </c>
      <c r="AN27" s="397" t="s">
        <v>145</v>
      </c>
      <c r="AO27" s="86">
        <v>1</v>
      </c>
      <c r="AP27" s="347">
        <v>1</v>
      </c>
      <c r="AQ27" s="365" t="s">
        <v>4953</v>
      </c>
      <c r="AR27" s="377" t="s">
        <v>4954</v>
      </c>
      <c r="AS27" s="55">
        <v>2</v>
      </c>
      <c r="AT27" s="370">
        <v>2</v>
      </c>
      <c r="AU27" s="367">
        <v>2007</v>
      </c>
      <c r="AV27" s="358">
        <v>10</v>
      </c>
      <c r="AW27" s="589">
        <v>80</v>
      </c>
      <c r="AX27" s="687">
        <v>0</v>
      </c>
      <c r="AY27" s="174" t="s">
        <v>4310</v>
      </c>
      <c r="AZ27" s="358">
        <v>2005</v>
      </c>
      <c r="BA27" s="55">
        <v>1</v>
      </c>
      <c r="BB27" s="55">
        <v>0</v>
      </c>
      <c r="BC27" s="175" t="s">
        <v>145</v>
      </c>
      <c r="BD27" s="358" t="s">
        <v>145</v>
      </c>
      <c r="BE27" s="55">
        <v>0</v>
      </c>
      <c r="BF27" s="367" t="s">
        <v>145</v>
      </c>
      <c r="BG27" s="367">
        <v>1</v>
      </c>
      <c r="BH27" s="1" t="s">
        <v>4311</v>
      </c>
      <c r="BI27" s="367">
        <v>0</v>
      </c>
      <c r="BJ27" s="367">
        <v>0</v>
      </c>
      <c r="BK27" s="888">
        <v>423.18799999999999</v>
      </c>
      <c r="BL27" s="925">
        <f t="shared" si="0"/>
        <v>48.479871830014091</v>
      </c>
      <c r="BM27" s="888">
        <v>218.02699999999999</v>
      </c>
      <c r="BN27" s="920">
        <v>205.161</v>
      </c>
      <c r="BO27" s="888">
        <v>33.783000000000001</v>
      </c>
      <c r="BP27" s="1158">
        <f t="shared" si="17"/>
        <v>48.696089749282187</v>
      </c>
      <c r="BQ27" s="917">
        <v>17.332000000000001</v>
      </c>
      <c r="BR27" s="920">
        <v>16.451000000000001</v>
      </c>
      <c r="BS27" s="888">
        <v>30.36</v>
      </c>
      <c r="BT27" s="1158">
        <f t="shared" si="18"/>
        <v>48.32674571805007</v>
      </c>
      <c r="BU27" s="917">
        <v>15.688000000000001</v>
      </c>
      <c r="BV27" s="920">
        <v>14.672000000000001</v>
      </c>
      <c r="BW27" s="888">
        <v>33.648000000000003</v>
      </c>
      <c r="BX27" s="1158">
        <f t="shared" si="19"/>
        <v>48.674512601046125</v>
      </c>
      <c r="BY27" s="917">
        <v>17.27</v>
      </c>
      <c r="BZ27" s="920">
        <v>16.378</v>
      </c>
      <c r="CA27" s="888">
        <f t="shared" si="20"/>
        <v>325.39699999999993</v>
      </c>
      <c r="CB27" s="1158">
        <f t="shared" si="21"/>
        <v>48.451583757686784</v>
      </c>
      <c r="CC27" s="917">
        <f t="shared" si="22"/>
        <v>167.73699999999999</v>
      </c>
      <c r="CD27" s="920">
        <f t="shared" si="23"/>
        <v>157.66000000000003</v>
      </c>
      <c r="CE27" s="914">
        <v>2015</v>
      </c>
      <c r="CF27" s="910" t="s">
        <v>5630</v>
      </c>
      <c r="CG27" s="931">
        <v>90</v>
      </c>
      <c r="CH27" s="504">
        <v>90</v>
      </c>
      <c r="CI27" s="1008">
        <v>90</v>
      </c>
      <c r="CJ27" s="904" t="s">
        <v>1621</v>
      </c>
      <c r="CK27" s="904" t="s">
        <v>1621</v>
      </c>
      <c r="CL27" s="906">
        <v>2014</v>
      </c>
      <c r="CM27" s="1002" t="s">
        <v>5699</v>
      </c>
      <c r="CN27" s="1044">
        <v>393.37200000000001</v>
      </c>
      <c r="CO27" s="1045">
        <f t="shared" si="1"/>
        <v>92.954431600139898</v>
      </c>
      <c r="CP27" s="1049">
        <v>203.14400000000001</v>
      </c>
      <c r="CQ27" s="1050">
        <v>190.22800000000001</v>
      </c>
      <c r="CR27" s="1046">
        <v>2012</v>
      </c>
      <c r="CS27" s="1047" t="s">
        <v>5771</v>
      </c>
      <c r="CT27" s="1068">
        <f t="shared" si="2"/>
        <v>12</v>
      </c>
      <c r="CU27" s="1071">
        <v>18</v>
      </c>
      <c r="CV27" s="1068" t="s">
        <v>5872</v>
      </c>
      <c r="CW27" s="1113" t="s">
        <v>145</v>
      </c>
      <c r="CX27" s="1113" t="s">
        <v>145</v>
      </c>
      <c r="CY27" s="1113" t="s">
        <v>145</v>
      </c>
      <c r="CZ27" s="1048">
        <v>20</v>
      </c>
      <c r="DA27" s="1124">
        <v>3</v>
      </c>
      <c r="DB27" s="1050" t="s">
        <v>647</v>
      </c>
      <c r="DC27" s="1145" t="s">
        <v>323</v>
      </c>
      <c r="DD27" s="1131">
        <f t="shared" si="34"/>
        <v>29.815999999999978</v>
      </c>
      <c r="DE27" s="1132">
        <f t="shared" si="3"/>
        <v>7.0455683998601044</v>
      </c>
      <c r="DF27" s="1132">
        <f t="shared" si="35"/>
        <v>50.083847598604791</v>
      </c>
      <c r="DG27" s="1133">
        <f t="shared" si="36"/>
        <v>14.882999999999981</v>
      </c>
      <c r="DH27" s="1133">
        <f t="shared" si="37"/>
        <v>14.932999999999993</v>
      </c>
      <c r="DI27" s="1132">
        <f t="shared" si="5"/>
        <v>6.8262187710696294</v>
      </c>
      <c r="DJ27" s="1134">
        <f t="shared" si="6"/>
        <v>7.278673822022701</v>
      </c>
      <c r="DK27" s="1135">
        <f t="shared" si="7"/>
        <v>20.036899999999978</v>
      </c>
      <c r="DL27" s="1132">
        <f t="shared" si="38"/>
        <v>50.820735742555016</v>
      </c>
      <c r="DM27" s="1133">
        <f t="shared" si="8"/>
        <v>9.8539999999999814</v>
      </c>
      <c r="DN27" s="1136">
        <f t="shared" si="9"/>
        <v>10.182899999999993</v>
      </c>
      <c r="DO27" s="1135">
        <f t="shared" si="10"/>
        <v>6.4007999999999985</v>
      </c>
      <c r="DP27" s="1132">
        <f t="shared" si="39"/>
        <v>48.5095613048369</v>
      </c>
      <c r="DQ27" s="1133">
        <f t="shared" si="28"/>
        <v>3.2957999999999994</v>
      </c>
      <c r="DR27" s="1136">
        <f t="shared" si="29"/>
        <v>3.1049999999999995</v>
      </c>
      <c r="DS27" s="1135">
        <f t="shared" si="12"/>
        <v>3.3782999999999994</v>
      </c>
      <c r="DT27" s="1137">
        <f t="shared" si="40"/>
        <v>48.696089749282187</v>
      </c>
      <c r="DU27" s="1133">
        <f t="shared" si="30"/>
        <v>1.7331999999999996</v>
      </c>
      <c r="DV27" s="1136">
        <f t="shared" si="31"/>
        <v>1.6450999999999998</v>
      </c>
      <c r="DW27" s="1132">
        <f t="shared" si="32"/>
        <v>9.9999999999999982</v>
      </c>
      <c r="DX27" s="1134">
        <f t="shared" si="33"/>
        <v>9.9999999999999982</v>
      </c>
      <c r="DY27" s="414" t="s">
        <v>145</v>
      </c>
      <c r="DZ27" s="111" t="s">
        <v>145</v>
      </c>
      <c r="EA27" s="118"/>
      <c r="EB27" s="123" t="s">
        <v>145</v>
      </c>
      <c r="EC27" s="113" t="s">
        <v>145</v>
      </c>
      <c r="ED27" s="20"/>
      <c r="EE27" s="414" t="s">
        <v>145</v>
      </c>
      <c r="EF27" s="111" t="s">
        <v>145</v>
      </c>
      <c r="EG27" s="380">
        <v>95.394851684570298</v>
      </c>
      <c r="EH27" s="24" t="s">
        <v>335</v>
      </c>
      <c r="EI27" s="287">
        <v>0</v>
      </c>
      <c r="EJ27" s="40" t="s">
        <v>145</v>
      </c>
      <c r="EK27" s="35" t="s">
        <v>145</v>
      </c>
      <c r="EL27" s="95" t="s">
        <v>145</v>
      </c>
      <c r="EM27" s="95" t="s">
        <v>145</v>
      </c>
      <c r="EN27" s="35" t="s">
        <v>145</v>
      </c>
      <c r="EO27" s="95" t="s">
        <v>145</v>
      </c>
      <c r="EP27" s="205" t="s">
        <v>145</v>
      </c>
      <c r="EQ27" s="207" t="s">
        <v>145</v>
      </c>
      <c r="ER27" s="517" t="s">
        <v>145</v>
      </c>
      <c r="ES27" s="183"/>
      <c r="ET27" s="183"/>
      <c r="EU27" s="82"/>
      <c r="EV27" s="82"/>
      <c r="EW27" s="82"/>
      <c r="EX27" s="90"/>
      <c r="EY27" s="159"/>
      <c r="EZ27" s="156"/>
      <c r="FA27" s="323"/>
      <c r="FB27" s="323"/>
      <c r="FC27" s="323"/>
      <c r="FD27" s="160"/>
      <c r="FE27" s="156"/>
      <c r="FF27" s="156"/>
      <c r="FG27" s="156"/>
      <c r="FH27" s="157"/>
      <c r="FI27" s="242"/>
      <c r="FJ27" s="373"/>
      <c r="FK27" s="179"/>
      <c r="FL27" s="179"/>
      <c r="FM27" s="179"/>
      <c r="FN27" s="369"/>
      <c r="FO27" s="164"/>
      <c r="FP27" s="255"/>
      <c r="FQ27" s="183"/>
      <c r="FR27" s="257"/>
      <c r="FS27" s="82"/>
      <c r="FT27" s="259"/>
      <c r="FU27" s="82"/>
      <c r="FV27" s="259"/>
      <c r="FW27" s="82"/>
      <c r="FX27" s="259"/>
      <c r="FY27" s="82"/>
      <c r="FZ27" s="259"/>
      <c r="GA27" s="82"/>
      <c r="GB27" s="261"/>
      <c r="GC27" s="90"/>
      <c r="GD27" s="76">
        <v>3</v>
      </c>
      <c r="GE27" s="445" t="s">
        <v>3432</v>
      </c>
      <c r="GF27" s="447" t="s">
        <v>580</v>
      </c>
      <c r="GG27" s="448">
        <v>6</v>
      </c>
      <c r="GH27" s="449">
        <v>5</v>
      </c>
      <c r="GI27" s="447" t="s">
        <v>145</v>
      </c>
      <c r="GJ27" s="449" t="s">
        <v>145</v>
      </c>
      <c r="GK27" s="447" t="s">
        <v>145</v>
      </c>
      <c r="GL27" s="448" t="s">
        <v>145</v>
      </c>
      <c r="GM27" s="449" t="s">
        <v>145</v>
      </c>
      <c r="GN27" s="447" t="s">
        <v>580</v>
      </c>
      <c r="GO27" s="449">
        <v>75</v>
      </c>
      <c r="GP27" s="447">
        <v>28</v>
      </c>
      <c r="GQ27" s="448">
        <v>25</v>
      </c>
      <c r="GR27" s="449">
        <v>22</v>
      </c>
      <c r="GS27" s="446"/>
      <c r="GT27" s="461">
        <v>-0.49512064456939697</v>
      </c>
      <c r="GU27" s="462">
        <v>1.0825595855712891</v>
      </c>
      <c r="GV27" s="462">
        <v>0.85853230953216553</v>
      </c>
      <c r="GW27" s="462">
        <v>1.0973128080368042</v>
      </c>
      <c r="GX27" s="462">
        <v>0.61238980293273926</v>
      </c>
      <c r="GY27" s="463">
        <v>0.72216993570327759</v>
      </c>
      <c r="GZ27" s="10">
        <v>86</v>
      </c>
      <c r="HA27" s="535">
        <v>0.50424000000000002</v>
      </c>
      <c r="HB27" s="535">
        <v>5.8819999999999997E-2</v>
      </c>
      <c r="HC27" s="523">
        <v>0.36220000000000002</v>
      </c>
      <c r="HD27" s="462">
        <v>0.36897999999999997</v>
      </c>
      <c r="HE27" s="463">
        <v>0.78149999999999997</v>
      </c>
      <c r="HF27" s="10">
        <v>66</v>
      </c>
      <c r="HG27" s="532">
        <v>5.43</v>
      </c>
      <c r="HH27" s="447">
        <v>7.24</v>
      </c>
      <c r="HI27" s="544">
        <v>2.68</v>
      </c>
      <c r="HJ27" s="449">
        <v>7.32</v>
      </c>
      <c r="HK27" s="379" t="s">
        <v>145</v>
      </c>
      <c r="HL27" s="362" t="s">
        <v>145</v>
      </c>
      <c r="HM27" s="557" t="s">
        <v>145</v>
      </c>
      <c r="HN27" s="557" t="s">
        <v>145</v>
      </c>
      <c r="HO27" s="557" t="s">
        <v>145</v>
      </c>
      <c r="HP27" s="562" t="s">
        <v>145</v>
      </c>
      <c r="HQ27" s="562" t="s">
        <v>145</v>
      </c>
      <c r="HR27" s="563" t="s">
        <v>145</v>
      </c>
      <c r="HS27" s="545" t="s">
        <v>145</v>
      </c>
      <c r="HT27" s="557" t="s">
        <v>145</v>
      </c>
      <c r="HU27" s="557" t="s">
        <v>145</v>
      </c>
      <c r="HV27" s="581" t="s">
        <v>145</v>
      </c>
      <c r="HW27" s="448" t="s">
        <v>145</v>
      </c>
      <c r="HX27" s="448" t="s">
        <v>145</v>
      </c>
      <c r="HY27" s="448" t="s">
        <v>145</v>
      </c>
      <c r="HZ27" s="448" t="s">
        <v>145</v>
      </c>
      <c r="IA27" s="448" t="s">
        <v>145</v>
      </c>
      <c r="IB27" s="448" t="s">
        <v>145</v>
      </c>
      <c r="IC27" s="449" t="s">
        <v>145</v>
      </c>
      <c r="ID27" s="40" t="s">
        <v>5209</v>
      </c>
      <c r="IE27" s="355"/>
      <c r="IF27" s="355" t="s">
        <v>5202</v>
      </c>
      <c r="IG27" s="647"/>
      <c r="IH27" s="115">
        <v>45.3</v>
      </c>
      <c r="II27" s="647" t="s">
        <v>4920</v>
      </c>
      <c r="IJ27" s="423" t="s">
        <v>4926</v>
      </c>
      <c r="IK27" s="10">
        <v>1</v>
      </c>
      <c r="IL27" s="749">
        <f t="shared" si="14"/>
        <v>15</v>
      </c>
      <c r="IM27" s="747">
        <f t="shared" si="15"/>
        <v>60</v>
      </c>
      <c r="IN27" s="750" t="str">
        <f t="shared" si="16"/>
        <v>B</v>
      </c>
      <c r="IO27" s="446"/>
      <c r="IP27" s="902">
        <v>3</v>
      </c>
      <c r="IQ27" s="903">
        <v>0</v>
      </c>
      <c r="IR27" s="993">
        <v>0</v>
      </c>
      <c r="IT27" s="435"/>
      <c r="IU27" s="435"/>
      <c r="IV27" s="435"/>
    </row>
    <row r="28" spans="1:256">
      <c r="A28" s="21">
        <v>26</v>
      </c>
      <c r="B28" s="9"/>
      <c r="C28" s="430" t="s">
        <v>47</v>
      </c>
      <c r="D28" s="423" t="s">
        <v>408</v>
      </c>
      <c r="E28" s="10" t="s">
        <v>12</v>
      </c>
      <c r="F28" s="76" t="s">
        <v>770</v>
      </c>
      <c r="G28" s="102" t="s">
        <v>459</v>
      </c>
      <c r="H28" s="251" t="s">
        <v>1005</v>
      </c>
      <c r="I28" s="95" t="s">
        <v>2197</v>
      </c>
      <c r="J28" s="176">
        <v>3</v>
      </c>
      <c r="K28" s="346">
        <v>2000</v>
      </c>
      <c r="L28" s="371">
        <v>2</v>
      </c>
      <c r="M28" s="240" t="s">
        <v>2151</v>
      </c>
      <c r="N28" s="348" t="s">
        <v>1822</v>
      </c>
      <c r="O28" s="365" t="s">
        <v>943</v>
      </c>
      <c r="P28" s="377" t="s">
        <v>2798</v>
      </c>
      <c r="Q28" s="370">
        <v>2</v>
      </c>
      <c r="R28" s="370">
        <v>1999</v>
      </c>
      <c r="S28" s="350" t="s">
        <v>2731</v>
      </c>
      <c r="T28" s="349">
        <v>1</v>
      </c>
      <c r="U28" s="370">
        <v>2</v>
      </c>
      <c r="V28" s="349">
        <v>14</v>
      </c>
      <c r="W28" s="369" t="s">
        <v>1822</v>
      </c>
      <c r="X28" s="170">
        <v>1</v>
      </c>
      <c r="Y28" s="369">
        <v>1</v>
      </c>
      <c r="Z28" s="273" t="s">
        <v>2010</v>
      </c>
      <c r="AA28" s="169">
        <v>1</v>
      </c>
      <c r="AB28" s="177">
        <v>1</v>
      </c>
      <c r="AC28" s="171">
        <v>1</v>
      </c>
      <c r="AD28" s="366" t="s">
        <v>948</v>
      </c>
      <c r="AE28" s="357">
        <v>2013</v>
      </c>
      <c r="AF28" s="357">
        <v>2</v>
      </c>
      <c r="AG28" s="55">
        <v>4</v>
      </c>
      <c r="AH28" s="355" t="s">
        <v>2757</v>
      </c>
      <c r="AI28" s="55">
        <v>0</v>
      </c>
      <c r="AJ28" s="55">
        <v>0</v>
      </c>
      <c r="AK28" s="590" t="s">
        <v>145</v>
      </c>
      <c r="AL28" s="386">
        <v>4</v>
      </c>
      <c r="AM28" s="361" t="s">
        <v>2750</v>
      </c>
      <c r="AN28" s="344" t="s">
        <v>145</v>
      </c>
      <c r="AO28" s="170">
        <v>0</v>
      </c>
      <c r="AP28" s="369">
        <v>0</v>
      </c>
      <c r="AQ28" s="365" t="s">
        <v>4955</v>
      </c>
      <c r="AR28" s="377" t="s">
        <v>4956</v>
      </c>
      <c r="AS28" s="55">
        <v>2</v>
      </c>
      <c r="AT28" s="370">
        <v>2</v>
      </c>
      <c r="AU28" s="371">
        <v>2010</v>
      </c>
      <c r="AV28" s="370">
        <v>5</v>
      </c>
      <c r="AW28" s="589">
        <v>750</v>
      </c>
      <c r="AX28" s="687">
        <v>1</v>
      </c>
      <c r="AY28" s="174" t="s">
        <v>4312</v>
      </c>
      <c r="AZ28" s="55">
        <v>2008</v>
      </c>
      <c r="BA28" s="55">
        <v>1</v>
      </c>
      <c r="BB28" s="55">
        <v>0</v>
      </c>
      <c r="BC28" s="175" t="s">
        <v>145</v>
      </c>
      <c r="BD28" s="358" t="s">
        <v>145</v>
      </c>
      <c r="BE28" s="55">
        <v>0</v>
      </c>
      <c r="BF28" s="367" t="s">
        <v>145</v>
      </c>
      <c r="BG28" s="367">
        <v>0</v>
      </c>
      <c r="BH28" s="56" t="s">
        <v>145</v>
      </c>
      <c r="BI28" s="367">
        <v>3</v>
      </c>
      <c r="BJ28" s="367">
        <v>1</v>
      </c>
      <c r="BK28" s="888">
        <v>7149.7870000000003</v>
      </c>
      <c r="BL28" s="925">
        <f t="shared" si="0"/>
        <v>51.419447880055728</v>
      </c>
      <c r="BM28" s="888">
        <v>3473.4059999999999</v>
      </c>
      <c r="BN28" s="920">
        <v>3676.3809999999999</v>
      </c>
      <c r="BO28" s="888">
        <v>337.02600000000001</v>
      </c>
      <c r="BP28" s="1158">
        <f t="shared" si="17"/>
        <v>48.626515461715115</v>
      </c>
      <c r="BQ28" s="917">
        <v>173.142</v>
      </c>
      <c r="BR28" s="920">
        <v>163.88399999999999</v>
      </c>
      <c r="BS28" s="888">
        <v>357.291</v>
      </c>
      <c r="BT28" s="1158">
        <f t="shared" si="18"/>
        <v>48.749058890372268</v>
      </c>
      <c r="BU28" s="917">
        <v>183.11500000000001</v>
      </c>
      <c r="BV28" s="920">
        <v>174.17599999999999</v>
      </c>
      <c r="BW28" s="888">
        <v>316.95</v>
      </c>
      <c r="BX28" s="1158">
        <f t="shared" si="19"/>
        <v>48.448335699637163</v>
      </c>
      <c r="BY28" s="917">
        <v>163.393</v>
      </c>
      <c r="BZ28" s="920">
        <v>153.55699999999999</v>
      </c>
      <c r="CA28" s="888">
        <f t="shared" si="20"/>
        <v>6138.52</v>
      </c>
      <c r="CB28" s="1158">
        <f t="shared" si="21"/>
        <v>51.881626190026253</v>
      </c>
      <c r="CC28" s="917">
        <f t="shared" si="22"/>
        <v>2953.7560000000003</v>
      </c>
      <c r="CD28" s="920">
        <f t="shared" si="23"/>
        <v>3184.7640000000001</v>
      </c>
      <c r="CE28" s="914">
        <v>2015</v>
      </c>
      <c r="CF28" s="910" t="s">
        <v>5630</v>
      </c>
      <c r="CG28" s="930">
        <v>100</v>
      </c>
      <c r="CH28" s="1005">
        <v>100</v>
      </c>
      <c r="CI28" s="1006">
        <v>100</v>
      </c>
      <c r="CJ28" s="904" t="s">
        <v>1621</v>
      </c>
      <c r="CK28" s="904" t="s">
        <v>1621</v>
      </c>
      <c r="CL28" s="904">
        <v>2012</v>
      </c>
      <c r="CM28" s="905" t="s">
        <v>5584</v>
      </c>
      <c r="CN28" s="1044">
        <v>5750.9759999999997</v>
      </c>
      <c r="CO28" s="1045">
        <f t="shared" si="1"/>
        <v>80.435626963432611</v>
      </c>
      <c r="CP28" s="1040">
        <f t="shared" ref="CP28:CP33" si="44">IF(OR(CZ28=1,CZ28=10),CN28*(1-BL28/100),IF(DA28=6,CN28*(1-BL28/100),CN28*(1-CB28/100)))</f>
        <v>2793.8558930854865</v>
      </c>
      <c r="CQ28" s="1041">
        <f t="shared" ref="CQ28:CQ33" si="45">IF(OR(CZ28=1,CZ28=10),CN28*BL28/100,IF(DA28=6,CN28*BL28/100,CN28*CB28/100))</f>
        <v>2957.1201069145136</v>
      </c>
      <c r="CR28" s="1046">
        <v>2014</v>
      </c>
      <c r="CS28" s="1047" t="s">
        <v>5772</v>
      </c>
      <c r="CT28" s="1068">
        <f t="shared" si="2"/>
        <v>14</v>
      </c>
      <c r="CU28" s="1071">
        <v>18</v>
      </c>
      <c r="CV28" s="1068" t="s">
        <v>5873</v>
      </c>
      <c r="CW28" s="1113">
        <v>6858.3040000000001</v>
      </c>
      <c r="CX28" s="1113">
        <v>5750.9759999999997</v>
      </c>
      <c r="CY28" s="1113">
        <v>6924.7160000000003</v>
      </c>
      <c r="CZ28" s="494">
        <v>1</v>
      </c>
      <c r="DA28" s="1124">
        <v>4</v>
      </c>
      <c r="DB28" s="1050" t="s">
        <v>647</v>
      </c>
      <c r="DC28" s="1146" t="s">
        <v>322</v>
      </c>
      <c r="DD28" s="978">
        <f t="shared" si="34"/>
        <v>387.54400000000078</v>
      </c>
      <c r="DE28" s="979">
        <f t="shared" si="3"/>
        <v>5.4203572777762572</v>
      </c>
      <c r="DF28" s="979">
        <f t="shared" si="35"/>
        <v>58.740141270536007</v>
      </c>
      <c r="DG28" s="980">
        <f t="shared" si="36"/>
        <v>159.9001069145138</v>
      </c>
      <c r="DH28" s="980">
        <f t="shared" si="37"/>
        <v>227.64389308548652</v>
      </c>
      <c r="DI28" s="979">
        <f t="shared" si="5"/>
        <v>4.60355359881666</v>
      </c>
      <c r="DJ28" s="981">
        <f t="shared" si="6"/>
        <v>6.1920647801597966</v>
      </c>
      <c r="DK28" s="984">
        <f t="shared" si="7"/>
        <v>387.54400000000078</v>
      </c>
      <c r="DL28" s="979">
        <f t="shared" si="38"/>
        <v>58.740141270536007</v>
      </c>
      <c r="DM28" s="980">
        <f t="shared" si="8"/>
        <v>159.9001069145138</v>
      </c>
      <c r="DN28" s="985">
        <f t="shared" si="9"/>
        <v>227.64389308548652</v>
      </c>
      <c r="DO28" s="984">
        <f t="shared" si="10"/>
        <v>0</v>
      </c>
      <c r="DP28" s="979">
        <f t="shared" si="39"/>
        <v>0</v>
      </c>
      <c r="DQ28" s="980">
        <f t="shared" si="28"/>
        <v>0</v>
      </c>
      <c r="DR28" s="985">
        <f t="shared" si="29"/>
        <v>0</v>
      </c>
      <c r="DS28" s="984">
        <f t="shared" si="12"/>
        <v>0</v>
      </c>
      <c r="DT28" s="339">
        <f t="shared" si="40"/>
        <v>0</v>
      </c>
      <c r="DU28" s="980">
        <f t="shared" si="30"/>
        <v>0</v>
      </c>
      <c r="DV28" s="985">
        <f t="shared" si="31"/>
        <v>0</v>
      </c>
      <c r="DW28" s="979">
        <f t="shared" si="32"/>
        <v>0</v>
      </c>
      <c r="DX28" s="981">
        <f t="shared" si="33"/>
        <v>0</v>
      </c>
      <c r="DY28" s="414">
        <v>0</v>
      </c>
      <c r="DZ28" s="111">
        <v>2007</v>
      </c>
      <c r="EA28" s="118" t="e">
        <f>#REF!*DY28/100</f>
        <v>#REF!</v>
      </c>
      <c r="EB28" s="123">
        <v>10.6</v>
      </c>
      <c r="EC28" s="113">
        <v>2007</v>
      </c>
      <c r="ED28" s="20">
        <v>792.4559999999999</v>
      </c>
      <c r="EE28" s="414">
        <v>21.8</v>
      </c>
      <c r="EF28" s="121">
        <v>2008</v>
      </c>
      <c r="EG28" s="380">
        <v>98.352447509765597</v>
      </c>
      <c r="EH28" s="24" t="s">
        <v>331</v>
      </c>
      <c r="EI28" s="288">
        <v>0</v>
      </c>
      <c r="EJ28" s="40" t="s">
        <v>145</v>
      </c>
      <c r="EK28" s="35" t="s">
        <v>145</v>
      </c>
      <c r="EL28" s="95" t="s">
        <v>145</v>
      </c>
      <c r="EM28" s="95" t="s">
        <v>145</v>
      </c>
      <c r="EN28" s="35" t="s">
        <v>145</v>
      </c>
      <c r="EO28" s="95" t="s">
        <v>145</v>
      </c>
      <c r="EP28" s="205" t="s">
        <v>145</v>
      </c>
      <c r="EQ28" s="207" t="s">
        <v>145</v>
      </c>
      <c r="ER28" s="517" t="s">
        <v>145</v>
      </c>
      <c r="ES28" s="183"/>
      <c r="ET28" s="183"/>
      <c r="EU28" s="82"/>
      <c r="EV28" s="82"/>
      <c r="EW28" s="82"/>
      <c r="EX28" s="90"/>
      <c r="EY28" s="159"/>
      <c r="EZ28" s="156"/>
      <c r="FA28" s="323"/>
      <c r="FB28" s="323"/>
      <c r="FC28" s="323"/>
      <c r="FD28" s="160"/>
      <c r="FE28" s="156"/>
      <c r="FF28" s="156"/>
      <c r="FG28" s="156"/>
      <c r="FH28" s="157"/>
      <c r="FI28" s="242"/>
      <c r="FJ28" s="240"/>
      <c r="FK28" s="179"/>
      <c r="FL28" s="179"/>
      <c r="FM28" s="179"/>
      <c r="FN28" s="369"/>
      <c r="FO28" s="164"/>
      <c r="FP28" s="255"/>
      <c r="FQ28" s="183"/>
      <c r="FR28" s="257"/>
      <c r="FS28" s="82"/>
      <c r="FT28" s="259"/>
      <c r="FU28" s="82"/>
      <c r="FV28" s="259"/>
      <c r="FW28" s="82"/>
      <c r="FX28" s="259"/>
      <c r="FY28" s="82"/>
      <c r="FZ28" s="259"/>
      <c r="GA28" s="82"/>
      <c r="GB28" s="261"/>
      <c r="GC28" s="90"/>
      <c r="GD28" s="76">
        <v>1</v>
      </c>
      <c r="GE28" s="445" t="s">
        <v>3424</v>
      </c>
      <c r="GF28" s="447" t="s">
        <v>10</v>
      </c>
      <c r="GG28" s="448">
        <v>2</v>
      </c>
      <c r="GH28" s="449">
        <v>2</v>
      </c>
      <c r="GI28" s="447" t="s">
        <v>145</v>
      </c>
      <c r="GJ28" s="449" t="s">
        <v>145</v>
      </c>
      <c r="GK28" s="447" t="s">
        <v>145</v>
      </c>
      <c r="GL28" s="448" t="s">
        <v>145</v>
      </c>
      <c r="GM28" s="449" t="s">
        <v>145</v>
      </c>
      <c r="GN28" s="447" t="s">
        <v>590</v>
      </c>
      <c r="GO28" s="449">
        <v>39</v>
      </c>
      <c r="GP28" s="447">
        <v>11</v>
      </c>
      <c r="GQ28" s="448">
        <v>16</v>
      </c>
      <c r="GR28" s="449">
        <v>12</v>
      </c>
      <c r="GS28" s="446">
        <v>9</v>
      </c>
      <c r="GT28" s="461">
        <v>0.31791785359382629</v>
      </c>
      <c r="GU28" s="462">
        <v>0.17550905048847198</v>
      </c>
      <c r="GV28" s="462">
        <v>0.15302065014839172</v>
      </c>
      <c r="GW28" s="462">
        <v>0.51947492361068726</v>
      </c>
      <c r="GX28" s="462">
        <v>-0.13734309375286102</v>
      </c>
      <c r="GY28" s="463">
        <v>-0.29260116815567017</v>
      </c>
      <c r="GZ28" s="10">
        <v>73</v>
      </c>
      <c r="HA28" s="535">
        <v>0.54208999999999996</v>
      </c>
      <c r="HB28" s="535">
        <v>0.25490000000000002</v>
      </c>
      <c r="HC28" s="523">
        <v>0.23622000000000001</v>
      </c>
      <c r="HD28" s="462">
        <v>0.59406000000000003</v>
      </c>
      <c r="HE28" s="463">
        <v>0.79600000000000004</v>
      </c>
      <c r="HF28" s="10">
        <v>49</v>
      </c>
      <c r="HG28" s="532">
        <v>6.31</v>
      </c>
      <c r="HH28" s="447">
        <v>6.77</v>
      </c>
      <c r="HI28" s="544">
        <v>4.7699999999999996</v>
      </c>
      <c r="HJ28" s="449">
        <v>8.4600000000000009</v>
      </c>
      <c r="HK28" s="379" t="s">
        <v>4014</v>
      </c>
      <c r="HL28" s="23" t="s">
        <v>4668</v>
      </c>
      <c r="HM28" s="557">
        <v>2002</v>
      </c>
      <c r="HN28" s="557">
        <v>2007</v>
      </c>
      <c r="HO28" s="557" t="s">
        <v>3985</v>
      </c>
      <c r="HP28" s="562" t="s">
        <v>4015</v>
      </c>
      <c r="HQ28" s="639" t="s">
        <v>4693</v>
      </c>
      <c r="HR28" s="563" t="s">
        <v>4016</v>
      </c>
      <c r="HS28" s="545">
        <v>41</v>
      </c>
      <c r="HT28" s="557">
        <v>91</v>
      </c>
      <c r="HU28" s="557">
        <v>2000</v>
      </c>
      <c r="HV28" s="583" t="s">
        <v>4178</v>
      </c>
      <c r="HW28" s="448">
        <v>5</v>
      </c>
      <c r="HX28" s="448">
        <v>30</v>
      </c>
      <c r="HY28" s="448">
        <v>21</v>
      </c>
      <c r="HZ28" s="448">
        <v>20</v>
      </c>
      <c r="IA28" s="448">
        <v>3</v>
      </c>
      <c r="IB28" s="448">
        <v>4</v>
      </c>
      <c r="IC28" s="449">
        <v>8</v>
      </c>
      <c r="ID28" s="40" t="s">
        <v>5199</v>
      </c>
      <c r="IE28" s="355"/>
      <c r="IF28" s="355"/>
      <c r="IG28" s="647"/>
      <c r="IH28" s="115"/>
      <c r="II28" s="647" t="s">
        <v>4922</v>
      </c>
      <c r="IJ28" s="423" t="s">
        <v>4926</v>
      </c>
      <c r="IK28" s="10">
        <v>0</v>
      </c>
      <c r="IL28" s="749">
        <f t="shared" si="14"/>
        <v>18</v>
      </c>
      <c r="IM28" s="747">
        <f t="shared" si="15"/>
        <v>72</v>
      </c>
      <c r="IN28" s="750" t="str">
        <f t="shared" si="16"/>
        <v>B</v>
      </c>
      <c r="IO28" s="446"/>
      <c r="IP28" s="902">
        <v>4</v>
      </c>
      <c r="IQ28" s="903">
        <v>0</v>
      </c>
      <c r="IR28" s="993">
        <v>0</v>
      </c>
      <c r="IT28" s="435"/>
      <c r="IU28" s="435"/>
      <c r="IV28" s="435"/>
    </row>
    <row r="29" spans="1:256">
      <c r="A29" s="71">
        <v>27</v>
      </c>
      <c r="B29" s="9"/>
      <c r="C29" s="431" t="s">
        <v>49</v>
      </c>
      <c r="D29" s="423" t="s">
        <v>406</v>
      </c>
      <c r="E29" s="10" t="s">
        <v>9</v>
      </c>
      <c r="F29" s="76" t="s">
        <v>771</v>
      </c>
      <c r="G29" s="102" t="s">
        <v>443</v>
      </c>
      <c r="H29" s="251" t="s">
        <v>2199</v>
      </c>
      <c r="I29" s="95" t="s">
        <v>2198</v>
      </c>
      <c r="J29" s="176">
        <v>6</v>
      </c>
      <c r="K29" s="346">
        <v>1990</v>
      </c>
      <c r="L29" s="371">
        <v>1</v>
      </c>
      <c r="M29" s="240" t="s">
        <v>2200</v>
      </c>
      <c r="N29" s="369" t="s">
        <v>1822</v>
      </c>
      <c r="O29" s="365" t="s">
        <v>3120</v>
      </c>
      <c r="P29" s="377" t="s">
        <v>3007</v>
      </c>
      <c r="Q29" s="349">
        <v>1</v>
      </c>
      <c r="R29" s="358">
        <v>1989</v>
      </c>
      <c r="S29" s="350" t="s">
        <v>2849</v>
      </c>
      <c r="T29" s="349">
        <v>1</v>
      </c>
      <c r="U29" s="358">
        <v>2</v>
      </c>
      <c r="V29" s="349">
        <v>0</v>
      </c>
      <c r="W29" s="369" t="s">
        <v>3008</v>
      </c>
      <c r="X29" s="86">
        <v>0</v>
      </c>
      <c r="Y29" s="347">
        <v>0</v>
      </c>
      <c r="Z29" s="272"/>
      <c r="AA29" s="169">
        <v>1</v>
      </c>
      <c r="AB29" s="177"/>
      <c r="AC29" s="171"/>
      <c r="AD29" s="365" t="s">
        <v>145</v>
      </c>
      <c r="AE29" s="358" t="s">
        <v>145</v>
      </c>
      <c r="AF29" s="355">
        <v>0</v>
      </c>
      <c r="AG29" s="550">
        <v>1</v>
      </c>
      <c r="AH29" s="355" t="s">
        <v>145</v>
      </c>
      <c r="AI29" s="550" t="s">
        <v>145</v>
      </c>
      <c r="AJ29" s="550" t="s">
        <v>145</v>
      </c>
      <c r="AK29" s="590" t="s">
        <v>145</v>
      </c>
      <c r="AL29" s="355">
        <v>0</v>
      </c>
      <c r="AM29" s="363" t="s">
        <v>145</v>
      </c>
      <c r="AN29" s="397" t="s">
        <v>145</v>
      </c>
      <c r="AO29" s="86">
        <v>0</v>
      </c>
      <c r="AP29" s="347">
        <v>0</v>
      </c>
      <c r="AQ29" s="365" t="s">
        <v>5359</v>
      </c>
      <c r="AR29" s="377" t="s">
        <v>5410</v>
      </c>
      <c r="AS29" s="55">
        <v>1</v>
      </c>
      <c r="AT29" s="370">
        <v>6</v>
      </c>
      <c r="AU29" s="371">
        <v>2007</v>
      </c>
      <c r="AV29" s="370">
        <v>5</v>
      </c>
      <c r="AW29" s="589" t="s">
        <v>145</v>
      </c>
      <c r="AX29" s="687">
        <v>0</v>
      </c>
      <c r="AY29" s="174" t="s">
        <v>2402</v>
      </c>
      <c r="AZ29" s="358">
        <v>2014</v>
      </c>
      <c r="BA29" s="55">
        <v>1</v>
      </c>
      <c r="BB29" s="55">
        <v>1</v>
      </c>
      <c r="BC29" s="174" t="s">
        <v>4313</v>
      </c>
      <c r="BD29" s="358">
        <v>2005</v>
      </c>
      <c r="BE29" s="55">
        <v>0</v>
      </c>
      <c r="BF29" s="367" t="s">
        <v>145</v>
      </c>
      <c r="BG29" s="367">
        <v>0</v>
      </c>
      <c r="BH29" s="56" t="s">
        <v>145</v>
      </c>
      <c r="BI29" s="367">
        <v>3</v>
      </c>
      <c r="BJ29" s="367">
        <v>0</v>
      </c>
      <c r="BK29" s="888">
        <v>18105.57</v>
      </c>
      <c r="BL29" s="925">
        <f t="shared" si="0"/>
        <v>50.378944159173123</v>
      </c>
      <c r="BM29" s="888">
        <v>8984.1749999999993</v>
      </c>
      <c r="BN29" s="920">
        <v>9121.3950000000004</v>
      </c>
      <c r="BO29" s="888">
        <v>3143.9119999999998</v>
      </c>
      <c r="BP29" s="1158">
        <f t="shared" si="17"/>
        <v>49.457841059164508</v>
      </c>
      <c r="BQ29" s="917">
        <v>1589.001</v>
      </c>
      <c r="BR29" s="920">
        <v>1554.9110000000001</v>
      </c>
      <c r="BS29" s="888">
        <v>2756.9749999999999</v>
      </c>
      <c r="BT29" s="1158">
        <f t="shared" si="18"/>
        <v>49.696134350148256</v>
      </c>
      <c r="BU29" s="917">
        <v>1386.865</v>
      </c>
      <c r="BV29" s="920">
        <v>1370.11</v>
      </c>
      <c r="BW29" s="888">
        <v>2350.1950000000002</v>
      </c>
      <c r="BX29" s="1158">
        <f t="shared" si="19"/>
        <v>49.323311469899302</v>
      </c>
      <c r="BY29" s="917">
        <v>1191.001</v>
      </c>
      <c r="BZ29" s="920">
        <v>1159.194</v>
      </c>
      <c r="CA29" s="888">
        <f t="shared" si="20"/>
        <v>9854.4879999999994</v>
      </c>
      <c r="CB29" s="1158">
        <f t="shared" si="21"/>
        <v>51.115593220063793</v>
      </c>
      <c r="CC29" s="917">
        <f t="shared" si="22"/>
        <v>4817.3079999999991</v>
      </c>
      <c r="CD29" s="920">
        <f t="shared" si="23"/>
        <v>5037.18</v>
      </c>
      <c r="CE29" s="914">
        <v>2015</v>
      </c>
      <c r="CF29" s="910" t="s">
        <v>5630</v>
      </c>
      <c r="CG29" s="930">
        <v>76.900000000000006</v>
      </c>
      <c r="CH29" s="495">
        <v>77</v>
      </c>
      <c r="CI29" s="497">
        <v>76.7</v>
      </c>
      <c r="CJ29" s="904">
        <v>92.9</v>
      </c>
      <c r="CK29" s="904">
        <v>73.599999999999994</v>
      </c>
      <c r="CL29" s="904">
        <v>2010</v>
      </c>
      <c r="CM29" s="905" t="s">
        <v>5585</v>
      </c>
      <c r="CN29" s="1044">
        <v>5517.0150000000003</v>
      </c>
      <c r="CO29" s="1045">
        <f t="shared" si="1"/>
        <v>30.471368755581846</v>
      </c>
      <c r="CP29" s="1040">
        <f t="shared" si="44"/>
        <v>2737.6010938967952</v>
      </c>
      <c r="CQ29" s="1041">
        <f t="shared" si="45"/>
        <v>2779.4139061032056</v>
      </c>
      <c r="CR29" s="1046">
        <v>2015</v>
      </c>
      <c r="CS29" s="1047" t="s">
        <v>5758</v>
      </c>
      <c r="CT29" s="1068">
        <f t="shared" si="2"/>
        <v>0</v>
      </c>
      <c r="CU29" s="1071">
        <v>18</v>
      </c>
      <c r="CV29" s="1068" t="s">
        <v>5874</v>
      </c>
      <c r="CW29" s="1113">
        <v>5517.0150000000003</v>
      </c>
      <c r="CX29" s="1113">
        <v>9100.0310000000009</v>
      </c>
      <c r="CY29" s="1113">
        <v>18931.686000000002</v>
      </c>
      <c r="CZ29" s="494">
        <v>1</v>
      </c>
      <c r="DA29" s="1124">
        <v>4</v>
      </c>
      <c r="DB29" s="1050" t="s">
        <v>5753</v>
      </c>
      <c r="DC29" s="1143" t="s">
        <v>320</v>
      </c>
      <c r="DD29" s="982">
        <f t="shared" si="34"/>
        <v>6243.4729419999985</v>
      </c>
      <c r="DE29" s="979">
        <f t="shared" si="3"/>
        <v>34.483713807408428</v>
      </c>
      <c r="DF29" s="979">
        <f t="shared" si="35"/>
        <v>51.403893613555361</v>
      </c>
      <c r="DG29" s="983">
        <f t="shared" si="36"/>
        <v>3038.0863161032039</v>
      </c>
      <c r="DH29" s="983">
        <f t="shared" si="37"/>
        <v>3209.3881888967944</v>
      </c>
      <c r="DI29" s="979">
        <f t="shared" si="5"/>
        <v>33.815974378317478</v>
      </c>
      <c r="DJ29" s="981">
        <f t="shared" si="6"/>
        <v>35.18527800733105</v>
      </c>
      <c r="DK29" s="984">
        <f t="shared" si="7"/>
        <v>4337.472999999999</v>
      </c>
      <c r="DL29" s="979">
        <f t="shared" si="38"/>
        <v>52.052568255682409</v>
      </c>
      <c r="DM29" s="983">
        <f t="shared" si="8"/>
        <v>2079.7069061032039</v>
      </c>
      <c r="DN29" s="986">
        <f t="shared" si="9"/>
        <v>2257.7660938967947</v>
      </c>
      <c r="DO29" s="984">
        <f t="shared" si="10"/>
        <v>1179.7562699999999</v>
      </c>
      <c r="DP29" s="979">
        <f t="shared" si="39"/>
        <v>49.953354517878509</v>
      </c>
      <c r="DQ29" s="983">
        <f t="shared" si="28"/>
        <v>592.90917999999999</v>
      </c>
      <c r="DR29" s="986">
        <f t="shared" si="29"/>
        <v>589.32783199999994</v>
      </c>
      <c r="DS29" s="984">
        <f t="shared" si="12"/>
        <v>726.24367199999995</v>
      </c>
      <c r="DT29" s="339">
        <f t="shared" si="40"/>
        <v>49.886047475261172</v>
      </c>
      <c r="DU29" s="983">
        <f t="shared" si="30"/>
        <v>365.47022999999996</v>
      </c>
      <c r="DV29" s="986">
        <f t="shared" si="31"/>
        <v>362.294263</v>
      </c>
      <c r="DW29" s="979">
        <f t="shared" si="32"/>
        <v>23</v>
      </c>
      <c r="DX29" s="981">
        <f t="shared" si="33"/>
        <v>23.299999999999997</v>
      </c>
      <c r="DY29" s="414">
        <v>44.6</v>
      </c>
      <c r="DZ29" s="111">
        <v>2009</v>
      </c>
      <c r="EA29" s="118">
        <v>7567.6588700000011</v>
      </c>
      <c r="EB29" s="123">
        <v>46.7</v>
      </c>
      <c r="EC29" s="113">
        <v>2009</v>
      </c>
      <c r="ED29" s="20">
        <v>7923.983615000001</v>
      </c>
      <c r="EE29" s="414">
        <v>46.7</v>
      </c>
      <c r="EF29" s="111">
        <v>2009</v>
      </c>
      <c r="EG29" s="380">
        <v>28.729213714599599</v>
      </c>
      <c r="EH29" s="24" t="s">
        <v>372</v>
      </c>
      <c r="EI29" s="287">
        <v>1</v>
      </c>
      <c r="EJ29" s="40">
        <v>1</v>
      </c>
      <c r="EK29" s="35" t="s">
        <v>145</v>
      </c>
      <c r="EL29" s="95" t="s">
        <v>1638</v>
      </c>
      <c r="EM29" s="95" t="s">
        <v>1649</v>
      </c>
      <c r="EN29" s="35" t="s">
        <v>145</v>
      </c>
      <c r="EO29" s="95" t="s">
        <v>1646</v>
      </c>
      <c r="EP29" s="205">
        <v>0.64</v>
      </c>
      <c r="EQ29" s="207" t="s">
        <v>145</v>
      </c>
      <c r="ER29" s="517">
        <v>2</v>
      </c>
      <c r="ES29" s="183" t="s">
        <v>145</v>
      </c>
      <c r="ET29" s="183" t="s">
        <v>3750</v>
      </c>
      <c r="EU29" s="82" t="s">
        <v>3835</v>
      </c>
      <c r="EV29" s="82" t="s">
        <v>145</v>
      </c>
      <c r="EW29" s="82" t="s">
        <v>3835</v>
      </c>
      <c r="EX29" s="360" t="s">
        <v>145</v>
      </c>
      <c r="EY29" s="159"/>
      <c r="EZ29" s="156"/>
      <c r="FA29" s="323"/>
      <c r="FB29" s="323"/>
      <c r="FC29" s="323"/>
      <c r="FD29" s="160"/>
      <c r="FE29" s="156"/>
      <c r="FF29" s="156"/>
      <c r="FG29" s="156"/>
      <c r="FH29" s="157"/>
      <c r="FI29" s="242"/>
      <c r="FJ29" s="240"/>
      <c r="FK29" s="179"/>
      <c r="FL29" s="179"/>
      <c r="FM29" s="179"/>
      <c r="FN29" s="369"/>
      <c r="FO29" s="164"/>
      <c r="FP29" s="255"/>
      <c r="FQ29" s="183"/>
      <c r="FR29" s="257"/>
      <c r="FS29" s="82"/>
      <c r="FT29" s="259"/>
      <c r="FU29" s="82"/>
      <c r="FV29" s="259"/>
      <c r="FW29" s="82"/>
      <c r="FX29" s="259"/>
      <c r="FY29" s="82"/>
      <c r="FZ29" s="259"/>
      <c r="GA29" s="82"/>
      <c r="GB29" s="261"/>
      <c r="GC29" s="90"/>
      <c r="GD29" s="76">
        <v>1</v>
      </c>
      <c r="GE29" s="445" t="s">
        <v>3424</v>
      </c>
      <c r="GF29" s="447" t="s">
        <v>590</v>
      </c>
      <c r="GG29" s="448">
        <v>5</v>
      </c>
      <c r="GH29" s="449">
        <v>3</v>
      </c>
      <c r="GI29" s="447" t="s">
        <v>145</v>
      </c>
      <c r="GJ29" s="449" t="s">
        <v>145</v>
      </c>
      <c r="GK29" s="447" t="s">
        <v>145</v>
      </c>
      <c r="GL29" s="448" t="s">
        <v>145</v>
      </c>
      <c r="GM29" s="449" t="s">
        <v>145</v>
      </c>
      <c r="GN29" s="447" t="s">
        <v>590</v>
      </c>
      <c r="GO29" s="449">
        <v>44</v>
      </c>
      <c r="GP29" s="447">
        <v>14</v>
      </c>
      <c r="GQ29" s="448">
        <v>17</v>
      </c>
      <c r="GR29" s="449">
        <v>13</v>
      </c>
      <c r="GS29" s="446">
        <v>5</v>
      </c>
      <c r="GT29" s="461">
        <v>-0.29411286115646362</v>
      </c>
      <c r="GU29" s="462">
        <v>-0.75272607803344727</v>
      </c>
      <c r="GV29" s="462">
        <v>-0.61724656820297241</v>
      </c>
      <c r="GW29" s="462">
        <v>-0.16716399788856506</v>
      </c>
      <c r="GX29" s="462">
        <v>-0.52660852670669556</v>
      </c>
      <c r="GY29" s="463">
        <v>-0.57933026552200317</v>
      </c>
      <c r="GZ29" s="10">
        <v>178</v>
      </c>
      <c r="HA29" s="535">
        <v>0.18043000000000001</v>
      </c>
      <c r="HB29" s="535">
        <v>0.13725000000000001</v>
      </c>
      <c r="HC29" s="523">
        <v>0.29920999999999998</v>
      </c>
      <c r="HD29" s="462">
        <v>8.4229999999999999E-2</v>
      </c>
      <c r="HE29" s="463">
        <v>0.1578</v>
      </c>
      <c r="HF29" s="10">
        <v>156</v>
      </c>
      <c r="HG29" s="532">
        <v>1.56</v>
      </c>
      <c r="HH29" s="447">
        <v>2.46</v>
      </c>
      <c r="HI29" s="544">
        <v>0.45</v>
      </c>
      <c r="HJ29" s="449">
        <v>164</v>
      </c>
      <c r="HK29" s="379" t="s">
        <v>4017</v>
      </c>
      <c r="HL29" s="23" t="s">
        <v>4669</v>
      </c>
      <c r="HM29" s="557">
        <v>2004</v>
      </c>
      <c r="HN29" s="557">
        <v>2004</v>
      </c>
      <c r="HO29" s="557" t="s">
        <v>3985</v>
      </c>
      <c r="HP29" s="562" t="s">
        <v>4018</v>
      </c>
      <c r="HQ29" s="639" t="s">
        <v>4694</v>
      </c>
      <c r="HR29" s="563" t="s">
        <v>4019</v>
      </c>
      <c r="HS29" s="545" t="s">
        <v>145</v>
      </c>
      <c r="HT29" s="557" t="s">
        <v>145</v>
      </c>
      <c r="HU29" s="557" t="s">
        <v>145</v>
      </c>
      <c r="HV29" s="581" t="s">
        <v>145</v>
      </c>
      <c r="HW29" s="448" t="s">
        <v>145</v>
      </c>
      <c r="HX29" s="448" t="s">
        <v>145</v>
      </c>
      <c r="HY29" s="448" t="s">
        <v>145</v>
      </c>
      <c r="HZ29" s="448" t="s">
        <v>145</v>
      </c>
      <c r="IA29" s="448" t="s">
        <v>145</v>
      </c>
      <c r="IB29" s="448" t="s">
        <v>145</v>
      </c>
      <c r="IC29" s="449" t="s">
        <v>145</v>
      </c>
      <c r="ID29" s="40"/>
      <c r="IE29" s="355"/>
      <c r="IF29" s="355"/>
      <c r="IG29" s="647"/>
      <c r="IH29" s="115"/>
      <c r="II29" s="647" t="s">
        <v>4921</v>
      </c>
      <c r="IJ29" s="423" t="s">
        <v>4918</v>
      </c>
      <c r="IK29" s="10">
        <v>0</v>
      </c>
      <c r="IL29" s="749">
        <f t="shared" si="14"/>
        <v>11</v>
      </c>
      <c r="IM29" s="747">
        <f t="shared" si="15"/>
        <v>44</v>
      </c>
      <c r="IN29" s="750" t="str">
        <f t="shared" si="16"/>
        <v>C</v>
      </c>
      <c r="IO29" s="446">
        <v>1</v>
      </c>
      <c r="IP29" s="902">
        <v>4</v>
      </c>
      <c r="IQ29" s="903">
        <v>0</v>
      </c>
      <c r="IR29" s="993">
        <v>0</v>
      </c>
      <c r="IT29" s="435"/>
      <c r="IU29" s="435"/>
      <c r="IV29" s="435"/>
    </row>
    <row r="30" spans="1:256">
      <c r="A30" s="21">
        <v>28</v>
      </c>
      <c r="B30" s="9"/>
      <c r="C30" s="430" t="s">
        <v>50</v>
      </c>
      <c r="D30" s="423" t="s">
        <v>406</v>
      </c>
      <c r="E30" s="10" t="s">
        <v>9</v>
      </c>
      <c r="F30" s="76" t="s">
        <v>772</v>
      </c>
      <c r="G30" s="102" t="s">
        <v>460</v>
      </c>
      <c r="H30" s="89" t="s">
        <v>1588</v>
      </c>
      <c r="I30" s="364" t="s">
        <v>2201</v>
      </c>
      <c r="J30" s="176">
        <v>6</v>
      </c>
      <c r="K30" s="346">
        <v>1980</v>
      </c>
      <c r="L30" s="371">
        <v>2</v>
      </c>
      <c r="M30" s="240" t="s">
        <v>1841</v>
      </c>
      <c r="N30" s="369" t="s">
        <v>1822</v>
      </c>
      <c r="O30" s="365" t="s">
        <v>3123</v>
      </c>
      <c r="P30" s="377" t="s">
        <v>2798</v>
      </c>
      <c r="Q30" s="370">
        <v>2</v>
      </c>
      <c r="R30" s="349">
        <v>1980</v>
      </c>
      <c r="S30" s="372" t="s">
        <v>2849</v>
      </c>
      <c r="T30" s="349">
        <v>1</v>
      </c>
      <c r="U30" s="349">
        <v>1</v>
      </c>
      <c r="V30" s="349">
        <v>16</v>
      </c>
      <c r="W30" s="369" t="s">
        <v>3009</v>
      </c>
      <c r="X30" s="170">
        <v>1</v>
      </c>
      <c r="Y30" s="369">
        <v>1</v>
      </c>
      <c r="Z30" s="271"/>
      <c r="AA30" s="169">
        <v>1</v>
      </c>
      <c r="AB30" s="177">
        <v>1</v>
      </c>
      <c r="AC30" s="171"/>
      <c r="AD30" s="366" t="s">
        <v>949</v>
      </c>
      <c r="AE30" s="357">
        <v>2015</v>
      </c>
      <c r="AF30" s="357">
        <v>2</v>
      </c>
      <c r="AG30" s="550" t="s">
        <v>5171</v>
      </c>
      <c r="AH30" s="355" t="s">
        <v>3122</v>
      </c>
      <c r="AI30" s="55">
        <v>0</v>
      </c>
      <c r="AJ30" s="55">
        <v>0</v>
      </c>
      <c r="AK30" s="590" t="s">
        <v>145</v>
      </c>
      <c r="AL30" s="386">
        <v>10</v>
      </c>
      <c r="AM30" s="361" t="s">
        <v>3121</v>
      </c>
      <c r="AN30" s="397">
        <v>3</v>
      </c>
      <c r="AO30" s="170">
        <v>0</v>
      </c>
      <c r="AP30" s="172">
        <v>0</v>
      </c>
      <c r="AQ30" s="365" t="s">
        <v>4957</v>
      </c>
      <c r="AR30" s="377" t="s">
        <v>4958</v>
      </c>
      <c r="AS30" s="55">
        <v>2</v>
      </c>
      <c r="AT30" s="370">
        <v>2</v>
      </c>
      <c r="AU30" s="371">
        <v>2012</v>
      </c>
      <c r="AV30" s="370">
        <v>5</v>
      </c>
      <c r="AW30" s="589" t="s">
        <v>145</v>
      </c>
      <c r="AX30" s="687">
        <v>0</v>
      </c>
      <c r="AY30" s="174" t="s">
        <v>4314</v>
      </c>
      <c r="AZ30" s="55">
        <v>2009</v>
      </c>
      <c r="BA30" s="55">
        <v>1</v>
      </c>
      <c r="BB30" s="55">
        <v>1</v>
      </c>
      <c r="BC30" s="174" t="s">
        <v>4402</v>
      </c>
      <c r="BD30" s="55">
        <v>2012</v>
      </c>
      <c r="BE30" s="55">
        <v>0</v>
      </c>
      <c r="BF30" s="367" t="s">
        <v>145</v>
      </c>
      <c r="BG30" s="367">
        <v>0</v>
      </c>
      <c r="BH30" s="56" t="s">
        <v>145</v>
      </c>
      <c r="BI30" s="367">
        <v>0</v>
      </c>
      <c r="BJ30" s="367">
        <v>0</v>
      </c>
      <c r="BK30" s="888">
        <v>11178.921</v>
      </c>
      <c r="BL30" s="925">
        <f t="shared" si="0"/>
        <v>50.583495491201703</v>
      </c>
      <c r="BM30" s="888">
        <v>5524.232</v>
      </c>
      <c r="BN30" s="920">
        <v>5654.6890000000003</v>
      </c>
      <c r="BO30" s="888">
        <v>2061.8969999999999</v>
      </c>
      <c r="BP30" s="1158">
        <f t="shared" si="17"/>
        <v>49.690697449969612</v>
      </c>
      <c r="BQ30" s="917">
        <v>1037.326</v>
      </c>
      <c r="BR30" s="920">
        <v>1024.5709999999999</v>
      </c>
      <c r="BS30" s="888">
        <v>1651.675</v>
      </c>
      <c r="BT30" s="1158">
        <f t="shared" si="18"/>
        <v>50.036962477484984</v>
      </c>
      <c r="BU30" s="917">
        <v>825.22699999999998</v>
      </c>
      <c r="BV30" s="920">
        <v>826.44799999999998</v>
      </c>
      <c r="BW30" s="888">
        <v>1294.732</v>
      </c>
      <c r="BX30" s="1158">
        <f t="shared" si="19"/>
        <v>50.419469048420837</v>
      </c>
      <c r="BY30" s="917">
        <v>641.93499999999995</v>
      </c>
      <c r="BZ30" s="920">
        <v>652.79700000000003</v>
      </c>
      <c r="CA30" s="888">
        <f t="shared" si="20"/>
        <v>6170.6170000000011</v>
      </c>
      <c r="CB30" s="1158">
        <f t="shared" si="21"/>
        <v>51.062527458761423</v>
      </c>
      <c r="CC30" s="917">
        <f t="shared" si="22"/>
        <v>3019.7440000000001</v>
      </c>
      <c r="CD30" s="920">
        <f t="shared" si="23"/>
        <v>3150.8730000000005</v>
      </c>
      <c r="CE30" s="914">
        <v>2015</v>
      </c>
      <c r="CF30" s="910" t="s">
        <v>5630</v>
      </c>
      <c r="CG30" s="930">
        <v>75.2</v>
      </c>
      <c r="CH30" s="495">
        <v>75.400000000000006</v>
      </c>
      <c r="CI30" s="497">
        <v>74.900000000000006</v>
      </c>
      <c r="CJ30" s="904">
        <v>86.6</v>
      </c>
      <c r="CK30" s="904">
        <v>74.099999999999994</v>
      </c>
      <c r="CL30" s="904">
        <v>2010</v>
      </c>
      <c r="CM30" s="905" t="s">
        <v>5575</v>
      </c>
      <c r="CN30" s="1044">
        <v>3843.0239999999999</v>
      </c>
      <c r="CO30" s="1045">
        <f t="shared" si="1"/>
        <v>34.377414421302376</v>
      </c>
      <c r="CP30" s="1040">
        <f t="shared" si="44"/>
        <v>1899.0881282342007</v>
      </c>
      <c r="CQ30" s="1041">
        <f t="shared" si="45"/>
        <v>1943.9358717657992</v>
      </c>
      <c r="CR30" s="1046">
        <v>2015</v>
      </c>
      <c r="CS30" s="1047" t="s">
        <v>5754</v>
      </c>
      <c r="CT30" s="1068">
        <f t="shared" si="2"/>
        <v>16</v>
      </c>
      <c r="CU30" s="1071">
        <v>18</v>
      </c>
      <c r="CV30" s="1068" t="s">
        <v>5875</v>
      </c>
      <c r="CW30" s="1113">
        <v>3843.0239999999999</v>
      </c>
      <c r="CX30" s="1113">
        <v>5143.6329999999998</v>
      </c>
      <c r="CY30" s="1113">
        <v>10742.276</v>
      </c>
      <c r="CZ30" s="494">
        <v>1</v>
      </c>
      <c r="DA30" s="1124">
        <v>4</v>
      </c>
      <c r="DB30" s="1050" t="s">
        <v>5753</v>
      </c>
      <c r="DC30" s="1143" t="s">
        <v>320</v>
      </c>
      <c r="DD30" s="982">
        <f t="shared" si="34"/>
        <v>3569.6523920000013</v>
      </c>
      <c r="DE30" s="979">
        <f t="shared" si="3"/>
        <v>31.931994080645183</v>
      </c>
      <c r="DF30" s="979">
        <f t="shared" si="35"/>
        <v>51.416629483238495</v>
      </c>
      <c r="DG30" s="983">
        <f t="shared" si="36"/>
        <v>1736.7599197657994</v>
      </c>
      <c r="DH30" s="983">
        <f t="shared" si="37"/>
        <v>1835.3949442342009</v>
      </c>
      <c r="DI30" s="979">
        <f t="shared" si="5"/>
        <v>31.438938838300047</v>
      </c>
      <c r="DJ30" s="981">
        <f t="shared" si="6"/>
        <v>32.457929060894436</v>
      </c>
      <c r="DK30" s="984">
        <f t="shared" si="7"/>
        <v>2327.5930000000012</v>
      </c>
      <c r="DL30" s="979">
        <f t="shared" si="38"/>
        <v>51.853443803714846</v>
      </c>
      <c r="DM30" s="983">
        <f t="shared" si="8"/>
        <v>1120.6558717657995</v>
      </c>
      <c r="DN30" s="986">
        <f t="shared" si="9"/>
        <v>1206.9371282342013</v>
      </c>
      <c r="DO30" s="984">
        <f t="shared" si="10"/>
        <v>730.70893599999999</v>
      </c>
      <c r="DP30" s="979">
        <f t="shared" si="39"/>
        <v>50.812365458741269</v>
      </c>
      <c r="DQ30" s="983">
        <f t="shared" si="28"/>
        <v>360.92185199999994</v>
      </c>
      <c r="DR30" s="986">
        <f t="shared" si="29"/>
        <v>371.29049499999985</v>
      </c>
      <c r="DS30" s="984">
        <f t="shared" si="12"/>
        <v>511.35045600000001</v>
      </c>
      <c r="DT30" s="339">
        <f t="shared" si="40"/>
        <v>50.291794596541791</v>
      </c>
      <c r="DU30" s="983">
        <f t="shared" si="30"/>
        <v>255.182196</v>
      </c>
      <c r="DV30" s="986">
        <f t="shared" si="31"/>
        <v>257.16732099999984</v>
      </c>
      <c r="DW30" s="979">
        <f t="shared" si="32"/>
        <v>24.6</v>
      </c>
      <c r="DX30" s="981">
        <f t="shared" si="33"/>
        <v>25.099999999999987</v>
      </c>
      <c r="DY30" s="414">
        <v>81.319999999999993</v>
      </c>
      <c r="DZ30" s="111">
        <v>2006</v>
      </c>
      <c r="EA30" s="118">
        <v>6971.6148360000007</v>
      </c>
      <c r="EB30" s="123">
        <v>66.900000000000006</v>
      </c>
      <c r="EC30" s="113">
        <v>2006</v>
      </c>
      <c r="ED30" s="20">
        <v>5736.7900680000012</v>
      </c>
      <c r="EE30" s="414">
        <v>68</v>
      </c>
      <c r="EF30" s="111">
        <v>2002</v>
      </c>
      <c r="EG30" s="380">
        <v>86.947868347167997</v>
      </c>
      <c r="EH30" s="24" t="s">
        <v>372</v>
      </c>
      <c r="EI30" s="287">
        <v>1</v>
      </c>
      <c r="EJ30" s="40">
        <v>2</v>
      </c>
      <c r="EK30" s="35" t="s">
        <v>728</v>
      </c>
      <c r="EL30" s="95" t="s">
        <v>931</v>
      </c>
      <c r="EM30" s="95" t="s">
        <v>145</v>
      </c>
      <c r="EN30" s="35" t="s">
        <v>145</v>
      </c>
      <c r="EO30" s="95" t="s">
        <v>1646</v>
      </c>
      <c r="EP30" s="205">
        <v>0.6</v>
      </c>
      <c r="EQ30" s="207" t="s">
        <v>145</v>
      </c>
      <c r="ER30" s="517">
        <v>1</v>
      </c>
      <c r="ES30" s="183" t="s">
        <v>145</v>
      </c>
      <c r="ET30" s="183" t="s">
        <v>145</v>
      </c>
      <c r="EU30" s="82" t="s">
        <v>3836</v>
      </c>
      <c r="EV30" s="82" t="s">
        <v>3836</v>
      </c>
      <c r="EW30" s="82" t="s">
        <v>3836</v>
      </c>
      <c r="EX30" s="360" t="s">
        <v>145</v>
      </c>
      <c r="EY30" s="159"/>
      <c r="EZ30" s="156"/>
      <c r="FA30" s="323"/>
      <c r="FB30" s="323"/>
      <c r="FC30" s="323"/>
      <c r="FD30" s="160"/>
      <c r="FE30" s="156"/>
      <c r="FF30" s="156"/>
      <c r="FG30" s="156"/>
      <c r="FH30" s="157"/>
      <c r="FI30" s="242"/>
      <c r="FJ30" s="240"/>
      <c r="FK30" s="179"/>
      <c r="FL30" s="179"/>
      <c r="FM30" s="179"/>
      <c r="FN30" s="172"/>
      <c r="FO30" s="164"/>
      <c r="FP30" s="255"/>
      <c r="FQ30" s="183"/>
      <c r="FR30" s="257"/>
      <c r="FS30" s="82"/>
      <c r="FT30" s="259">
        <v>1</v>
      </c>
      <c r="FU30" s="82" t="s">
        <v>1863</v>
      </c>
      <c r="FV30" s="259">
        <v>1</v>
      </c>
      <c r="FW30" s="82" t="s">
        <v>1864</v>
      </c>
      <c r="FX30" s="259"/>
      <c r="FY30" s="82"/>
      <c r="FZ30" s="259"/>
      <c r="GA30" s="82"/>
      <c r="GB30" s="261">
        <v>1</v>
      </c>
      <c r="GC30" s="90" t="s">
        <v>1865</v>
      </c>
      <c r="GD30" s="76">
        <v>1</v>
      </c>
      <c r="GE30" s="445" t="s">
        <v>3424</v>
      </c>
      <c r="GF30" s="447" t="s">
        <v>590</v>
      </c>
      <c r="GG30" s="448">
        <v>5</v>
      </c>
      <c r="GH30" s="449">
        <v>5</v>
      </c>
      <c r="GI30" s="447" t="s">
        <v>145</v>
      </c>
      <c r="GJ30" s="449" t="s">
        <v>145</v>
      </c>
      <c r="GK30" s="447" t="s">
        <v>145</v>
      </c>
      <c r="GL30" s="448" t="s">
        <v>145</v>
      </c>
      <c r="GM30" s="449" t="s">
        <v>145</v>
      </c>
      <c r="GN30" s="447" t="s">
        <v>580</v>
      </c>
      <c r="GO30" s="449">
        <v>74</v>
      </c>
      <c r="GP30" s="447">
        <v>24</v>
      </c>
      <c r="GQ30" s="448">
        <v>29</v>
      </c>
      <c r="GR30" s="449">
        <v>21</v>
      </c>
      <c r="GS30" s="446">
        <v>6</v>
      </c>
      <c r="GT30" s="461">
        <v>-0.96507418155670166</v>
      </c>
      <c r="GU30" s="462">
        <v>-1.2978800535202026</v>
      </c>
      <c r="GV30" s="462">
        <v>-1.0748013257980347</v>
      </c>
      <c r="GW30" s="462">
        <v>-0.87122142314910889</v>
      </c>
      <c r="GX30" s="462">
        <v>-1.0620208978652954</v>
      </c>
      <c r="GY30" s="463">
        <v>-1.3862658739089966</v>
      </c>
      <c r="GZ30" s="10">
        <v>172</v>
      </c>
      <c r="HA30" s="535">
        <v>0.19278000000000001</v>
      </c>
      <c r="HB30" s="535">
        <v>5.8819999999999997E-2</v>
      </c>
      <c r="HC30" s="523">
        <v>1.5740000000000001E-2</v>
      </c>
      <c r="HD30" s="462">
        <v>2.332E-2</v>
      </c>
      <c r="HE30" s="463">
        <v>0.5393</v>
      </c>
      <c r="HF30" s="10" t="s">
        <v>145</v>
      </c>
      <c r="HG30" s="532" t="s">
        <v>145</v>
      </c>
      <c r="HH30" s="461" t="s">
        <v>145</v>
      </c>
      <c r="HI30" s="523" t="s">
        <v>145</v>
      </c>
      <c r="HJ30" s="463" t="s">
        <v>145</v>
      </c>
      <c r="HK30" s="379" t="s">
        <v>145</v>
      </c>
      <c r="HL30" s="362" t="s">
        <v>145</v>
      </c>
      <c r="HM30" s="557" t="s">
        <v>145</v>
      </c>
      <c r="HN30" s="557" t="s">
        <v>145</v>
      </c>
      <c r="HO30" s="526" t="s">
        <v>145</v>
      </c>
      <c r="HP30" s="564" t="s">
        <v>145</v>
      </c>
      <c r="HQ30" s="564" t="s">
        <v>145</v>
      </c>
      <c r="HR30" s="565" t="s">
        <v>145</v>
      </c>
      <c r="HS30" s="524" t="s">
        <v>145</v>
      </c>
      <c r="HT30" s="526" t="s">
        <v>145</v>
      </c>
      <c r="HU30" s="526" t="s">
        <v>145</v>
      </c>
      <c r="HV30" s="582" t="s">
        <v>145</v>
      </c>
      <c r="HW30" s="462" t="s">
        <v>145</v>
      </c>
      <c r="HX30" s="462" t="s">
        <v>145</v>
      </c>
      <c r="HY30" s="462" t="s">
        <v>145</v>
      </c>
      <c r="HZ30" s="462" t="s">
        <v>145</v>
      </c>
      <c r="IA30" s="462" t="s">
        <v>145</v>
      </c>
      <c r="IB30" s="462" t="s">
        <v>145</v>
      </c>
      <c r="IC30" s="463" t="s">
        <v>145</v>
      </c>
      <c r="ID30" s="40"/>
      <c r="IE30" s="355"/>
      <c r="IF30" s="355"/>
      <c r="IG30" s="647">
        <v>1</v>
      </c>
      <c r="IH30" s="115">
        <v>21.2</v>
      </c>
      <c r="II30" s="647" t="s">
        <v>4921</v>
      </c>
      <c r="IJ30" s="423" t="s">
        <v>4918</v>
      </c>
      <c r="IK30" s="10">
        <v>0</v>
      </c>
      <c r="IL30" s="749">
        <f t="shared" si="14"/>
        <v>14</v>
      </c>
      <c r="IM30" s="747">
        <f t="shared" si="15"/>
        <v>56.000000000000007</v>
      </c>
      <c r="IN30" s="750" t="str">
        <f t="shared" si="16"/>
        <v>B</v>
      </c>
      <c r="IO30" s="446">
        <v>1</v>
      </c>
      <c r="IP30" s="902">
        <v>4</v>
      </c>
      <c r="IQ30" s="903">
        <v>0</v>
      </c>
      <c r="IR30" s="993">
        <v>0</v>
      </c>
      <c r="IT30" s="435"/>
      <c r="IU30" s="435"/>
      <c r="IV30" s="435"/>
    </row>
    <row r="31" spans="1:256">
      <c r="A31" s="21">
        <v>29</v>
      </c>
      <c r="B31" s="9"/>
      <c r="C31" s="431" t="s">
        <v>51</v>
      </c>
      <c r="D31" s="423" t="s">
        <v>407</v>
      </c>
      <c r="E31" s="10" t="s">
        <v>9</v>
      </c>
      <c r="F31" s="76" t="s">
        <v>773</v>
      </c>
      <c r="G31" s="102" t="s">
        <v>542</v>
      </c>
      <c r="H31" s="251" t="s">
        <v>2202</v>
      </c>
      <c r="I31" s="95" t="s">
        <v>1677</v>
      </c>
      <c r="J31" s="176">
        <v>2</v>
      </c>
      <c r="K31" s="346">
        <v>1979</v>
      </c>
      <c r="L31" s="371">
        <v>2</v>
      </c>
      <c r="M31" s="240" t="s">
        <v>1825</v>
      </c>
      <c r="N31" s="369" t="s">
        <v>1822</v>
      </c>
      <c r="O31" s="365" t="s">
        <v>3010</v>
      </c>
      <c r="P31" s="393" t="s">
        <v>2798</v>
      </c>
      <c r="Q31" s="370">
        <v>2</v>
      </c>
      <c r="R31" s="370">
        <v>1975</v>
      </c>
      <c r="S31" s="372" t="s">
        <v>2849</v>
      </c>
      <c r="T31" s="370">
        <v>1</v>
      </c>
      <c r="U31" s="370">
        <v>1</v>
      </c>
      <c r="V31" s="349">
        <v>15</v>
      </c>
      <c r="W31" s="369" t="s">
        <v>2036</v>
      </c>
      <c r="X31" s="170">
        <v>1</v>
      </c>
      <c r="Y31" s="369">
        <v>1</v>
      </c>
      <c r="Z31" s="271"/>
      <c r="AA31" s="169">
        <v>1</v>
      </c>
      <c r="AB31" s="177"/>
      <c r="AC31" s="171"/>
      <c r="AD31" s="366" t="s">
        <v>950</v>
      </c>
      <c r="AE31" s="357">
        <v>2013</v>
      </c>
      <c r="AF31" s="55">
        <v>2</v>
      </c>
      <c r="AG31" s="550" t="s">
        <v>5171</v>
      </c>
      <c r="AH31" s="355" t="s">
        <v>3125</v>
      </c>
      <c r="AI31" s="55">
        <v>0</v>
      </c>
      <c r="AJ31" s="55">
        <v>0</v>
      </c>
      <c r="AK31" s="589">
        <v>7700</v>
      </c>
      <c r="AL31" s="386">
        <v>10</v>
      </c>
      <c r="AM31" s="361" t="s">
        <v>3124</v>
      </c>
      <c r="AN31" s="397" t="s">
        <v>145</v>
      </c>
      <c r="AO31" s="170">
        <v>1</v>
      </c>
      <c r="AP31" s="369">
        <v>1</v>
      </c>
      <c r="AQ31" s="365" t="s">
        <v>3010</v>
      </c>
      <c r="AR31" s="377" t="s">
        <v>2798</v>
      </c>
      <c r="AS31" s="55">
        <v>1</v>
      </c>
      <c r="AT31" s="370">
        <v>2</v>
      </c>
      <c r="AU31" s="371">
        <v>2008</v>
      </c>
      <c r="AV31" s="370">
        <v>5</v>
      </c>
      <c r="AW31" s="589">
        <v>600</v>
      </c>
      <c r="AX31" s="687">
        <v>0</v>
      </c>
      <c r="AY31" s="174" t="s">
        <v>4315</v>
      </c>
      <c r="AZ31" s="55">
        <v>2005</v>
      </c>
      <c r="BA31" s="55">
        <v>1</v>
      </c>
      <c r="BB31" s="55">
        <v>1</v>
      </c>
      <c r="BC31" s="174" t="s">
        <v>4403</v>
      </c>
      <c r="BD31" s="55">
        <v>1998</v>
      </c>
      <c r="BE31" s="55">
        <v>0</v>
      </c>
      <c r="BF31" s="367" t="s">
        <v>145</v>
      </c>
      <c r="BG31" s="367">
        <v>0</v>
      </c>
      <c r="BH31" s="56" t="s">
        <v>145</v>
      </c>
      <c r="BI31" s="367">
        <v>0</v>
      </c>
      <c r="BJ31" s="367">
        <v>0</v>
      </c>
      <c r="BK31" s="888">
        <v>15577.898999999999</v>
      </c>
      <c r="BL31" s="925">
        <f t="shared" si="0"/>
        <v>51.224783265060324</v>
      </c>
      <c r="BM31" s="888">
        <v>7598.1540000000005</v>
      </c>
      <c r="BN31" s="920">
        <v>7979.7449999999999</v>
      </c>
      <c r="BO31" s="888">
        <v>1771.5530000000001</v>
      </c>
      <c r="BP31" s="1158">
        <f t="shared" si="17"/>
        <v>48.991421650946933</v>
      </c>
      <c r="BQ31" s="917">
        <v>903.64400000000001</v>
      </c>
      <c r="BR31" s="920">
        <v>867.90899999999999</v>
      </c>
      <c r="BS31" s="888">
        <v>1660.5419999999999</v>
      </c>
      <c r="BT31" s="1158">
        <f t="shared" si="18"/>
        <v>48.742458787552501</v>
      </c>
      <c r="BU31" s="917">
        <v>851.15300000000002</v>
      </c>
      <c r="BV31" s="920">
        <v>809.38900000000001</v>
      </c>
      <c r="BW31" s="888">
        <v>1490.876</v>
      </c>
      <c r="BX31" s="1158">
        <f t="shared" si="19"/>
        <v>49.603991210536627</v>
      </c>
      <c r="BY31" s="917">
        <v>751.34199999999998</v>
      </c>
      <c r="BZ31" s="920">
        <v>739.53399999999999</v>
      </c>
      <c r="CA31" s="888">
        <f t="shared" si="20"/>
        <v>10654.928</v>
      </c>
      <c r="CB31" s="1158">
        <f t="shared" si="21"/>
        <v>52.209766222728113</v>
      </c>
      <c r="CC31" s="917">
        <f t="shared" si="22"/>
        <v>5092.0150000000003</v>
      </c>
      <c r="CD31" s="920">
        <f t="shared" si="23"/>
        <v>5562.9130000000005</v>
      </c>
      <c r="CE31" s="914">
        <v>2015</v>
      </c>
      <c r="CF31" s="910" t="s">
        <v>5630</v>
      </c>
      <c r="CG31" s="1026">
        <v>62.1</v>
      </c>
      <c r="CH31" s="495">
        <v>62</v>
      </c>
      <c r="CI31" s="497">
        <v>62.1</v>
      </c>
      <c r="CJ31" s="904">
        <v>74.400000000000006</v>
      </c>
      <c r="CK31" s="904">
        <v>59.9</v>
      </c>
      <c r="CL31" s="904">
        <v>2010</v>
      </c>
      <c r="CM31" s="905" t="s">
        <v>5575</v>
      </c>
      <c r="CN31" s="1044">
        <v>9675.4529999999995</v>
      </c>
      <c r="CO31" s="1045">
        <f t="shared" si="1"/>
        <v>62.110127944724766</v>
      </c>
      <c r="CP31" s="1040">
        <f t="shared" si="44"/>
        <v>4719.2231708372228</v>
      </c>
      <c r="CQ31" s="1041">
        <f t="shared" si="45"/>
        <v>4956.2298291627767</v>
      </c>
      <c r="CR31" s="1046">
        <v>2013</v>
      </c>
      <c r="CS31" s="1047" t="s">
        <v>5755</v>
      </c>
      <c r="CT31" s="1068">
        <f t="shared" si="2"/>
        <v>15</v>
      </c>
      <c r="CU31" s="1071">
        <v>18</v>
      </c>
      <c r="CV31" s="1068" t="s">
        <v>5876</v>
      </c>
      <c r="CW31" s="1113">
        <v>9675.4529999999995</v>
      </c>
      <c r="CX31" s="1113">
        <v>9500.3009999999995</v>
      </c>
      <c r="CY31" s="1113">
        <v>15205.539000000001</v>
      </c>
      <c r="CZ31" s="494">
        <v>1</v>
      </c>
      <c r="DA31" s="1124">
        <v>4</v>
      </c>
      <c r="DB31" s="1050" t="s">
        <v>5753</v>
      </c>
      <c r="DC31" s="1143" t="s">
        <v>320</v>
      </c>
      <c r="DD31" s="982">
        <f t="shared" si="34"/>
        <v>2845.2810090000003</v>
      </c>
      <c r="DE31" s="979">
        <f t="shared" si="3"/>
        <v>18.264857212131112</v>
      </c>
      <c r="DF31" s="979">
        <f t="shared" si="35"/>
        <v>53.515364353146168</v>
      </c>
      <c r="DG31" s="983">
        <f t="shared" si="36"/>
        <v>1325.1246491627776</v>
      </c>
      <c r="DH31" s="983">
        <f t="shared" si="37"/>
        <v>1522.6624988372237</v>
      </c>
      <c r="DI31" s="979">
        <f t="shared" si="5"/>
        <v>17.440086752160823</v>
      </c>
      <c r="DJ31" s="981">
        <f t="shared" si="6"/>
        <v>19.08159344486852</v>
      </c>
      <c r="DK31" s="984">
        <f t="shared" si="7"/>
        <v>979.47500000000036</v>
      </c>
      <c r="DL31" s="979">
        <f t="shared" si="38"/>
        <v>61.939627947341535</v>
      </c>
      <c r="DM31" s="983">
        <f t="shared" si="8"/>
        <v>372.7918291627775</v>
      </c>
      <c r="DN31" s="986">
        <f t="shared" si="9"/>
        <v>606.68317083722377</v>
      </c>
      <c r="DO31" s="984">
        <f t="shared" si="10"/>
        <v>1194.387422</v>
      </c>
      <c r="DP31" s="979">
        <f t="shared" si="39"/>
        <v>49.150033413530039</v>
      </c>
      <c r="DQ31" s="983">
        <f t="shared" si="28"/>
        <v>608.94810000000007</v>
      </c>
      <c r="DR31" s="986">
        <f t="shared" si="29"/>
        <v>587.04181700000004</v>
      </c>
      <c r="DS31" s="984">
        <f t="shared" si="12"/>
        <v>671.418587</v>
      </c>
      <c r="DT31" s="339">
        <f t="shared" si="40"/>
        <v>48.991421650946933</v>
      </c>
      <c r="DU31" s="983">
        <f t="shared" si="30"/>
        <v>343.38472000000002</v>
      </c>
      <c r="DV31" s="986">
        <f t="shared" si="31"/>
        <v>328.93751099999997</v>
      </c>
      <c r="DW31" s="979">
        <f t="shared" si="32"/>
        <v>38</v>
      </c>
      <c r="DX31" s="981">
        <f t="shared" si="33"/>
        <v>37.899999999999991</v>
      </c>
      <c r="DY31" s="414">
        <v>18.600000000000001</v>
      </c>
      <c r="DZ31" s="111">
        <v>2009</v>
      </c>
      <c r="EA31" s="118">
        <v>2660.7640380000003</v>
      </c>
      <c r="EB31" s="123">
        <v>30.1</v>
      </c>
      <c r="EC31" s="113">
        <v>2007</v>
      </c>
      <c r="ED31" s="20">
        <v>4305.8600830000005</v>
      </c>
      <c r="EE31" s="414">
        <v>20</v>
      </c>
      <c r="EF31" s="111">
        <v>2012</v>
      </c>
      <c r="EG31" s="380">
        <v>73.9000244140625</v>
      </c>
      <c r="EH31" s="24" t="s">
        <v>346</v>
      </c>
      <c r="EI31" s="287">
        <v>1</v>
      </c>
      <c r="EJ31" s="40">
        <v>1</v>
      </c>
      <c r="EK31" s="35" t="s">
        <v>728</v>
      </c>
      <c r="EL31" s="95" t="s">
        <v>1638</v>
      </c>
      <c r="EM31" s="95" t="s">
        <v>1641</v>
      </c>
      <c r="EN31" s="35" t="s">
        <v>145</v>
      </c>
      <c r="EO31" s="95" t="s">
        <v>1725</v>
      </c>
      <c r="EP31" s="205">
        <v>0.62</v>
      </c>
      <c r="EQ31" s="207" t="s">
        <v>145</v>
      </c>
      <c r="ER31" s="517" t="s">
        <v>145</v>
      </c>
      <c r="ES31" s="183"/>
      <c r="ET31" s="183"/>
      <c r="EU31" s="82"/>
      <c r="EV31" s="82"/>
      <c r="EW31" s="82"/>
      <c r="EX31" s="90"/>
      <c r="EY31" s="159"/>
      <c r="EZ31" s="156"/>
      <c r="FA31" s="323"/>
      <c r="FB31" s="323"/>
      <c r="FC31" s="323"/>
      <c r="FD31" s="160"/>
      <c r="FE31" s="156"/>
      <c r="FF31" s="156"/>
      <c r="FG31" s="156"/>
      <c r="FH31" s="157"/>
      <c r="FI31" s="242"/>
      <c r="FJ31" s="240"/>
      <c r="FK31" s="179"/>
      <c r="FL31" s="179"/>
      <c r="FM31" s="179"/>
      <c r="FN31" s="172"/>
      <c r="FO31" s="164"/>
      <c r="FP31" s="255"/>
      <c r="FQ31" s="183"/>
      <c r="FR31" s="257"/>
      <c r="FS31" s="82"/>
      <c r="FT31" s="259"/>
      <c r="FU31" s="82"/>
      <c r="FV31" s="259"/>
      <c r="FW31" s="82"/>
      <c r="FX31" s="259"/>
      <c r="FY31" s="82"/>
      <c r="FZ31" s="259"/>
      <c r="GA31" s="82"/>
      <c r="GB31" s="261"/>
      <c r="GC31" s="90"/>
      <c r="GD31" s="76">
        <v>1</v>
      </c>
      <c r="GE31" s="445" t="s">
        <v>3424</v>
      </c>
      <c r="GF31" s="447" t="s">
        <v>580</v>
      </c>
      <c r="GG31" s="448">
        <v>6</v>
      </c>
      <c r="GH31" s="449">
        <v>5</v>
      </c>
      <c r="GI31" s="447" t="s">
        <v>590</v>
      </c>
      <c r="GJ31" s="449">
        <v>47</v>
      </c>
      <c r="GK31" s="447">
        <v>14</v>
      </c>
      <c r="GL31" s="448">
        <v>15</v>
      </c>
      <c r="GM31" s="449">
        <v>18</v>
      </c>
      <c r="GN31" s="447" t="s">
        <v>580</v>
      </c>
      <c r="GO31" s="449">
        <v>66</v>
      </c>
      <c r="GP31" s="447">
        <v>23</v>
      </c>
      <c r="GQ31" s="448">
        <v>24</v>
      </c>
      <c r="GR31" s="449">
        <v>19</v>
      </c>
      <c r="GS31" s="446">
        <v>2</v>
      </c>
      <c r="GT31" s="461">
        <v>-0.97991943359375</v>
      </c>
      <c r="GU31" s="462">
        <v>-0.15566757321357727</v>
      </c>
      <c r="GV31" s="462">
        <v>-0.92247426509857178</v>
      </c>
      <c r="GW31" s="462">
        <v>-0.351663738489151</v>
      </c>
      <c r="GX31" s="462">
        <v>-0.98978906869888306</v>
      </c>
      <c r="GY31" s="463">
        <v>-1.0130703449249268</v>
      </c>
      <c r="GZ31" s="10">
        <v>139</v>
      </c>
      <c r="HA31" s="535">
        <v>0.29986000000000002</v>
      </c>
      <c r="HB31" s="535">
        <v>0.19606999999999999</v>
      </c>
      <c r="HC31" s="523">
        <v>0.17322000000000001</v>
      </c>
      <c r="HD31" s="462">
        <v>0.20745</v>
      </c>
      <c r="HE31" s="463">
        <v>0.51890000000000003</v>
      </c>
      <c r="HF31" s="10">
        <v>127</v>
      </c>
      <c r="HG31" s="532">
        <v>2.61</v>
      </c>
      <c r="HH31" s="447">
        <v>3.73</v>
      </c>
      <c r="HI31" s="544">
        <v>0.55000000000000004</v>
      </c>
      <c r="HJ31" s="449">
        <v>4.49</v>
      </c>
      <c r="HK31" s="379" t="s">
        <v>145</v>
      </c>
      <c r="HL31" s="362" t="s">
        <v>145</v>
      </c>
      <c r="HM31" s="557" t="s">
        <v>145</v>
      </c>
      <c r="HN31" s="557" t="s">
        <v>145</v>
      </c>
      <c r="HO31" s="557" t="s">
        <v>145</v>
      </c>
      <c r="HP31" s="562" t="s">
        <v>145</v>
      </c>
      <c r="HQ31" s="562" t="s">
        <v>145</v>
      </c>
      <c r="HR31" s="563" t="s">
        <v>145</v>
      </c>
      <c r="HS31" s="545" t="s">
        <v>145</v>
      </c>
      <c r="HT31" s="557" t="s">
        <v>145</v>
      </c>
      <c r="HU31" s="557" t="s">
        <v>145</v>
      </c>
      <c r="HV31" s="581" t="s">
        <v>145</v>
      </c>
      <c r="HW31" s="448" t="s">
        <v>145</v>
      </c>
      <c r="HX31" s="448" t="s">
        <v>145</v>
      </c>
      <c r="HY31" s="448" t="s">
        <v>145</v>
      </c>
      <c r="HZ31" s="448" t="s">
        <v>145</v>
      </c>
      <c r="IA31" s="448" t="s">
        <v>145</v>
      </c>
      <c r="IB31" s="448" t="s">
        <v>145</v>
      </c>
      <c r="IC31" s="449" t="s">
        <v>145</v>
      </c>
      <c r="ID31" s="40"/>
      <c r="IE31" s="355"/>
      <c r="IF31" s="355"/>
      <c r="IG31" s="647"/>
      <c r="IH31" s="115"/>
      <c r="II31" s="647" t="s">
        <v>4921</v>
      </c>
      <c r="IJ31" s="423" t="s">
        <v>4926</v>
      </c>
      <c r="IK31" s="10">
        <v>0</v>
      </c>
      <c r="IL31" s="749">
        <f t="shared" si="14"/>
        <v>13</v>
      </c>
      <c r="IM31" s="747">
        <f t="shared" si="15"/>
        <v>52</v>
      </c>
      <c r="IN31" s="750" t="str">
        <f t="shared" si="16"/>
        <v>B</v>
      </c>
      <c r="IO31" s="446"/>
      <c r="IP31" s="902">
        <v>4</v>
      </c>
      <c r="IQ31" s="903">
        <v>0</v>
      </c>
      <c r="IR31" s="993">
        <v>0</v>
      </c>
      <c r="IT31" s="435"/>
      <c r="IU31" s="435"/>
      <c r="IV31" s="435"/>
    </row>
    <row r="32" spans="1:256">
      <c r="A32" s="21">
        <v>30</v>
      </c>
      <c r="B32" s="9"/>
      <c r="C32" s="431" t="s">
        <v>52</v>
      </c>
      <c r="D32" s="423" t="s">
        <v>406</v>
      </c>
      <c r="E32" s="10" t="s">
        <v>20</v>
      </c>
      <c r="F32" s="76" t="s">
        <v>774</v>
      </c>
      <c r="G32" s="102" t="s">
        <v>476</v>
      </c>
      <c r="H32" s="375" t="s">
        <v>2204</v>
      </c>
      <c r="I32" s="364" t="s">
        <v>2203</v>
      </c>
      <c r="J32" s="370">
        <v>6</v>
      </c>
      <c r="K32" s="359">
        <v>1968</v>
      </c>
      <c r="L32" s="371">
        <v>2</v>
      </c>
      <c r="M32" s="373" t="s">
        <v>1825</v>
      </c>
      <c r="N32" s="369" t="s">
        <v>1822</v>
      </c>
      <c r="O32" s="365" t="s">
        <v>3127</v>
      </c>
      <c r="P32" s="393" t="s">
        <v>3129</v>
      </c>
      <c r="Q32" s="370">
        <v>2</v>
      </c>
      <c r="R32" s="394">
        <v>1964</v>
      </c>
      <c r="S32" s="372" t="s">
        <v>2849</v>
      </c>
      <c r="T32" s="370">
        <v>1</v>
      </c>
      <c r="U32" s="358">
        <v>2</v>
      </c>
      <c r="V32" s="370">
        <v>0</v>
      </c>
      <c r="W32" s="369" t="s">
        <v>1822</v>
      </c>
      <c r="X32" s="86">
        <v>1</v>
      </c>
      <c r="Y32" s="347">
        <v>0</v>
      </c>
      <c r="Z32" s="272"/>
      <c r="AA32" s="169">
        <v>1</v>
      </c>
      <c r="AB32" s="177"/>
      <c r="AC32" s="171"/>
      <c r="AD32" s="174" t="s">
        <v>3128</v>
      </c>
      <c r="AE32" s="358">
        <v>2013</v>
      </c>
      <c r="AF32" s="357">
        <v>2</v>
      </c>
      <c r="AG32" s="550" t="s">
        <v>5171</v>
      </c>
      <c r="AH32" s="355" t="s">
        <v>2747</v>
      </c>
      <c r="AI32" s="55">
        <v>0</v>
      </c>
      <c r="AJ32" s="55">
        <v>0</v>
      </c>
      <c r="AK32" s="589">
        <v>20000</v>
      </c>
      <c r="AL32" s="391">
        <v>2</v>
      </c>
      <c r="AM32" s="361" t="s">
        <v>3126</v>
      </c>
      <c r="AN32" s="397">
        <v>4</v>
      </c>
      <c r="AO32" s="86">
        <v>0</v>
      </c>
      <c r="AP32" s="347">
        <v>0</v>
      </c>
      <c r="AQ32" s="365" t="s">
        <v>4959</v>
      </c>
      <c r="AR32" s="393" t="s">
        <v>4934</v>
      </c>
      <c r="AS32" s="55">
        <v>2</v>
      </c>
      <c r="AT32" s="370">
        <v>2</v>
      </c>
      <c r="AU32" s="725">
        <v>2013</v>
      </c>
      <c r="AV32" s="394">
        <v>5</v>
      </c>
      <c r="AW32" s="589" t="s">
        <v>145</v>
      </c>
      <c r="AX32" s="687">
        <v>0</v>
      </c>
      <c r="AY32" s="174" t="s">
        <v>4316</v>
      </c>
      <c r="AZ32" s="358">
        <v>2012</v>
      </c>
      <c r="BA32" s="55">
        <v>1</v>
      </c>
      <c r="BB32" s="55">
        <v>0</v>
      </c>
      <c r="BC32" s="175" t="s">
        <v>145</v>
      </c>
      <c r="BD32" s="358" t="s">
        <v>145</v>
      </c>
      <c r="BE32" s="55">
        <v>0</v>
      </c>
      <c r="BF32" s="367" t="s">
        <v>145</v>
      </c>
      <c r="BG32" s="367">
        <v>0</v>
      </c>
      <c r="BH32" s="56" t="s">
        <v>145</v>
      </c>
      <c r="BI32" s="367">
        <v>0</v>
      </c>
      <c r="BJ32" s="367">
        <v>1</v>
      </c>
      <c r="BK32" s="888">
        <v>23344.179</v>
      </c>
      <c r="BL32" s="925">
        <f t="shared" si="0"/>
        <v>49.999166815847332</v>
      </c>
      <c r="BM32" s="888">
        <v>11672.284</v>
      </c>
      <c r="BN32" s="920">
        <v>11671.895</v>
      </c>
      <c r="BO32" s="888">
        <v>3737.9250000000002</v>
      </c>
      <c r="BP32" s="1158">
        <f t="shared" si="17"/>
        <v>49.59259482199348</v>
      </c>
      <c r="BQ32" s="917">
        <v>1884.191</v>
      </c>
      <c r="BR32" s="920">
        <v>1853.7339999999999</v>
      </c>
      <c r="BS32" s="888">
        <v>3294.047</v>
      </c>
      <c r="BT32" s="1158">
        <f t="shared" si="18"/>
        <v>49.685569149438365</v>
      </c>
      <c r="BU32" s="917">
        <v>1657.3810000000001</v>
      </c>
      <c r="BV32" s="920">
        <v>1636.6659999999999</v>
      </c>
      <c r="BW32" s="888">
        <v>2894.6</v>
      </c>
      <c r="BX32" s="1158">
        <f t="shared" si="19"/>
        <v>49.692980031783321</v>
      </c>
      <c r="BY32" s="917">
        <v>1456.1869999999999</v>
      </c>
      <c r="BZ32" s="920">
        <v>1438.413</v>
      </c>
      <c r="CA32" s="888">
        <f t="shared" si="20"/>
        <v>13417.607</v>
      </c>
      <c r="CB32" s="1158">
        <f t="shared" si="21"/>
        <v>50.2554740200693</v>
      </c>
      <c r="CC32" s="917">
        <f t="shared" si="22"/>
        <v>6674.5249999999987</v>
      </c>
      <c r="CD32" s="920">
        <f t="shared" si="23"/>
        <v>6743.0820000000003</v>
      </c>
      <c r="CE32" s="914">
        <v>2015</v>
      </c>
      <c r="CF32" s="910" t="s">
        <v>5630</v>
      </c>
      <c r="CG32" s="1026">
        <v>61.4</v>
      </c>
      <c r="CH32" s="495">
        <v>62.4</v>
      </c>
      <c r="CI32" s="497">
        <v>60.5</v>
      </c>
      <c r="CJ32" s="904">
        <v>80.5</v>
      </c>
      <c r="CK32" s="904">
        <v>47.6</v>
      </c>
      <c r="CL32" s="904">
        <v>2011</v>
      </c>
      <c r="CM32" s="905" t="s">
        <v>5575</v>
      </c>
      <c r="CN32" s="1044">
        <v>5481.2259999999997</v>
      </c>
      <c r="CO32" s="1045">
        <f t="shared" si="1"/>
        <v>23.4800547065716</v>
      </c>
      <c r="CP32" s="1040">
        <f t="shared" si="44"/>
        <v>2740.6586687064041</v>
      </c>
      <c r="CQ32" s="1041">
        <f t="shared" si="45"/>
        <v>2740.567331293596</v>
      </c>
      <c r="CR32" s="1046">
        <v>2013</v>
      </c>
      <c r="CS32" s="1047" t="s">
        <v>5756</v>
      </c>
      <c r="CT32" s="1068">
        <f t="shared" si="2"/>
        <v>0</v>
      </c>
      <c r="CU32" s="1071">
        <v>21</v>
      </c>
      <c r="CV32" s="1068" t="s">
        <v>5877</v>
      </c>
      <c r="CW32" s="1113">
        <v>5481.2259999999997</v>
      </c>
      <c r="CX32" s="1113">
        <v>11207.373</v>
      </c>
      <c r="CY32" s="1113">
        <v>22534.531999999999</v>
      </c>
      <c r="CZ32" s="494">
        <v>1</v>
      </c>
      <c r="DA32" s="1124">
        <v>4</v>
      </c>
      <c r="DB32" s="1050" t="s">
        <v>5753</v>
      </c>
      <c r="DC32" s="1143" t="s">
        <v>320</v>
      </c>
      <c r="DD32" s="982">
        <f t="shared" si="34"/>
        <v>11768.037792000001</v>
      </c>
      <c r="DE32" s="979">
        <f t="shared" si="3"/>
        <v>50.411015919643191</v>
      </c>
      <c r="DF32" s="979">
        <f t="shared" si="35"/>
        <v>50.555546377925879</v>
      </c>
      <c r="DG32" s="983">
        <f t="shared" si="36"/>
        <v>5813.0237152935943</v>
      </c>
      <c r="DH32" s="983">
        <f t="shared" si="37"/>
        <v>5949.3958037064049</v>
      </c>
      <c r="DI32" s="979">
        <f t="shared" si="5"/>
        <v>49.801938637661614</v>
      </c>
      <c r="DJ32" s="981">
        <f t="shared" si="6"/>
        <v>50.97197844657105</v>
      </c>
      <c r="DK32" s="984">
        <f t="shared" si="7"/>
        <v>7936.3810000000003</v>
      </c>
      <c r="DL32" s="979">
        <f t="shared" si="38"/>
        <v>50.432491442968832</v>
      </c>
      <c r="DM32" s="983">
        <f t="shared" si="8"/>
        <v>3933.8663312935946</v>
      </c>
      <c r="DN32" s="986">
        <f t="shared" si="9"/>
        <v>4002.5146687064043</v>
      </c>
      <c r="DO32" s="984">
        <f t="shared" si="10"/>
        <v>2388.8177420000002</v>
      </c>
      <c r="DP32" s="979">
        <f t="shared" si="39"/>
        <v>50.847588061827111</v>
      </c>
      <c r="DQ32" s="983">
        <f t="shared" si="28"/>
        <v>1170.701568</v>
      </c>
      <c r="DR32" s="986">
        <f t="shared" si="29"/>
        <v>1214.656205</v>
      </c>
      <c r="DS32" s="984">
        <f t="shared" si="12"/>
        <v>1442.83905</v>
      </c>
      <c r="DT32" s="339">
        <f t="shared" si="40"/>
        <v>50.748898846340481</v>
      </c>
      <c r="DU32" s="983">
        <f t="shared" si="30"/>
        <v>708.45581600000003</v>
      </c>
      <c r="DV32" s="986">
        <f t="shared" si="31"/>
        <v>732.22492999999997</v>
      </c>
      <c r="DW32" s="979">
        <f t="shared" si="32"/>
        <v>37.6</v>
      </c>
      <c r="DX32" s="981">
        <f t="shared" si="33"/>
        <v>39.5</v>
      </c>
      <c r="DY32" s="414">
        <v>9.56</v>
      </c>
      <c r="DZ32" s="111">
        <v>2007</v>
      </c>
      <c r="EA32" s="368">
        <v>1922.9147520000001</v>
      </c>
      <c r="EB32" s="123">
        <v>39.9</v>
      </c>
      <c r="EC32" s="113">
        <v>2007</v>
      </c>
      <c r="ED32" s="20">
        <v>7992.1144380000005</v>
      </c>
      <c r="EE32" s="414">
        <v>48</v>
      </c>
      <c r="EF32" s="111">
        <v>2000</v>
      </c>
      <c r="EG32" s="380">
        <v>71.290504455566406</v>
      </c>
      <c r="EH32" s="24" t="s">
        <v>372</v>
      </c>
      <c r="EI32" s="287">
        <v>1</v>
      </c>
      <c r="EJ32" s="40">
        <v>2</v>
      </c>
      <c r="EK32" s="355" t="s">
        <v>145</v>
      </c>
      <c r="EL32" s="364" t="s">
        <v>1645</v>
      </c>
      <c r="EM32" s="364" t="s">
        <v>145</v>
      </c>
      <c r="EN32" s="355" t="s">
        <v>145</v>
      </c>
      <c r="EO32" s="364" t="s">
        <v>1646</v>
      </c>
      <c r="EP32" s="205">
        <v>0.7</v>
      </c>
      <c r="EQ32" s="207" t="s">
        <v>145</v>
      </c>
      <c r="ER32" s="517" t="s">
        <v>145</v>
      </c>
      <c r="ES32" s="183"/>
      <c r="ET32" s="183"/>
      <c r="EU32" s="82"/>
      <c r="EV32" s="82"/>
      <c r="EW32" s="82"/>
      <c r="EX32" s="360"/>
      <c r="EY32" s="159"/>
      <c r="EZ32" s="156"/>
      <c r="FA32" s="323"/>
      <c r="FB32" s="323"/>
      <c r="FC32" s="323"/>
      <c r="FD32" s="160"/>
      <c r="FE32" s="156"/>
      <c r="FF32" s="156"/>
      <c r="FG32" s="156"/>
      <c r="FH32" s="157"/>
      <c r="FI32" s="242"/>
      <c r="FJ32" s="373"/>
      <c r="FK32" s="179"/>
      <c r="FL32" s="179"/>
      <c r="FM32" s="179"/>
      <c r="FN32" s="369"/>
      <c r="FO32" s="164"/>
      <c r="FP32" s="255"/>
      <c r="FQ32" s="183"/>
      <c r="FR32" s="257"/>
      <c r="FS32" s="82"/>
      <c r="FT32" s="259"/>
      <c r="FU32" s="82"/>
      <c r="FV32" s="259"/>
      <c r="FW32" s="82"/>
      <c r="FX32" s="259"/>
      <c r="FY32" s="82"/>
      <c r="FZ32" s="259"/>
      <c r="GA32" s="82"/>
      <c r="GB32" s="261"/>
      <c r="GC32" s="360"/>
      <c r="GD32" s="76">
        <v>2</v>
      </c>
      <c r="GE32" s="445" t="s">
        <v>3431</v>
      </c>
      <c r="GF32" s="447" t="s">
        <v>580</v>
      </c>
      <c r="GG32" s="448">
        <v>6</v>
      </c>
      <c r="GH32" s="449">
        <v>6</v>
      </c>
      <c r="GI32" s="447" t="s">
        <v>145</v>
      </c>
      <c r="GJ32" s="449" t="s">
        <v>145</v>
      </c>
      <c r="GK32" s="447" t="s">
        <v>145</v>
      </c>
      <c r="GL32" s="448" t="s">
        <v>145</v>
      </c>
      <c r="GM32" s="449" t="s">
        <v>145</v>
      </c>
      <c r="GN32" s="447" t="s">
        <v>580</v>
      </c>
      <c r="GO32" s="449">
        <v>66</v>
      </c>
      <c r="GP32" s="447">
        <v>22</v>
      </c>
      <c r="GQ32" s="448">
        <v>23</v>
      </c>
      <c r="GR32" s="449">
        <v>21</v>
      </c>
      <c r="GS32" s="446">
        <v>-4</v>
      </c>
      <c r="GT32" s="461">
        <v>-1.04192054271698</v>
      </c>
      <c r="GU32" s="462">
        <v>-0.51781761646270752</v>
      </c>
      <c r="GV32" s="462">
        <v>-0.86477208137512207</v>
      </c>
      <c r="GW32" s="462">
        <v>-0.92971539497375488</v>
      </c>
      <c r="GX32" s="462">
        <v>-1.0458563566207886</v>
      </c>
      <c r="GY32" s="463">
        <v>-1.1921844482421875</v>
      </c>
      <c r="GZ32" s="10">
        <v>144</v>
      </c>
      <c r="HA32" s="535">
        <v>0.27822999999999998</v>
      </c>
      <c r="HB32" s="535">
        <v>0.15686</v>
      </c>
      <c r="HC32" s="523">
        <v>0.19685</v>
      </c>
      <c r="HD32" s="462">
        <v>9.579E-2</v>
      </c>
      <c r="HE32" s="463">
        <v>0.54210000000000003</v>
      </c>
      <c r="HF32" s="10">
        <v>140</v>
      </c>
      <c r="HG32" s="532">
        <v>2.1</v>
      </c>
      <c r="HH32" s="447">
        <v>2.75</v>
      </c>
      <c r="HI32" s="544">
        <v>0.28000000000000003</v>
      </c>
      <c r="HJ32" s="449">
        <v>4.45</v>
      </c>
      <c r="HK32" s="379" t="s">
        <v>145</v>
      </c>
      <c r="HL32" s="362" t="s">
        <v>145</v>
      </c>
      <c r="HM32" s="557" t="s">
        <v>145</v>
      </c>
      <c r="HN32" s="557" t="s">
        <v>145</v>
      </c>
      <c r="HO32" s="557" t="s">
        <v>145</v>
      </c>
      <c r="HP32" s="562" t="s">
        <v>145</v>
      </c>
      <c r="HQ32" s="562" t="s">
        <v>145</v>
      </c>
      <c r="HR32" s="563" t="s">
        <v>145</v>
      </c>
      <c r="HS32" s="545" t="s">
        <v>145</v>
      </c>
      <c r="HT32" s="557" t="s">
        <v>145</v>
      </c>
      <c r="HU32" s="809">
        <v>1960</v>
      </c>
      <c r="HV32" s="583" t="s">
        <v>4874</v>
      </c>
      <c r="HW32" s="448" t="s">
        <v>145</v>
      </c>
      <c r="HX32" s="448" t="s">
        <v>145</v>
      </c>
      <c r="HY32" s="448" t="s">
        <v>145</v>
      </c>
      <c r="HZ32" s="448" t="s">
        <v>145</v>
      </c>
      <c r="IA32" s="448" t="s">
        <v>145</v>
      </c>
      <c r="IB32" s="448" t="s">
        <v>145</v>
      </c>
      <c r="IC32" s="449" t="s">
        <v>145</v>
      </c>
      <c r="ID32" s="40"/>
      <c r="IE32" s="355"/>
      <c r="IF32" s="355"/>
      <c r="IG32" s="647"/>
      <c r="IH32" s="115"/>
      <c r="II32" s="647" t="s">
        <v>4923</v>
      </c>
      <c r="IJ32" s="423" t="s">
        <v>4918</v>
      </c>
      <c r="IK32" s="10">
        <v>0</v>
      </c>
      <c r="IL32" s="749">
        <f t="shared" si="14"/>
        <v>15</v>
      </c>
      <c r="IM32" s="747">
        <f t="shared" si="15"/>
        <v>60</v>
      </c>
      <c r="IN32" s="750" t="str">
        <f t="shared" si="16"/>
        <v>B</v>
      </c>
      <c r="IO32" s="446">
        <v>1</v>
      </c>
      <c r="IP32" s="902">
        <v>4</v>
      </c>
      <c r="IQ32" s="903">
        <v>0</v>
      </c>
      <c r="IR32" s="993">
        <v>0</v>
      </c>
      <c r="IT32" s="435"/>
      <c r="IU32" s="435"/>
      <c r="IV32" s="435"/>
    </row>
    <row r="33" spans="1:256">
      <c r="A33" s="21">
        <v>31</v>
      </c>
      <c r="B33" s="9"/>
      <c r="C33" s="430" t="s">
        <v>53</v>
      </c>
      <c r="D33" s="423"/>
      <c r="E33" s="10" t="s">
        <v>17</v>
      </c>
      <c r="F33" s="76" t="s">
        <v>775</v>
      </c>
      <c r="G33" s="102" t="s">
        <v>467</v>
      </c>
      <c r="H33" s="375" t="s">
        <v>2206</v>
      </c>
      <c r="I33" s="364" t="s">
        <v>2207</v>
      </c>
      <c r="J33" s="176">
        <v>5</v>
      </c>
      <c r="K33" s="346">
        <v>1864</v>
      </c>
      <c r="L33" s="371">
        <v>1</v>
      </c>
      <c r="M33" s="240" t="s">
        <v>2205</v>
      </c>
      <c r="N33" s="353" t="s">
        <v>2208</v>
      </c>
      <c r="O33" s="352" t="s">
        <v>145</v>
      </c>
      <c r="P33" s="393" t="s">
        <v>145</v>
      </c>
      <c r="Q33" s="370">
        <v>0</v>
      </c>
      <c r="R33" s="394" t="s">
        <v>145</v>
      </c>
      <c r="S33" s="372" t="s">
        <v>145</v>
      </c>
      <c r="T33" s="370">
        <v>0</v>
      </c>
      <c r="U33" s="358">
        <v>0</v>
      </c>
      <c r="V33" s="349" t="s">
        <v>145</v>
      </c>
      <c r="W33" s="369" t="s">
        <v>145</v>
      </c>
      <c r="X33" s="86">
        <v>0</v>
      </c>
      <c r="Y33" s="347">
        <v>0</v>
      </c>
      <c r="Z33" s="273" t="s">
        <v>2053</v>
      </c>
      <c r="AA33" s="169">
        <v>1</v>
      </c>
      <c r="AB33" s="177">
        <v>1</v>
      </c>
      <c r="AC33" s="171"/>
      <c r="AD33" s="376" t="s">
        <v>145</v>
      </c>
      <c r="AE33" s="358" t="s">
        <v>145</v>
      </c>
      <c r="AF33" s="357">
        <v>0</v>
      </c>
      <c r="AG33" s="550">
        <v>0</v>
      </c>
      <c r="AH33" s="355" t="s">
        <v>145</v>
      </c>
      <c r="AI33" s="550" t="s">
        <v>145</v>
      </c>
      <c r="AJ33" s="550" t="s">
        <v>145</v>
      </c>
      <c r="AK33" s="590" t="s">
        <v>145</v>
      </c>
      <c r="AL33" s="355">
        <v>0</v>
      </c>
      <c r="AM33" s="361" t="s">
        <v>145</v>
      </c>
      <c r="AN33" s="344" t="s">
        <v>145</v>
      </c>
      <c r="AO33" s="86">
        <v>0</v>
      </c>
      <c r="AP33" s="347">
        <v>0</v>
      </c>
      <c r="AQ33" s="365" t="s">
        <v>4960</v>
      </c>
      <c r="AR33" s="393" t="s">
        <v>4961</v>
      </c>
      <c r="AS33" s="55">
        <v>2</v>
      </c>
      <c r="AT33" s="370">
        <v>5</v>
      </c>
      <c r="AU33" s="725">
        <v>2009</v>
      </c>
      <c r="AV33" s="394">
        <v>5</v>
      </c>
      <c r="AW33" s="589">
        <v>50</v>
      </c>
      <c r="AX33" s="687">
        <v>0</v>
      </c>
      <c r="AY33" s="174" t="s">
        <v>2155</v>
      </c>
      <c r="AZ33" s="358">
        <v>1989</v>
      </c>
      <c r="BA33" s="55">
        <v>1</v>
      </c>
      <c r="BB33" s="55">
        <v>2</v>
      </c>
      <c r="BC33" s="174" t="s">
        <v>4317</v>
      </c>
      <c r="BD33" s="358">
        <v>1997</v>
      </c>
      <c r="BE33" s="55">
        <v>2</v>
      </c>
      <c r="BF33" s="367" t="s">
        <v>4365</v>
      </c>
      <c r="BG33" s="367">
        <v>1</v>
      </c>
      <c r="BH33" s="1" t="s">
        <v>4318</v>
      </c>
      <c r="BI33" s="367">
        <v>3</v>
      </c>
      <c r="BJ33" s="367">
        <v>1</v>
      </c>
      <c r="BK33" s="888">
        <v>35939.927000000003</v>
      </c>
      <c r="BL33" s="925">
        <f t="shared" si="0"/>
        <v>50.399821346326043</v>
      </c>
      <c r="BM33" s="888">
        <v>17826.268</v>
      </c>
      <c r="BN33" s="920">
        <v>18113.659</v>
      </c>
      <c r="BO33" s="888">
        <v>1942.489</v>
      </c>
      <c r="BP33" s="1158">
        <f t="shared" si="17"/>
        <v>48.767637809017195</v>
      </c>
      <c r="BQ33" s="917">
        <v>995.18299999999999</v>
      </c>
      <c r="BR33" s="920">
        <v>947.30600000000004</v>
      </c>
      <c r="BS33" s="888">
        <v>1947.3309999999999</v>
      </c>
      <c r="BT33" s="1158">
        <f t="shared" si="18"/>
        <v>48.814556949999769</v>
      </c>
      <c r="BU33" s="917">
        <v>996.75</v>
      </c>
      <c r="BV33" s="920">
        <v>950.58100000000002</v>
      </c>
      <c r="BW33" s="888">
        <v>1850.5260000000001</v>
      </c>
      <c r="BX33" s="1158">
        <f t="shared" si="19"/>
        <v>48.567434340290276</v>
      </c>
      <c r="BY33" s="917">
        <v>951.77300000000002</v>
      </c>
      <c r="BZ33" s="920">
        <v>898.75300000000004</v>
      </c>
      <c r="CA33" s="888">
        <f t="shared" si="20"/>
        <v>30199.581000000002</v>
      </c>
      <c r="CB33" s="1158">
        <f t="shared" si="21"/>
        <v>50.719309648700083</v>
      </c>
      <c r="CC33" s="917">
        <f t="shared" si="22"/>
        <v>14882.562</v>
      </c>
      <c r="CD33" s="920">
        <f t="shared" si="23"/>
        <v>15317.018999999998</v>
      </c>
      <c r="CE33" s="914">
        <v>2015</v>
      </c>
      <c r="CF33" s="910" t="s">
        <v>5630</v>
      </c>
      <c r="CG33" s="930">
        <v>100</v>
      </c>
      <c r="CH33" s="1005">
        <v>100</v>
      </c>
      <c r="CI33" s="1006">
        <v>100</v>
      </c>
      <c r="CJ33" s="904" t="s">
        <v>1621</v>
      </c>
      <c r="CK33" s="904" t="s">
        <v>1621</v>
      </c>
      <c r="CL33" s="904">
        <v>2012</v>
      </c>
      <c r="CM33" s="905" t="s">
        <v>5576</v>
      </c>
      <c r="CN33" s="1044">
        <v>25638.379000000001</v>
      </c>
      <c r="CO33" s="1045">
        <f t="shared" si="1"/>
        <v>71.336758697367415</v>
      </c>
      <c r="CP33" s="1040">
        <f t="shared" si="44"/>
        <v>12716.681787906025</v>
      </c>
      <c r="CQ33" s="1041">
        <f t="shared" si="45"/>
        <v>12921.697212093974</v>
      </c>
      <c r="CR33" s="1046">
        <v>2015</v>
      </c>
      <c r="CS33" s="1047" t="s">
        <v>5773</v>
      </c>
      <c r="CT33" s="1068" t="str">
        <f t="shared" si="2"/>
        <v>-</v>
      </c>
      <c r="CU33" s="1071">
        <v>18</v>
      </c>
      <c r="CV33" s="1068" t="s">
        <v>5878</v>
      </c>
      <c r="CW33" s="1113">
        <v>25638.379000000001</v>
      </c>
      <c r="CX33" s="1113">
        <v>28512.041000000001</v>
      </c>
      <c r="CY33" s="1113">
        <v>35099.836000000003</v>
      </c>
      <c r="CZ33" s="494">
        <v>1</v>
      </c>
      <c r="DA33" s="1124">
        <v>4</v>
      </c>
      <c r="DB33" s="1050" t="s">
        <v>647</v>
      </c>
      <c r="DC33" s="1145" t="s">
        <v>323</v>
      </c>
      <c r="DD33" s="1131">
        <f t="shared" si="34"/>
        <v>4561.2020000000011</v>
      </c>
      <c r="DE33" s="1132">
        <f t="shared" si="3"/>
        <v>12.691183262559216</v>
      </c>
      <c r="DF33" s="1132">
        <f t="shared" si="35"/>
        <v>52.515143769252582</v>
      </c>
      <c r="DG33" s="1133">
        <f t="shared" si="36"/>
        <v>2165.8802120939745</v>
      </c>
      <c r="DH33" s="1133">
        <f t="shared" si="37"/>
        <v>2395.3217879060248</v>
      </c>
      <c r="DI33" s="1132">
        <f t="shared" si="5"/>
        <v>12.149936330442101</v>
      </c>
      <c r="DJ33" s="1134">
        <f t="shared" si="6"/>
        <v>13.223842780224718</v>
      </c>
      <c r="DK33" s="1135">
        <f t="shared" si="7"/>
        <v>4561.2020000000011</v>
      </c>
      <c r="DL33" s="1132">
        <f t="shared" si="38"/>
        <v>52.515143769252582</v>
      </c>
      <c r="DM33" s="1133">
        <f t="shared" si="8"/>
        <v>2165.8802120939745</v>
      </c>
      <c r="DN33" s="1136">
        <f t="shared" si="9"/>
        <v>2395.3217879060248</v>
      </c>
      <c r="DO33" s="1135">
        <f t="shared" si="10"/>
        <v>0</v>
      </c>
      <c r="DP33" s="1132">
        <f t="shared" si="39"/>
        <v>0</v>
      </c>
      <c r="DQ33" s="1133">
        <f t="shared" si="28"/>
        <v>0</v>
      </c>
      <c r="DR33" s="1136">
        <f t="shared" si="29"/>
        <v>0</v>
      </c>
      <c r="DS33" s="1135">
        <f t="shared" si="12"/>
        <v>0</v>
      </c>
      <c r="DT33" s="1137">
        <f t="shared" si="40"/>
        <v>0</v>
      </c>
      <c r="DU33" s="1133">
        <f t="shared" si="30"/>
        <v>0</v>
      </c>
      <c r="DV33" s="1136">
        <f t="shared" si="31"/>
        <v>0</v>
      </c>
      <c r="DW33" s="1132">
        <f t="shared" si="32"/>
        <v>0</v>
      </c>
      <c r="DX33" s="1134">
        <f t="shared" si="33"/>
        <v>0</v>
      </c>
      <c r="DY33" s="414" t="s">
        <v>145</v>
      </c>
      <c r="DZ33" s="111" t="s">
        <v>145</v>
      </c>
      <c r="EA33" s="118"/>
      <c r="EB33" s="123" t="s">
        <v>145</v>
      </c>
      <c r="EC33" s="113" t="s">
        <v>145</v>
      </c>
      <c r="ED33" s="20"/>
      <c r="EE33" s="414">
        <v>9.4</v>
      </c>
      <c r="EF33" s="111" t="s">
        <v>145</v>
      </c>
      <c r="EG33" s="380" t="s">
        <v>145</v>
      </c>
      <c r="EH33" s="24" t="s">
        <v>335</v>
      </c>
      <c r="EI33" s="287">
        <v>0</v>
      </c>
      <c r="EJ33" s="40" t="s">
        <v>145</v>
      </c>
      <c r="EK33" s="35" t="s">
        <v>145</v>
      </c>
      <c r="EL33" s="95" t="s">
        <v>145</v>
      </c>
      <c r="EM33" s="95" t="s">
        <v>145</v>
      </c>
      <c r="EN33" s="35" t="s">
        <v>145</v>
      </c>
      <c r="EO33" s="95" t="s">
        <v>145</v>
      </c>
      <c r="EP33" s="205" t="s">
        <v>145</v>
      </c>
      <c r="EQ33" s="207" t="s">
        <v>145</v>
      </c>
      <c r="ER33" s="517" t="s">
        <v>145</v>
      </c>
      <c r="ES33" s="183"/>
      <c r="ET33" s="183"/>
      <c r="EU33" s="82"/>
      <c r="EV33" s="82"/>
      <c r="EW33" s="82"/>
      <c r="EX33" s="90"/>
      <c r="EY33" s="159"/>
      <c r="EZ33" s="156"/>
      <c r="FA33" s="323"/>
      <c r="FB33" s="323"/>
      <c r="FC33" s="323"/>
      <c r="FD33" s="160"/>
      <c r="FE33" s="156"/>
      <c r="FF33" s="156"/>
      <c r="FG33" s="156"/>
      <c r="FH33" s="157"/>
      <c r="FI33" s="242"/>
      <c r="FJ33" s="240"/>
      <c r="FK33" s="179"/>
      <c r="FL33" s="179"/>
      <c r="FM33" s="179"/>
      <c r="FN33" s="172"/>
      <c r="FO33" s="164"/>
      <c r="FP33" s="255">
        <v>2</v>
      </c>
      <c r="FQ33" s="183"/>
      <c r="FR33" s="257"/>
      <c r="FS33" s="82"/>
      <c r="FT33" s="259"/>
      <c r="FU33" s="82"/>
      <c r="FV33" s="259"/>
      <c r="FW33" s="82"/>
      <c r="FX33" s="259"/>
      <c r="FY33" s="82"/>
      <c r="FZ33" s="259"/>
      <c r="GA33" s="82"/>
      <c r="GB33" s="261"/>
      <c r="GC33" s="90"/>
      <c r="GD33" s="76">
        <v>2</v>
      </c>
      <c r="GE33" s="445" t="s">
        <v>3425</v>
      </c>
      <c r="GF33" s="447" t="s">
        <v>10</v>
      </c>
      <c r="GG33" s="448">
        <v>1</v>
      </c>
      <c r="GH33" s="449">
        <v>1</v>
      </c>
      <c r="GI33" s="447" t="s">
        <v>10</v>
      </c>
      <c r="GJ33" s="449">
        <v>15</v>
      </c>
      <c r="GK33" s="447">
        <v>3</v>
      </c>
      <c r="GL33" s="448">
        <v>3</v>
      </c>
      <c r="GM33" s="449">
        <v>9</v>
      </c>
      <c r="GN33" s="447" t="s">
        <v>10</v>
      </c>
      <c r="GO33" s="449">
        <v>19</v>
      </c>
      <c r="GP33" s="447">
        <v>5</v>
      </c>
      <c r="GQ33" s="448">
        <v>8</v>
      </c>
      <c r="GR33" s="449">
        <v>6</v>
      </c>
      <c r="GS33" s="446">
        <v>10</v>
      </c>
      <c r="GT33" s="461">
        <v>1.4583121538162231</v>
      </c>
      <c r="GU33" s="462">
        <v>1.0307513475418091</v>
      </c>
      <c r="GV33" s="462">
        <v>1.7713449001312256</v>
      </c>
      <c r="GW33" s="462">
        <v>1.7149943113327026</v>
      </c>
      <c r="GX33" s="462">
        <v>1.7398825883865356</v>
      </c>
      <c r="GY33" s="463">
        <v>1.874397873878479</v>
      </c>
      <c r="GZ33" s="10">
        <v>11</v>
      </c>
      <c r="HA33" s="535">
        <v>0.84177000000000002</v>
      </c>
      <c r="HB33" s="535">
        <v>0.82352000000000003</v>
      </c>
      <c r="HC33" s="523">
        <v>0.91337999999999997</v>
      </c>
      <c r="HD33" s="462">
        <v>0.71675999999999995</v>
      </c>
      <c r="HE33" s="463">
        <v>0.8952</v>
      </c>
      <c r="HF33" s="10">
        <v>23</v>
      </c>
      <c r="HG33" s="532">
        <v>7.62</v>
      </c>
      <c r="HH33" s="447">
        <v>8.01</v>
      </c>
      <c r="HI33" s="544">
        <v>6.63</v>
      </c>
      <c r="HJ33" s="449">
        <v>8.85</v>
      </c>
      <c r="HK33" s="379" t="s">
        <v>4020</v>
      </c>
      <c r="HL33" s="23" t="s">
        <v>4670</v>
      </c>
      <c r="HM33" s="557">
        <v>1983</v>
      </c>
      <c r="HN33" s="557">
        <v>2002</v>
      </c>
      <c r="HO33" s="557" t="s">
        <v>3985</v>
      </c>
      <c r="HP33" s="562" t="s">
        <v>4021</v>
      </c>
      <c r="HQ33" s="639" t="s">
        <v>4695</v>
      </c>
      <c r="HR33" s="563" t="s">
        <v>4022</v>
      </c>
      <c r="HS33" s="545">
        <v>57</v>
      </c>
      <c r="HT33" s="557">
        <v>79</v>
      </c>
      <c r="HU33" s="557">
        <v>1983</v>
      </c>
      <c r="HV33" s="583" t="s">
        <v>4179</v>
      </c>
      <c r="HW33" s="448">
        <v>3</v>
      </c>
      <c r="HX33" s="448">
        <v>13</v>
      </c>
      <c r="HY33" s="448">
        <v>15</v>
      </c>
      <c r="HZ33" s="448">
        <v>11</v>
      </c>
      <c r="IA33" s="448">
        <v>22</v>
      </c>
      <c r="IB33" s="448">
        <v>6</v>
      </c>
      <c r="IC33" s="449">
        <v>9</v>
      </c>
      <c r="ID33" s="40" t="s">
        <v>5210</v>
      </c>
      <c r="IE33" s="355" t="s">
        <v>5200</v>
      </c>
      <c r="IF33" s="355" t="s">
        <v>5202</v>
      </c>
      <c r="IG33" s="647"/>
      <c r="IH33" s="115"/>
      <c r="II33" s="647" t="s">
        <v>4920</v>
      </c>
      <c r="IJ33" s="423" t="s">
        <v>4926</v>
      </c>
      <c r="IK33" s="10">
        <v>0</v>
      </c>
      <c r="IL33" s="749">
        <f t="shared" si="14"/>
        <v>13</v>
      </c>
      <c r="IM33" s="747">
        <f t="shared" si="15"/>
        <v>52</v>
      </c>
      <c r="IN33" s="750" t="str">
        <f t="shared" si="16"/>
        <v>B</v>
      </c>
      <c r="IO33" s="446"/>
      <c r="IP33" s="902">
        <v>1</v>
      </c>
      <c r="IQ33" s="903">
        <v>2</v>
      </c>
      <c r="IR33" s="993">
        <v>0</v>
      </c>
      <c r="IT33" s="435"/>
      <c r="IU33" s="435"/>
      <c r="IV33" s="435"/>
    </row>
    <row r="34" spans="1:256">
      <c r="A34" s="71">
        <v>32</v>
      </c>
      <c r="B34" s="9"/>
      <c r="C34" s="430" t="s">
        <v>4919</v>
      </c>
      <c r="D34" s="423" t="s">
        <v>406</v>
      </c>
      <c r="E34" s="24" t="s">
        <v>20</v>
      </c>
      <c r="F34" s="76" t="s">
        <v>776</v>
      </c>
      <c r="G34" s="102" t="s">
        <v>481</v>
      </c>
      <c r="H34" s="375" t="s">
        <v>3130</v>
      </c>
      <c r="I34" s="95" t="s">
        <v>2209</v>
      </c>
      <c r="J34" s="176">
        <v>6</v>
      </c>
      <c r="K34" s="88">
        <v>1967</v>
      </c>
      <c r="L34" s="371">
        <v>2</v>
      </c>
      <c r="M34" s="240" t="s">
        <v>1825</v>
      </c>
      <c r="N34" s="369" t="s">
        <v>1822</v>
      </c>
      <c r="O34" s="365" t="s">
        <v>3131</v>
      </c>
      <c r="P34" s="401" t="s">
        <v>3132</v>
      </c>
      <c r="Q34" s="370">
        <v>1</v>
      </c>
      <c r="R34" s="370">
        <v>2013</v>
      </c>
      <c r="S34" s="372" t="s">
        <v>1961</v>
      </c>
      <c r="T34" s="370">
        <v>1</v>
      </c>
      <c r="U34" s="176">
        <v>2</v>
      </c>
      <c r="V34" s="176">
        <v>0</v>
      </c>
      <c r="W34" s="369" t="s">
        <v>3134</v>
      </c>
      <c r="X34" s="170">
        <v>0</v>
      </c>
      <c r="Y34" s="369">
        <v>0</v>
      </c>
      <c r="Z34" s="271"/>
      <c r="AA34" s="169">
        <v>1</v>
      </c>
      <c r="AB34" s="177">
        <v>1</v>
      </c>
      <c r="AC34" s="171"/>
      <c r="AD34" s="376" t="s">
        <v>145</v>
      </c>
      <c r="AE34" s="355" t="s">
        <v>145</v>
      </c>
      <c r="AF34" s="357">
        <v>0</v>
      </c>
      <c r="AG34" s="550">
        <v>1</v>
      </c>
      <c r="AH34" s="355" t="s">
        <v>145</v>
      </c>
      <c r="AI34" s="550" t="s">
        <v>145</v>
      </c>
      <c r="AJ34" s="550" t="s">
        <v>145</v>
      </c>
      <c r="AK34" s="590" t="s">
        <v>145</v>
      </c>
      <c r="AL34" s="357">
        <v>0</v>
      </c>
      <c r="AM34" s="360" t="s">
        <v>145</v>
      </c>
      <c r="AN34" s="397" t="s">
        <v>145</v>
      </c>
      <c r="AO34" s="170">
        <v>0</v>
      </c>
      <c r="AP34" s="172">
        <v>0</v>
      </c>
      <c r="AQ34" s="365" t="s">
        <v>4962</v>
      </c>
      <c r="AR34" s="377" t="s">
        <v>4963</v>
      </c>
      <c r="AS34" s="55">
        <v>2</v>
      </c>
      <c r="AT34" s="370">
        <v>2</v>
      </c>
      <c r="AU34" s="371">
        <v>2014</v>
      </c>
      <c r="AV34" s="370">
        <v>5</v>
      </c>
      <c r="AW34" s="589" t="s">
        <v>145</v>
      </c>
      <c r="AX34" s="687">
        <v>0</v>
      </c>
      <c r="AY34" s="174" t="s">
        <v>4319</v>
      </c>
      <c r="AZ34" s="55">
        <v>2013</v>
      </c>
      <c r="BA34" s="55">
        <v>1</v>
      </c>
      <c r="BB34" s="55">
        <v>0</v>
      </c>
      <c r="BC34" s="175" t="s">
        <v>145</v>
      </c>
      <c r="BD34" s="358" t="s">
        <v>145</v>
      </c>
      <c r="BE34" s="55">
        <v>0</v>
      </c>
      <c r="BF34" s="367" t="s">
        <v>145</v>
      </c>
      <c r="BG34" s="367">
        <v>0</v>
      </c>
      <c r="BH34" s="56" t="s">
        <v>145</v>
      </c>
      <c r="BI34" s="367">
        <v>2</v>
      </c>
      <c r="BJ34" s="367">
        <v>0</v>
      </c>
      <c r="BK34" s="888">
        <v>520.50199999999995</v>
      </c>
      <c r="BL34" s="925">
        <f t="shared" si="0"/>
        <v>50.657826482895359</v>
      </c>
      <c r="BM34" s="888">
        <v>256.827</v>
      </c>
      <c r="BN34" s="920">
        <v>263.67500000000001</v>
      </c>
      <c r="BO34" s="888">
        <v>53.588999999999999</v>
      </c>
      <c r="BP34" s="1158">
        <f t="shared" si="17"/>
        <v>49.366474463042785</v>
      </c>
      <c r="BQ34" s="917">
        <v>27.134</v>
      </c>
      <c r="BR34" s="920">
        <v>26.454999999999998</v>
      </c>
      <c r="BS34" s="888">
        <v>51.323</v>
      </c>
      <c r="BT34" s="1158">
        <f t="shared" si="18"/>
        <v>49.529450733589229</v>
      </c>
      <c r="BU34" s="917">
        <v>25.902999999999999</v>
      </c>
      <c r="BV34" s="920">
        <v>25.42</v>
      </c>
      <c r="BW34" s="888">
        <v>49.42</v>
      </c>
      <c r="BX34" s="1158">
        <f t="shared" si="19"/>
        <v>49.129906920275189</v>
      </c>
      <c r="BY34" s="917">
        <v>25.14</v>
      </c>
      <c r="BZ34" s="920">
        <v>24.28</v>
      </c>
      <c r="CA34" s="888">
        <f t="shared" si="20"/>
        <v>366.16999999999996</v>
      </c>
      <c r="CB34" s="1158">
        <f t="shared" si="21"/>
        <v>51.211186061119164</v>
      </c>
      <c r="CC34" s="917">
        <f t="shared" si="22"/>
        <v>178.64999999999998</v>
      </c>
      <c r="CD34" s="920">
        <f t="shared" si="23"/>
        <v>187.52</v>
      </c>
      <c r="CE34" s="914">
        <v>2015</v>
      </c>
      <c r="CF34" s="910" t="s">
        <v>5630</v>
      </c>
      <c r="CG34" s="930">
        <v>91</v>
      </c>
      <c r="CH34" s="504">
        <v>91</v>
      </c>
      <c r="CI34" s="1008">
        <v>91</v>
      </c>
      <c r="CJ34" s="904" t="s">
        <v>1621</v>
      </c>
      <c r="CK34" s="904" t="s">
        <v>1621</v>
      </c>
      <c r="CL34" s="904">
        <v>2010</v>
      </c>
      <c r="CM34" s="905" t="s">
        <v>5586</v>
      </c>
      <c r="CN34" s="1044">
        <f>CP34+CQ34</f>
        <v>491.68299999999999</v>
      </c>
      <c r="CO34" s="1045">
        <f t="shared" si="1"/>
        <v>94.463229728223922</v>
      </c>
      <c r="CP34" s="1049">
        <v>243.40100000000001</v>
      </c>
      <c r="CQ34" s="1050">
        <v>248.28200000000001</v>
      </c>
      <c r="CR34" s="1046">
        <v>2011</v>
      </c>
      <c r="CS34" s="1047" t="s">
        <v>5774</v>
      </c>
      <c r="CT34" s="1068">
        <f t="shared" si="2"/>
        <v>0</v>
      </c>
      <c r="CU34" s="1071">
        <v>18</v>
      </c>
      <c r="CV34" s="1068" t="s">
        <v>5879</v>
      </c>
      <c r="CW34" s="1113">
        <v>298.56700000000001</v>
      </c>
      <c r="CX34" s="1113">
        <v>263.33300000000003</v>
      </c>
      <c r="CY34" s="1113">
        <v>516.1</v>
      </c>
      <c r="CZ34" s="1048">
        <v>20</v>
      </c>
      <c r="DA34" s="1104">
        <v>5</v>
      </c>
      <c r="DB34" s="1050" t="s">
        <v>647</v>
      </c>
      <c r="DC34" s="1146" t="s">
        <v>322</v>
      </c>
      <c r="DD34" s="978">
        <f t="shared" si="34"/>
        <v>28.81899999999996</v>
      </c>
      <c r="DE34" s="979">
        <f t="shared" si="3"/>
        <v>5.5367702717760858</v>
      </c>
      <c r="DF34" s="979">
        <f t="shared" si="35"/>
        <v>53.412679135292763</v>
      </c>
      <c r="DG34" s="980">
        <f t="shared" si="36"/>
        <v>13.425999999999986</v>
      </c>
      <c r="DH34" s="980">
        <f t="shared" si="37"/>
        <v>15.393000000000001</v>
      </c>
      <c r="DI34" s="979">
        <f t="shared" si="5"/>
        <v>5.2276435110015642</v>
      </c>
      <c r="DJ34" s="981">
        <f t="shared" si="6"/>
        <v>5.8378685882241399</v>
      </c>
      <c r="DK34" s="984">
        <f t="shared" si="7"/>
        <v>14.929119999999967</v>
      </c>
      <c r="DL34" s="979">
        <f t="shared" si="38"/>
        <v>57.19727619578395</v>
      </c>
      <c r="DM34" s="980">
        <f t="shared" si="8"/>
        <v>6.390069999999989</v>
      </c>
      <c r="DN34" s="985">
        <f t="shared" si="9"/>
        <v>8.5390500000000031</v>
      </c>
      <c r="DO34" s="984">
        <f t="shared" si="10"/>
        <v>9.0668699999999962</v>
      </c>
      <c r="DP34" s="979">
        <f t="shared" si="39"/>
        <v>49.333452448309075</v>
      </c>
      <c r="DQ34" s="980">
        <f t="shared" si="28"/>
        <v>4.5938699999999981</v>
      </c>
      <c r="DR34" s="985">
        <f t="shared" si="29"/>
        <v>4.472999999999999</v>
      </c>
      <c r="DS34" s="984">
        <f t="shared" si="12"/>
        <v>4.8230099999999982</v>
      </c>
      <c r="DT34" s="339">
        <f t="shared" si="40"/>
        <v>49.366474463042785</v>
      </c>
      <c r="DU34" s="980">
        <f t="shared" si="30"/>
        <v>2.4420599999999992</v>
      </c>
      <c r="DV34" s="985">
        <f t="shared" si="31"/>
        <v>2.380949999999999</v>
      </c>
      <c r="DW34" s="979">
        <f t="shared" si="32"/>
        <v>8.9999999999999964</v>
      </c>
      <c r="DX34" s="981">
        <f t="shared" si="33"/>
        <v>8.9999999999999964</v>
      </c>
      <c r="DY34" s="414">
        <v>21</v>
      </c>
      <c r="DZ34" s="111">
        <v>2002</v>
      </c>
      <c r="EA34" s="118">
        <v>105.12285</v>
      </c>
      <c r="EB34" s="123">
        <v>26.6</v>
      </c>
      <c r="EC34" s="113">
        <v>2007</v>
      </c>
      <c r="ED34" s="20">
        <v>133.15561</v>
      </c>
      <c r="EE34" s="414">
        <v>30</v>
      </c>
      <c r="EF34" s="121">
        <v>2000</v>
      </c>
      <c r="EG34" s="380">
        <v>85.327789306640597</v>
      </c>
      <c r="EH34" s="24" t="s">
        <v>354</v>
      </c>
      <c r="EI34" s="288">
        <v>0</v>
      </c>
      <c r="EJ34" s="40" t="s">
        <v>145</v>
      </c>
      <c r="EK34" s="35" t="s">
        <v>145</v>
      </c>
      <c r="EL34" s="95" t="s">
        <v>145</v>
      </c>
      <c r="EM34" s="95" t="s">
        <v>145</v>
      </c>
      <c r="EN34" s="35" t="s">
        <v>145</v>
      </c>
      <c r="EO34" s="95" t="s">
        <v>145</v>
      </c>
      <c r="EP34" s="205" t="s">
        <v>145</v>
      </c>
      <c r="EQ34" s="207" t="s">
        <v>145</v>
      </c>
      <c r="ER34" s="517" t="s">
        <v>145</v>
      </c>
      <c r="ES34" s="183"/>
      <c r="ET34" s="183"/>
      <c r="EU34" s="82"/>
      <c r="EV34" s="82"/>
      <c r="EW34" s="82"/>
      <c r="EX34" s="90"/>
      <c r="EY34" s="159"/>
      <c r="EZ34" s="156"/>
      <c r="FA34" s="323"/>
      <c r="FB34" s="323"/>
      <c r="FC34" s="323"/>
      <c r="FD34" s="160"/>
      <c r="FE34" s="156"/>
      <c r="FF34" s="156"/>
      <c r="FG34" s="156"/>
      <c r="FH34" s="157"/>
      <c r="FI34" s="242"/>
      <c r="FJ34" s="240"/>
      <c r="FK34" s="179"/>
      <c r="FL34" s="179"/>
      <c r="FM34" s="179"/>
      <c r="FN34" s="172"/>
      <c r="FO34" s="164"/>
      <c r="FP34" s="255"/>
      <c r="FQ34" s="183"/>
      <c r="FR34" s="257">
        <v>1</v>
      </c>
      <c r="FS34" s="82" t="s">
        <v>1866</v>
      </c>
      <c r="FT34" s="259"/>
      <c r="FU34" s="82"/>
      <c r="FV34" s="259"/>
      <c r="FW34" s="82"/>
      <c r="FX34" s="259"/>
      <c r="FY34" s="82"/>
      <c r="FZ34" s="259"/>
      <c r="GA34" s="82"/>
      <c r="GB34" s="261"/>
      <c r="GC34" s="90"/>
      <c r="GD34" s="76">
        <v>1</v>
      </c>
      <c r="GE34" s="445" t="s">
        <v>3424</v>
      </c>
      <c r="GF34" s="447" t="s">
        <v>10</v>
      </c>
      <c r="GG34" s="448">
        <v>1</v>
      </c>
      <c r="GH34" s="449">
        <v>1</v>
      </c>
      <c r="GI34" s="447" t="s">
        <v>145</v>
      </c>
      <c r="GJ34" s="449" t="s">
        <v>145</v>
      </c>
      <c r="GK34" s="447" t="s">
        <v>145</v>
      </c>
      <c r="GL34" s="448" t="s">
        <v>145</v>
      </c>
      <c r="GM34" s="449" t="s">
        <v>145</v>
      </c>
      <c r="GN34" s="447" t="s">
        <v>10</v>
      </c>
      <c r="GO34" s="449">
        <v>27</v>
      </c>
      <c r="GP34" s="447">
        <v>6</v>
      </c>
      <c r="GQ34" s="448">
        <v>9</v>
      </c>
      <c r="GR34" s="449">
        <v>12</v>
      </c>
      <c r="GS34" s="446">
        <v>10</v>
      </c>
      <c r="GT34" s="461">
        <v>0.9018053412437439</v>
      </c>
      <c r="GU34" s="462">
        <v>0.80627542734146118</v>
      </c>
      <c r="GV34" s="462">
        <v>0.12438298761844635</v>
      </c>
      <c r="GW34" s="462">
        <v>-0.11925558745861053</v>
      </c>
      <c r="GX34" s="462">
        <v>0.48163485527038574</v>
      </c>
      <c r="GY34" s="463">
        <v>0.76906144618988037</v>
      </c>
      <c r="GZ34" s="10">
        <v>127</v>
      </c>
      <c r="HA34" s="536">
        <v>0.35504999999999998</v>
      </c>
      <c r="HB34" s="536">
        <v>9.8030000000000006E-2</v>
      </c>
      <c r="HC34" s="525">
        <v>0.16535</v>
      </c>
      <c r="HD34" s="526">
        <v>0.29658000000000001</v>
      </c>
      <c r="HE34" s="527">
        <v>0.60319999999999996</v>
      </c>
      <c r="HF34" s="10">
        <v>93</v>
      </c>
      <c r="HG34" s="532">
        <v>4.3</v>
      </c>
      <c r="HH34" s="545">
        <v>4.55</v>
      </c>
      <c r="HI34" s="546">
        <v>2.9</v>
      </c>
      <c r="HJ34" s="547">
        <v>6.62</v>
      </c>
      <c r="HK34" s="379" t="s">
        <v>4023</v>
      </c>
      <c r="HL34" s="23" t="s">
        <v>4671</v>
      </c>
      <c r="HM34" s="557">
        <v>2001</v>
      </c>
      <c r="HN34" s="557">
        <v>2001</v>
      </c>
      <c r="HO34" s="557" t="s">
        <v>3985</v>
      </c>
      <c r="HP34" s="562" t="s">
        <v>145</v>
      </c>
      <c r="HQ34" s="562" t="s">
        <v>145</v>
      </c>
      <c r="HR34" s="563" t="s">
        <v>145</v>
      </c>
      <c r="HS34" s="545" t="s">
        <v>145</v>
      </c>
      <c r="HT34" s="557" t="s">
        <v>145</v>
      </c>
      <c r="HU34" s="557" t="s">
        <v>145</v>
      </c>
      <c r="HV34" s="581" t="s">
        <v>145</v>
      </c>
      <c r="HW34" s="557" t="s">
        <v>145</v>
      </c>
      <c r="HX34" s="557" t="s">
        <v>145</v>
      </c>
      <c r="HY34" s="557" t="s">
        <v>145</v>
      </c>
      <c r="HZ34" s="557" t="s">
        <v>145</v>
      </c>
      <c r="IA34" s="557" t="s">
        <v>145</v>
      </c>
      <c r="IB34" s="557" t="s">
        <v>145</v>
      </c>
      <c r="IC34" s="547" t="s">
        <v>145</v>
      </c>
      <c r="ID34" s="40"/>
      <c r="IE34" s="550"/>
      <c r="IF34" s="550"/>
      <c r="IG34" s="553"/>
      <c r="IH34" s="115"/>
      <c r="II34" s="647" t="s">
        <v>4923</v>
      </c>
      <c r="IJ34" s="423" t="s">
        <v>4926</v>
      </c>
      <c r="IK34" s="10">
        <v>1</v>
      </c>
      <c r="IL34" s="749">
        <f t="shared" si="14"/>
        <v>11</v>
      </c>
      <c r="IM34" s="747">
        <f t="shared" si="15"/>
        <v>44</v>
      </c>
      <c r="IN34" s="750" t="str">
        <f t="shared" si="16"/>
        <v>C</v>
      </c>
      <c r="IO34" s="446">
        <v>1</v>
      </c>
      <c r="IP34" s="902">
        <v>3</v>
      </c>
      <c r="IQ34" s="903">
        <v>0</v>
      </c>
      <c r="IR34" s="993">
        <v>0</v>
      </c>
      <c r="IT34" s="435"/>
      <c r="IU34" s="435"/>
      <c r="IV34" s="435"/>
    </row>
    <row r="35" spans="1:256">
      <c r="A35" s="21">
        <v>33</v>
      </c>
      <c r="B35" s="9"/>
      <c r="C35" s="431" t="s">
        <v>56</v>
      </c>
      <c r="D35" s="423" t="s">
        <v>406</v>
      </c>
      <c r="E35" s="24" t="s">
        <v>9</v>
      </c>
      <c r="F35" s="76" t="s">
        <v>777</v>
      </c>
      <c r="G35" s="102" t="s">
        <v>469</v>
      </c>
      <c r="H35" s="375" t="s">
        <v>2212</v>
      </c>
      <c r="I35" s="95" t="s">
        <v>2210</v>
      </c>
      <c r="J35" s="176">
        <v>6</v>
      </c>
      <c r="K35" s="88">
        <v>1961</v>
      </c>
      <c r="L35" s="371">
        <v>2</v>
      </c>
      <c r="M35" s="240" t="s">
        <v>145</v>
      </c>
      <c r="N35" s="351" t="s">
        <v>2211</v>
      </c>
      <c r="O35" s="365" t="s">
        <v>3136</v>
      </c>
      <c r="P35" s="400" t="s">
        <v>3137</v>
      </c>
      <c r="Q35" s="370">
        <v>2</v>
      </c>
      <c r="R35" s="370">
        <v>2009</v>
      </c>
      <c r="S35" s="372" t="s">
        <v>1961</v>
      </c>
      <c r="T35" s="370">
        <v>1</v>
      </c>
      <c r="U35" s="176">
        <v>2</v>
      </c>
      <c r="V35" s="176">
        <v>0</v>
      </c>
      <c r="W35" s="369" t="s">
        <v>1822</v>
      </c>
      <c r="X35" s="170">
        <v>0</v>
      </c>
      <c r="Y35" s="369">
        <v>0</v>
      </c>
      <c r="Z35" s="271"/>
      <c r="AA35" s="169">
        <v>1</v>
      </c>
      <c r="AB35" s="177"/>
      <c r="AC35" s="171"/>
      <c r="AD35" s="376" t="s">
        <v>145</v>
      </c>
      <c r="AE35" s="355" t="s">
        <v>145</v>
      </c>
      <c r="AF35" s="355">
        <v>0</v>
      </c>
      <c r="AG35" s="550">
        <v>1</v>
      </c>
      <c r="AH35" s="355" t="s">
        <v>145</v>
      </c>
      <c r="AI35" s="550" t="s">
        <v>145</v>
      </c>
      <c r="AJ35" s="550" t="s">
        <v>145</v>
      </c>
      <c r="AK35" s="590" t="s">
        <v>145</v>
      </c>
      <c r="AL35" s="355">
        <v>0</v>
      </c>
      <c r="AM35" s="363" t="s">
        <v>145</v>
      </c>
      <c r="AN35" s="397">
        <v>3</v>
      </c>
      <c r="AO35" s="170">
        <v>0</v>
      </c>
      <c r="AP35" s="172">
        <v>0</v>
      </c>
      <c r="AQ35" s="365" t="s">
        <v>5301</v>
      </c>
      <c r="AR35" s="377" t="s">
        <v>5302</v>
      </c>
      <c r="AS35" s="55">
        <v>1</v>
      </c>
      <c r="AT35" s="370">
        <v>2</v>
      </c>
      <c r="AU35" s="371">
        <v>2014</v>
      </c>
      <c r="AV35" s="370">
        <v>3</v>
      </c>
      <c r="AW35" s="589" t="s">
        <v>145</v>
      </c>
      <c r="AX35" s="687">
        <v>0</v>
      </c>
      <c r="AY35" s="174" t="s">
        <v>4320</v>
      </c>
      <c r="AZ35" s="55">
        <v>2008</v>
      </c>
      <c r="BA35" s="55">
        <v>1</v>
      </c>
      <c r="BB35" s="55">
        <v>1</v>
      </c>
      <c r="BC35" s="174" t="s">
        <v>4321</v>
      </c>
      <c r="BD35" s="55">
        <v>2008</v>
      </c>
      <c r="BE35" s="55">
        <v>0</v>
      </c>
      <c r="BF35" s="367" t="s">
        <v>145</v>
      </c>
      <c r="BG35" s="367">
        <v>0</v>
      </c>
      <c r="BH35" s="56" t="s">
        <v>145</v>
      </c>
      <c r="BI35" s="367">
        <v>0</v>
      </c>
      <c r="BJ35" s="367">
        <v>0</v>
      </c>
      <c r="BK35" s="888">
        <v>4900.2740000000003</v>
      </c>
      <c r="BL35" s="925">
        <f t="shared" ref="BL35:BL66" si="46">BN35/BK35*100</f>
        <v>50.708511401607339</v>
      </c>
      <c r="BM35" s="888">
        <v>2415.4180000000001</v>
      </c>
      <c r="BN35" s="920">
        <v>2484.8560000000002</v>
      </c>
      <c r="BO35" s="888">
        <v>708.09500000000003</v>
      </c>
      <c r="BP35" s="1158">
        <f t="shared" si="17"/>
        <v>49.950924664063436</v>
      </c>
      <c r="BQ35" s="917">
        <v>354.39499999999998</v>
      </c>
      <c r="BR35" s="920">
        <v>353.7</v>
      </c>
      <c r="BS35" s="888">
        <v>620.82100000000003</v>
      </c>
      <c r="BT35" s="1158">
        <f t="shared" si="18"/>
        <v>50.289697030222882</v>
      </c>
      <c r="BU35" s="917">
        <v>308.61200000000002</v>
      </c>
      <c r="BV35" s="920">
        <v>312.209</v>
      </c>
      <c r="BW35" s="888">
        <v>584.76900000000001</v>
      </c>
      <c r="BX35" s="1158">
        <f t="shared" si="19"/>
        <v>50.385536853013754</v>
      </c>
      <c r="BY35" s="917">
        <v>290.13</v>
      </c>
      <c r="BZ35" s="920">
        <v>294.63900000000001</v>
      </c>
      <c r="CA35" s="888">
        <f t="shared" si="20"/>
        <v>2986.5889999999999</v>
      </c>
      <c r="CB35" s="1158">
        <f t="shared" si="21"/>
        <v>51.038425441197312</v>
      </c>
      <c r="CC35" s="917">
        <f t="shared" si="22"/>
        <v>1462.2809999999999</v>
      </c>
      <c r="CD35" s="920">
        <f t="shared" si="23"/>
        <v>1524.3080000000004</v>
      </c>
      <c r="CE35" s="914">
        <v>2015</v>
      </c>
      <c r="CF35" s="910" t="s">
        <v>5630</v>
      </c>
      <c r="CG35" s="930">
        <v>61</v>
      </c>
      <c r="CH35" s="495">
        <v>60.6</v>
      </c>
      <c r="CI35" s="497">
        <v>61.5</v>
      </c>
      <c r="CJ35" s="904">
        <v>78.400000000000006</v>
      </c>
      <c r="CK35" s="904">
        <v>51.6</v>
      </c>
      <c r="CL35" s="904">
        <v>2010</v>
      </c>
      <c r="CM35" s="905" t="s">
        <v>5573</v>
      </c>
      <c r="CN35" s="1044">
        <v>1825.7349999999999</v>
      </c>
      <c r="CO35" s="1045">
        <f t="shared" ref="CO35:CO66" si="47">CN35/BK35*100</f>
        <v>37.257814563022393</v>
      </c>
      <c r="CP35" s="1040">
        <f>IF(OR(CZ35=1,CZ35=10),CN35*(1-BL35/100),IF(DA35=6,CN35*(1-BL35/100),CN35*(1-CB35/100)))</f>
        <v>899.93195936186419</v>
      </c>
      <c r="CQ35" s="1041">
        <f>IF(OR(CZ35=1,CZ35=10),CN35*BL35/100,IF(DA35=6,CN35*BL35/100,CN35*CB35/100))</f>
        <v>925.80304063813571</v>
      </c>
      <c r="CR35" s="1046">
        <v>2011</v>
      </c>
      <c r="CS35" s="1047" t="s">
        <v>5759</v>
      </c>
      <c r="CT35" s="1068">
        <f t="shared" ref="CT35:CT66" si="48">V35</f>
        <v>0</v>
      </c>
      <c r="CU35" s="1071">
        <v>18</v>
      </c>
      <c r="CV35" s="1068" t="s">
        <v>5880</v>
      </c>
      <c r="CW35" s="1113">
        <v>1825.7349999999999</v>
      </c>
      <c r="CX35" s="1113">
        <v>2005.942</v>
      </c>
      <c r="CY35" s="1113">
        <v>4950.027</v>
      </c>
      <c r="CZ35" s="494">
        <v>1</v>
      </c>
      <c r="DA35" s="1104">
        <v>4</v>
      </c>
      <c r="DB35" s="1050" t="s">
        <v>5753</v>
      </c>
      <c r="DC35" s="1143" t="s">
        <v>320</v>
      </c>
      <c r="DD35" s="982">
        <f t="shared" si="34"/>
        <v>1907.1911500000001</v>
      </c>
      <c r="DE35" s="979">
        <f t="shared" ref="DE35:DE66" si="49">DD35/BK35*100</f>
        <v>38.920092019344224</v>
      </c>
      <c r="DF35" s="979">
        <f t="shared" si="35"/>
        <v>50.77183476663388</v>
      </c>
      <c r="DG35" s="983">
        <f t="shared" si="36"/>
        <v>937.88501863813576</v>
      </c>
      <c r="DH35" s="983">
        <f t="shared" si="37"/>
        <v>968.31593936186471</v>
      </c>
      <c r="DI35" s="979">
        <f t="shared" ref="DI35:DI66" si="50">DG35/BM35*100</f>
        <v>38.82909784716913</v>
      </c>
      <c r="DJ35" s="981">
        <f t="shared" ref="DJ35:DJ66" si="51">DH35/BN35*100</f>
        <v>38.968694337292163</v>
      </c>
      <c r="DK35" s="984">
        <f t="shared" ref="DK35:DK66" si="52">IF(OR($CZ35=1,$CZ35=10),CA35-CN35,BK35-CN35-DO35-DS35)</f>
        <v>1160.854</v>
      </c>
      <c r="DL35" s="979">
        <f t="shared" si="38"/>
        <v>51.557298278841671</v>
      </c>
      <c r="DM35" s="983">
        <f t="shared" ref="DM35:DM66" si="53">IF(OR($CZ35=1,$CZ35=10),CC35-CP35,BM35-CP35-DQ35-DU35)</f>
        <v>562.34904063813576</v>
      </c>
      <c r="DN35" s="986">
        <f t="shared" ref="DN35:DN66" si="54">IF(OR($CZ35=1,$CZ35=10),CD35-CQ35,BN35-CQ35-DR35-DV35)</f>
        <v>598.50495936186474</v>
      </c>
      <c r="DO35" s="984">
        <f t="shared" ref="DO35:DO66" si="55">BS35*(1-$CG35/100)+BW35*(1-$CG35/100)</f>
        <v>470.18010000000004</v>
      </c>
      <c r="DP35" s="979">
        <f t="shared" si="39"/>
        <v>49.690848251552964</v>
      </c>
      <c r="DQ35" s="983">
        <f t="shared" si="28"/>
        <v>235.90434800000003</v>
      </c>
      <c r="DR35" s="986">
        <f t="shared" si="29"/>
        <v>233.63648000000001</v>
      </c>
      <c r="DS35" s="984">
        <f t="shared" ref="DS35:DS66" si="56">BO35*(1-$CG35/100)</f>
        <v>276.15705000000003</v>
      </c>
      <c r="DT35" s="339">
        <f t="shared" si="40"/>
        <v>49.31052819401134</v>
      </c>
      <c r="DU35" s="983">
        <f t="shared" si="30"/>
        <v>139.63163</v>
      </c>
      <c r="DV35" s="986">
        <f t="shared" si="31"/>
        <v>136.17449999999999</v>
      </c>
      <c r="DW35" s="979">
        <f t="shared" si="32"/>
        <v>39.4</v>
      </c>
      <c r="DX35" s="981">
        <f t="shared" si="33"/>
        <v>38.5</v>
      </c>
      <c r="DY35" s="414">
        <v>62.83</v>
      </c>
      <c r="DZ35" s="111">
        <v>2008</v>
      </c>
      <c r="EA35" s="118">
        <v>2817.7336360000004</v>
      </c>
      <c r="EB35" s="123">
        <v>62</v>
      </c>
      <c r="EC35" s="113">
        <v>2008</v>
      </c>
      <c r="ED35" s="20">
        <v>2781.8389400000001</v>
      </c>
      <c r="EE35" s="414" t="s">
        <v>145</v>
      </c>
      <c r="EF35" s="111" t="s">
        <v>145</v>
      </c>
      <c r="EG35" s="380">
        <v>36.752609252929702</v>
      </c>
      <c r="EH35" s="24" t="s">
        <v>372</v>
      </c>
      <c r="EI35" s="287">
        <v>1</v>
      </c>
      <c r="EJ35" s="40">
        <v>3</v>
      </c>
      <c r="EK35" s="35" t="s">
        <v>145</v>
      </c>
      <c r="EL35" s="95" t="s">
        <v>145</v>
      </c>
      <c r="EM35" s="95" t="s">
        <v>145</v>
      </c>
      <c r="EN35" s="35" t="s">
        <v>145</v>
      </c>
      <c r="EO35" s="95" t="s">
        <v>1646</v>
      </c>
      <c r="EP35" s="205">
        <v>0.49</v>
      </c>
      <c r="EQ35" s="207" t="s">
        <v>145</v>
      </c>
      <c r="ER35" s="517" t="s">
        <v>145</v>
      </c>
      <c r="ES35" s="183"/>
      <c r="ET35" s="183"/>
      <c r="EU35" s="82"/>
      <c r="EV35" s="82"/>
      <c r="EW35" s="82"/>
      <c r="EX35" s="90"/>
      <c r="EY35" s="159"/>
      <c r="EZ35" s="156"/>
      <c r="FA35" s="323"/>
      <c r="FB35" s="323"/>
      <c r="FC35" s="323"/>
      <c r="FD35" s="160"/>
      <c r="FE35" s="156"/>
      <c r="FF35" s="156"/>
      <c r="FG35" s="156"/>
      <c r="FH35" s="157"/>
      <c r="FI35" s="242"/>
      <c r="FJ35" s="240"/>
      <c r="FK35" s="179"/>
      <c r="FL35" s="179"/>
      <c r="FM35" s="179"/>
      <c r="FN35" s="369"/>
      <c r="FO35" s="164"/>
      <c r="FP35" s="255"/>
      <c r="FQ35" s="183"/>
      <c r="FR35" s="257"/>
      <c r="FS35" s="82"/>
      <c r="FT35" s="259"/>
      <c r="FU35" s="82"/>
      <c r="FV35" s="259"/>
      <c r="FW35" s="82"/>
      <c r="FX35" s="259"/>
      <c r="FY35" s="82"/>
      <c r="FZ35" s="259"/>
      <c r="GA35" s="82"/>
      <c r="GB35" s="261"/>
      <c r="GC35" s="90"/>
      <c r="GD35" s="76">
        <v>1</v>
      </c>
      <c r="GE35" s="445" t="s">
        <v>3424</v>
      </c>
      <c r="GF35" s="447" t="s">
        <v>580</v>
      </c>
      <c r="GG35" s="448">
        <v>7</v>
      </c>
      <c r="GH35" s="449">
        <v>7</v>
      </c>
      <c r="GI35" s="447" t="s">
        <v>145</v>
      </c>
      <c r="GJ35" s="449" t="s">
        <v>145</v>
      </c>
      <c r="GK35" s="447" t="s">
        <v>145</v>
      </c>
      <c r="GL35" s="448" t="s">
        <v>145</v>
      </c>
      <c r="GM35" s="449" t="s">
        <v>145</v>
      </c>
      <c r="GN35" s="447" t="s">
        <v>580</v>
      </c>
      <c r="GO35" s="449">
        <v>77</v>
      </c>
      <c r="GP35" s="447">
        <v>24</v>
      </c>
      <c r="GQ35" s="448">
        <v>32</v>
      </c>
      <c r="GR35" s="449">
        <v>21</v>
      </c>
      <c r="GS35" s="446">
        <v>5</v>
      </c>
      <c r="GT35" s="461">
        <v>-1.5287349224090576</v>
      </c>
      <c r="GU35" s="462">
        <v>-2.1458115577697754</v>
      </c>
      <c r="GV35" s="462">
        <v>-1.7808928489685059</v>
      </c>
      <c r="GW35" s="462">
        <v>-1.1283259391784668</v>
      </c>
      <c r="GX35" s="462">
        <v>-1.8342373371124268</v>
      </c>
      <c r="GY35" s="463">
        <v>-1.0414586067199707</v>
      </c>
      <c r="GZ35" s="10">
        <v>187</v>
      </c>
      <c r="HA35" s="536">
        <v>0.12573999999999999</v>
      </c>
      <c r="HB35" s="536">
        <v>3.9210000000000002E-2</v>
      </c>
      <c r="HC35" s="525">
        <v>3.9370000000000002E-2</v>
      </c>
      <c r="HD35" s="526">
        <v>2.7990000000000001E-2</v>
      </c>
      <c r="HE35" s="527">
        <v>0.30990000000000001</v>
      </c>
      <c r="HF35" s="10">
        <v>166</v>
      </c>
      <c r="HG35" s="532">
        <v>0.96</v>
      </c>
      <c r="HH35" s="545">
        <v>1.32</v>
      </c>
      <c r="HI35" s="546">
        <v>0.12</v>
      </c>
      <c r="HJ35" s="547">
        <v>1.91</v>
      </c>
      <c r="HK35" s="379" t="s">
        <v>145</v>
      </c>
      <c r="HL35" s="362" t="s">
        <v>145</v>
      </c>
      <c r="HM35" s="557" t="s">
        <v>145</v>
      </c>
      <c r="HN35" s="557" t="s">
        <v>145</v>
      </c>
      <c r="HO35" s="557" t="s">
        <v>145</v>
      </c>
      <c r="HP35" s="562" t="s">
        <v>145</v>
      </c>
      <c r="HQ35" s="562" t="s">
        <v>145</v>
      </c>
      <c r="HR35" s="563" t="s">
        <v>145</v>
      </c>
      <c r="HS35" s="545" t="s">
        <v>145</v>
      </c>
      <c r="HT35" s="557" t="s">
        <v>145</v>
      </c>
      <c r="HU35" s="557" t="s">
        <v>145</v>
      </c>
      <c r="HV35" s="581" t="s">
        <v>145</v>
      </c>
      <c r="HW35" s="557" t="s">
        <v>145</v>
      </c>
      <c r="HX35" s="557" t="s">
        <v>145</v>
      </c>
      <c r="HY35" s="557" t="s">
        <v>145</v>
      </c>
      <c r="HZ35" s="557" t="s">
        <v>145</v>
      </c>
      <c r="IA35" s="557" t="s">
        <v>145</v>
      </c>
      <c r="IB35" s="557" t="s">
        <v>145</v>
      </c>
      <c r="IC35" s="547" t="s">
        <v>145</v>
      </c>
      <c r="ID35" s="40"/>
      <c r="IE35" s="550"/>
      <c r="IF35" s="550"/>
      <c r="IG35" s="553">
        <v>1</v>
      </c>
      <c r="IH35" s="115"/>
      <c r="II35" s="647" t="s">
        <v>4921</v>
      </c>
      <c r="IJ35" s="423" t="s">
        <v>4918</v>
      </c>
      <c r="IK35" s="10">
        <v>0</v>
      </c>
      <c r="IL35" s="749">
        <f t="shared" ref="IL35:IL66" si="57">L35+T35+U35+AF35+(IF(AG35="2B",2,IF(AG35="3B",3,IF(AG35="4B",4,AG35))))+AS35+BA35+BB35+BE35+BG35+BI35+BJ35</f>
        <v>9</v>
      </c>
      <c r="IM35" s="747">
        <f t="shared" ref="IM35:IM66" si="58">IL35/25*100</f>
        <v>36</v>
      </c>
      <c r="IN35" s="750" t="str">
        <f t="shared" ref="IN35:IN66" si="59">IF(IM35&lt;25,"D",IF(IM35&lt;50,"C",IF(IM35&lt;75,"B","A")))</f>
        <v>C</v>
      </c>
      <c r="IO35" s="446">
        <v>1</v>
      </c>
      <c r="IP35" s="902">
        <v>4</v>
      </c>
      <c r="IQ35" s="903">
        <v>0</v>
      </c>
      <c r="IR35" s="993">
        <v>0</v>
      </c>
      <c r="IT35" s="435"/>
      <c r="IU35" s="435"/>
      <c r="IV35" s="435"/>
    </row>
    <row r="36" spans="1:256">
      <c r="A36" s="21">
        <v>34</v>
      </c>
      <c r="B36" s="9"/>
      <c r="C36" s="430" t="s">
        <v>57</v>
      </c>
      <c r="D36" s="423" t="s">
        <v>406</v>
      </c>
      <c r="E36" s="24" t="s">
        <v>9</v>
      </c>
      <c r="F36" s="76" t="s">
        <v>778</v>
      </c>
      <c r="G36" s="102" t="s">
        <v>619</v>
      </c>
      <c r="H36" s="375" t="s">
        <v>2213</v>
      </c>
      <c r="I36" s="364" t="s">
        <v>2215</v>
      </c>
      <c r="J36" s="176">
        <v>2</v>
      </c>
      <c r="K36" s="88">
        <v>1961</v>
      </c>
      <c r="L36" s="371">
        <v>2</v>
      </c>
      <c r="M36" s="373" t="s">
        <v>145</v>
      </c>
      <c r="N36" s="351" t="s">
        <v>2214</v>
      </c>
      <c r="O36" s="365" t="s">
        <v>2949</v>
      </c>
      <c r="P36" s="378" t="s">
        <v>2948</v>
      </c>
      <c r="Q36" s="370">
        <v>2</v>
      </c>
      <c r="R36" s="370">
        <v>2014</v>
      </c>
      <c r="S36" s="372" t="s">
        <v>1961</v>
      </c>
      <c r="T36" s="370">
        <v>1</v>
      </c>
      <c r="U36" s="176">
        <v>2</v>
      </c>
      <c r="V36" s="176">
        <v>16</v>
      </c>
      <c r="W36" s="369" t="s">
        <v>1822</v>
      </c>
      <c r="X36" s="170">
        <v>0</v>
      </c>
      <c r="Y36" s="369">
        <v>0</v>
      </c>
      <c r="Z36" s="271"/>
      <c r="AA36" s="169" t="s">
        <v>66</v>
      </c>
      <c r="AB36" s="177"/>
      <c r="AC36" s="171"/>
      <c r="AD36" s="366" t="s">
        <v>2950</v>
      </c>
      <c r="AE36" s="357">
        <v>2014</v>
      </c>
      <c r="AF36" s="55">
        <v>1</v>
      </c>
      <c r="AG36" s="550" t="s">
        <v>4272</v>
      </c>
      <c r="AH36" s="355" t="s">
        <v>323</v>
      </c>
      <c r="AI36" s="55">
        <v>0</v>
      </c>
      <c r="AJ36" s="55">
        <v>0</v>
      </c>
      <c r="AK36" s="590" t="s">
        <v>145</v>
      </c>
      <c r="AL36" s="386">
        <v>8</v>
      </c>
      <c r="AM36" s="361" t="s">
        <v>2878</v>
      </c>
      <c r="AN36" s="344" t="s">
        <v>145</v>
      </c>
      <c r="AO36" s="170">
        <v>0</v>
      </c>
      <c r="AP36" s="172">
        <v>0</v>
      </c>
      <c r="AQ36" s="365" t="s">
        <v>5360</v>
      </c>
      <c r="AR36" s="377" t="s">
        <v>4934</v>
      </c>
      <c r="AS36" s="55">
        <v>1</v>
      </c>
      <c r="AT36" s="370">
        <v>3</v>
      </c>
      <c r="AU36" s="724">
        <v>2005</v>
      </c>
      <c r="AV36" s="370">
        <v>5</v>
      </c>
      <c r="AW36" s="589" t="s">
        <v>145</v>
      </c>
      <c r="AX36" s="687">
        <v>0</v>
      </c>
      <c r="AY36" s="174" t="s">
        <v>4577</v>
      </c>
      <c r="AZ36" s="550">
        <v>2004</v>
      </c>
      <c r="BA36" s="550">
        <v>1</v>
      </c>
      <c r="BB36" s="550">
        <v>0</v>
      </c>
      <c r="BC36" s="108" t="s">
        <v>145</v>
      </c>
      <c r="BD36" s="550" t="s">
        <v>145</v>
      </c>
      <c r="BE36" s="550">
        <v>0</v>
      </c>
      <c r="BF36" s="367" t="s">
        <v>145</v>
      </c>
      <c r="BG36" s="367">
        <v>0</v>
      </c>
      <c r="BH36" s="56" t="s">
        <v>145</v>
      </c>
      <c r="BI36" s="367">
        <v>0</v>
      </c>
      <c r="BJ36" s="367">
        <v>0</v>
      </c>
      <c r="BK36" s="888">
        <v>14037.472</v>
      </c>
      <c r="BL36" s="925">
        <f t="shared" si="46"/>
        <v>49.937061317023463</v>
      </c>
      <c r="BM36" s="888">
        <v>7027.5709999999999</v>
      </c>
      <c r="BN36" s="920">
        <v>7009.9009999999998</v>
      </c>
      <c r="BO36" s="888">
        <v>2632.3470000000002</v>
      </c>
      <c r="BP36" s="1158">
        <f t="shared" si="17"/>
        <v>49.531881625028916</v>
      </c>
      <c r="BQ36" s="917">
        <v>1328.4960000000001</v>
      </c>
      <c r="BR36" s="920">
        <v>1303.8510000000001</v>
      </c>
      <c r="BS36" s="888">
        <v>2200.2809999999999</v>
      </c>
      <c r="BT36" s="1158">
        <f t="shared" si="18"/>
        <v>49.572259179622968</v>
      </c>
      <c r="BU36" s="917">
        <v>1109.5519999999999</v>
      </c>
      <c r="BV36" s="920">
        <v>1090.729</v>
      </c>
      <c r="BW36" s="888">
        <v>1866.1010000000001</v>
      </c>
      <c r="BX36" s="1158">
        <f t="shared" si="19"/>
        <v>49.589706023414593</v>
      </c>
      <c r="BY36" s="917">
        <v>940.70699999999999</v>
      </c>
      <c r="BZ36" s="920">
        <v>925.39400000000001</v>
      </c>
      <c r="CA36" s="888">
        <f t="shared" si="20"/>
        <v>7338.7430000000004</v>
      </c>
      <c r="CB36" s="1158">
        <f t="shared" si="21"/>
        <v>50.280095651257973</v>
      </c>
      <c r="CC36" s="917">
        <f t="shared" si="22"/>
        <v>3648.8160000000003</v>
      </c>
      <c r="CD36" s="920">
        <f t="shared" si="23"/>
        <v>3689.9269999999988</v>
      </c>
      <c r="CE36" s="914">
        <v>2015</v>
      </c>
      <c r="CF36" s="910" t="s">
        <v>5630</v>
      </c>
      <c r="CG36" s="1026">
        <v>15.7</v>
      </c>
      <c r="CH36" s="495">
        <v>16.100000000000001</v>
      </c>
      <c r="CI36" s="497">
        <v>15.2</v>
      </c>
      <c r="CJ36" s="904">
        <v>42.2</v>
      </c>
      <c r="CK36" s="904">
        <v>8.6999999999999993</v>
      </c>
      <c r="CL36" s="904">
        <v>2010</v>
      </c>
      <c r="CM36" s="905" t="s">
        <v>5573</v>
      </c>
      <c r="CN36" s="1044">
        <v>4959.7479999999996</v>
      </c>
      <c r="CO36" s="1045">
        <f t="shared" si="47"/>
        <v>35.33220226547914</v>
      </c>
      <c r="CP36" s="1040">
        <f>IF(OR(CZ36=1,CZ36=10),CN36*(1-BL36/100),IF(DA36=6,CN36*(1-BL36/100),CN36*(1-CB36/100)))</f>
        <v>2482.9956000701545</v>
      </c>
      <c r="CQ36" s="1041">
        <f>IF(OR(CZ36=1,CZ36=10),CN36*BL36/100,IF(DA36=6,CN36*BL36/100,CN36*CB36/100))</f>
        <v>2476.7523999298446</v>
      </c>
      <c r="CR36" s="1046">
        <v>2011</v>
      </c>
      <c r="CS36" s="1047" t="s">
        <v>5757</v>
      </c>
      <c r="CT36" s="1068">
        <f t="shared" si="48"/>
        <v>16</v>
      </c>
      <c r="CU36" s="1071">
        <v>18</v>
      </c>
      <c r="CV36" s="1068" t="s">
        <v>5881</v>
      </c>
      <c r="CW36" s="1113">
        <v>4830.8850000000002</v>
      </c>
      <c r="CX36" s="1113">
        <v>4774.7669999999998</v>
      </c>
      <c r="CY36" s="1113">
        <v>10758.945</v>
      </c>
      <c r="CZ36" s="494">
        <v>1</v>
      </c>
      <c r="DA36" s="1104">
        <v>4</v>
      </c>
      <c r="DB36" s="1050" t="s">
        <v>5753</v>
      </c>
      <c r="DC36" s="1143" t="s">
        <v>320</v>
      </c>
      <c r="DD36" s="978">
        <f t="shared" si="34"/>
        <v>8026.0235470000007</v>
      </c>
      <c r="DE36" s="979">
        <f t="shared" si="49"/>
        <v>57.175704763649762</v>
      </c>
      <c r="DF36" s="979">
        <f t="shared" si="35"/>
        <v>50.19313148633794</v>
      </c>
      <c r="DG36" s="980">
        <f t="shared" si="36"/>
        <v>4000.595844929846</v>
      </c>
      <c r="DH36" s="980">
        <f t="shared" si="37"/>
        <v>4028.512552070154</v>
      </c>
      <c r="DI36" s="979">
        <f t="shared" si="50"/>
        <v>56.927149436552767</v>
      </c>
      <c r="DJ36" s="981">
        <f t="shared" si="51"/>
        <v>57.468893670112521</v>
      </c>
      <c r="DK36" s="984">
        <f t="shared" si="52"/>
        <v>2378.9950000000008</v>
      </c>
      <c r="DL36" s="979">
        <f t="shared" si="38"/>
        <v>50.995256403235558</v>
      </c>
      <c r="DM36" s="980">
        <f t="shared" si="53"/>
        <v>1165.8203999298457</v>
      </c>
      <c r="DN36" s="985">
        <f t="shared" si="54"/>
        <v>1213.1746000701542</v>
      </c>
      <c r="DO36" s="984">
        <f t="shared" si="55"/>
        <v>3427.9600259999997</v>
      </c>
      <c r="DP36" s="979">
        <f t="shared" si="39"/>
        <v>49.874336078386932</v>
      </c>
      <c r="DQ36" s="980">
        <f t="shared" si="28"/>
        <v>1720.167301</v>
      </c>
      <c r="DR36" s="985">
        <f t="shared" si="29"/>
        <v>1709.6723039999999</v>
      </c>
      <c r="DS36" s="984">
        <f t="shared" si="56"/>
        <v>2219.0685210000001</v>
      </c>
      <c r="DT36" s="339">
        <f t="shared" si="40"/>
        <v>49.825665027312603</v>
      </c>
      <c r="DU36" s="980">
        <f t="shared" si="30"/>
        <v>1114.608144</v>
      </c>
      <c r="DV36" s="985">
        <f t="shared" si="31"/>
        <v>1105.6656480000001</v>
      </c>
      <c r="DW36" s="979">
        <f t="shared" si="32"/>
        <v>83.899999999999991</v>
      </c>
      <c r="DX36" s="981">
        <f t="shared" si="33"/>
        <v>84.800000000000011</v>
      </c>
      <c r="DY36" s="414">
        <v>61.9</v>
      </c>
      <c r="DZ36" s="111">
        <v>2003</v>
      </c>
      <c r="EA36" s="118">
        <v>7134.2820239999992</v>
      </c>
      <c r="EB36" s="123">
        <v>55</v>
      </c>
      <c r="EC36" s="113">
        <v>2003</v>
      </c>
      <c r="ED36" s="20">
        <v>6339.0227999999988</v>
      </c>
      <c r="EE36" s="414">
        <v>80</v>
      </c>
      <c r="EF36" s="111">
        <v>2001</v>
      </c>
      <c r="EG36" s="380">
        <v>37.267051696777301</v>
      </c>
      <c r="EH36" s="24" t="s">
        <v>372</v>
      </c>
      <c r="EI36" s="287">
        <v>1</v>
      </c>
      <c r="EJ36" s="40">
        <v>3</v>
      </c>
      <c r="EK36" s="35" t="s">
        <v>145</v>
      </c>
      <c r="EL36" s="364" t="s">
        <v>145</v>
      </c>
      <c r="EM36" s="364" t="s">
        <v>145</v>
      </c>
      <c r="EN36" s="35" t="s">
        <v>145</v>
      </c>
      <c r="EO36" s="364" t="s">
        <v>1646</v>
      </c>
      <c r="EP36" s="205">
        <v>0.09</v>
      </c>
      <c r="EQ36" s="207" t="s">
        <v>145</v>
      </c>
      <c r="ER36" s="517">
        <v>1</v>
      </c>
      <c r="ES36" s="183" t="s">
        <v>145</v>
      </c>
      <c r="ET36" s="183" t="s">
        <v>145</v>
      </c>
      <c r="EU36" s="82" t="s">
        <v>145</v>
      </c>
      <c r="EV36" s="82" t="s">
        <v>3751</v>
      </c>
      <c r="EW36" s="82" t="s">
        <v>145</v>
      </c>
      <c r="EX36" s="360" t="s">
        <v>3751</v>
      </c>
      <c r="EY36" s="159"/>
      <c r="EZ36" s="156"/>
      <c r="FA36" s="323"/>
      <c r="FB36" s="323"/>
      <c r="FC36" s="323"/>
      <c r="FD36" s="160"/>
      <c r="FE36" s="156"/>
      <c r="FF36" s="156"/>
      <c r="FG36" s="156"/>
      <c r="FH36" s="157"/>
      <c r="FI36" s="242"/>
      <c r="FJ36" s="373"/>
      <c r="FK36" s="179"/>
      <c r="FL36" s="179"/>
      <c r="FM36" s="179"/>
      <c r="FN36" s="369"/>
      <c r="FO36" s="164"/>
      <c r="FP36" s="255"/>
      <c r="FQ36" s="183"/>
      <c r="FR36" s="257"/>
      <c r="FS36" s="82"/>
      <c r="FT36" s="259"/>
      <c r="FU36" s="82"/>
      <c r="FV36" s="259"/>
      <c r="FW36" s="82"/>
      <c r="FX36" s="259">
        <v>1</v>
      </c>
      <c r="FY36" s="82" t="s">
        <v>1867</v>
      </c>
      <c r="FZ36" s="259"/>
      <c r="GA36" s="82"/>
      <c r="GB36" s="261"/>
      <c r="GC36" s="90"/>
      <c r="GD36" s="76">
        <v>1</v>
      </c>
      <c r="GE36" s="445" t="s">
        <v>3424</v>
      </c>
      <c r="GF36" s="447" t="s">
        <v>580</v>
      </c>
      <c r="GG36" s="448">
        <v>7</v>
      </c>
      <c r="GH36" s="449">
        <v>6</v>
      </c>
      <c r="GI36" s="447" t="s">
        <v>145</v>
      </c>
      <c r="GJ36" s="449" t="s">
        <v>145</v>
      </c>
      <c r="GK36" s="447" t="s">
        <v>145</v>
      </c>
      <c r="GL36" s="448" t="s">
        <v>145</v>
      </c>
      <c r="GM36" s="449" t="s">
        <v>145</v>
      </c>
      <c r="GN36" s="447" t="s">
        <v>580</v>
      </c>
      <c r="GO36" s="449">
        <v>75</v>
      </c>
      <c r="GP36" s="447">
        <v>22</v>
      </c>
      <c r="GQ36" s="448">
        <v>31</v>
      </c>
      <c r="GR36" s="449">
        <v>22</v>
      </c>
      <c r="GS36" s="446">
        <v>-2</v>
      </c>
      <c r="GT36" s="461">
        <v>-1.3838688135147095</v>
      </c>
      <c r="GU36" s="462">
        <v>-1.1007781028747559</v>
      </c>
      <c r="GV36" s="462">
        <v>-1.4959820508956909</v>
      </c>
      <c r="GW36" s="462">
        <v>-1.0154626369476318</v>
      </c>
      <c r="GX36" s="462">
        <v>-1.3724688291549683</v>
      </c>
      <c r="GY36" s="463">
        <v>-1.2849448919296265</v>
      </c>
      <c r="GZ36" s="10">
        <v>189</v>
      </c>
      <c r="HA36" s="536">
        <v>0.10761</v>
      </c>
      <c r="HB36" s="536">
        <v>7.843E-2</v>
      </c>
      <c r="HC36" s="525">
        <v>4.7239999999999997E-2</v>
      </c>
      <c r="HD36" s="526">
        <v>4.1459999999999997E-2</v>
      </c>
      <c r="HE36" s="527">
        <v>0.2341</v>
      </c>
      <c r="HF36" s="10">
        <v>164</v>
      </c>
      <c r="HG36" s="532">
        <v>1.1100000000000001</v>
      </c>
      <c r="HH36" s="545">
        <v>1.65</v>
      </c>
      <c r="HI36" s="546">
        <v>0.08</v>
      </c>
      <c r="HJ36" s="547">
        <v>2.08</v>
      </c>
      <c r="HK36" s="379" t="s">
        <v>145</v>
      </c>
      <c r="HL36" s="362" t="s">
        <v>145</v>
      </c>
      <c r="HM36" s="557" t="s">
        <v>145</v>
      </c>
      <c r="HN36" s="557" t="s">
        <v>145</v>
      </c>
      <c r="HO36" s="557" t="s">
        <v>145</v>
      </c>
      <c r="HP36" s="562" t="s">
        <v>145</v>
      </c>
      <c r="HQ36" s="562" t="s">
        <v>145</v>
      </c>
      <c r="HR36" s="563" t="s">
        <v>145</v>
      </c>
      <c r="HS36" s="545" t="s">
        <v>145</v>
      </c>
      <c r="HT36" s="557" t="s">
        <v>145</v>
      </c>
      <c r="HU36" s="557" t="s">
        <v>145</v>
      </c>
      <c r="HV36" s="581" t="s">
        <v>145</v>
      </c>
      <c r="HW36" s="557" t="s">
        <v>145</v>
      </c>
      <c r="HX36" s="557" t="s">
        <v>145</v>
      </c>
      <c r="HY36" s="557" t="s">
        <v>145</v>
      </c>
      <c r="HZ36" s="557" t="s">
        <v>145</v>
      </c>
      <c r="IA36" s="557" t="s">
        <v>145</v>
      </c>
      <c r="IB36" s="557" t="s">
        <v>145</v>
      </c>
      <c r="IC36" s="547" t="s">
        <v>145</v>
      </c>
      <c r="ID36" s="40"/>
      <c r="IE36" s="550"/>
      <c r="IF36" s="550"/>
      <c r="IG36" s="553">
        <v>1</v>
      </c>
      <c r="IH36" s="115">
        <v>21.7</v>
      </c>
      <c r="II36" s="647" t="s">
        <v>4921</v>
      </c>
      <c r="IJ36" s="423" t="s">
        <v>4918</v>
      </c>
      <c r="IK36" s="10">
        <v>0</v>
      </c>
      <c r="IL36" s="749">
        <f t="shared" si="57"/>
        <v>10</v>
      </c>
      <c r="IM36" s="747">
        <f t="shared" si="58"/>
        <v>40</v>
      </c>
      <c r="IN36" s="750" t="str">
        <f t="shared" si="59"/>
        <v>C</v>
      </c>
      <c r="IO36" s="446">
        <v>1</v>
      </c>
      <c r="IP36" s="902">
        <v>3</v>
      </c>
      <c r="IQ36" s="903">
        <v>0</v>
      </c>
      <c r="IR36" s="993">
        <v>0</v>
      </c>
      <c r="IT36" s="435"/>
      <c r="IU36" s="435"/>
      <c r="IV36" s="435"/>
    </row>
    <row r="37" spans="1:256">
      <c r="A37" s="21">
        <v>35</v>
      </c>
      <c r="B37" s="9"/>
      <c r="C37" s="430" t="s">
        <v>58</v>
      </c>
      <c r="D37" s="424" t="s">
        <v>409</v>
      </c>
      <c r="E37" s="697" t="s">
        <v>17</v>
      </c>
      <c r="F37" s="76" t="s">
        <v>779</v>
      </c>
      <c r="G37" s="102" t="s">
        <v>475</v>
      </c>
      <c r="H37" s="375" t="s">
        <v>1751</v>
      </c>
      <c r="I37" s="364" t="s">
        <v>1749</v>
      </c>
      <c r="J37" s="176">
        <v>1</v>
      </c>
      <c r="K37" s="88">
        <v>1885</v>
      </c>
      <c r="L37" s="371">
        <v>2</v>
      </c>
      <c r="M37" s="240" t="s">
        <v>1816</v>
      </c>
      <c r="N37" s="369" t="s">
        <v>1822</v>
      </c>
      <c r="O37" s="365" t="s">
        <v>1751</v>
      </c>
      <c r="P37" s="378" t="s">
        <v>2844</v>
      </c>
      <c r="Q37" s="370">
        <v>1</v>
      </c>
      <c r="R37" s="370">
        <v>2001</v>
      </c>
      <c r="S37" s="372" t="s">
        <v>3133</v>
      </c>
      <c r="T37" s="370">
        <v>1</v>
      </c>
      <c r="U37" s="370">
        <v>2</v>
      </c>
      <c r="V37" s="176">
        <v>18</v>
      </c>
      <c r="W37" s="351" t="s">
        <v>1819</v>
      </c>
      <c r="X37" s="170">
        <v>1</v>
      </c>
      <c r="Y37" s="369">
        <v>1</v>
      </c>
      <c r="Z37" s="271"/>
      <c r="AA37" s="169">
        <v>1</v>
      </c>
      <c r="AB37" s="177">
        <v>1</v>
      </c>
      <c r="AC37" s="171"/>
      <c r="AD37" s="366" t="s">
        <v>3013</v>
      </c>
      <c r="AE37" s="357">
        <v>2012</v>
      </c>
      <c r="AF37" s="804">
        <v>3</v>
      </c>
      <c r="AG37" s="550" t="s">
        <v>5171</v>
      </c>
      <c r="AH37" s="355" t="s">
        <v>3014</v>
      </c>
      <c r="AI37" s="55">
        <v>1</v>
      </c>
      <c r="AJ37" s="55">
        <v>1</v>
      </c>
      <c r="AK37" s="590" t="s">
        <v>145</v>
      </c>
      <c r="AL37" s="386">
        <v>2</v>
      </c>
      <c r="AM37" s="361" t="s">
        <v>3015</v>
      </c>
      <c r="AN37" s="397" t="s">
        <v>145</v>
      </c>
      <c r="AO37" s="170">
        <v>1</v>
      </c>
      <c r="AP37" s="369">
        <v>1</v>
      </c>
      <c r="AQ37" s="365" t="s">
        <v>4964</v>
      </c>
      <c r="AR37" s="378" t="s">
        <v>4965</v>
      </c>
      <c r="AS37" s="55">
        <v>2</v>
      </c>
      <c r="AT37" s="370">
        <v>5</v>
      </c>
      <c r="AU37" s="371">
        <v>2013</v>
      </c>
      <c r="AV37" s="370">
        <v>5</v>
      </c>
      <c r="AW37" s="589">
        <v>480</v>
      </c>
      <c r="AX37" s="687">
        <v>1</v>
      </c>
      <c r="AY37" s="174" t="s">
        <v>4322</v>
      </c>
      <c r="AZ37" s="550">
        <v>2013</v>
      </c>
      <c r="BA37" s="550">
        <v>1</v>
      </c>
      <c r="BB37" s="550">
        <v>2</v>
      </c>
      <c r="BC37" s="174" t="s">
        <v>4323</v>
      </c>
      <c r="BD37" s="550">
        <v>2013</v>
      </c>
      <c r="BE37" s="550">
        <v>2</v>
      </c>
      <c r="BF37" s="371" t="s">
        <v>2748</v>
      </c>
      <c r="BG37" s="371">
        <v>1</v>
      </c>
      <c r="BH37" s="1" t="s">
        <v>4324</v>
      </c>
      <c r="BI37" s="371">
        <v>3</v>
      </c>
      <c r="BJ37" s="371">
        <v>1</v>
      </c>
      <c r="BK37" s="888">
        <v>17948.141</v>
      </c>
      <c r="BL37" s="925">
        <f t="shared" si="46"/>
        <v>50.663029669757996</v>
      </c>
      <c r="BM37" s="888">
        <v>8855.0689999999995</v>
      </c>
      <c r="BN37" s="920">
        <v>9093.0720000000001</v>
      </c>
      <c r="BO37" s="888">
        <v>1170.4110000000001</v>
      </c>
      <c r="BP37" s="1158">
        <f t="shared" si="17"/>
        <v>49.097368360345207</v>
      </c>
      <c r="BQ37" s="917">
        <v>595.77</v>
      </c>
      <c r="BR37" s="920">
        <v>574.64099999999996</v>
      </c>
      <c r="BS37" s="888">
        <v>1199.567</v>
      </c>
      <c r="BT37" s="1158">
        <f t="shared" si="18"/>
        <v>49.152986035794591</v>
      </c>
      <c r="BU37" s="917">
        <v>609.94399999999996</v>
      </c>
      <c r="BV37" s="920">
        <v>589.62300000000005</v>
      </c>
      <c r="BW37" s="888">
        <v>1246.0219999999999</v>
      </c>
      <c r="BX37" s="1158">
        <f t="shared" si="19"/>
        <v>49.08565017311092</v>
      </c>
      <c r="BY37" s="917">
        <v>634.404</v>
      </c>
      <c r="BZ37" s="920">
        <v>611.61800000000005</v>
      </c>
      <c r="CA37" s="888">
        <f t="shared" si="20"/>
        <v>14332.141</v>
      </c>
      <c r="CB37" s="1158">
        <f t="shared" si="21"/>
        <v>51.054409805206355</v>
      </c>
      <c r="CC37" s="917">
        <f t="shared" si="22"/>
        <v>7014.9509999999991</v>
      </c>
      <c r="CD37" s="920">
        <f t="shared" si="23"/>
        <v>7317.1900000000005</v>
      </c>
      <c r="CE37" s="914">
        <v>2015</v>
      </c>
      <c r="CF37" s="910" t="s">
        <v>5630</v>
      </c>
      <c r="CG37" s="930">
        <v>99.4</v>
      </c>
      <c r="CH37" s="504">
        <v>99.4</v>
      </c>
      <c r="CI37" s="1008">
        <v>99.4</v>
      </c>
      <c r="CJ37" s="904" t="s">
        <v>1621</v>
      </c>
      <c r="CK37" s="904" t="s">
        <v>1621</v>
      </c>
      <c r="CL37" s="904">
        <v>2011</v>
      </c>
      <c r="CM37" s="905" t="s">
        <v>5587</v>
      </c>
      <c r="CN37" s="1044">
        <v>13573.143</v>
      </c>
      <c r="CO37" s="1045">
        <f t="shared" si="47"/>
        <v>75.624227601064646</v>
      </c>
      <c r="CP37" s="1040">
        <f>IF(OR(CZ37=1,CZ37=10),CN37*(1-BL37/100),IF(DA37=6,CN37*(1-BL37/100),CN37*(1-CB37/100)))</f>
        <v>6696.5775347913195</v>
      </c>
      <c r="CQ37" s="1041">
        <f>IF(OR(CZ37=1,CZ37=10),CN37*BL37/100,IF(DA37=6,CN37*BL37/100,CN37*CB37/100))</f>
        <v>6876.5654652086805</v>
      </c>
      <c r="CR37" s="1046">
        <v>2013</v>
      </c>
      <c r="CS37" s="1047" t="s">
        <v>5775</v>
      </c>
      <c r="CT37" s="1068">
        <f t="shared" si="48"/>
        <v>18</v>
      </c>
      <c r="CU37" s="1071">
        <v>18</v>
      </c>
      <c r="CV37" s="1068" t="s">
        <v>5882</v>
      </c>
      <c r="CW37" s="1113">
        <v>13573.143</v>
      </c>
      <c r="CX37" s="1113">
        <v>12456.705</v>
      </c>
      <c r="CY37" s="1113">
        <v>17216.945</v>
      </c>
      <c r="CZ37" s="494">
        <v>1</v>
      </c>
      <c r="DA37" s="1104">
        <v>4</v>
      </c>
      <c r="DB37" s="1050" t="s">
        <v>647</v>
      </c>
      <c r="DC37" s="1146" t="s">
        <v>322</v>
      </c>
      <c r="DD37" s="982">
        <f t="shared" si="34"/>
        <v>780.69399999999928</v>
      </c>
      <c r="DE37" s="979">
        <f t="shared" si="49"/>
        <v>4.3497206758070339</v>
      </c>
      <c r="DF37" s="979">
        <f t="shared" si="35"/>
        <v>57.80495646070294</v>
      </c>
      <c r="DG37" s="983">
        <f t="shared" si="36"/>
        <v>329.41417320867936</v>
      </c>
      <c r="DH37" s="983">
        <f t="shared" si="37"/>
        <v>451.27982679131981</v>
      </c>
      <c r="DI37" s="979">
        <f t="shared" si="50"/>
        <v>3.7200633129869383</v>
      </c>
      <c r="DJ37" s="981">
        <f t="shared" si="51"/>
        <v>4.9628973221736263</v>
      </c>
      <c r="DK37" s="984">
        <f t="shared" si="52"/>
        <v>758.99799999999959</v>
      </c>
      <c r="DL37" s="979">
        <f t="shared" si="38"/>
        <v>58.053451364999674</v>
      </c>
      <c r="DM37" s="983">
        <f t="shared" si="53"/>
        <v>318.37346520867959</v>
      </c>
      <c r="DN37" s="986">
        <f t="shared" si="54"/>
        <v>440.62453479132</v>
      </c>
      <c r="DO37" s="984">
        <f t="shared" si="55"/>
        <v>14.673533999999741</v>
      </c>
      <c r="DP37" s="979">
        <f t="shared" si="39"/>
        <v>49.118678567821497</v>
      </c>
      <c r="DQ37" s="983">
        <f t="shared" si="28"/>
        <v>7.4660879999998677</v>
      </c>
      <c r="DR37" s="986">
        <f t="shared" si="29"/>
        <v>7.207445999999873</v>
      </c>
      <c r="DS37" s="984">
        <f t="shared" si="56"/>
        <v>7.0224659999998771</v>
      </c>
      <c r="DT37" s="339">
        <f t="shared" si="40"/>
        <v>49.0973683603452</v>
      </c>
      <c r="DU37" s="983">
        <f t="shared" si="30"/>
        <v>3.5746199999999368</v>
      </c>
      <c r="DV37" s="986">
        <f t="shared" si="31"/>
        <v>3.4478459999999389</v>
      </c>
      <c r="DW37" s="979">
        <f t="shared" si="32"/>
        <v>0.59999999999998943</v>
      </c>
      <c r="DX37" s="981">
        <f t="shared" si="33"/>
        <v>0.59999999999998943</v>
      </c>
      <c r="DY37" s="414">
        <v>1.35</v>
      </c>
      <c r="DZ37" s="111">
        <v>2009</v>
      </c>
      <c r="EA37" s="118">
        <v>233</v>
      </c>
      <c r="EB37" s="123">
        <v>15.1</v>
      </c>
      <c r="EC37" s="113">
        <v>2009</v>
      </c>
      <c r="ED37" s="20">
        <v>2607.6982750000002</v>
      </c>
      <c r="EE37" s="414">
        <v>15.1</v>
      </c>
      <c r="EF37" s="111">
        <v>2009</v>
      </c>
      <c r="EG37" s="380">
        <v>98.553672790527301</v>
      </c>
      <c r="EH37" s="24" t="s">
        <v>358</v>
      </c>
      <c r="EI37" s="287">
        <v>0</v>
      </c>
      <c r="EJ37" s="40" t="s">
        <v>145</v>
      </c>
      <c r="EK37" s="35" t="s">
        <v>145</v>
      </c>
      <c r="EL37" s="364" t="s">
        <v>145</v>
      </c>
      <c r="EM37" s="364" t="s">
        <v>145</v>
      </c>
      <c r="EN37" s="35" t="s">
        <v>145</v>
      </c>
      <c r="EO37" s="364" t="s">
        <v>145</v>
      </c>
      <c r="EP37" s="205" t="s">
        <v>145</v>
      </c>
      <c r="EQ37" s="207" t="s">
        <v>145</v>
      </c>
      <c r="ER37" s="517">
        <v>2</v>
      </c>
      <c r="ES37" s="183" t="s">
        <v>145</v>
      </c>
      <c r="ET37" s="183" t="s">
        <v>145</v>
      </c>
      <c r="EU37" s="82" t="s">
        <v>3864</v>
      </c>
      <c r="EV37" s="82" t="s">
        <v>145</v>
      </c>
      <c r="EW37" s="82" t="s">
        <v>3865</v>
      </c>
      <c r="EX37" s="360" t="s">
        <v>145</v>
      </c>
      <c r="EY37" s="159">
        <v>15116435</v>
      </c>
      <c r="EZ37" s="156">
        <v>2002</v>
      </c>
      <c r="FA37" s="323">
        <v>86</v>
      </c>
      <c r="FB37" s="323">
        <v>14</v>
      </c>
      <c r="FC37" s="323">
        <v>18.8</v>
      </c>
      <c r="FD37" s="231" t="s">
        <v>1747</v>
      </c>
      <c r="FE37" s="156">
        <v>95.7</v>
      </c>
      <c r="FF37" s="156" t="s">
        <v>1673</v>
      </c>
      <c r="FG37" s="156" t="s">
        <v>1748</v>
      </c>
      <c r="FH37" s="157" t="s">
        <v>318</v>
      </c>
      <c r="FI37" s="242">
        <v>1</v>
      </c>
      <c r="FJ37" s="240" t="s">
        <v>1816</v>
      </c>
      <c r="FK37" s="179" t="s">
        <v>145</v>
      </c>
      <c r="FL37" s="236" t="s">
        <v>1817</v>
      </c>
      <c r="FM37" s="236" t="s">
        <v>1819</v>
      </c>
      <c r="FN37" s="351" t="s">
        <v>1820</v>
      </c>
      <c r="FO37" s="165" t="s">
        <v>1752</v>
      </c>
      <c r="FP37" s="255">
        <v>1</v>
      </c>
      <c r="FQ37" s="183" t="s">
        <v>1612</v>
      </c>
      <c r="FR37" s="257"/>
      <c r="FS37" s="82"/>
      <c r="FT37" s="259"/>
      <c r="FU37" s="82"/>
      <c r="FV37" s="259"/>
      <c r="FW37" s="82"/>
      <c r="FX37" s="259"/>
      <c r="FY37" s="82"/>
      <c r="FZ37" s="259"/>
      <c r="GA37" s="82"/>
      <c r="GB37" s="261"/>
      <c r="GC37" s="90"/>
      <c r="GD37" s="76">
        <v>1</v>
      </c>
      <c r="GE37" s="445" t="s">
        <v>3424</v>
      </c>
      <c r="GF37" s="447" t="s">
        <v>10</v>
      </c>
      <c r="GG37" s="448">
        <v>1</v>
      </c>
      <c r="GH37" s="449">
        <v>1</v>
      </c>
      <c r="GI37" s="447" t="s">
        <v>145</v>
      </c>
      <c r="GJ37" s="449" t="s">
        <v>145</v>
      </c>
      <c r="GK37" s="447" t="s">
        <v>145</v>
      </c>
      <c r="GL37" s="448" t="s">
        <v>145</v>
      </c>
      <c r="GM37" s="449" t="s">
        <v>145</v>
      </c>
      <c r="GN37" s="447" t="s">
        <v>590</v>
      </c>
      <c r="GO37" s="449">
        <v>31</v>
      </c>
      <c r="GP37" s="447">
        <v>8</v>
      </c>
      <c r="GQ37" s="448">
        <v>14</v>
      </c>
      <c r="GR37" s="449">
        <v>9</v>
      </c>
      <c r="GS37" s="446">
        <v>10</v>
      </c>
      <c r="GT37" s="461">
        <v>1.0918170213699341</v>
      </c>
      <c r="GU37" s="462">
        <v>0.37345930933952332</v>
      </c>
      <c r="GV37" s="462">
        <v>1.245018482208252</v>
      </c>
      <c r="GW37" s="462">
        <v>1.4807983636856079</v>
      </c>
      <c r="GX37" s="462">
        <v>1.3384380340576172</v>
      </c>
      <c r="GY37" s="463">
        <v>1.5170445442199707</v>
      </c>
      <c r="GZ37" s="10">
        <v>33</v>
      </c>
      <c r="HA37" s="536">
        <v>0.71216000000000002</v>
      </c>
      <c r="HB37" s="536">
        <v>0.94116999999999995</v>
      </c>
      <c r="HC37" s="525">
        <v>0.81889000000000001</v>
      </c>
      <c r="HD37" s="526">
        <v>0.49396000000000001</v>
      </c>
      <c r="HE37" s="527">
        <v>0.8236</v>
      </c>
      <c r="HF37" s="10">
        <v>56</v>
      </c>
      <c r="HG37" s="532">
        <v>5.92</v>
      </c>
      <c r="HH37" s="545">
        <v>6.35</v>
      </c>
      <c r="HI37" s="546">
        <v>4.08</v>
      </c>
      <c r="HJ37" s="547">
        <v>8.7200000000000006</v>
      </c>
      <c r="HK37" s="379" t="s">
        <v>4024</v>
      </c>
      <c r="HL37" s="23" t="s">
        <v>4672</v>
      </c>
      <c r="HM37" s="557">
        <v>1999</v>
      </c>
      <c r="HN37" s="557">
        <v>1999</v>
      </c>
      <c r="HO37" s="557" t="s">
        <v>3985</v>
      </c>
      <c r="HP37" s="562" t="s">
        <v>4877</v>
      </c>
      <c r="HQ37" s="639" t="s">
        <v>4878</v>
      </c>
      <c r="HR37" s="563" t="s">
        <v>4692</v>
      </c>
      <c r="HS37" s="545">
        <v>37</v>
      </c>
      <c r="HT37" s="557">
        <v>93</v>
      </c>
      <c r="HU37" s="557">
        <v>2008</v>
      </c>
      <c r="HV37" s="583" t="s">
        <v>4180</v>
      </c>
      <c r="HW37" s="557">
        <v>5</v>
      </c>
      <c r="HX37" s="557">
        <v>16</v>
      </c>
      <c r="HY37" s="557">
        <v>21</v>
      </c>
      <c r="HZ37" s="557">
        <v>14</v>
      </c>
      <c r="IA37" s="557">
        <v>23</v>
      </c>
      <c r="IB37" s="557">
        <v>4</v>
      </c>
      <c r="IC37" s="547">
        <v>10</v>
      </c>
      <c r="ID37" s="660"/>
      <c r="IE37" s="355" t="s">
        <v>5200</v>
      </c>
      <c r="IF37" s="355" t="s">
        <v>5202</v>
      </c>
      <c r="IG37" s="553"/>
      <c r="IH37" s="339"/>
      <c r="II37" s="553" t="s">
        <v>4922</v>
      </c>
      <c r="IJ37" s="424" t="s">
        <v>4926</v>
      </c>
      <c r="IK37" s="24">
        <v>0</v>
      </c>
      <c r="IL37" s="749">
        <f t="shared" si="57"/>
        <v>24</v>
      </c>
      <c r="IM37" s="747">
        <f t="shared" si="58"/>
        <v>96</v>
      </c>
      <c r="IN37" s="750" t="str">
        <f t="shared" si="59"/>
        <v>A</v>
      </c>
      <c r="IO37" s="446"/>
      <c r="IP37" s="902">
        <v>4</v>
      </c>
      <c r="IQ37" s="903">
        <v>0</v>
      </c>
      <c r="IR37" s="993">
        <v>0</v>
      </c>
      <c r="IT37" s="435"/>
      <c r="IU37" s="435"/>
      <c r="IV37" s="435"/>
    </row>
    <row r="38" spans="1:256">
      <c r="A38" s="21">
        <v>36</v>
      </c>
      <c r="B38" s="9"/>
      <c r="C38" s="430" t="s">
        <v>59</v>
      </c>
      <c r="D38" s="423" t="s">
        <v>407</v>
      </c>
      <c r="E38" s="24" t="s">
        <v>12</v>
      </c>
      <c r="F38" s="76" t="s">
        <v>780</v>
      </c>
      <c r="G38" s="102" t="s">
        <v>477</v>
      </c>
      <c r="H38" s="365" t="s">
        <v>1964</v>
      </c>
      <c r="I38" s="95" t="s">
        <v>2216</v>
      </c>
      <c r="J38" s="176">
        <v>2</v>
      </c>
      <c r="K38" s="88">
        <v>1949</v>
      </c>
      <c r="L38" s="371">
        <v>2</v>
      </c>
      <c r="M38" s="240" t="s">
        <v>1825</v>
      </c>
      <c r="N38" s="369" t="s">
        <v>1822</v>
      </c>
      <c r="O38" s="365" t="s">
        <v>1964</v>
      </c>
      <c r="P38" s="392" t="s">
        <v>2216</v>
      </c>
      <c r="Q38" s="370">
        <v>6</v>
      </c>
      <c r="R38" s="370">
        <v>1984</v>
      </c>
      <c r="S38" s="372" t="s">
        <v>1963</v>
      </c>
      <c r="T38" s="370">
        <v>1</v>
      </c>
      <c r="U38" s="370">
        <v>2</v>
      </c>
      <c r="V38" s="176">
        <v>16</v>
      </c>
      <c r="W38" s="369" t="s">
        <v>2793</v>
      </c>
      <c r="X38" s="170">
        <v>1</v>
      </c>
      <c r="Y38" s="369">
        <v>1</v>
      </c>
      <c r="Z38" s="273" t="s">
        <v>2794</v>
      </c>
      <c r="AA38" s="169">
        <v>1</v>
      </c>
      <c r="AB38" s="177">
        <v>1</v>
      </c>
      <c r="AC38" s="171"/>
      <c r="AD38" s="174" t="s">
        <v>1964</v>
      </c>
      <c r="AE38" s="357">
        <v>2005</v>
      </c>
      <c r="AF38" s="357">
        <v>2</v>
      </c>
      <c r="AG38" s="550" t="s">
        <v>5171</v>
      </c>
      <c r="AH38" s="355" t="s">
        <v>2784</v>
      </c>
      <c r="AI38" s="55">
        <v>0</v>
      </c>
      <c r="AJ38" s="55">
        <v>0</v>
      </c>
      <c r="AK38" s="589">
        <v>1200000</v>
      </c>
      <c r="AL38" s="386">
        <v>9</v>
      </c>
      <c r="AM38" s="361" t="s">
        <v>2795</v>
      </c>
      <c r="AN38" s="344" t="s">
        <v>145</v>
      </c>
      <c r="AO38" s="170">
        <v>1</v>
      </c>
      <c r="AP38" s="369">
        <v>1</v>
      </c>
      <c r="AQ38" s="365" t="s">
        <v>4966</v>
      </c>
      <c r="AR38" s="685" t="s">
        <v>4967</v>
      </c>
      <c r="AS38" s="55">
        <v>2</v>
      </c>
      <c r="AT38" s="370">
        <v>2</v>
      </c>
      <c r="AU38" s="371">
        <v>2011</v>
      </c>
      <c r="AV38" s="370">
        <v>5</v>
      </c>
      <c r="AW38" s="589" t="s">
        <v>145</v>
      </c>
      <c r="AX38" s="687">
        <v>0</v>
      </c>
      <c r="AY38" s="174" t="s">
        <v>4325</v>
      </c>
      <c r="AZ38" s="550">
        <v>2012</v>
      </c>
      <c r="BA38" s="550">
        <v>1</v>
      </c>
      <c r="BB38" s="550">
        <v>2</v>
      </c>
      <c r="BC38" s="174" t="s">
        <v>4326</v>
      </c>
      <c r="BD38" s="550">
        <v>1993</v>
      </c>
      <c r="BE38" s="550">
        <v>1</v>
      </c>
      <c r="BF38" s="371" t="s">
        <v>323</v>
      </c>
      <c r="BG38" s="371">
        <v>0</v>
      </c>
      <c r="BH38" s="56" t="s">
        <v>145</v>
      </c>
      <c r="BI38" s="371">
        <v>0</v>
      </c>
      <c r="BJ38" s="371">
        <v>1</v>
      </c>
      <c r="BK38" s="888">
        <v>1376048.943</v>
      </c>
      <c r="BL38" s="925">
        <f t="shared" si="46"/>
        <v>48.477332902540518</v>
      </c>
      <c r="BM38" s="888">
        <v>708977.11600000004</v>
      </c>
      <c r="BN38" s="920">
        <v>667071.82700000005</v>
      </c>
      <c r="BO38" s="888">
        <v>83185.944000000003</v>
      </c>
      <c r="BP38" s="1158">
        <f t="shared" si="17"/>
        <v>46.326939560846967</v>
      </c>
      <c r="BQ38" s="917">
        <v>44648.442000000003</v>
      </c>
      <c r="BR38" s="920">
        <v>38537.502</v>
      </c>
      <c r="BS38" s="888">
        <v>78637.403999999995</v>
      </c>
      <c r="BT38" s="1158">
        <f t="shared" si="18"/>
        <v>46.143451022365902</v>
      </c>
      <c r="BU38" s="917">
        <v>42351.392</v>
      </c>
      <c r="BV38" s="920">
        <v>36286.012000000002</v>
      </c>
      <c r="BW38" s="888">
        <v>75291.907999999996</v>
      </c>
      <c r="BX38" s="1158">
        <f t="shared" si="19"/>
        <v>46.394542159829456</v>
      </c>
      <c r="BY38" s="917">
        <v>40360.572</v>
      </c>
      <c r="BZ38" s="920">
        <v>34931.336000000003</v>
      </c>
      <c r="CA38" s="888">
        <f t="shared" si="20"/>
        <v>1138933.6869999999</v>
      </c>
      <c r="CB38" s="1158">
        <f t="shared" si="21"/>
        <v>48.933224415198119</v>
      </c>
      <c r="CC38" s="917">
        <f t="shared" si="22"/>
        <v>581616.71</v>
      </c>
      <c r="CD38" s="920">
        <f t="shared" si="23"/>
        <v>557316.97700000007</v>
      </c>
      <c r="CE38" s="914">
        <v>2015</v>
      </c>
      <c r="CF38" s="910" t="s">
        <v>5630</v>
      </c>
      <c r="CG38" s="931">
        <v>95</v>
      </c>
      <c r="CH38" s="504">
        <v>95</v>
      </c>
      <c r="CI38" s="1008">
        <v>95</v>
      </c>
      <c r="CJ38" s="904" t="s">
        <v>1621</v>
      </c>
      <c r="CK38" s="904" t="s">
        <v>1621</v>
      </c>
      <c r="CL38" s="906">
        <v>2013</v>
      </c>
      <c r="CM38" s="1002" t="s">
        <v>5700</v>
      </c>
      <c r="CN38" s="1051">
        <f>BK38-13760</f>
        <v>1362288.943</v>
      </c>
      <c r="CO38" s="1052">
        <f t="shared" si="47"/>
        <v>99.000035567775598</v>
      </c>
      <c r="CP38" s="1040">
        <f>IF(OR(CZ38=1,CZ38=10),CN38*(1-BL38/100),IF(DA38=6,CN38*(1-BL38/100),CN38*(1-CB38/100)))</f>
        <v>701887.59700738953</v>
      </c>
      <c r="CQ38" s="1041">
        <f>IF(OR(CZ38=1,CZ38=10),CN38*BL38/100,IF(DA38=6,CN38*BL38/100,CN38*CB38/100))</f>
        <v>660401.34599261044</v>
      </c>
      <c r="CR38" s="1046">
        <v>2014</v>
      </c>
      <c r="CS38" s="1047" t="s">
        <v>5700</v>
      </c>
      <c r="CT38" s="1068">
        <f t="shared" si="48"/>
        <v>16</v>
      </c>
      <c r="CU38" s="1071">
        <v>18</v>
      </c>
      <c r="CV38" s="1117" t="s">
        <v>5825</v>
      </c>
      <c r="CW38" s="1113" t="s">
        <v>145</v>
      </c>
      <c r="CX38" s="1113" t="s">
        <v>145</v>
      </c>
      <c r="CY38" s="1113" t="s">
        <v>145</v>
      </c>
      <c r="CZ38" s="494">
        <v>2</v>
      </c>
      <c r="DA38" s="1162">
        <v>6</v>
      </c>
      <c r="DB38" s="1050" t="s">
        <v>647</v>
      </c>
      <c r="DC38" s="1146" t="s">
        <v>322</v>
      </c>
      <c r="DD38" s="978">
        <f t="shared" si="34"/>
        <v>13760</v>
      </c>
      <c r="DE38" s="979">
        <f t="shared" si="49"/>
        <v>0.999964432224414</v>
      </c>
      <c r="DF38" s="979">
        <f t="shared" si="35"/>
        <v>48.477332902540752</v>
      </c>
      <c r="DG38" s="980">
        <f t="shared" si="36"/>
        <v>7089.5189926105086</v>
      </c>
      <c r="DH38" s="980">
        <f t="shared" si="37"/>
        <v>6670.4810073896078</v>
      </c>
      <c r="DI38" s="979">
        <f t="shared" si="50"/>
        <v>0.99996443222442577</v>
      </c>
      <c r="DJ38" s="981">
        <f t="shared" si="51"/>
        <v>0.99996443222441878</v>
      </c>
      <c r="DK38" s="984">
        <f t="shared" si="52"/>
        <v>1904.2371999999896</v>
      </c>
      <c r="DL38" s="979">
        <f t="shared" si="38"/>
        <v>62.110881322432377</v>
      </c>
      <c r="DM38" s="980">
        <f t="shared" si="53"/>
        <v>721.49869261050253</v>
      </c>
      <c r="DN38" s="985">
        <f t="shared" si="54"/>
        <v>1182.7385073896028</v>
      </c>
      <c r="DO38" s="984">
        <f t="shared" si="55"/>
        <v>7696.4656000000068</v>
      </c>
      <c r="DP38" s="979">
        <f t="shared" si="39"/>
        <v>46.266267986697692</v>
      </c>
      <c r="DQ38" s="980">
        <f t="shared" si="28"/>
        <v>4135.598200000004</v>
      </c>
      <c r="DR38" s="985">
        <f t="shared" si="29"/>
        <v>3560.8674000000033</v>
      </c>
      <c r="DS38" s="984">
        <f t="shared" si="56"/>
        <v>4159.2972000000036</v>
      </c>
      <c r="DT38" s="339">
        <f t="shared" si="40"/>
        <v>46.326939560846967</v>
      </c>
      <c r="DU38" s="980">
        <f t="shared" si="30"/>
        <v>2232.422100000002</v>
      </c>
      <c r="DV38" s="985">
        <f t="shared" si="31"/>
        <v>1926.8751000000018</v>
      </c>
      <c r="DW38" s="979">
        <f t="shared" si="32"/>
        <v>5.0000000000000044</v>
      </c>
      <c r="DX38" s="981">
        <f t="shared" si="33"/>
        <v>5.0000000000000044</v>
      </c>
      <c r="DY38" s="414">
        <v>11.8</v>
      </c>
      <c r="DZ38" s="111">
        <v>2009</v>
      </c>
      <c r="EA38" s="118">
        <v>158607.34000000003</v>
      </c>
      <c r="EB38" s="415">
        <v>2.5</v>
      </c>
      <c r="EC38" s="113">
        <v>2005</v>
      </c>
      <c r="ED38" s="20">
        <v>33603.25</v>
      </c>
      <c r="EE38" s="414">
        <v>6.1</v>
      </c>
      <c r="EF38" s="111" t="s">
        <v>145</v>
      </c>
      <c r="EG38" s="380">
        <v>95.124473571777301</v>
      </c>
      <c r="EH38" s="24" t="s">
        <v>378</v>
      </c>
      <c r="EI38" s="287">
        <v>3</v>
      </c>
      <c r="EJ38" s="40">
        <v>3</v>
      </c>
      <c r="EK38" s="35" t="s">
        <v>728</v>
      </c>
      <c r="EL38" s="95" t="s">
        <v>1668</v>
      </c>
      <c r="EM38" s="95" t="s">
        <v>145</v>
      </c>
      <c r="EN38" s="35" t="s">
        <v>145</v>
      </c>
      <c r="EO38" s="95" t="s">
        <v>1726</v>
      </c>
      <c r="EP38" s="205">
        <v>0</v>
      </c>
      <c r="EQ38" s="207" t="s">
        <v>145</v>
      </c>
      <c r="ER38" s="517">
        <v>1</v>
      </c>
      <c r="ES38" s="183" t="s">
        <v>145</v>
      </c>
      <c r="ET38" s="183" t="s">
        <v>145</v>
      </c>
      <c r="EU38" s="82" t="s">
        <v>3850</v>
      </c>
      <c r="EV38" s="82" t="s">
        <v>145</v>
      </c>
      <c r="EW38" s="82" t="s">
        <v>145</v>
      </c>
      <c r="EX38" s="360" t="s">
        <v>145</v>
      </c>
      <c r="EY38" s="159"/>
      <c r="EZ38" s="156"/>
      <c r="FA38" s="323"/>
      <c r="FB38" s="323"/>
      <c r="FC38" s="323"/>
      <c r="FD38" s="160"/>
      <c r="FE38" s="156"/>
      <c r="FF38" s="156"/>
      <c r="FG38" s="156"/>
      <c r="FH38" s="157"/>
      <c r="FI38" s="242"/>
      <c r="FJ38" s="240"/>
      <c r="FK38" s="179"/>
      <c r="FL38" s="179"/>
      <c r="FM38" s="179"/>
      <c r="FN38" s="172"/>
      <c r="FO38" s="164"/>
      <c r="FP38" s="255">
        <v>1</v>
      </c>
      <c r="FQ38" s="183" t="s">
        <v>1868</v>
      </c>
      <c r="FR38" s="257"/>
      <c r="FS38" s="82"/>
      <c r="FT38" s="259"/>
      <c r="FU38" s="82"/>
      <c r="FV38" s="259"/>
      <c r="FW38" s="82"/>
      <c r="FX38" s="259"/>
      <c r="FY38" s="82"/>
      <c r="FZ38" s="259"/>
      <c r="GA38" s="82"/>
      <c r="GB38" s="261"/>
      <c r="GC38" s="90"/>
      <c r="GD38" s="76">
        <v>1</v>
      </c>
      <c r="GE38" s="445" t="s">
        <v>3424</v>
      </c>
      <c r="GF38" s="447" t="s">
        <v>580</v>
      </c>
      <c r="GG38" s="448">
        <v>7</v>
      </c>
      <c r="GH38" s="449">
        <v>6</v>
      </c>
      <c r="GI38" s="447" t="s">
        <v>580</v>
      </c>
      <c r="GJ38" s="449">
        <v>87</v>
      </c>
      <c r="GK38" s="447">
        <v>19</v>
      </c>
      <c r="GL38" s="448">
        <v>29</v>
      </c>
      <c r="GM38" s="449">
        <v>39</v>
      </c>
      <c r="GN38" s="447" t="s">
        <v>580</v>
      </c>
      <c r="GO38" s="449">
        <v>84</v>
      </c>
      <c r="GP38" s="447">
        <v>29</v>
      </c>
      <c r="GQ38" s="448">
        <v>33</v>
      </c>
      <c r="GR38" s="449">
        <v>22</v>
      </c>
      <c r="GS38" s="446">
        <v>2</v>
      </c>
      <c r="GT38" s="461">
        <v>-1.5769116878509521</v>
      </c>
      <c r="GU38" s="462">
        <v>-0.54609090089797974</v>
      </c>
      <c r="GV38" s="462">
        <v>-2.9264414682984352E-2</v>
      </c>
      <c r="GW38" s="462">
        <v>-0.30694115161895752</v>
      </c>
      <c r="GX38" s="462">
        <v>-0.45593065023422241</v>
      </c>
      <c r="GY38" s="463">
        <v>-0.35417136549949646</v>
      </c>
      <c r="GZ38" s="10">
        <v>70</v>
      </c>
      <c r="HA38" s="536">
        <v>0.54500999999999999</v>
      </c>
      <c r="HB38" s="536">
        <v>0.64705000000000001</v>
      </c>
      <c r="HC38" s="525">
        <v>0.60629</v>
      </c>
      <c r="HD38" s="526">
        <v>0.35539999999999999</v>
      </c>
      <c r="HE38" s="527">
        <v>0.6734</v>
      </c>
      <c r="HF38" s="10">
        <v>86</v>
      </c>
      <c r="HG38" s="532">
        <v>4.6399999999999997</v>
      </c>
      <c r="HH38" s="545">
        <v>5.0999999999999996</v>
      </c>
      <c r="HI38" s="546">
        <v>2.99</v>
      </c>
      <c r="HJ38" s="547">
        <v>7.02</v>
      </c>
      <c r="HK38" s="379" t="s">
        <v>145</v>
      </c>
      <c r="HL38" s="362" t="s">
        <v>145</v>
      </c>
      <c r="HM38" s="557" t="s">
        <v>145</v>
      </c>
      <c r="HN38" s="557" t="s">
        <v>145</v>
      </c>
      <c r="HO38" s="557" t="s">
        <v>145</v>
      </c>
      <c r="HP38" s="562" t="s">
        <v>145</v>
      </c>
      <c r="HQ38" s="562" t="s">
        <v>145</v>
      </c>
      <c r="HR38" s="563" t="s">
        <v>145</v>
      </c>
      <c r="HS38" s="545">
        <v>73</v>
      </c>
      <c r="HT38" s="557">
        <v>70</v>
      </c>
      <c r="HU38" s="557">
        <v>2007</v>
      </c>
      <c r="HV38" s="583" t="s">
        <v>4181</v>
      </c>
      <c r="HW38" s="557">
        <v>1</v>
      </c>
      <c r="HX38" s="557">
        <v>11</v>
      </c>
      <c r="HY38" s="557">
        <v>16</v>
      </c>
      <c r="HZ38" s="557">
        <v>15</v>
      </c>
      <c r="IA38" s="557">
        <v>13</v>
      </c>
      <c r="IB38" s="557">
        <v>1</v>
      </c>
      <c r="IC38" s="547">
        <v>13</v>
      </c>
      <c r="ID38" s="40"/>
      <c r="IE38" s="550"/>
      <c r="IF38" s="355" t="s">
        <v>5202</v>
      </c>
      <c r="IG38" s="553"/>
      <c r="IH38" s="115"/>
      <c r="II38" s="647" t="s">
        <v>4922</v>
      </c>
      <c r="IJ38" s="423" t="s">
        <v>4926</v>
      </c>
      <c r="IK38" s="10">
        <v>0</v>
      </c>
      <c r="IL38" s="749">
        <f t="shared" si="57"/>
        <v>18</v>
      </c>
      <c r="IM38" s="747">
        <f t="shared" si="58"/>
        <v>72</v>
      </c>
      <c r="IN38" s="750" t="str">
        <f t="shared" si="59"/>
        <v>B</v>
      </c>
      <c r="IO38" s="446"/>
      <c r="IP38" s="902">
        <v>3</v>
      </c>
      <c r="IQ38" s="903">
        <v>1</v>
      </c>
      <c r="IR38" s="993">
        <v>0</v>
      </c>
      <c r="IT38" s="435"/>
      <c r="IU38" s="435"/>
      <c r="IV38" s="435"/>
    </row>
    <row r="39" spans="1:256" ht="15.75" customHeight="1">
      <c r="A39" s="21">
        <v>37</v>
      </c>
      <c r="B39" s="9"/>
      <c r="C39" s="430" t="s">
        <v>61</v>
      </c>
      <c r="D39" s="424" t="s">
        <v>409</v>
      </c>
      <c r="E39" s="24" t="s">
        <v>12</v>
      </c>
      <c r="F39" s="76" t="s">
        <v>781</v>
      </c>
      <c r="G39" s="102" t="s">
        <v>478</v>
      </c>
      <c r="H39" s="32" t="s">
        <v>1755</v>
      </c>
      <c r="I39" s="95" t="s">
        <v>1754</v>
      </c>
      <c r="J39" s="176">
        <v>4</v>
      </c>
      <c r="K39" s="88">
        <v>1865</v>
      </c>
      <c r="L39" s="371">
        <v>2</v>
      </c>
      <c r="M39" s="240" t="s">
        <v>1825</v>
      </c>
      <c r="N39" s="369" t="s">
        <v>1822</v>
      </c>
      <c r="O39" s="365" t="s">
        <v>2828</v>
      </c>
      <c r="P39" s="378" t="s">
        <v>2827</v>
      </c>
      <c r="Q39" s="176">
        <v>4</v>
      </c>
      <c r="R39" s="370">
        <v>1970</v>
      </c>
      <c r="S39" s="372" t="s">
        <v>2724</v>
      </c>
      <c r="T39" s="176">
        <v>1</v>
      </c>
      <c r="U39" s="370">
        <v>2</v>
      </c>
      <c r="V39" s="176">
        <v>14</v>
      </c>
      <c r="W39" s="369" t="s">
        <v>1822</v>
      </c>
      <c r="X39" s="170">
        <v>1</v>
      </c>
      <c r="Y39" s="369">
        <v>1</v>
      </c>
      <c r="Z39" s="271"/>
      <c r="AA39" s="169">
        <v>1</v>
      </c>
      <c r="AB39" s="177">
        <v>1</v>
      </c>
      <c r="AC39" s="171"/>
      <c r="AD39" s="366" t="s">
        <v>2828</v>
      </c>
      <c r="AE39" s="357">
        <v>2013</v>
      </c>
      <c r="AF39" s="357">
        <v>2</v>
      </c>
      <c r="AG39" s="550" t="s">
        <v>5171</v>
      </c>
      <c r="AH39" s="355" t="s">
        <v>2830</v>
      </c>
      <c r="AI39" s="55">
        <v>0</v>
      </c>
      <c r="AJ39" s="55">
        <v>0</v>
      </c>
      <c r="AK39" s="590" t="s">
        <v>145</v>
      </c>
      <c r="AL39" s="386">
        <v>2</v>
      </c>
      <c r="AM39" s="361" t="s">
        <v>2829</v>
      </c>
      <c r="AN39" s="344" t="s">
        <v>145</v>
      </c>
      <c r="AO39" s="170">
        <v>1</v>
      </c>
      <c r="AP39" s="369">
        <v>1</v>
      </c>
      <c r="AQ39" s="365" t="s">
        <v>4968</v>
      </c>
      <c r="AR39" s="378" t="s">
        <v>4934</v>
      </c>
      <c r="AS39" s="55">
        <v>2</v>
      </c>
      <c r="AT39" s="370">
        <v>3</v>
      </c>
      <c r="AU39" s="371">
        <v>2014</v>
      </c>
      <c r="AV39" s="370">
        <v>10</v>
      </c>
      <c r="AW39" s="589" t="s">
        <v>145</v>
      </c>
      <c r="AX39" s="687">
        <v>0</v>
      </c>
      <c r="AY39" s="174" t="s">
        <v>2156</v>
      </c>
      <c r="AZ39" s="550">
        <v>2012</v>
      </c>
      <c r="BA39" s="550">
        <v>1</v>
      </c>
      <c r="BB39" s="550">
        <v>1</v>
      </c>
      <c r="BC39" s="174" t="s">
        <v>4338</v>
      </c>
      <c r="BD39" s="550">
        <v>2000</v>
      </c>
      <c r="BE39" s="550">
        <v>0</v>
      </c>
      <c r="BF39" s="367" t="s">
        <v>145</v>
      </c>
      <c r="BG39" s="367">
        <v>0</v>
      </c>
      <c r="BH39" s="56" t="s">
        <v>145</v>
      </c>
      <c r="BI39" s="367">
        <v>3</v>
      </c>
      <c r="BJ39" s="367">
        <v>1</v>
      </c>
      <c r="BK39" s="888">
        <v>48228.703999999998</v>
      </c>
      <c r="BL39" s="925">
        <f t="shared" si="46"/>
        <v>50.768871997887409</v>
      </c>
      <c r="BM39" s="888">
        <v>23743.535</v>
      </c>
      <c r="BN39" s="920">
        <v>24485.169000000002</v>
      </c>
      <c r="BO39" s="888">
        <v>3738.2779999999998</v>
      </c>
      <c r="BP39" s="1158">
        <f t="shared" si="17"/>
        <v>48.938120706913715</v>
      </c>
      <c r="BQ39" s="917">
        <v>1908.835</v>
      </c>
      <c r="BR39" s="920">
        <v>1829.443</v>
      </c>
      <c r="BS39" s="888">
        <v>3905.2930000000001</v>
      </c>
      <c r="BT39" s="1158">
        <f t="shared" si="18"/>
        <v>48.966543611452458</v>
      </c>
      <c r="BU39" s="917">
        <v>1993.0060000000001</v>
      </c>
      <c r="BV39" s="920">
        <v>1912.287</v>
      </c>
      <c r="BW39" s="888">
        <v>4069.625</v>
      </c>
      <c r="BX39" s="1158">
        <f t="shared" si="19"/>
        <v>48.962938845716742</v>
      </c>
      <c r="BY39" s="917">
        <v>2077.0169999999998</v>
      </c>
      <c r="BZ39" s="920">
        <v>1992.6079999999999</v>
      </c>
      <c r="CA39" s="888">
        <f t="shared" si="20"/>
        <v>36515.508000000002</v>
      </c>
      <c r="CB39" s="1158">
        <f t="shared" si="21"/>
        <v>51.350322169966802</v>
      </c>
      <c r="CC39" s="917">
        <f t="shared" si="22"/>
        <v>17764.677</v>
      </c>
      <c r="CD39" s="920">
        <f t="shared" si="23"/>
        <v>18750.831000000002</v>
      </c>
      <c r="CE39" s="914">
        <v>2015</v>
      </c>
      <c r="CF39" s="910" t="s">
        <v>5630</v>
      </c>
      <c r="CG39" s="930">
        <v>96.5</v>
      </c>
      <c r="CH39" s="504">
        <v>96.5</v>
      </c>
      <c r="CI39" s="1008">
        <v>96.5</v>
      </c>
      <c r="CJ39" s="904">
        <v>97.2</v>
      </c>
      <c r="CK39" s="904">
        <v>94.6</v>
      </c>
      <c r="CL39" s="904">
        <v>2010</v>
      </c>
      <c r="CM39" s="905" t="s">
        <v>5575</v>
      </c>
      <c r="CN39" s="1044">
        <v>32795.962</v>
      </c>
      <c r="CO39" s="1045">
        <f t="shared" si="47"/>
        <v>68.000919120696253</v>
      </c>
      <c r="CP39" s="1049">
        <v>15751.999</v>
      </c>
      <c r="CQ39" s="1050">
        <v>17043.963</v>
      </c>
      <c r="CR39" s="1046">
        <v>2014</v>
      </c>
      <c r="CS39" s="1047" t="s">
        <v>5829</v>
      </c>
      <c r="CT39" s="1068">
        <f t="shared" si="48"/>
        <v>14</v>
      </c>
      <c r="CU39" s="1071">
        <v>18</v>
      </c>
      <c r="CV39" s="1068" t="s">
        <v>5883</v>
      </c>
      <c r="CW39" s="1113">
        <v>32835.856</v>
      </c>
      <c r="CX39" s="1113">
        <v>31189.402999999998</v>
      </c>
      <c r="CY39" s="1113">
        <v>46245.296999999999</v>
      </c>
      <c r="CZ39" s="1048">
        <v>10</v>
      </c>
      <c r="DA39" s="1104">
        <v>4</v>
      </c>
      <c r="DB39" s="1050" t="s">
        <v>647</v>
      </c>
      <c r="DC39" s="1146" t="s">
        <v>322</v>
      </c>
      <c r="DD39" s="978">
        <f t="shared" si="34"/>
        <v>4129.5078600000024</v>
      </c>
      <c r="DE39" s="979">
        <f t="shared" si="49"/>
        <v>8.5623446568251182</v>
      </c>
      <c r="DF39" s="979">
        <f t="shared" si="35"/>
        <v>46.193636013566071</v>
      </c>
      <c r="DG39" s="980">
        <f t="shared" si="36"/>
        <v>2221.9380299999998</v>
      </c>
      <c r="DH39" s="980">
        <f t="shared" si="37"/>
        <v>1907.5698300000026</v>
      </c>
      <c r="DI39" s="979">
        <f t="shared" si="50"/>
        <v>9.3580759141383112</v>
      </c>
      <c r="DJ39" s="981">
        <f t="shared" si="51"/>
        <v>7.7907153918357785</v>
      </c>
      <c r="DK39" s="984">
        <f t="shared" si="52"/>
        <v>3719.5460000000021</v>
      </c>
      <c r="DL39" s="979">
        <f t="shared" si="38"/>
        <v>45.889148836981754</v>
      </c>
      <c r="DM39" s="980">
        <f t="shared" si="53"/>
        <v>2012.6779999999999</v>
      </c>
      <c r="DN39" s="985">
        <f t="shared" si="54"/>
        <v>1706.8680000000022</v>
      </c>
      <c r="DO39" s="984">
        <f t="shared" si="55"/>
        <v>279.12213000000025</v>
      </c>
      <c r="DP39" s="979">
        <f t="shared" si="39"/>
        <v>48.964704088493455</v>
      </c>
      <c r="DQ39" s="980">
        <f t="shared" si="28"/>
        <v>142.45080500000012</v>
      </c>
      <c r="DR39" s="985">
        <f t="shared" si="29"/>
        <v>136.67132500000014</v>
      </c>
      <c r="DS39" s="984">
        <f t="shared" si="56"/>
        <v>130.83973000000012</v>
      </c>
      <c r="DT39" s="339">
        <f t="shared" si="40"/>
        <v>48.938120706913722</v>
      </c>
      <c r="DU39" s="980">
        <f t="shared" si="30"/>
        <v>66.809225000000055</v>
      </c>
      <c r="DV39" s="985">
        <f t="shared" si="31"/>
        <v>64.030505000000062</v>
      </c>
      <c r="DW39" s="979">
        <f t="shared" si="32"/>
        <v>3.5000000000000031</v>
      </c>
      <c r="DX39" s="981">
        <f t="shared" si="33"/>
        <v>3.5000000000000031</v>
      </c>
      <c r="DY39" s="414">
        <v>8.16</v>
      </c>
      <c r="DZ39" s="111">
        <v>2010</v>
      </c>
      <c r="EA39" s="118">
        <v>3848.0242499999999</v>
      </c>
      <c r="EB39" s="123">
        <v>34.1</v>
      </c>
      <c r="EC39" s="113">
        <v>2011</v>
      </c>
      <c r="ED39" s="20">
        <v>16002.149625000002</v>
      </c>
      <c r="EE39" s="414">
        <v>32.700000000000003</v>
      </c>
      <c r="EF39" s="111">
        <v>2012</v>
      </c>
      <c r="EG39" s="380">
        <v>93.580535888671903</v>
      </c>
      <c r="EH39" s="24" t="s">
        <v>358</v>
      </c>
      <c r="EI39" s="287">
        <v>3</v>
      </c>
      <c r="EJ39" s="40" t="s">
        <v>145</v>
      </c>
      <c r="EK39" s="35" t="s">
        <v>145</v>
      </c>
      <c r="EL39" s="95" t="s">
        <v>145</v>
      </c>
      <c r="EM39" s="95" t="s">
        <v>145</v>
      </c>
      <c r="EN39" s="35" t="s">
        <v>145</v>
      </c>
      <c r="EO39" s="95" t="s">
        <v>145</v>
      </c>
      <c r="EP39" s="205" t="s">
        <v>145</v>
      </c>
      <c r="EQ39" s="207" t="s">
        <v>145</v>
      </c>
      <c r="ER39" s="517">
        <v>3</v>
      </c>
      <c r="ES39" s="183" t="s">
        <v>145</v>
      </c>
      <c r="ET39" s="183" t="s">
        <v>145</v>
      </c>
      <c r="EU39" s="82" t="s">
        <v>3904</v>
      </c>
      <c r="EV39" s="82" t="s">
        <v>145</v>
      </c>
      <c r="EW39" s="82" t="s">
        <v>145</v>
      </c>
      <c r="EX39" s="360" t="s">
        <v>145</v>
      </c>
      <c r="EY39" s="159">
        <v>41468384</v>
      </c>
      <c r="EZ39" s="156">
        <v>2005</v>
      </c>
      <c r="FA39" s="323">
        <v>75</v>
      </c>
      <c r="FB39" s="323">
        <v>25</v>
      </c>
      <c r="FC39" s="323">
        <v>64</v>
      </c>
      <c r="FD39" s="231" t="s">
        <v>1753</v>
      </c>
      <c r="FE39" s="156">
        <v>91.3</v>
      </c>
      <c r="FF39" s="156" t="s">
        <v>1673</v>
      </c>
      <c r="FG39" s="156">
        <v>10</v>
      </c>
      <c r="FH39" s="157">
        <v>10</v>
      </c>
      <c r="FI39" s="242">
        <v>2</v>
      </c>
      <c r="FJ39" s="240" t="s">
        <v>1821</v>
      </c>
      <c r="FK39" s="179" t="s">
        <v>145</v>
      </c>
      <c r="FL39" s="236" t="s">
        <v>1817</v>
      </c>
      <c r="FM39" s="179" t="s">
        <v>1822</v>
      </c>
      <c r="FN39" s="351" t="s">
        <v>1823</v>
      </c>
      <c r="FO39" s="165" t="s">
        <v>1752</v>
      </c>
      <c r="FP39" s="255">
        <v>1</v>
      </c>
      <c r="FQ39" s="183" t="s">
        <v>1869</v>
      </c>
      <c r="FR39" s="257">
        <v>1</v>
      </c>
      <c r="FS39" s="82" t="s">
        <v>1870</v>
      </c>
      <c r="FT39" s="259"/>
      <c r="FU39" s="82"/>
      <c r="FV39" s="259"/>
      <c r="FW39" s="82"/>
      <c r="FX39" s="259"/>
      <c r="FY39" s="82"/>
      <c r="FZ39" s="259"/>
      <c r="GA39" s="82"/>
      <c r="GB39" s="261"/>
      <c r="GC39" s="90"/>
      <c r="GD39" s="76">
        <v>1</v>
      </c>
      <c r="GE39" s="445" t="s">
        <v>3424</v>
      </c>
      <c r="GF39" s="447" t="s">
        <v>590</v>
      </c>
      <c r="GG39" s="448">
        <v>3</v>
      </c>
      <c r="GH39" s="449">
        <v>4</v>
      </c>
      <c r="GI39" s="447" t="s">
        <v>10</v>
      </c>
      <c r="GJ39" s="449">
        <v>30</v>
      </c>
      <c r="GK39" s="447">
        <v>8</v>
      </c>
      <c r="GL39" s="448">
        <v>8</v>
      </c>
      <c r="GM39" s="449">
        <v>14</v>
      </c>
      <c r="GN39" s="447" t="s">
        <v>590</v>
      </c>
      <c r="GO39" s="449">
        <v>54</v>
      </c>
      <c r="GP39" s="447">
        <v>11</v>
      </c>
      <c r="GQ39" s="448">
        <v>27</v>
      </c>
      <c r="GR39" s="449">
        <v>16</v>
      </c>
      <c r="GS39" s="446">
        <v>9</v>
      </c>
      <c r="GT39" s="461">
        <v>-0.11632202565670013</v>
      </c>
      <c r="GU39" s="462">
        <v>-1.2685767412185669</v>
      </c>
      <c r="GV39" s="462">
        <v>4.2561005800962448E-2</v>
      </c>
      <c r="GW39" s="462">
        <v>0.38784414529800415</v>
      </c>
      <c r="GX39" s="462">
        <v>-0.4485432505607605</v>
      </c>
      <c r="GY39" s="463">
        <v>-0.43738386034965515</v>
      </c>
      <c r="GZ39" s="10">
        <v>50</v>
      </c>
      <c r="HA39" s="536">
        <v>0.61729999999999996</v>
      </c>
      <c r="HB39" s="536">
        <v>0.88234999999999997</v>
      </c>
      <c r="HC39" s="525">
        <v>0.78739999999999999</v>
      </c>
      <c r="HD39" s="526">
        <v>0.32971</v>
      </c>
      <c r="HE39" s="527">
        <v>0.73480000000000001</v>
      </c>
      <c r="HF39" s="10">
        <v>77</v>
      </c>
      <c r="HG39" s="532">
        <v>4.95</v>
      </c>
      <c r="HH39" s="545">
        <v>5.44</v>
      </c>
      <c r="HI39" s="546">
        <v>3.07</v>
      </c>
      <c r="HJ39" s="547">
        <v>7.71</v>
      </c>
      <c r="HK39" s="379" t="s">
        <v>4025</v>
      </c>
      <c r="HL39" s="23" t="s">
        <v>4696</v>
      </c>
      <c r="HM39" s="557">
        <v>2008</v>
      </c>
      <c r="HN39" s="557">
        <v>2012</v>
      </c>
      <c r="HO39" s="557" t="s">
        <v>3985</v>
      </c>
      <c r="HP39" s="562" t="s">
        <v>4026</v>
      </c>
      <c r="HQ39" s="639" t="s">
        <v>4697</v>
      </c>
      <c r="HR39" s="563" t="s">
        <v>4027</v>
      </c>
      <c r="HS39" s="545">
        <v>25</v>
      </c>
      <c r="HT39" s="557">
        <v>102</v>
      </c>
      <c r="HU39" s="557">
        <v>1985</v>
      </c>
      <c r="HV39" s="583" t="s">
        <v>4182</v>
      </c>
      <c r="HW39" s="557">
        <v>6</v>
      </c>
      <c r="HX39" s="557">
        <v>29</v>
      </c>
      <c r="HY39" s="557">
        <v>16</v>
      </c>
      <c r="HZ39" s="557">
        <v>23</v>
      </c>
      <c r="IA39" s="557">
        <v>15</v>
      </c>
      <c r="IB39" s="557">
        <v>4</v>
      </c>
      <c r="IC39" s="547">
        <v>9</v>
      </c>
      <c r="ID39" s="660"/>
      <c r="IE39" s="550"/>
      <c r="IF39" s="550"/>
      <c r="IG39" s="553"/>
      <c r="IH39" s="339"/>
      <c r="II39" s="553" t="s">
        <v>4922</v>
      </c>
      <c r="IJ39" s="424" t="s">
        <v>4926</v>
      </c>
      <c r="IK39" s="24">
        <v>0</v>
      </c>
      <c r="IL39" s="749">
        <f t="shared" si="57"/>
        <v>19</v>
      </c>
      <c r="IM39" s="747">
        <f t="shared" si="58"/>
        <v>76</v>
      </c>
      <c r="IN39" s="750" t="str">
        <f t="shared" si="59"/>
        <v>A</v>
      </c>
      <c r="IO39" s="446"/>
      <c r="IP39" s="902">
        <v>3</v>
      </c>
      <c r="IQ39" s="903">
        <v>0</v>
      </c>
      <c r="IR39" s="993">
        <v>0</v>
      </c>
      <c r="IT39" s="435"/>
      <c r="IU39" s="435"/>
      <c r="IV39" s="435"/>
    </row>
    <row r="40" spans="1:256">
      <c r="A40" s="21">
        <v>38</v>
      </c>
      <c r="B40" s="9"/>
      <c r="C40" s="430" t="s">
        <v>63</v>
      </c>
      <c r="D40" s="423" t="s">
        <v>406</v>
      </c>
      <c r="E40" s="24" t="s">
        <v>9</v>
      </c>
      <c r="F40" s="76" t="s">
        <v>782</v>
      </c>
      <c r="G40" s="102" t="s">
        <v>544</v>
      </c>
      <c r="H40" s="375" t="s">
        <v>3138</v>
      </c>
      <c r="I40" s="364" t="s">
        <v>2217</v>
      </c>
      <c r="J40" s="176">
        <v>6</v>
      </c>
      <c r="K40" s="88">
        <v>2010</v>
      </c>
      <c r="L40" s="371">
        <v>2</v>
      </c>
      <c r="M40" s="240" t="s">
        <v>145</v>
      </c>
      <c r="N40" s="172" t="s">
        <v>145</v>
      </c>
      <c r="O40" s="365" t="s">
        <v>3140</v>
      </c>
      <c r="P40" s="362" t="s">
        <v>2798</v>
      </c>
      <c r="Q40" s="370">
        <v>2</v>
      </c>
      <c r="R40" s="359">
        <v>1979</v>
      </c>
      <c r="S40" s="372" t="s">
        <v>1961</v>
      </c>
      <c r="T40" s="176">
        <v>1</v>
      </c>
      <c r="U40" s="370">
        <v>2</v>
      </c>
      <c r="V40" s="176">
        <v>15</v>
      </c>
      <c r="W40" s="369" t="s">
        <v>1822</v>
      </c>
      <c r="X40" s="170">
        <v>0</v>
      </c>
      <c r="Y40" s="369">
        <v>0</v>
      </c>
      <c r="Z40" s="271"/>
      <c r="AA40" s="169"/>
      <c r="AB40" s="177"/>
      <c r="AC40" s="171"/>
      <c r="AD40" s="366" t="s">
        <v>3139</v>
      </c>
      <c r="AE40" s="357">
        <v>2010</v>
      </c>
      <c r="AF40" s="357">
        <v>1</v>
      </c>
      <c r="AG40" s="550" t="s">
        <v>4272</v>
      </c>
      <c r="AH40" s="355" t="s">
        <v>323</v>
      </c>
      <c r="AI40" s="55">
        <v>0</v>
      </c>
      <c r="AJ40" s="55">
        <v>0</v>
      </c>
      <c r="AK40" s="590" t="s">
        <v>145</v>
      </c>
      <c r="AL40" s="386">
        <v>8</v>
      </c>
      <c r="AM40" s="361" t="s">
        <v>2878</v>
      </c>
      <c r="AN40" s="528" t="s">
        <v>145</v>
      </c>
      <c r="AO40" s="170">
        <v>0</v>
      </c>
      <c r="AP40" s="369">
        <v>0</v>
      </c>
      <c r="AQ40" s="365" t="s">
        <v>4969</v>
      </c>
      <c r="AR40" s="378" t="s">
        <v>2798</v>
      </c>
      <c r="AS40" s="55">
        <v>2</v>
      </c>
      <c r="AT40" s="370">
        <v>2</v>
      </c>
      <c r="AU40" s="371">
        <v>2008</v>
      </c>
      <c r="AV40" s="370">
        <v>5</v>
      </c>
      <c r="AW40" s="589" t="s">
        <v>145</v>
      </c>
      <c r="AX40" s="687">
        <v>0</v>
      </c>
      <c r="AY40" s="174" t="s">
        <v>4415</v>
      </c>
      <c r="AZ40" s="358">
        <v>1967</v>
      </c>
      <c r="BA40" s="550">
        <v>0</v>
      </c>
      <c r="BB40" s="550">
        <v>0</v>
      </c>
      <c r="BC40" s="108" t="s">
        <v>145</v>
      </c>
      <c r="BD40" s="550" t="s">
        <v>145</v>
      </c>
      <c r="BE40" s="550">
        <v>0</v>
      </c>
      <c r="BF40" s="367" t="s">
        <v>145</v>
      </c>
      <c r="BG40" s="367">
        <v>0</v>
      </c>
      <c r="BH40" s="56" t="s">
        <v>145</v>
      </c>
      <c r="BI40" s="367">
        <v>0</v>
      </c>
      <c r="BJ40" s="367">
        <v>0</v>
      </c>
      <c r="BK40" s="888">
        <v>788.47400000000005</v>
      </c>
      <c r="BL40" s="925">
        <f t="shared" si="46"/>
        <v>49.56079718544936</v>
      </c>
      <c r="BM40" s="888">
        <v>397.7</v>
      </c>
      <c r="BN40" s="920">
        <v>390.774</v>
      </c>
      <c r="BO40" s="888">
        <v>119.289</v>
      </c>
      <c r="BP40" s="1158">
        <f t="shared" si="17"/>
        <v>49.054816454157553</v>
      </c>
      <c r="BQ40" s="917">
        <v>60.771999999999998</v>
      </c>
      <c r="BR40" s="920">
        <v>58.517000000000003</v>
      </c>
      <c r="BS40" s="888">
        <v>105.41200000000001</v>
      </c>
      <c r="BT40" s="1158">
        <f t="shared" si="18"/>
        <v>49.116798846431145</v>
      </c>
      <c r="BU40" s="917">
        <v>53.637</v>
      </c>
      <c r="BV40" s="920">
        <v>51.774999999999999</v>
      </c>
      <c r="BW40" s="888">
        <v>92.846999999999994</v>
      </c>
      <c r="BX40" s="1158">
        <f t="shared" si="19"/>
        <v>49.163677878660593</v>
      </c>
      <c r="BY40" s="917">
        <v>47.2</v>
      </c>
      <c r="BZ40" s="920">
        <v>45.646999999999998</v>
      </c>
      <c r="CA40" s="888">
        <f t="shared" si="20"/>
        <v>470.92600000000004</v>
      </c>
      <c r="CB40" s="1158">
        <f t="shared" si="21"/>
        <v>49.866645715038032</v>
      </c>
      <c r="CC40" s="917">
        <f t="shared" si="22"/>
        <v>236.09100000000001</v>
      </c>
      <c r="CD40" s="920">
        <f t="shared" si="23"/>
        <v>234.83500000000004</v>
      </c>
      <c r="CE40" s="914">
        <v>2015</v>
      </c>
      <c r="CF40" s="910" t="s">
        <v>5630</v>
      </c>
      <c r="CG40" s="930">
        <v>87.3</v>
      </c>
      <c r="CH40" s="495">
        <v>87.4</v>
      </c>
      <c r="CI40" s="497">
        <v>87.2</v>
      </c>
      <c r="CJ40" s="904">
        <v>89.5</v>
      </c>
      <c r="CK40" s="904">
        <v>86.5</v>
      </c>
      <c r="CL40" s="904">
        <v>2012</v>
      </c>
      <c r="CM40" s="905" t="s">
        <v>5575</v>
      </c>
      <c r="CN40" s="1044">
        <v>274.505</v>
      </c>
      <c r="CO40" s="1045">
        <f t="shared" si="47"/>
        <v>34.814718050309835</v>
      </c>
      <c r="CP40" s="1040">
        <f t="shared" ref="CP40:CP47" si="60">IF(OR(CZ40=1,CZ40=10),CN40*(1-BL40/100),IF(DA40=6,CN40*(1-BL40/100),CN40*(1-CB40/100)))</f>
        <v>138.45813368608222</v>
      </c>
      <c r="CQ40" s="1041">
        <f t="shared" ref="CQ40:CQ47" si="61">IF(OR(CZ40=1,CZ40=10),CN40*BL40/100,IF(DA40=6,CN40*BL40/100,CN40*CB40/100))</f>
        <v>136.04686631391777</v>
      </c>
      <c r="CR40" s="1046">
        <v>2015</v>
      </c>
      <c r="CS40" s="1047" t="s">
        <v>5830</v>
      </c>
      <c r="CT40" s="1068">
        <f t="shared" si="48"/>
        <v>15</v>
      </c>
      <c r="CU40" s="1071">
        <v>18</v>
      </c>
      <c r="CV40" s="1068" t="s">
        <v>5884</v>
      </c>
      <c r="CW40" s="1113">
        <v>274.505</v>
      </c>
      <c r="CX40" s="1113">
        <v>396.38</v>
      </c>
      <c r="CY40" s="1113">
        <v>766.86500000000001</v>
      </c>
      <c r="CZ40" s="494">
        <v>1</v>
      </c>
      <c r="DA40" s="1104">
        <v>4</v>
      </c>
      <c r="DB40" s="1050" t="s">
        <v>647</v>
      </c>
      <c r="DC40" s="1143" t="s">
        <v>320</v>
      </c>
      <c r="DD40" s="982">
        <f t="shared" si="34"/>
        <v>236.74959600000005</v>
      </c>
      <c r="DE40" s="979">
        <f t="shared" si="49"/>
        <v>30.026303467203739</v>
      </c>
      <c r="DF40" s="979">
        <f t="shared" si="35"/>
        <v>50.157773315094587</v>
      </c>
      <c r="DG40" s="983">
        <f t="shared" si="36"/>
        <v>117.99560031391776</v>
      </c>
      <c r="DH40" s="983">
        <f t="shared" si="37"/>
        <v>118.74832568608227</v>
      </c>
      <c r="DI40" s="979">
        <f t="shared" si="50"/>
        <v>29.66949970176459</v>
      </c>
      <c r="DJ40" s="981">
        <f t="shared" si="51"/>
        <v>30.387980184475495</v>
      </c>
      <c r="DK40" s="984">
        <f t="shared" si="52"/>
        <v>196.42100000000005</v>
      </c>
      <c r="DL40" s="979">
        <f t="shared" si="38"/>
        <v>50.294079393793048</v>
      </c>
      <c r="DM40" s="983">
        <f t="shared" si="53"/>
        <v>97.632866313917788</v>
      </c>
      <c r="DN40" s="986">
        <f t="shared" si="54"/>
        <v>98.788133686082261</v>
      </c>
      <c r="DO40" s="984">
        <f t="shared" si="55"/>
        <v>25.178893000000002</v>
      </c>
      <c r="DP40" s="979">
        <f t="shared" si="39"/>
        <v>49.525672157231057</v>
      </c>
      <c r="DQ40" s="983">
        <f t="shared" si="28"/>
        <v>12.70546199999999</v>
      </c>
      <c r="DR40" s="986">
        <f t="shared" si="29"/>
        <v>12.470016000000001</v>
      </c>
      <c r="DS40" s="984">
        <f t="shared" si="56"/>
        <v>15.149703000000001</v>
      </c>
      <c r="DT40" s="339">
        <f t="shared" si="40"/>
        <v>49.441074851434387</v>
      </c>
      <c r="DU40" s="983">
        <f t="shared" si="30"/>
        <v>7.6572719999999928</v>
      </c>
      <c r="DV40" s="986">
        <f t="shared" si="31"/>
        <v>7.4901760000000008</v>
      </c>
      <c r="DW40" s="979">
        <f t="shared" si="32"/>
        <v>12.599999999999989</v>
      </c>
      <c r="DX40" s="981">
        <f t="shared" si="33"/>
        <v>12.8</v>
      </c>
      <c r="DY40" s="414">
        <v>46.1</v>
      </c>
      <c r="DZ40" s="111">
        <v>2004</v>
      </c>
      <c r="EA40" s="118">
        <v>347.56772299999994</v>
      </c>
      <c r="EB40" s="123">
        <v>44.8</v>
      </c>
      <c r="EC40" s="113">
        <v>2004</v>
      </c>
      <c r="ED40" s="20">
        <v>337.76646399999998</v>
      </c>
      <c r="EE40" s="414">
        <v>60</v>
      </c>
      <c r="EF40" s="111">
        <v>2002</v>
      </c>
      <c r="EG40" s="380">
        <v>75.939750671386705</v>
      </c>
      <c r="EH40" s="24" t="s">
        <v>372</v>
      </c>
      <c r="EI40" s="287">
        <v>2</v>
      </c>
      <c r="EJ40" s="40">
        <v>3</v>
      </c>
      <c r="EK40" s="35" t="s">
        <v>728</v>
      </c>
      <c r="EL40" s="364" t="s">
        <v>145</v>
      </c>
      <c r="EM40" s="364" t="s">
        <v>145</v>
      </c>
      <c r="EN40" s="35" t="s">
        <v>145</v>
      </c>
      <c r="EO40" s="364" t="s">
        <v>1646</v>
      </c>
      <c r="EP40" s="205">
        <v>0.83</v>
      </c>
      <c r="EQ40" s="207" t="s">
        <v>145</v>
      </c>
      <c r="ER40" s="517" t="s">
        <v>145</v>
      </c>
      <c r="ES40" s="183"/>
      <c r="ET40" s="183"/>
      <c r="EU40" s="82"/>
      <c r="EV40" s="82"/>
      <c r="EW40" s="82"/>
      <c r="EX40" s="90"/>
      <c r="EY40" s="159"/>
      <c r="EZ40" s="156"/>
      <c r="FA40" s="323"/>
      <c r="FB40" s="323"/>
      <c r="FC40" s="323"/>
      <c r="FD40" s="160"/>
      <c r="FE40" s="156"/>
      <c r="FF40" s="156"/>
      <c r="FG40" s="156"/>
      <c r="FH40" s="157"/>
      <c r="FI40" s="242"/>
      <c r="FJ40" s="240"/>
      <c r="FK40" s="179"/>
      <c r="FL40" s="179"/>
      <c r="FM40" s="179"/>
      <c r="FN40" s="172"/>
      <c r="FO40" s="164"/>
      <c r="FP40" s="255"/>
      <c r="FQ40" s="183"/>
      <c r="FR40" s="257">
        <v>1</v>
      </c>
      <c r="FS40" s="82" t="s">
        <v>1702</v>
      </c>
      <c r="FT40" s="259"/>
      <c r="FU40" s="82"/>
      <c r="FV40" s="259"/>
      <c r="FW40" s="82"/>
      <c r="FX40" s="259"/>
      <c r="FY40" s="82"/>
      <c r="FZ40" s="259"/>
      <c r="GA40" s="82"/>
      <c r="GB40" s="261"/>
      <c r="GC40" s="90"/>
      <c r="GD40" s="76">
        <v>3</v>
      </c>
      <c r="GE40" s="445" t="s">
        <v>3435</v>
      </c>
      <c r="GF40" s="447" t="s">
        <v>590</v>
      </c>
      <c r="GG40" s="448">
        <v>3</v>
      </c>
      <c r="GH40" s="449">
        <v>4</v>
      </c>
      <c r="GI40" s="447" t="s">
        <v>145</v>
      </c>
      <c r="GJ40" s="449" t="s">
        <v>145</v>
      </c>
      <c r="GK40" s="447" t="s">
        <v>145</v>
      </c>
      <c r="GL40" s="448" t="s">
        <v>145</v>
      </c>
      <c r="GM40" s="449" t="s">
        <v>145</v>
      </c>
      <c r="GN40" s="447" t="s">
        <v>590</v>
      </c>
      <c r="GO40" s="449">
        <v>49</v>
      </c>
      <c r="GP40" s="447">
        <v>14</v>
      </c>
      <c r="GQ40" s="448">
        <v>20</v>
      </c>
      <c r="GR40" s="449">
        <v>15</v>
      </c>
      <c r="GS40" s="446">
        <v>9</v>
      </c>
      <c r="GT40" s="461">
        <v>-0.51739376783370972</v>
      </c>
      <c r="GU40" s="462">
        <v>-0.2388356477022171</v>
      </c>
      <c r="GV40" s="462">
        <v>-1.435276985168457</v>
      </c>
      <c r="GW40" s="462">
        <v>-1.2609561681747437</v>
      </c>
      <c r="GX40" s="462">
        <v>-0.98600620031356812</v>
      </c>
      <c r="GY40" s="463">
        <v>-0.72770512104034424</v>
      </c>
      <c r="GZ40" s="10">
        <v>177</v>
      </c>
      <c r="HA40" s="536">
        <v>0.18076999999999999</v>
      </c>
      <c r="HB40" s="536">
        <v>3.9210000000000002E-2</v>
      </c>
      <c r="HC40" s="525">
        <v>1.5740000000000001E-2</v>
      </c>
      <c r="HD40" s="526">
        <v>6.037E-2</v>
      </c>
      <c r="HE40" s="527">
        <v>0.4662</v>
      </c>
      <c r="HF40" s="10" t="s">
        <v>145</v>
      </c>
      <c r="HG40" s="532" t="s">
        <v>145</v>
      </c>
      <c r="HH40" s="524" t="s">
        <v>145</v>
      </c>
      <c r="HI40" s="525" t="s">
        <v>145</v>
      </c>
      <c r="HJ40" s="527" t="s">
        <v>145</v>
      </c>
      <c r="HK40" s="379" t="s">
        <v>145</v>
      </c>
      <c r="HL40" s="362" t="s">
        <v>145</v>
      </c>
      <c r="HM40" s="557" t="s">
        <v>145</v>
      </c>
      <c r="HN40" s="557" t="s">
        <v>145</v>
      </c>
      <c r="HO40" s="526" t="s">
        <v>145</v>
      </c>
      <c r="HP40" s="564" t="s">
        <v>145</v>
      </c>
      <c r="HQ40" s="564" t="s">
        <v>145</v>
      </c>
      <c r="HR40" s="565" t="s">
        <v>145</v>
      </c>
      <c r="HS40" s="524" t="s">
        <v>145</v>
      </c>
      <c r="HT40" s="526" t="s">
        <v>145</v>
      </c>
      <c r="HU40" s="526" t="s">
        <v>145</v>
      </c>
      <c r="HV40" s="582" t="s">
        <v>145</v>
      </c>
      <c r="HW40" s="526" t="s">
        <v>145</v>
      </c>
      <c r="HX40" s="526" t="s">
        <v>145</v>
      </c>
      <c r="HY40" s="526" t="s">
        <v>145</v>
      </c>
      <c r="HZ40" s="526" t="s">
        <v>145</v>
      </c>
      <c r="IA40" s="526" t="s">
        <v>145</v>
      </c>
      <c r="IB40" s="526" t="s">
        <v>145</v>
      </c>
      <c r="IC40" s="527" t="s">
        <v>145</v>
      </c>
      <c r="ID40" s="40"/>
      <c r="IE40" s="550"/>
      <c r="IF40" s="550"/>
      <c r="IG40" s="553">
        <v>1</v>
      </c>
      <c r="IH40" s="115"/>
      <c r="II40" s="647" t="s">
        <v>4921</v>
      </c>
      <c r="IJ40" s="423" t="s">
        <v>4918</v>
      </c>
      <c r="IK40" s="10">
        <v>0</v>
      </c>
      <c r="IL40" s="749">
        <f t="shared" si="57"/>
        <v>10</v>
      </c>
      <c r="IM40" s="747">
        <f t="shared" si="58"/>
        <v>40</v>
      </c>
      <c r="IN40" s="750" t="str">
        <f t="shared" si="59"/>
        <v>C</v>
      </c>
      <c r="IO40" s="446">
        <v>1</v>
      </c>
      <c r="IP40" s="902">
        <v>4</v>
      </c>
      <c r="IQ40" s="903">
        <v>0</v>
      </c>
      <c r="IR40" s="993">
        <v>0</v>
      </c>
      <c r="IT40" s="435"/>
      <c r="IU40" s="435"/>
      <c r="IV40" s="435"/>
    </row>
    <row r="41" spans="1:256">
      <c r="A41" s="21">
        <v>39</v>
      </c>
      <c r="B41" s="9"/>
      <c r="C41" s="431" t="s">
        <v>1602</v>
      </c>
      <c r="D41" s="423" t="s">
        <v>406</v>
      </c>
      <c r="E41" s="24" t="s">
        <v>20</v>
      </c>
      <c r="F41" s="76" t="s">
        <v>735</v>
      </c>
      <c r="G41" s="102" t="s">
        <v>470</v>
      </c>
      <c r="H41" s="375" t="s">
        <v>2226</v>
      </c>
      <c r="I41" s="95" t="s">
        <v>2227</v>
      </c>
      <c r="J41" s="176">
        <v>2</v>
      </c>
      <c r="K41" s="88">
        <v>2002</v>
      </c>
      <c r="L41" s="371">
        <v>2</v>
      </c>
      <c r="M41" s="240" t="s">
        <v>1825</v>
      </c>
      <c r="N41" s="369" t="s">
        <v>1822</v>
      </c>
      <c r="O41" s="365" t="s">
        <v>3142</v>
      </c>
      <c r="P41" s="362" t="s">
        <v>2798</v>
      </c>
      <c r="Q41" s="370">
        <v>2</v>
      </c>
      <c r="R41" s="370">
        <v>1961</v>
      </c>
      <c r="S41" s="372" t="s">
        <v>1961</v>
      </c>
      <c r="T41" s="176">
        <v>1</v>
      </c>
      <c r="U41" s="370">
        <v>2</v>
      </c>
      <c r="V41" s="176">
        <v>16</v>
      </c>
      <c r="W41" s="369" t="s">
        <v>1822</v>
      </c>
      <c r="X41" s="170">
        <v>0</v>
      </c>
      <c r="Y41" s="369">
        <v>0</v>
      </c>
      <c r="Z41" s="271"/>
      <c r="AA41" s="169"/>
      <c r="AB41" s="177"/>
      <c r="AC41" s="171"/>
      <c r="AD41" s="365" t="s">
        <v>3142</v>
      </c>
      <c r="AE41" s="355">
        <v>2010</v>
      </c>
      <c r="AF41" s="355">
        <v>2</v>
      </c>
      <c r="AG41" s="550" t="s">
        <v>5171</v>
      </c>
      <c r="AH41" s="355" t="s">
        <v>3141</v>
      </c>
      <c r="AI41" s="55">
        <v>0</v>
      </c>
      <c r="AJ41" s="55">
        <v>0</v>
      </c>
      <c r="AK41" s="590" t="s">
        <v>145</v>
      </c>
      <c r="AL41" s="391">
        <v>9</v>
      </c>
      <c r="AM41" s="361" t="s">
        <v>2882</v>
      </c>
      <c r="AN41" s="528" t="s">
        <v>145</v>
      </c>
      <c r="AO41" s="170">
        <v>0</v>
      </c>
      <c r="AP41" s="369">
        <v>0</v>
      </c>
      <c r="AQ41" s="365" t="s">
        <v>4970</v>
      </c>
      <c r="AR41" s="378" t="s">
        <v>4971</v>
      </c>
      <c r="AS41" s="55">
        <v>2</v>
      </c>
      <c r="AT41" s="370">
        <v>2</v>
      </c>
      <c r="AU41" s="371">
        <v>2012</v>
      </c>
      <c r="AV41" s="370">
        <v>5</v>
      </c>
      <c r="AW41" s="589" t="s">
        <v>145</v>
      </c>
      <c r="AX41" s="687">
        <v>0</v>
      </c>
      <c r="AY41" s="174" t="s">
        <v>4416</v>
      </c>
      <c r="AZ41" s="358">
        <v>2000</v>
      </c>
      <c r="BA41" s="550">
        <v>0</v>
      </c>
      <c r="BB41" s="550">
        <v>0</v>
      </c>
      <c r="BC41" s="108" t="s">
        <v>145</v>
      </c>
      <c r="BD41" s="550" t="s">
        <v>145</v>
      </c>
      <c r="BE41" s="550">
        <v>0</v>
      </c>
      <c r="BF41" s="367" t="s">
        <v>145</v>
      </c>
      <c r="BG41" s="367">
        <v>0</v>
      </c>
      <c r="BH41" s="56" t="s">
        <v>145</v>
      </c>
      <c r="BI41" s="367">
        <v>0</v>
      </c>
      <c r="BJ41" s="367">
        <v>0</v>
      </c>
      <c r="BK41" s="888">
        <v>4620.33</v>
      </c>
      <c r="BL41" s="925">
        <f t="shared" si="46"/>
        <v>49.979330480723242</v>
      </c>
      <c r="BM41" s="888">
        <v>2311.12</v>
      </c>
      <c r="BN41" s="920">
        <v>2309.21</v>
      </c>
      <c r="BO41" s="888">
        <v>759.04200000000003</v>
      </c>
      <c r="BP41" s="1158">
        <f t="shared" si="17"/>
        <v>49.528221099754688</v>
      </c>
      <c r="BQ41" s="917">
        <v>383.10199999999998</v>
      </c>
      <c r="BR41" s="920">
        <v>375.94</v>
      </c>
      <c r="BS41" s="888">
        <v>656.31500000000005</v>
      </c>
      <c r="BT41" s="1158">
        <f t="shared" si="18"/>
        <v>49.666242581687143</v>
      </c>
      <c r="BU41" s="917">
        <v>330.34800000000001</v>
      </c>
      <c r="BV41" s="920">
        <v>325.96699999999998</v>
      </c>
      <c r="BW41" s="888">
        <v>554.32299999999998</v>
      </c>
      <c r="BX41" s="1158">
        <f t="shared" si="19"/>
        <v>49.769719098792578</v>
      </c>
      <c r="BY41" s="917">
        <v>278.43799999999999</v>
      </c>
      <c r="BZ41" s="920">
        <v>275.88499999999999</v>
      </c>
      <c r="CA41" s="888">
        <f t="shared" si="20"/>
        <v>2650.65</v>
      </c>
      <c r="CB41" s="1158">
        <f t="shared" si="21"/>
        <v>50.229868145549197</v>
      </c>
      <c r="CC41" s="917">
        <f t="shared" si="22"/>
        <v>1319.232</v>
      </c>
      <c r="CD41" s="920">
        <f t="shared" si="23"/>
        <v>1331.4179999999999</v>
      </c>
      <c r="CE41" s="914">
        <v>2015</v>
      </c>
      <c r="CF41" s="910" t="s">
        <v>5630</v>
      </c>
      <c r="CG41" s="930">
        <v>90.8</v>
      </c>
      <c r="CH41" s="495">
        <v>91</v>
      </c>
      <c r="CI41" s="497">
        <v>90.7</v>
      </c>
      <c r="CJ41" s="904">
        <v>94.9</v>
      </c>
      <c r="CK41" s="904">
        <v>84.7</v>
      </c>
      <c r="CL41" s="904" t="s">
        <v>5577</v>
      </c>
      <c r="CM41" s="905" t="s">
        <v>5575</v>
      </c>
      <c r="CN41" s="1044">
        <v>2078.8020000000001</v>
      </c>
      <c r="CO41" s="1045">
        <f t="shared" si="47"/>
        <v>44.992500535676029</v>
      </c>
      <c r="CP41" s="1040">
        <f t="shared" si="60"/>
        <v>1039.8306783801156</v>
      </c>
      <c r="CQ41" s="1041">
        <f t="shared" si="61"/>
        <v>1038.9713216198843</v>
      </c>
      <c r="CR41" s="1046">
        <v>2009</v>
      </c>
      <c r="CS41" s="1047" t="s">
        <v>5831</v>
      </c>
      <c r="CT41" s="1068">
        <f t="shared" si="48"/>
        <v>16</v>
      </c>
      <c r="CU41" s="1071">
        <v>18</v>
      </c>
      <c r="CV41" s="1068" t="s">
        <v>5885</v>
      </c>
      <c r="CW41" s="1113">
        <v>2078.8020000000001</v>
      </c>
      <c r="CX41" s="1113">
        <v>1902.82</v>
      </c>
      <c r="CY41" s="1113">
        <v>4012.8090000000002</v>
      </c>
      <c r="CZ41" s="494">
        <v>1</v>
      </c>
      <c r="DA41" s="1104">
        <v>4</v>
      </c>
      <c r="DB41" s="1050" t="s">
        <v>647</v>
      </c>
      <c r="DC41" s="1143" t="s">
        <v>320</v>
      </c>
      <c r="DD41" s="982">
        <f t="shared" si="34"/>
        <v>753.05856000000017</v>
      </c>
      <c r="DE41" s="979">
        <f t="shared" si="49"/>
        <v>16.29880463083806</v>
      </c>
      <c r="DF41" s="979">
        <f t="shared" si="35"/>
        <v>50.909896619476115</v>
      </c>
      <c r="DG41" s="983">
        <f t="shared" si="36"/>
        <v>368.67124161988431</v>
      </c>
      <c r="DH41" s="983">
        <f t="shared" si="37"/>
        <v>383.38133438011556</v>
      </c>
      <c r="DI41" s="979">
        <f t="shared" si="50"/>
        <v>15.952059677553928</v>
      </c>
      <c r="DJ41" s="981">
        <f t="shared" si="51"/>
        <v>16.602272395326349</v>
      </c>
      <c r="DK41" s="984">
        <f t="shared" si="52"/>
        <v>571.84799999999996</v>
      </c>
      <c r="DL41" s="979">
        <f t="shared" si="38"/>
        <v>51.140631493004371</v>
      </c>
      <c r="DM41" s="983">
        <f t="shared" si="53"/>
        <v>279.40132161988436</v>
      </c>
      <c r="DN41" s="986">
        <f t="shared" si="54"/>
        <v>292.4466783801156</v>
      </c>
      <c r="DO41" s="984">
        <f t="shared" si="55"/>
        <v>111.3786960000001</v>
      </c>
      <c r="DP41" s="979">
        <f t="shared" si="39"/>
        <v>50.253987530972644</v>
      </c>
      <c r="DQ41" s="983">
        <f t="shared" si="28"/>
        <v>54.790739999999978</v>
      </c>
      <c r="DR41" s="986">
        <f t="shared" si="29"/>
        <v>55.972235999999981</v>
      </c>
      <c r="DS41" s="984">
        <f t="shared" si="56"/>
        <v>69.831864000000067</v>
      </c>
      <c r="DT41" s="339">
        <f t="shared" si="40"/>
        <v>50.066571329099787</v>
      </c>
      <c r="DU41" s="983">
        <f t="shared" si="30"/>
        <v>34.479179999999985</v>
      </c>
      <c r="DV41" s="986">
        <f t="shared" si="31"/>
        <v>34.962419999999987</v>
      </c>
      <c r="DW41" s="979">
        <f t="shared" si="32"/>
        <v>8.9999999999999964</v>
      </c>
      <c r="DX41" s="981">
        <f t="shared" si="33"/>
        <v>9.2999999999999972</v>
      </c>
      <c r="DY41" s="414">
        <v>54.1</v>
      </c>
      <c r="DZ41" s="111">
        <v>2005</v>
      </c>
      <c r="EA41" s="118">
        <v>2239.6036679999997</v>
      </c>
      <c r="EB41" s="123">
        <v>46.5</v>
      </c>
      <c r="EC41" s="113">
        <v>2011</v>
      </c>
      <c r="ED41" s="20">
        <v>1924.9828199999997</v>
      </c>
      <c r="EE41" s="414">
        <v>46.5</v>
      </c>
      <c r="EF41" s="111">
        <v>2011</v>
      </c>
      <c r="EG41" s="380">
        <v>79.311172485351605</v>
      </c>
      <c r="EH41" s="24" t="s">
        <v>372</v>
      </c>
      <c r="EI41" s="287">
        <v>2</v>
      </c>
      <c r="EJ41" s="40">
        <v>3</v>
      </c>
      <c r="EK41" s="35" t="s">
        <v>145</v>
      </c>
      <c r="EL41" s="95" t="s">
        <v>145</v>
      </c>
      <c r="EM41" s="95" t="s">
        <v>145</v>
      </c>
      <c r="EN41" s="35" t="s">
        <v>145</v>
      </c>
      <c r="EO41" s="95" t="s">
        <v>1646</v>
      </c>
      <c r="EP41" s="205">
        <v>0.81</v>
      </c>
      <c r="EQ41" s="207" t="s">
        <v>145</v>
      </c>
      <c r="ER41" s="517" t="s">
        <v>145</v>
      </c>
      <c r="ES41" s="183"/>
      <c r="ET41" s="183"/>
      <c r="EU41" s="82"/>
      <c r="EV41" s="82"/>
      <c r="EW41" s="82"/>
      <c r="EX41" s="90"/>
      <c r="EY41" s="159"/>
      <c r="EZ41" s="156"/>
      <c r="FA41" s="323"/>
      <c r="FB41" s="323"/>
      <c r="FC41" s="323"/>
      <c r="FD41" s="160"/>
      <c r="FE41" s="156"/>
      <c r="FF41" s="156"/>
      <c r="FG41" s="156"/>
      <c r="FH41" s="157"/>
      <c r="FI41" s="242"/>
      <c r="FJ41" s="240"/>
      <c r="FK41" s="179"/>
      <c r="FL41" s="179"/>
      <c r="FM41" s="179"/>
      <c r="FN41" s="172"/>
      <c r="FO41" s="164"/>
      <c r="FP41" s="255"/>
      <c r="FQ41" s="183"/>
      <c r="FR41" s="257"/>
      <c r="FS41" s="82"/>
      <c r="FT41" s="259"/>
      <c r="FU41" s="82"/>
      <c r="FV41" s="259"/>
      <c r="FW41" s="82"/>
      <c r="FX41" s="259"/>
      <c r="FY41" s="82"/>
      <c r="FZ41" s="259"/>
      <c r="GA41" s="82"/>
      <c r="GB41" s="261"/>
      <c r="GC41" s="90"/>
      <c r="GD41" s="76">
        <v>1</v>
      </c>
      <c r="GE41" s="445" t="s">
        <v>3424</v>
      </c>
      <c r="GF41" s="447" t="s">
        <v>580</v>
      </c>
      <c r="GG41" s="448">
        <v>6</v>
      </c>
      <c r="GH41" s="449">
        <v>5</v>
      </c>
      <c r="GI41" s="447" t="s">
        <v>145</v>
      </c>
      <c r="GJ41" s="449" t="s">
        <v>145</v>
      </c>
      <c r="GK41" s="447" t="s">
        <v>145</v>
      </c>
      <c r="GL41" s="448" t="s">
        <v>145</v>
      </c>
      <c r="GM41" s="449" t="s">
        <v>145</v>
      </c>
      <c r="GN41" s="447" t="s">
        <v>590</v>
      </c>
      <c r="GO41" s="449">
        <v>57</v>
      </c>
      <c r="GP41" s="447">
        <v>16</v>
      </c>
      <c r="GQ41" s="448">
        <v>24</v>
      </c>
      <c r="GR41" s="449">
        <v>17</v>
      </c>
      <c r="GS41" s="446">
        <v>5</v>
      </c>
      <c r="GT41" s="461">
        <v>-1.1248090267181396</v>
      </c>
      <c r="GU41" s="462">
        <v>-0.46612268686294556</v>
      </c>
      <c r="GV41" s="462">
        <v>-1.2225868701934814</v>
      </c>
      <c r="GW41" s="462">
        <v>-1.3572151660919189</v>
      </c>
      <c r="GX41" s="462">
        <v>-1.0923951864242554</v>
      </c>
      <c r="GY41" s="463">
        <v>-1.1871302127838135</v>
      </c>
      <c r="GZ41" s="10">
        <v>160</v>
      </c>
      <c r="HA41" s="536">
        <v>0.25696000000000002</v>
      </c>
      <c r="HB41" s="536">
        <v>9.8030000000000006E-2</v>
      </c>
      <c r="HC41" s="525">
        <v>0.10236000000000001</v>
      </c>
      <c r="HD41" s="526">
        <v>0.14526</v>
      </c>
      <c r="HE41" s="527">
        <v>0.52329999999999999</v>
      </c>
      <c r="HF41" s="10">
        <v>137</v>
      </c>
      <c r="HG41" s="532">
        <v>2.2400000000000002</v>
      </c>
      <c r="HH41" s="545">
        <v>2.65</v>
      </c>
      <c r="HI41" s="546">
        <v>0.56999999999999995</v>
      </c>
      <c r="HJ41" s="547">
        <v>4.7699999999999996</v>
      </c>
      <c r="HK41" s="379" t="s">
        <v>145</v>
      </c>
      <c r="HL41" s="362" t="s">
        <v>145</v>
      </c>
      <c r="HM41" s="557" t="s">
        <v>145</v>
      </c>
      <c r="HN41" s="557" t="s">
        <v>145</v>
      </c>
      <c r="HO41" s="557" t="s">
        <v>145</v>
      </c>
      <c r="HP41" s="562" t="s">
        <v>145</v>
      </c>
      <c r="HQ41" s="562" t="s">
        <v>145</v>
      </c>
      <c r="HR41" s="563" t="s">
        <v>145</v>
      </c>
      <c r="HS41" s="545" t="s">
        <v>145</v>
      </c>
      <c r="HT41" s="557" t="s">
        <v>145</v>
      </c>
      <c r="HU41" s="557" t="s">
        <v>145</v>
      </c>
      <c r="HV41" s="581" t="s">
        <v>145</v>
      </c>
      <c r="HW41" s="557" t="s">
        <v>145</v>
      </c>
      <c r="HX41" s="557" t="s">
        <v>145</v>
      </c>
      <c r="HY41" s="557" t="s">
        <v>145</v>
      </c>
      <c r="HZ41" s="557" t="s">
        <v>145</v>
      </c>
      <c r="IA41" s="557" t="s">
        <v>145</v>
      </c>
      <c r="IB41" s="557" t="s">
        <v>145</v>
      </c>
      <c r="IC41" s="547" t="s">
        <v>145</v>
      </c>
      <c r="ID41" s="40"/>
      <c r="IE41" s="550"/>
      <c r="IF41" s="550"/>
      <c r="IG41" s="784" t="s">
        <v>3422</v>
      </c>
      <c r="IH41" s="115">
        <v>60.2</v>
      </c>
      <c r="II41" s="647" t="s">
        <v>4923</v>
      </c>
      <c r="IJ41" s="423" t="s">
        <v>4918</v>
      </c>
      <c r="IK41" s="10">
        <v>0</v>
      </c>
      <c r="IL41" s="749">
        <f t="shared" si="57"/>
        <v>13</v>
      </c>
      <c r="IM41" s="747">
        <f t="shared" si="58"/>
        <v>52</v>
      </c>
      <c r="IN41" s="750" t="str">
        <f t="shared" si="59"/>
        <v>B</v>
      </c>
      <c r="IO41" s="446">
        <v>1</v>
      </c>
      <c r="IP41" s="902">
        <v>4</v>
      </c>
      <c r="IQ41" s="903">
        <v>0</v>
      </c>
      <c r="IR41" s="993">
        <v>0</v>
      </c>
      <c r="IT41" s="435"/>
      <c r="IU41" s="435"/>
      <c r="IV41" s="435"/>
    </row>
    <row r="42" spans="1:256">
      <c r="A42" s="21">
        <v>40</v>
      </c>
      <c r="B42" s="9"/>
      <c r="C42" s="431" t="s">
        <v>65</v>
      </c>
      <c r="D42" s="423" t="s">
        <v>406</v>
      </c>
      <c r="E42" s="24" t="s">
        <v>9</v>
      </c>
      <c r="F42" s="76" t="s">
        <v>3144</v>
      </c>
      <c r="G42" s="102" t="s">
        <v>647</v>
      </c>
      <c r="H42" s="896" t="s">
        <v>5624</v>
      </c>
      <c r="I42" s="897" t="s">
        <v>5625</v>
      </c>
      <c r="J42" s="898">
        <v>2</v>
      </c>
      <c r="K42" s="359">
        <v>1908</v>
      </c>
      <c r="L42" s="371">
        <v>2</v>
      </c>
      <c r="M42" s="373" t="s">
        <v>1825</v>
      </c>
      <c r="N42" s="369" t="s">
        <v>1822</v>
      </c>
      <c r="O42" s="365" t="s">
        <v>3148</v>
      </c>
      <c r="P42" s="362" t="s">
        <v>3147</v>
      </c>
      <c r="Q42" s="370">
        <v>2</v>
      </c>
      <c r="R42" s="370">
        <v>2011</v>
      </c>
      <c r="S42" s="372" t="s">
        <v>1961</v>
      </c>
      <c r="T42" s="370">
        <v>1</v>
      </c>
      <c r="U42" s="370">
        <v>2</v>
      </c>
      <c r="V42" s="370">
        <v>15</v>
      </c>
      <c r="W42" s="369" t="s">
        <v>1822</v>
      </c>
      <c r="X42" s="170">
        <v>0</v>
      </c>
      <c r="Y42" s="369">
        <v>0</v>
      </c>
      <c r="Z42" s="271"/>
      <c r="AA42" s="169">
        <v>1</v>
      </c>
      <c r="AB42" s="177"/>
      <c r="AC42" s="171"/>
      <c r="AD42" s="366" t="s">
        <v>3148</v>
      </c>
      <c r="AE42" s="355">
        <v>2015</v>
      </c>
      <c r="AF42" s="357">
        <v>2</v>
      </c>
      <c r="AG42" s="550" t="s">
        <v>5171</v>
      </c>
      <c r="AH42" s="355" t="s">
        <v>3122</v>
      </c>
      <c r="AI42" s="550">
        <v>0</v>
      </c>
      <c r="AJ42" s="550">
        <v>0</v>
      </c>
      <c r="AK42" s="590" t="s">
        <v>145</v>
      </c>
      <c r="AL42" s="395">
        <v>10</v>
      </c>
      <c r="AM42" s="361" t="s">
        <v>3149</v>
      </c>
      <c r="AN42" s="528" t="s">
        <v>145</v>
      </c>
      <c r="AO42" s="170">
        <v>0</v>
      </c>
      <c r="AP42" s="369">
        <v>0</v>
      </c>
      <c r="AQ42" s="592" t="s">
        <v>4972</v>
      </c>
      <c r="AR42" s="378" t="s">
        <v>4973</v>
      </c>
      <c r="AS42" s="55">
        <v>2</v>
      </c>
      <c r="AT42" s="370">
        <v>3</v>
      </c>
      <c r="AU42" s="371">
        <v>2009</v>
      </c>
      <c r="AV42" s="370">
        <v>5</v>
      </c>
      <c r="AW42" s="589">
        <v>400</v>
      </c>
      <c r="AX42" s="687">
        <v>0</v>
      </c>
      <c r="AY42" s="174" t="s">
        <v>4339</v>
      </c>
      <c r="AZ42" s="550">
        <v>1979</v>
      </c>
      <c r="BA42" s="550">
        <v>0</v>
      </c>
      <c r="BB42" s="550">
        <v>0</v>
      </c>
      <c r="BC42" s="108" t="s">
        <v>145</v>
      </c>
      <c r="BD42" s="550" t="s">
        <v>145</v>
      </c>
      <c r="BE42" s="550">
        <v>0</v>
      </c>
      <c r="BF42" s="367" t="s">
        <v>145</v>
      </c>
      <c r="BG42" s="367">
        <v>0</v>
      </c>
      <c r="BH42" s="56" t="s">
        <v>145</v>
      </c>
      <c r="BI42" s="367">
        <v>0</v>
      </c>
      <c r="BJ42" s="367">
        <v>0</v>
      </c>
      <c r="BK42" s="888">
        <v>77266.813999999998</v>
      </c>
      <c r="BL42" s="925">
        <f t="shared" si="46"/>
        <v>50.129773695599766</v>
      </c>
      <c r="BM42" s="888">
        <v>38533.135000000002</v>
      </c>
      <c r="BN42" s="920">
        <v>38733.678999999996</v>
      </c>
      <c r="BO42" s="888">
        <v>13875.564</v>
      </c>
      <c r="BP42" s="1158">
        <f t="shared" si="17"/>
        <v>49.51361256378479</v>
      </c>
      <c r="BQ42" s="917">
        <v>7005.2709999999997</v>
      </c>
      <c r="BR42" s="920">
        <v>6870.2929999999997</v>
      </c>
      <c r="BS42" s="888">
        <v>11739.773999999999</v>
      </c>
      <c r="BT42" s="1158">
        <f t="shared" si="18"/>
        <v>49.610844297343377</v>
      </c>
      <c r="BU42" s="917">
        <v>5915.5730000000003</v>
      </c>
      <c r="BV42" s="920">
        <v>5824.201</v>
      </c>
      <c r="BW42" s="888">
        <v>9921.9380000000001</v>
      </c>
      <c r="BX42" s="1158">
        <f t="shared" si="19"/>
        <v>49.704835889923928</v>
      </c>
      <c r="BY42" s="917">
        <v>4990.2550000000001</v>
      </c>
      <c r="BZ42" s="920">
        <v>4931.683</v>
      </c>
      <c r="CA42" s="888">
        <f t="shared" si="20"/>
        <v>41729.538</v>
      </c>
      <c r="CB42" s="1158">
        <f t="shared" si="21"/>
        <v>50.581681493813804</v>
      </c>
      <c r="CC42" s="917">
        <f t="shared" si="22"/>
        <v>20622.036</v>
      </c>
      <c r="CD42" s="920">
        <f t="shared" si="23"/>
        <v>21107.501999999997</v>
      </c>
      <c r="CE42" s="914">
        <v>2015</v>
      </c>
      <c r="CF42" s="910" t="s">
        <v>5630</v>
      </c>
      <c r="CG42" s="1026">
        <v>27.8</v>
      </c>
      <c r="CH42" s="495">
        <v>27.5</v>
      </c>
      <c r="CI42" s="497">
        <v>28</v>
      </c>
      <c r="CJ42" s="904">
        <v>23.9</v>
      </c>
      <c r="CK42" s="904">
        <v>29.2</v>
      </c>
      <c r="CL42" s="904">
        <v>2010</v>
      </c>
      <c r="CM42" s="905" t="s">
        <v>5573</v>
      </c>
      <c r="CN42" s="1044">
        <v>32024.639999999999</v>
      </c>
      <c r="CO42" s="1045">
        <f t="shared" si="47"/>
        <v>41.446823470681728</v>
      </c>
      <c r="CP42" s="1040">
        <f t="shared" si="60"/>
        <v>15970.760441169479</v>
      </c>
      <c r="CQ42" s="1041">
        <f t="shared" si="61"/>
        <v>16053.87955883052</v>
      </c>
      <c r="CR42" s="1046">
        <v>2011</v>
      </c>
      <c r="CS42" s="1047" t="s">
        <v>5742</v>
      </c>
      <c r="CT42" s="1068">
        <f t="shared" si="48"/>
        <v>15</v>
      </c>
      <c r="CU42" s="1071">
        <v>18</v>
      </c>
      <c r="CV42" s="1068" t="s">
        <v>5886</v>
      </c>
      <c r="CW42" s="1113">
        <v>32024.639999999999</v>
      </c>
      <c r="CX42" s="1113">
        <v>34036.858999999997</v>
      </c>
      <c r="CY42" s="1113">
        <v>71712.866999999998</v>
      </c>
      <c r="CZ42" s="494">
        <v>1</v>
      </c>
      <c r="DA42" s="1104">
        <v>4</v>
      </c>
      <c r="DB42" s="1050" t="s">
        <v>647</v>
      </c>
      <c r="DC42" s="1143" t="s">
        <v>320</v>
      </c>
      <c r="DD42" s="978">
        <f t="shared" si="34"/>
        <v>35362.811272000006</v>
      </c>
      <c r="DE42" s="979">
        <f t="shared" si="49"/>
        <v>45.767140433666654</v>
      </c>
      <c r="DF42" s="979">
        <f t="shared" si="35"/>
        <v>50.17833493124855</v>
      </c>
      <c r="DG42" s="980">
        <f t="shared" si="36"/>
        <v>17636.822333830522</v>
      </c>
      <c r="DH42" s="980">
        <f t="shared" si="37"/>
        <v>17744.469881169476</v>
      </c>
      <c r="DI42" s="979">
        <f t="shared" si="50"/>
        <v>45.770535757940593</v>
      </c>
      <c r="DJ42" s="981">
        <f t="shared" si="51"/>
        <v>45.811475540883883</v>
      </c>
      <c r="DK42" s="984">
        <f t="shared" si="52"/>
        <v>9704.898000000001</v>
      </c>
      <c r="DL42" s="979">
        <f t="shared" si="38"/>
        <v>52.072906290921097</v>
      </c>
      <c r="DM42" s="980">
        <f t="shared" si="53"/>
        <v>4651.2755588305208</v>
      </c>
      <c r="DN42" s="985">
        <f t="shared" si="54"/>
        <v>5053.6224411694766</v>
      </c>
      <c r="DO42" s="984">
        <f t="shared" si="55"/>
        <v>15639.756064000001</v>
      </c>
      <c r="DP42" s="979">
        <f t="shared" si="39"/>
        <v>49.51635081972848</v>
      </c>
      <c r="DQ42" s="980">
        <f t="shared" si="28"/>
        <v>7906.7253000000001</v>
      </c>
      <c r="DR42" s="985">
        <f t="shared" si="29"/>
        <v>7744.2364799999996</v>
      </c>
      <c r="DS42" s="984">
        <f t="shared" si="56"/>
        <v>10018.157208000001</v>
      </c>
      <c r="DT42" s="339">
        <f t="shared" si="40"/>
        <v>49.376455742278466</v>
      </c>
      <c r="DU42" s="980">
        <f t="shared" si="30"/>
        <v>5078.8214749999997</v>
      </c>
      <c r="DV42" s="985">
        <f t="shared" si="31"/>
        <v>4946.61096</v>
      </c>
      <c r="DW42" s="979">
        <f t="shared" si="32"/>
        <v>72.5</v>
      </c>
      <c r="DX42" s="981">
        <f t="shared" si="33"/>
        <v>72.000000000000014</v>
      </c>
      <c r="DY42" s="414">
        <v>87.72</v>
      </c>
      <c r="DZ42" s="111">
        <v>2006</v>
      </c>
      <c r="EA42" s="118">
        <v>59423.395029000007</v>
      </c>
      <c r="EB42" s="123">
        <v>71.3</v>
      </c>
      <c r="EC42" s="113">
        <v>2005</v>
      </c>
      <c r="ED42" s="20">
        <v>48311.152400999999</v>
      </c>
      <c r="EE42" s="414">
        <v>71</v>
      </c>
      <c r="EF42" s="111">
        <v>2006</v>
      </c>
      <c r="EG42" s="380">
        <v>61.205543518066399</v>
      </c>
      <c r="EH42" s="24" t="s">
        <v>372</v>
      </c>
      <c r="EI42" s="287">
        <v>1</v>
      </c>
      <c r="EJ42" s="40">
        <v>3</v>
      </c>
      <c r="EK42" s="35" t="s">
        <v>728</v>
      </c>
      <c r="EL42" s="95" t="s">
        <v>145</v>
      </c>
      <c r="EM42" s="95" t="s">
        <v>145</v>
      </c>
      <c r="EN42" s="35" t="s">
        <v>145</v>
      </c>
      <c r="EO42" s="95" t="s">
        <v>1646</v>
      </c>
      <c r="EP42" s="205">
        <v>0.28000000000000003</v>
      </c>
      <c r="EQ42" s="207" t="s">
        <v>145</v>
      </c>
      <c r="ER42" s="517">
        <v>4</v>
      </c>
      <c r="ES42" s="183" t="s">
        <v>145</v>
      </c>
      <c r="ET42" s="183" t="s">
        <v>3820</v>
      </c>
      <c r="EU42" s="82" t="s">
        <v>3753</v>
      </c>
      <c r="EV42" s="82" t="s">
        <v>145</v>
      </c>
      <c r="EW42" s="82" t="s">
        <v>3905</v>
      </c>
      <c r="EX42" s="360" t="s">
        <v>3906</v>
      </c>
      <c r="EY42" s="159"/>
      <c r="EZ42" s="156"/>
      <c r="FA42" s="323"/>
      <c r="FB42" s="323"/>
      <c r="FC42" s="323"/>
      <c r="FD42" s="160"/>
      <c r="FE42" s="156"/>
      <c r="FF42" s="156"/>
      <c r="FG42" s="156"/>
      <c r="FH42" s="157"/>
      <c r="FI42" s="242"/>
      <c r="FJ42" s="373"/>
      <c r="FK42" s="179"/>
      <c r="FL42" s="179"/>
      <c r="FM42" s="179"/>
      <c r="FN42" s="369"/>
      <c r="FO42" s="232"/>
      <c r="FP42" s="255"/>
      <c r="FQ42" s="183"/>
      <c r="FR42" s="257">
        <v>1</v>
      </c>
      <c r="FS42" s="82" t="s">
        <v>1874</v>
      </c>
      <c r="FT42" s="257">
        <v>1</v>
      </c>
      <c r="FU42" s="82" t="s">
        <v>1873</v>
      </c>
      <c r="FV42" s="259"/>
      <c r="FW42" s="82"/>
      <c r="FX42" s="259"/>
      <c r="FY42" s="82"/>
      <c r="FZ42" s="259"/>
      <c r="GA42" s="82"/>
      <c r="GB42" s="261"/>
      <c r="GC42" s="90"/>
      <c r="GD42" s="76">
        <v>1</v>
      </c>
      <c r="GE42" s="445" t="s">
        <v>3424</v>
      </c>
      <c r="GF42" s="447" t="s">
        <v>580</v>
      </c>
      <c r="GG42" s="448">
        <v>6</v>
      </c>
      <c r="GH42" s="449">
        <v>6</v>
      </c>
      <c r="GI42" s="447" t="s">
        <v>145</v>
      </c>
      <c r="GJ42" s="449" t="s">
        <v>145</v>
      </c>
      <c r="GK42" s="447" t="s">
        <v>145</v>
      </c>
      <c r="GL42" s="448" t="s">
        <v>145</v>
      </c>
      <c r="GM42" s="449" t="s">
        <v>145</v>
      </c>
      <c r="GN42" s="447" t="s">
        <v>580</v>
      </c>
      <c r="GO42" s="449">
        <v>79</v>
      </c>
      <c r="GP42" s="447">
        <v>24</v>
      </c>
      <c r="GQ42" s="448">
        <v>31</v>
      </c>
      <c r="GR42" s="449">
        <v>24</v>
      </c>
      <c r="GS42" s="446">
        <v>5</v>
      </c>
      <c r="GT42" s="461">
        <v>-1.4673969745635986</v>
      </c>
      <c r="GU42" s="462">
        <v>-2.2300465106964111</v>
      </c>
      <c r="GV42" s="462">
        <v>-1.5920511484146118</v>
      </c>
      <c r="GW42" s="462">
        <v>-1.2807377576828003</v>
      </c>
      <c r="GX42" s="462">
        <v>-1.549072265625</v>
      </c>
      <c r="GY42" s="463">
        <v>-1.2977684736251831</v>
      </c>
      <c r="GZ42" s="10">
        <v>183</v>
      </c>
      <c r="HA42" s="536">
        <v>0.15514</v>
      </c>
      <c r="HB42" s="536">
        <v>1.9599999999999999E-2</v>
      </c>
      <c r="HC42" s="525">
        <v>4.7239999999999997E-2</v>
      </c>
      <c r="HD42" s="526">
        <v>3.3689999999999998E-2</v>
      </c>
      <c r="HE42" s="527">
        <v>0.38450000000000001</v>
      </c>
      <c r="HF42" s="10">
        <v>157</v>
      </c>
      <c r="HG42" s="532">
        <v>1.56</v>
      </c>
      <c r="HH42" s="545">
        <v>1.72</v>
      </c>
      <c r="HI42" s="546">
        <v>0.3</v>
      </c>
      <c r="HJ42" s="547">
        <v>3.76</v>
      </c>
      <c r="HK42" s="379" t="s">
        <v>145</v>
      </c>
      <c r="HL42" s="362" t="s">
        <v>145</v>
      </c>
      <c r="HM42" s="557" t="s">
        <v>145</v>
      </c>
      <c r="HN42" s="557" t="s">
        <v>145</v>
      </c>
      <c r="HO42" s="557" t="s">
        <v>145</v>
      </c>
      <c r="HP42" s="562" t="s">
        <v>145</v>
      </c>
      <c r="HQ42" s="562" t="s">
        <v>145</v>
      </c>
      <c r="HR42" s="563" t="s">
        <v>145</v>
      </c>
      <c r="HS42" s="545" t="s">
        <v>145</v>
      </c>
      <c r="HT42" s="557" t="s">
        <v>145</v>
      </c>
      <c r="HU42" s="557" t="s">
        <v>145</v>
      </c>
      <c r="HV42" s="581" t="s">
        <v>145</v>
      </c>
      <c r="HW42" s="557" t="s">
        <v>145</v>
      </c>
      <c r="HX42" s="557" t="s">
        <v>145</v>
      </c>
      <c r="HY42" s="557" t="s">
        <v>145</v>
      </c>
      <c r="HZ42" s="557" t="s">
        <v>145</v>
      </c>
      <c r="IA42" s="557" t="s">
        <v>145</v>
      </c>
      <c r="IB42" s="557" t="s">
        <v>145</v>
      </c>
      <c r="IC42" s="547" t="s">
        <v>145</v>
      </c>
      <c r="ID42" s="40"/>
      <c r="IE42" s="550"/>
      <c r="IF42" s="550"/>
      <c r="IG42" s="553">
        <v>1</v>
      </c>
      <c r="IH42" s="115">
        <v>34.799999999999997</v>
      </c>
      <c r="II42" s="647" t="s">
        <v>4921</v>
      </c>
      <c r="IJ42" s="423" t="s">
        <v>4918</v>
      </c>
      <c r="IK42" s="10">
        <v>0</v>
      </c>
      <c r="IL42" s="749">
        <f t="shared" si="57"/>
        <v>13</v>
      </c>
      <c r="IM42" s="747">
        <f t="shared" si="58"/>
        <v>52</v>
      </c>
      <c r="IN42" s="750" t="str">
        <f t="shared" si="59"/>
        <v>B</v>
      </c>
      <c r="IO42" s="446">
        <v>1</v>
      </c>
      <c r="IP42" s="902">
        <v>3</v>
      </c>
      <c r="IQ42" s="903">
        <v>0</v>
      </c>
      <c r="IR42" s="993">
        <v>0</v>
      </c>
      <c r="IT42" s="435"/>
      <c r="IU42" s="435"/>
      <c r="IV42" s="435"/>
    </row>
    <row r="43" spans="1:256">
      <c r="A43" s="21">
        <v>41</v>
      </c>
      <c r="B43" s="9"/>
      <c r="C43" s="432" t="s">
        <v>67</v>
      </c>
      <c r="D43" s="424" t="s">
        <v>409</v>
      </c>
      <c r="E43" s="24" t="s">
        <v>12</v>
      </c>
      <c r="F43" s="76" t="s">
        <v>783</v>
      </c>
      <c r="G43" s="102" t="s">
        <v>479</v>
      </c>
      <c r="H43" s="375" t="s">
        <v>3151</v>
      </c>
      <c r="I43" s="95" t="s">
        <v>1757</v>
      </c>
      <c r="J43" s="176">
        <v>4</v>
      </c>
      <c r="K43" s="359">
        <v>1888</v>
      </c>
      <c r="L43" s="371">
        <v>2</v>
      </c>
      <c r="M43" s="240" t="s">
        <v>1825</v>
      </c>
      <c r="N43" s="369" t="s">
        <v>1822</v>
      </c>
      <c r="O43" s="365" t="s">
        <v>3150</v>
      </c>
      <c r="P43" s="362" t="s">
        <v>2805</v>
      </c>
      <c r="Q43" s="176">
        <v>6</v>
      </c>
      <c r="R43" s="370">
        <v>1969</v>
      </c>
      <c r="S43" s="234" t="s">
        <v>2725</v>
      </c>
      <c r="T43" s="176">
        <v>1</v>
      </c>
      <c r="U43" s="176">
        <v>2</v>
      </c>
      <c r="V43" s="176">
        <v>18</v>
      </c>
      <c r="W43" s="369" t="s">
        <v>1822</v>
      </c>
      <c r="X43" s="170">
        <v>1</v>
      </c>
      <c r="Y43" s="369">
        <v>1</v>
      </c>
      <c r="Z43" s="273" t="s">
        <v>2061</v>
      </c>
      <c r="AA43" s="169">
        <v>1</v>
      </c>
      <c r="AB43" s="177">
        <v>1</v>
      </c>
      <c r="AC43" s="171"/>
      <c r="AD43" s="366" t="s">
        <v>3150</v>
      </c>
      <c r="AE43" s="357">
        <v>2011</v>
      </c>
      <c r="AF43" s="357">
        <v>2</v>
      </c>
      <c r="AG43" s="550" t="s">
        <v>4272</v>
      </c>
      <c r="AH43" s="355" t="s">
        <v>2806</v>
      </c>
      <c r="AI43" s="55">
        <v>0</v>
      </c>
      <c r="AJ43" s="55">
        <v>0</v>
      </c>
      <c r="AK43" s="590" t="s">
        <v>145</v>
      </c>
      <c r="AL43" s="386">
        <v>7</v>
      </c>
      <c r="AM43" s="361" t="s">
        <v>3135</v>
      </c>
      <c r="AN43" s="793">
        <v>3</v>
      </c>
      <c r="AO43" s="170">
        <v>1</v>
      </c>
      <c r="AP43" s="172">
        <v>1</v>
      </c>
      <c r="AQ43" s="365" t="s">
        <v>5319</v>
      </c>
      <c r="AR43" s="377" t="s">
        <v>5320</v>
      </c>
      <c r="AS43" s="55">
        <v>1</v>
      </c>
      <c r="AT43" s="370">
        <v>3</v>
      </c>
      <c r="AU43" s="371">
        <v>2014</v>
      </c>
      <c r="AV43" s="370">
        <v>5</v>
      </c>
      <c r="AW43" s="589" t="s">
        <v>145</v>
      </c>
      <c r="AX43" s="687">
        <v>0</v>
      </c>
      <c r="AY43" s="174" t="s">
        <v>4340</v>
      </c>
      <c r="AZ43" s="550">
        <v>2012</v>
      </c>
      <c r="BA43" s="550">
        <v>1</v>
      </c>
      <c r="BB43" s="550">
        <v>2</v>
      </c>
      <c r="BC43" s="174" t="s">
        <v>4341</v>
      </c>
      <c r="BD43" s="550">
        <v>2012</v>
      </c>
      <c r="BE43" s="550">
        <v>1</v>
      </c>
      <c r="BF43" s="371" t="s">
        <v>323</v>
      </c>
      <c r="BG43" s="371">
        <v>1</v>
      </c>
      <c r="BH43" s="1" t="s">
        <v>4342</v>
      </c>
      <c r="BI43" s="371">
        <v>3</v>
      </c>
      <c r="BJ43" s="371">
        <v>0</v>
      </c>
      <c r="BK43" s="888">
        <v>4807.8500000000004</v>
      </c>
      <c r="BL43" s="925">
        <f t="shared" si="46"/>
        <v>49.966305105192546</v>
      </c>
      <c r="BM43" s="888">
        <v>2405.5450000000001</v>
      </c>
      <c r="BN43" s="920">
        <v>2402.3049999999998</v>
      </c>
      <c r="BO43" s="888">
        <v>350.327</v>
      </c>
      <c r="BP43" s="1158">
        <f t="shared" si="17"/>
        <v>48.826382208622228</v>
      </c>
      <c r="BQ43" s="917">
        <v>179.27500000000001</v>
      </c>
      <c r="BR43" s="920">
        <v>171.05199999999999</v>
      </c>
      <c r="BS43" s="888">
        <v>360.48700000000002</v>
      </c>
      <c r="BT43" s="1158">
        <f t="shared" si="18"/>
        <v>48.841428401024167</v>
      </c>
      <c r="BU43" s="917">
        <v>184.42</v>
      </c>
      <c r="BV43" s="920">
        <v>176.06700000000001</v>
      </c>
      <c r="BW43" s="888">
        <v>361.75299999999999</v>
      </c>
      <c r="BX43" s="1158">
        <f t="shared" si="19"/>
        <v>48.865386050703101</v>
      </c>
      <c r="BY43" s="917">
        <v>184.98099999999999</v>
      </c>
      <c r="BZ43" s="920">
        <v>176.77199999999999</v>
      </c>
      <c r="CA43" s="888">
        <f t="shared" si="20"/>
        <v>3735.2829999999999</v>
      </c>
      <c r="CB43" s="1158">
        <f t="shared" si="21"/>
        <v>50.288398496178196</v>
      </c>
      <c r="CC43" s="917">
        <f t="shared" si="22"/>
        <v>1856.8689999999999</v>
      </c>
      <c r="CD43" s="920">
        <f t="shared" si="23"/>
        <v>1878.4139999999998</v>
      </c>
      <c r="CE43" s="914">
        <v>2015</v>
      </c>
      <c r="CF43" s="910" t="s">
        <v>5630</v>
      </c>
      <c r="CG43" s="930">
        <v>99.7</v>
      </c>
      <c r="CH43" s="495">
        <v>99.8</v>
      </c>
      <c r="CI43" s="497">
        <v>99.6</v>
      </c>
      <c r="CJ43" s="904">
        <v>100</v>
      </c>
      <c r="CK43" s="904">
        <v>99.3</v>
      </c>
      <c r="CL43" s="904">
        <v>2011</v>
      </c>
      <c r="CM43" s="905" t="s">
        <v>5573</v>
      </c>
      <c r="CN43" s="1044">
        <v>3065.6669999999999</v>
      </c>
      <c r="CO43" s="1045">
        <f t="shared" si="47"/>
        <v>63.763782147945534</v>
      </c>
      <c r="CP43" s="1040">
        <f t="shared" si="60"/>
        <v>1533.8664732707966</v>
      </c>
      <c r="CQ43" s="1041">
        <f t="shared" si="61"/>
        <v>1531.8005267292031</v>
      </c>
      <c r="CR43" s="1046">
        <v>2014</v>
      </c>
      <c r="CS43" s="1047" t="s">
        <v>5832</v>
      </c>
      <c r="CT43" s="1068">
        <f t="shared" si="48"/>
        <v>18</v>
      </c>
      <c r="CU43" s="1071">
        <v>18</v>
      </c>
      <c r="CV43" s="1068" t="s">
        <v>5887</v>
      </c>
      <c r="CW43" s="1113">
        <v>3065.6669999999999</v>
      </c>
      <c r="CX43" s="1113">
        <v>3257.6619999999998</v>
      </c>
      <c r="CY43" s="1113">
        <v>4695.942</v>
      </c>
      <c r="CZ43" s="494">
        <v>1</v>
      </c>
      <c r="DA43" s="1104">
        <v>4</v>
      </c>
      <c r="DB43" s="1050" t="s">
        <v>647</v>
      </c>
      <c r="DC43" s="1146" t="s">
        <v>322</v>
      </c>
      <c r="DD43" s="982">
        <f t="shared" si="34"/>
        <v>672.83370100000002</v>
      </c>
      <c r="DE43" s="979">
        <f t="shared" si="49"/>
        <v>13.994481961791653</v>
      </c>
      <c r="DF43" s="979">
        <f t="shared" si="35"/>
        <v>51.826927924764689</v>
      </c>
      <c r="DG43" s="983">
        <f t="shared" si="36"/>
        <v>324.09987872920328</v>
      </c>
      <c r="DH43" s="983">
        <f t="shared" si="37"/>
        <v>348.70903727079673</v>
      </c>
      <c r="DI43" s="979">
        <f t="shared" si="50"/>
        <v>13.473033293045994</v>
      </c>
      <c r="DJ43" s="981">
        <f t="shared" si="51"/>
        <v>14.515602193343341</v>
      </c>
      <c r="DK43" s="984">
        <f t="shared" si="52"/>
        <v>669.61599999999999</v>
      </c>
      <c r="DL43" s="979">
        <f t="shared" si="38"/>
        <v>51.763021384016618</v>
      </c>
      <c r="DM43" s="983">
        <f t="shared" si="53"/>
        <v>323.00252672920328</v>
      </c>
      <c r="DN43" s="986">
        <f t="shared" si="54"/>
        <v>346.6134732707967</v>
      </c>
      <c r="DO43" s="984">
        <f t="shared" si="55"/>
        <v>2.166720000000002</v>
      </c>
      <c r="DP43" s="979">
        <f t="shared" si="39"/>
        <v>65.137904297740363</v>
      </c>
      <c r="DQ43" s="983">
        <f t="shared" si="28"/>
        <v>0.73880200000000062</v>
      </c>
      <c r="DR43" s="986">
        <f t="shared" si="29"/>
        <v>1.4113560000000014</v>
      </c>
      <c r="DS43" s="984">
        <f t="shared" si="56"/>
        <v>1.0509810000000008</v>
      </c>
      <c r="DT43" s="339">
        <f t="shared" si="40"/>
        <v>65.101842944829642</v>
      </c>
      <c r="DU43" s="983">
        <f t="shared" si="30"/>
        <v>0.35855000000000031</v>
      </c>
      <c r="DV43" s="986">
        <f t="shared" si="31"/>
        <v>0.68420800000000059</v>
      </c>
      <c r="DW43" s="979">
        <f t="shared" si="32"/>
        <v>0.20000000000000018</v>
      </c>
      <c r="DX43" s="981">
        <f t="shared" si="33"/>
        <v>0.40000000000000036</v>
      </c>
      <c r="DY43" s="414">
        <v>3.12</v>
      </c>
      <c r="DZ43" s="111">
        <v>2009</v>
      </c>
      <c r="EA43" s="118">
        <v>146.52382499999999</v>
      </c>
      <c r="EB43" s="123">
        <v>24.8</v>
      </c>
      <c r="EC43" s="113">
        <v>2011</v>
      </c>
      <c r="ED43" s="20">
        <v>1172.1905999999999</v>
      </c>
      <c r="EE43" s="414">
        <v>24.8</v>
      </c>
      <c r="EF43" s="111">
        <v>2011</v>
      </c>
      <c r="EG43" s="380">
        <v>97.406585693359403</v>
      </c>
      <c r="EH43" s="24" t="s">
        <v>358</v>
      </c>
      <c r="EI43" s="287">
        <v>0</v>
      </c>
      <c r="EJ43" s="40" t="s">
        <v>145</v>
      </c>
      <c r="EK43" s="35" t="s">
        <v>145</v>
      </c>
      <c r="EL43" s="95" t="s">
        <v>145</v>
      </c>
      <c r="EM43" s="95" t="s">
        <v>145</v>
      </c>
      <c r="EN43" s="35" t="s">
        <v>145</v>
      </c>
      <c r="EO43" s="95" t="s">
        <v>145</v>
      </c>
      <c r="EP43" s="205" t="s">
        <v>145</v>
      </c>
      <c r="EQ43" s="207" t="s">
        <v>145</v>
      </c>
      <c r="ER43" s="517">
        <v>1</v>
      </c>
      <c r="ES43" s="183" t="s">
        <v>145</v>
      </c>
      <c r="ET43" s="183" t="s">
        <v>3828</v>
      </c>
      <c r="EU43" s="82" t="s">
        <v>145</v>
      </c>
      <c r="EV43" s="82" t="s">
        <v>145</v>
      </c>
      <c r="EW43" s="82" t="s">
        <v>145</v>
      </c>
      <c r="EX43" s="360" t="s">
        <v>3828</v>
      </c>
      <c r="EY43" s="159">
        <v>3810179</v>
      </c>
      <c r="EZ43" s="156">
        <v>2000</v>
      </c>
      <c r="FA43" s="323">
        <v>59</v>
      </c>
      <c r="FB43" s="323">
        <v>41</v>
      </c>
      <c r="FC43" s="323">
        <v>22</v>
      </c>
      <c r="FD43" s="231" t="s">
        <v>1756</v>
      </c>
      <c r="FE43" s="156">
        <v>95</v>
      </c>
      <c r="FF43" s="156" t="s">
        <v>1673</v>
      </c>
      <c r="FG43" s="156" t="s">
        <v>318</v>
      </c>
      <c r="FH43" s="157" t="s">
        <v>318</v>
      </c>
      <c r="FI43" s="242">
        <v>2</v>
      </c>
      <c r="FJ43" s="240" t="s">
        <v>1821</v>
      </c>
      <c r="FK43" s="179" t="s">
        <v>145</v>
      </c>
      <c r="FL43" s="236" t="s">
        <v>1817</v>
      </c>
      <c r="FM43" s="179" t="s">
        <v>1822</v>
      </c>
      <c r="FN43" s="351" t="s">
        <v>1824</v>
      </c>
      <c r="FO43" s="366" t="s">
        <v>1758</v>
      </c>
      <c r="FP43" s="255">
        <v>1</v>
      </c>
      <c r="FQ43" s="183" t="s">
        <v>1871</v>
      </c>
      <c r="FR43" s="257">
        <v>1</v>
      </c>
      <c r="FS43" s="82" t="s">
        <v>1871</v>
      </c>
      <c r="FT43" s="259"/>
      <c r="FU43" s="82"/>
      <c r="FV43" s="259"/>
      <c r="FW43" s="82"/>
      <c r="FX43" s="259"/>
      <c r="FY43" s="82"/>
      <c r="FZ43" s="259"/>
      <c r="GA43" s="82"/>
      <c r="GB43" s="261"/>
      <c r="GC43" s="90"/>
      <c r="GD43" s="76">
        <v>1</v>
      </c>
      <c r="GE43" s="445" t="s">
        <v>3424</v>
      </c>
      <c r="GF43" s="447" t="s">
        <v>10</v>
      </c>
      <c r="GG43" s="448">
        <v>1</v>
      </c>
      <c r="GH43" s="449">
        <v>1</v>
      </c>
      <c r="GI43" s="447" t="s">
        <v>145</v>
      </c>
      <c r="GJ43" s="449" t="s">
        <v>145</v>
      </c>
      <c r="GK43" s="447" t="s">
        <v>145</v>
      </c>
      <c r="GL43" s="448" t="s">
        <v>145</v>
      </c>
      <c r="GM43" s="449" t="s">
        <v>145</v>
      </c>
      <c r="GN43" s="447" t="s">
        <v>10</v>
      </c>
      <c r="GO43" s="449">
        <v>18</v>
      </c>
      <c r="GP43" s="447">
        <v>5</v>
      </c>
      <c r="GQ43" s="448">
        <v>7</v>
      </c>
      <c r="GR43" s="449">
        <v>6</v>
      </c>
      <c r="GS43" s="446">
        <v>10</v>
      </c>
      <c r="GT43" s="461">
        <v>1.0496807098388672</v>
      </c>
      <c r="GU43" s="462">
        <v>0.666129469871521</v>
      </c>
      <c r="GV43" s="462">
        <v>0.47016170620918274</v>
      </c>
      <c r="GW43" s="462">
        <v>0.57642221450805664</v>
      </c>
      <c r="GX43" s="462">
        <v>0.49555924534797668</v>
      </c>
      <c r="GY43" s="463">
        <v>0.59387540817260742</v>
      </c>
      <c r="GZ43" s="10">
        <v>54</v>
      </c>
      <c r="HA43" s="536">
        <v>0.60614000000000001</v>
      </c>
      <c r="HB43" s="536">
        <v>0.82352000000000003</v>
      </c>
      <c r="HC43" s="525">
        <v>0.61416999999999999</v>
      </c>
      <c r="HD43" s="526">
        <v>0.44607000000000002</v>
      </c>
      <c r="HE43" s="527">
        <v>0.75819999999999999</v>
      </c>
      <c r="HF43" s="10">
        <v>55</v>
      </c>
      <c r="HG43" s="532">
        <v>5.92</v>
      </c>
      <c r="HH43" s="545">
        <v>6.27</v>
      </c>
      <c r="HI43" s="546">
        <v>4.4800000000000004</v>
      </c>
      <c r="HJ43" s="547">
        <v>8.1300000000000008</v>
      </c>
      <c r="HK43" s="379" t="s">
        <v>4028</v>
      </c>
      <c r="HL43" s="23" t="s">
        <v>4698</v>
      </c>
      <c r="HM43" s="557">
        <v>2011</v>
      </c>
      <c r="HN43" s="557">
        <v>2011</v>
      </c>
      <c r="HO43" s="557" t="s">
        <v>3985</v>
      </c>
      <c r="HP43" s="562" t="s">
        <v>4029</v>
      </c>
      <c r="HQ43" s="639" t="s">
        <v>4914</v>
      </c>
      <c r="HR43" s="563" t="s">
        <v>3994</v>
      </c>
      <c r="HS43" s="545" t="s">
        <v>145</v>
      </c>
      <c r="HT43" s="557" t="s">
        <v>145</v>
      </c>
      <c r="HU43" s="557" t="s">
        <v>145</v>
      </c>
      <c r="HV43" s="581" t="s">
        <v>145</v>
      </c>
      <c r="HW43" s="557" t="s">
        <v>145</v>
      </c>
      <c r="HX43" s="557" t="s">
        <v>145</v>
      </c>
      <c r="HY43" s="557" t="s">
        <v>145</v>
      </c>
      <c r="HZ43" s="557" t="s">
        <v>145</v>
      </c>
      <c r="IA43" s="557" t="s">
        <v>145</v>
      </c>
      <c r="IB43" s="557" t="s">
        <v>145</v>
      </c>
      <c r="IC43" s="547" t="s">
        <v>145</v>
      </c>
      <c r="ID43" s="660"/>
      <c r="IE43" s="550"/>
      <c r="IF43" s="550"/>
      <c r="IG43" s="553"/>
      <c r="IH43" s="339"/>
      <c r="II43" s="553" t="s">
        <v>4922</v>
      </c>
      <c r="IJ43" s="424" t="s">
        <v>4926</v>
      </c>
      <c r="IK43" s="24">
        <v>0</v>
      </c>
      <c r="IL43" s="749">
        <f t="shared" si="57"/>
        <v>18</v>
      </c>
      <c r="IM43" s="747">
        <f t="shared" si="58"/>
        <v>72</v>
      </c>
      <c r="IN43" s="750" t="str">
        <f t="shared" si="59"/>
        <v>B</v>
      </c>
      <c r="IO43" s="446"/>
      <c r="IP43" s="902">
        <v>4</v>
      </c>
      <c r="IQ43" s="903">
        <v>0</v>
      </c>
      <c r="IR43" s="993">
        <v>0</v>
      </c>
      <c r="IT43" s="435"/>
      <c r="IU43" s="435"/>
      <c r="IV43" s="435"/>
    </row>
    <row r="44" spans="1:256">
      <c r="A44" s="71">
        <v>42</v>
      </c>
      <c r="B44" s="9"/>
      <c r="C44" s="431" t="s">
        <v>69</v>
      </c>
      <c r="D44" s="423" t="s">
        <v>406</v>
      </c>
      <c r="E44" s="24" t="s">
        <v>20</v>
      </c>
      <c r="F44" s="76" t="s">
        <v>736</v>
      </c>
      <c r="G44" s="102" t="s">
        <v>472</v>
      </c>
      <c r="H44" s="375" t="s">
        <v>3011</v>
      </c>
      <c r="I44" s="95" t="s">
        <v>3152</v>
      </c>
      <c r="J44" s="176">
        <v>5</v>
      </c>
      <c r="K44" s="88">
        <v>1961</v>
      </c>
      <c r="L44" s="371">
        <v>2</v>
      </c>
      <c r="M44" s="240" t="s">
        <v>1810</v>
      </c>
      <c r="N44" s="369" t="s">
        <v>1822</v>
      </c>
      <c r="O44" s="365" t="s">
        <v>3011</v>
      </c>
      <c r="P44" s="362" t="s">
        <v>3007</v>
      </c>
      <c r="Q44" s="176">
        <v>5</v>
      </c>
      <c r="R44" s="176">
        <v>2001</v>
      </c>
      <c r="S44" s="234" t="s">
        <v>3012</v>
      </c>
      <c r="T44" s="176">
        <v>1</v>
      </c>
      <c r="U44" s="176">
        <v>2</v>
      </c>
      <c r="V44" s="176">
        <v>16</v>
      </c>
      <c r="W44" s="369" t="s">
        <v>1822</v>
      </c>
      <c r="X44" s="170">
        <v>0</v>
      </c>
      <c r="Y44" s="369">
        <v>0</v>
      </c>
      <c r="Z44" s="271"/>
      <c r="AA44" s="169">
        <v>1</v>
      </c>
      <c r="AB44" s="177">
        <v>1</v>
      </c>
      <c r="AC44" s="171"/>
      <c r="AD44" s="365" t="s">
        <v>3011</v>
      </c>
      <c r="AE44" s="357">
        <v>2016</v>
      </c>
      <c r="AF44" s="357">
        <v>2</v>
      </c>
      <c r="AG44" s="550" t="s">
        <v>5171</v>
      </c>
      <c r="AH44" s="355" t="s">
        <v>2747</v>
      </c>
      <c r="AI44" s="55">
        <v>0</v>
      </c>
      <c r="AJ44" s="55">
        <v>0</v>
      </c>
      <c r="AK44" s="589">
        <v>11000</v>
      </c>
      <c r="AL44" s="391">
        <v>12</v>
      </c>
      <c r="AM44" s="361" t="s">
        <v>3153</v>
      </c>
      <c r="AN44" s="793" t="s">
        <v>145</v>
      </c>
      <c r="AO44" s="170">
        <v>0</v>
      </c>
      <c r="AP44" s="172">
        <v>0</v>
      </c>
      <c r="AQ44" s="365" t="s">
        <v>4974</v>
      </c>
      <c r="AR44" s="378" t="s">
        <v>4975</v>
      </c>
      <c r="AS44" s="55">
        <v>2</v>
      </c>
      <c r="AT44" s="370">
        <v>3</v>
      </c>
      <c r="AU44" s="371">
        <v>2008</v>
      </c>
      <c r="AV44" s="370">
        <v>5</v>
      </c>
      <c r="AW44" s="589">
        <v>600</v>
      </c>
      <c r="AX44" s="687">
        <v>0</v>
      </c>
      <c r="AY44" s="174" t="s">
        <v>4343</v>
      </c>
      <c r="AZ44" s="550">
        <v>2012</v>
      </c>
      <c r="BA44" s="550">
        <v>1</v>
      </c>
      <c r="BB44" s="550">
        <v>0</v>
      </c>
      <c r="BC44" s="108" t="s">
        <v>145</v>
      </c>
      <c r="BD44" s="550" t="s">
        <v>145</v>
      </c>
      <c r="BE44" s="550">
        <v>0</v>
      </c>
      <c r="BF44" s="367" t="s">
        <v>145</v>
      </c>
      <c r="BG44" s="367">
        <v>0</v>
      </c>
      <c r="BH44" s="56" t="s">
        <v>145</v>
      </c>
      <c r="BI44" s="367">
        <v>2</v>
      </c>
      <c r="BJ44" s="367">
        <v>1</v>
      </c>
      <c r="BK44" s="888">
        <v>22701.556</v>
      </c>
      <c r="BL44" s="925">
        <f t="shared" si="46"/>
        <v>49.139371768173071</v>
      </c>
      <c r="BM44" s="888">
        <v>11546.154</v>
      </c>
      <c r="BN44" s="920">
        <v>11155.402</v>
      </c>
      <c r="BO44" s="888">
        <v>3667.067</v>
      </c>
      <c r="BP44" s="1158">
        <f t="shared" si="17"/>
        <v>49.681202988655514</v>
      </c>
      <c r="BQ44" s="917">
        <v>1845.2239999999999</v>
      </c>
      <c r="BR44" s="920">
        <v>1821.8430000000001</v>
      </c>
      <c r="BS44" s="888">
        <v>3156.7159999999999</v>
      </c>
      <c r="BT44" s="1158">
        <f t="shared" si="18"/>
        <v>49.723225022460056</v>
      </c>
      <c r="BU44" s="917">
        <v>1587.095</v>
      </c>
      <c r="BV44" s="920">
        <v>1569.6210000000001</v>
      </c>
      <c r="BW44" s="888">
        <v>2818.5479999999998</v>
      </c>
      <c r="BX44" s="1158">
        <f t="shared" si="19"/>
        <v>49.627858031866062</v>
      </c>
      <c r="BY44" s="917">
        <v>1419.7629999999999</v>
      </c>
      <c r="BZ44" s="920">
        <v>1398.7850000000001</v>
      </c>
      <c r="CA44" s="888">
        <f t="shared" si="20"/>
        <v>13059.225000000002</v>
      </c>
      <c r="CB44" s="1158">
        <f t="shared" si="21"/>
        <v>48.740664166518286</v>
      </c>
      <c r="CC44" s="917">
        <f t="shared" si="22"/>
        <v>6694.0720000000001</v>
      </c>
      <c r="CD44" s="920">
        <f t="shared" si="23"/>
        <v>6365.1529999999993</v>
      </c>
      <c r="CE44" s="914">
        <v>2015</v>
      </c>
      <c r="CF44" s="910" t="s">
        <v>5630</v>
      </c>
      <c r="CG44" s="1026">
        <v>65</v>
      </c>
      <c r="CH44" s="495">
        <v>65.2</v>
      </c>
      <c r="CI44" s="497">
        <v>64.7</v>
      </c>
      <c r="CJ44" s="904">
        <v>84.5</v>
      </c>
      <c r="CK44" s="904">
        <v>53.6</v>
      </c>
      <c r="CL44" s="904" t="s">
        <v>5577</v>
      </c>
      <c r="CM44" s="905" t="s">
        <v>5575</v>
      </c>
      <c r="CN44" s="1044">
        <v>6301.1890000000003</v>
      </c>
      <c r="CO44" s="1045">
        <f t="shared" si="47"/>
        <v>27.75663923653515</v>
      </c>
      <c r="CP44" s="1040">
        <f t="shared" si="60"/>
        <v>3204.8243114747734</v>
      </c>
      <c r="CQ44" s="1041">
        <f t="shared" si="61"/>
        <v>3096.3646885252274</v>
      </c>
      <c r="CR44" s="1046">
        <v>2015</v>
      </c>
      <c r="CS44" s="1047" t="s">
        <v>5763</v>
      </c>
      <c r="CT44" s="1068">
        <f t="shared" si="48"/>
        <v>16</v>
      </c>
      <c r="CU44" s="1071">
        <v>18</v>
      </c>
      <c r="CV44" s="1068" t="s">
        <v>5888</v>
      </c>
      <c r="CW44" s="1113">
        <v>6301.1890000000003</v>
      </c>
      <c r="CX44" s="1113">
        <v>12870.771000000001</v>
      </c>
      <c r="CY44" s="1113">
        <v>23295.302</v>
      </c>
      <c r="CZ44" s="494">
        <v>1</v>
      </c>
      <c r="DA44" s="1104">
        <v>4</v>
      </c>
      <c r="DB44" s="1050" t="s">
        <v>647</v>
      </c>
      <c r="DC44" s="1143" t="s">
        <v>320</v>
      </c>
      <c r="DD44" s="982">
        <f t="shared" si="34"/>
        <v>10132.851850000001</v>
      </c>
      <c r="DE44" s="979">
        <f t="shared" si="49"/>
        <v>44.635054310814645</v>
      </c>
      <c r="DF44" s="979">
        <f t="shared" si="35"/>
        <v>48.947189615476042</v>
      </c>
      <c r="DG44" s="983">
        <f t="shared" si="36"/>
        <v>5177.7722245252271</v>
      </c>
      <c r="DH44" s="983">
        <f t="shared" si="37"/>
        <v>4959.7462084747722</v>
      </c>
      <c r="DI44" s="979">
        <f t="shared" si="50"/>
        <v>44.84412926178905</v>
      </c>
      <c r="DJ44" s="981">
        <f t="shared" si="51"/>
        <v>44.460488366755158</v>
      </c>
      <c r="DK44" s="984">
        <f t="shared" si="52"/>
        <v>6758.0360000000019</v>
      </c>
      <c r="DL44" s="979">
        <f t="shared" si="38"/>
        <v>48.368909420943766</v>
      </c>
      <c r="DM44" s="983">
        <f t="shared" si="53"/>
        <v>3489.2476885252267</v>
      </c>
      <c r="DN44" s="986">
        <f t="shared" si="54"/>
        <v>3268.7883114747719</v>
      </c>
      <c r="DO44" s="984">
        <f t="shared" si="55"/>
        <v>2091.3424</v>
      </c>
      <c r="DP44" s="979">
        <f t="shared" si="39"/>
        <v>50.104053645161116</v>
      </c>
      <c r="DQ44" s="983">
        <f t="shared" si="28"/>
        <v>1046.3865839999999</v>
      </c>
      <c r="DR44" s="986">
        <f t="shared" si="29"/>
        <v>1047.8473180000001</v>
      </c>
      <c r="DS44" s="984">
        <f t="shared" si="56"/>
        <v>1283.47345</v>
      </c>
      <c r="DT44" s="339">
        <f t="shared" si="40"/>
        <v>50.107041871415412</v>
      </c>
      <c r="DU44" s="983">
        <f t="shared" si="30"/>
        <v>642.13795199999993</v>
      </c>
      <c r="DV44" s="986">
        <f t="shared" si="31"/>
        <v>643.11057900000003</v>
      </c>
      <c r="DW44" s="979">
        <f t="shared" si="32"/>
        <v>34.799999999999997</v>
      </c>
      <c r="DX44" s="981">
        <f t="shared" si="33"/>
        <v>35.299999999999997</v>
      </c>
      <c r="DY44" s="414">
        <v>23.75</v>
      </c>
      <c r="DZ44" s="111">
        <v>2008</v>
      </c>
      <c r="EA44" s="118">
        <v>4796.3887720000002</v>
      </c>
      <c r="EB44" s="123">
        <v>42.7</v>
      </c>
      <c r="EC44" s="113">
        <v>2008</v>
      </c>
      <c r="ED44" s="20">
        <v>8605.2857380000005</v>
      </c>
      <c r="EE44" s="414">
        <v>42</v>
      </c>
      <c r="EF44" s="111">
        <v>2006</v>
      </c>
      <c r="EG44" s="380">
        <v>40.981632232666001</v>
      </c>
      <c r="EH44" s="24" t="s">
        <v>372</v>
      </c>
      <c r="EI44" s="287">
        <v>2</v>
      </c>
      <c r="EJ44" s="40">
        <v>3</v>
      </c>
      <c r="EK44" s="35" t="s">
        <v>145</v>
      </c>
      <c r="EL44" s="95" t="s">
        <v>145</v>
      </c>
      <c r="EM44" s="95" t="s">
        <v>145</v>
      </c>
      <c r="EN44" s="35" t="s">
        <v>145</v>
      </c>
      <c r="EO44" s="95" t="s">
        <v>1646</v>
      </c>
      <c r="EP44" s="205">
        <v>0.55000000000000004</v>
      </c>
      <c r="EQ44" s="207" t="s">
        <v>145</v>
      </c>
      <c r="ER44" s="517">
        <v>2</v>
      </c>
      <c r="ES44" s="183" t="s">
        <v>3907</v>
      </c>
      <c r="ET44" s="183" t="s">
        <v>145</v>
      </c>
      <c r="EU44" s="82" t="s">
        <v>145</v>
      </c>
      <c r="EV44" s="82" t="s">
        <v>145</v>
      </c>
      <c r="EW44" s="82" t="s">
        <v>145</v>
      </c>
      <c r="EX44" s="360" t="s">
        <v>145</v>
      </c>
      <c r="EY44" s="159"/>
      <c r="EZ44" s="156"/>
      <c r="FA44" s="323"/>
      <c r="FB44" s="323"/>
      <c r="FC44" s="323"/>
      <c r="FD44" s="160"/>
      <c r="FE44" s="156"/>
      <c r="FF44" s="156"/>
      <c r="FG44" s="156"/>
      <c r="FH44" s="157"/>
      <c r="FI44" s="242"/>
      <c r="FJ44" s="240"/>
      <c r="FK44" s="179"/>
      <c r="FL44" s="179"/>
      <c r="FM44" s="179"/>
      <c r="FN44" s="369"/>
      <c r="FO44" s="164"/>
      <c r="FP44" s="255"/>
      <c r="FQ44" s="183"/>
      <c r="FR44" s="257">
        <v>1</v>
      </c>
      <c r="FS44" s="82" t="s">
        <v>1702</v>
      </c>
      <c r="FT44" s="259"/>
      <c r="FU44" s="82"/>
      <c r="FV44" s="259"/>
      <c r="FW44" s="82"/>
      <c r="FX44" s="259"/>
      <c r="FY44" s="82"/>
      <c r="FZ44" s="259"/>
      <c r="GA44" s="82"/>
      <c r="GB44" s="261"/>
      <c r="GC44" s="90"/>
      <c r="GD44" s="76">
        <v>1</v>
      </c>
      <c r="GE44" s="445" t="s">
        <v>3424</v>
      </c>
      <c r="GF44" s="447" t="s">
        <v>590</v>
      </c>
      <c r="GG44" s="448">
        <v>5</v>
      </c>
      <c r="GH44" s="449">
        <v>4</v>
      </c>
      <c r="GI44" s="447" t="s">
        <v>145</v>
      </c>
      <c r="GJ44" s="449" t="s">
        <v>145</v>
      </c>
      <c r="GK44" s="447" t="s">
        <v>145</v>
      </c>
      <c r="GL44" s="448" t="s">
        <v>145</v>
      </c>
      <c r="GM44" s="449" t="s">
        <v>145</v>
      </c>
      <c r="GN44" s="447" t="s">
        <v>590</v>
      </c>
      <c r="GO44" s="449">
        <v>55</v>
      </c>
      <c r="GP44" s="447">
        <v>15</v>
      </c>
      <c r="GQ44" s="448">
        <v>21</v>
      </c>
      <c r="GR44" s="449">
        <v>19</v>
      </c>
      <c r="GS44" s="446">
        <v>4</v>
      </c>
      <c r="GT44" s="461">
        <v>-0.76758170127868652</v>
      </c>
      <c r="GU44" s="462">
        <v>-1.0512809753417969</v>
      </c>
      <c r="GV44" s="462">
        <v>-1.0361135005950928</v>
      </c>
      <c r="GW44" s="462">
        <v>-0.73115050792694092</v>
      </c>
      <c r="GX44" s="462">
        <v>-0.93198961019515991</v>
      </c>
      <c r="GY44" s="463">
        <v>-0.78714555501937866</v>
      </c>
      <c r="GZ44" s="10">
        <v>171</v>
      </c>
      <c r="HA44" s="536">
        <v>0.20385</v>
      </c>
      <c r="HB44" s="536">
        <v>0.17646999999999999</v>
      </c>
      <c r="HC44" s="525">
        <v>0.17322000000000001</v>
      </c>
      <c r="HD44" s="526">
        <v>0.13916999999999999</v>
      </c>
      <c r="HE44" s="527">
        <v>0.29920000000000002</v>
      </c>
      <c r="HF44" s="10">
        <v>151</v>
      </c>
      <c r="HG44" s="532">
        <v>1.8</v>
      </c>
      <c r="HH44" s="545">
        <v>3.19</v>
      </c>
      <c r="HI44" s="546">
        <v>0.16</v>
      </c>
      <c r="HJ44" s="547">
        <v>2.3199999999999998</v>
      </c>
      <c r="HK44" s="379" t="s">
        <v>4699</v>
      </c>
      <c r="HL44" s="23" t="s">
        <v>4700</v>
      </c>
      <c r="HM44" s="557">
        <v>2013</v>
      </c>
      <c r="HN44" s="810">
        <v>2013</v>
      </c>
      <c r="HO44" s="557" t="s">
        <v>3985</v>
      </c>
      <c r="HP44" s="562" t="s">
        <v>145</v>
      </c>
      <c r="HQ44" s="562" t="s">
        <v>145</v>
      </c>
      <c r="HR44" s="563" t="s">
        <v>145</v>
      </c>
      <c r="HS44" s="545">
        <v>65</v>
      </c>
      <c r="HT44" s="557">
        <v>76</v>
      </c>
      <c r="HU44" s="557">
        <v>2013</v>
      </c>
      <c r="HV44" s="583" t="s">
        <v>4208</v>
      </c>
      <c r="HW44" s="448">
        <v>2</v>
      </c>
      <c r="HX44" s="448">
        <v>15</v>
      </c>
      <c r="HY44" s="448">
        <v>20</v>
      </c>
      <c r="HZ44" s="448">
        <v>17</v>
      </c>
      <c r="IA44" s="448">
        <v>13</v>
      </c>
      <c r="IB44" s="448">
        <v>4</v>
      </c>
      <c r="IC44" s="449">
        <v>5</v>
      </c>
      <c r="ID44" s="40"/>
      <c r="IE44" s="550"/>
      <c r="IF44" s="550"/>
      <c r="IG44" s="553">
        <v>1</v>
      </c>
      <c r="IH44" s="115"/>
      <c r="II44" s="647" t="s">
        <v>4921</v>
      </c>
      <c r="IJ44" s="423" t="s">
        <v>4918</v>
      </c>
      <c r="IK44" s="10">
        <v>0</v>
      </c>
      <c r="IL44" s="749">
        <f t="shared" si="57"/>
        <v>17</v>
      </c>
      <c r="IM44" s="747">
        <f t="shared" si="58"/>
        <v>68</v>
      </c>
      <c r="IN44" s="750" t="str">
        <f t="shared" si="59"/>
        <v>B</v>
      </c>
      <c r="IO44" s="446">
        <v>1</v>
      </c>
      <c r="IP44" s="902">
        <v>4</v>
      </c>
      <c r="IQ44" s="903">
        <v>0</v>
      </c>
      <c r="IR44" s="993">
        <v>0</v>
      </c>
      <c r="IT44" s="435"/>
      <c r="IU44" s="435"/>
      <c r="IV44" s="435"/>
    </row>
    <row r="45" spans="1:256">
      <c r="A45" s="21">
        <v>43</v>
      </c>
      <c r="B45" s="9"/>
      <c r="C45" s="430" t="s">
        <v>71</v>
      </c>
      <c r="D45" s="423" t="s">
        <v>408</v>
      </c>
      <c r="E45" s="24" t="s">
        <v>17</v>
      </c>
      <c r="F45" s="76" t="s">
        <v>784</v>
      </c>
      <c r="G45" s="102" t="s">
        <v>526</v>
      </c>
      <c r="H45" s="375" t="s">
        <v>2220</v>
      </c>
      <c r="I45" s="364" t="s">
        <v>2219</v>
      </c>
      <c r="J45" s="176">
        <v>2</v>
      </c>
      <c r="K45" s="359">
        <v>1946</v>
      </c>
      <c r="L45" s="371">
        <v>2</v>
      </c>
      <c r="M45" s="240" t="s">
        <v>145</v>
      </c>
      <c r="N45" s="369" t="s">
        <v>1822</v>
      </c>
      <c r="O45" s="365" t="s">
        <v>2218</v>
      </c>
      <c r="P45" s="362" t="s">
        <v>3154</v>
      </c>
      <c r="Q45" s="176">
        <v>2</v>
      </c>
      <c r="R45" s="176">
        <v>2003</v>
      </c>
      <c r="S45" s="234" t="s">
        <v>2063</v>
      </c>
      <c r="T45" s="176">
        <v>1</v>
      </c>
      <c r="U45" s="176">
        <v>2</v>
      </c>
      <c r="V45" s="176">
        <v>16</v>
      </c>
      <c r="W45" s="351" t="s">
        <v>2093</v>
      </c>
      <c r="X45" s="170">
        <v>1</v>
      </c>
      <c r="Y45" s="369">
        <v>1</v>
      </c>
      <c r="Z45" s="273" t="s">
        <v>2011</v>
      </c>
      <c r="AA45" s="169"/>
      <c r="AB45" s="177">
        <v>1</v>
      </c>
      <c r="AC45" s="171"/>
      <c r="AD45" s="366" t="s">
        <v>3155</v>
      </c>
      <c r="AE45" s="355">
        <v>2010</v>
      </c>
      <c r="AF45" s="355">
        <v>2</v>
      </c>
      <c r="AG45" s="55">
        <v>4</v>
      </c>
      <c r="AH45" s="355" t="s">
        <v>3108</v>
      </c>
      <c r="AI45" s="55">
        <v>0</v>
      </c>
      <c r="AJ45" s="55">
        <v>0</v>
      </c>
      <c r="AK45" s="590" t="s">
        <v>145</v>
      </c>
      <c r="AL45" s="386">
        <v>5</v>
      </c>
      <c r="AM45" s="361" t="s">
        <v>3056</v>
      </c>
      <c r="AN45" s="793" t="s">
        <v>145</v>
      </c>
      <c r="AO45" s="170">
        <v>0</v>
      </c>
      <c r="AP45" s="172">
        <v>0</v>
      </c>
      <c r="AQ45" s="365" t="s">
        <v>4976</v>
      </c>
      <c r="AR45" s="378" t="s">
        <v>2798</v>
      </c>
      <c r="AS45" s="55">
        <v>2</v>
      </c>
      <c r="AT45" s="370">
        <v>2</v>
      </c>
      <c r="AU45" s="371">
        <v>2009</v>
      </c>
      <c r="AV45" s="370">
        <v>5</v>
      </c>
      <c r="AW45" s="589">
        <v>400</v>
      </c>
      <c r="AX45" s="687">
        <v>0</v>
      </c>
      <c r="AY45" s="174" t="s">
        <v>2157</v>
      </c>
      <c r="AZ45" s="550">
        <v>2003</v>
      </c>
      <c r="BA45" s="550">
        <v>1</v>
      </c>
      <c r="BB45" s="550">
        <v>2</v>
      </c>
      <c r="BC45" s="174" t="s">
        <v>4472</v>
      </c>
      <c r="BD45" s="550">
        <v>2009</v>
      </c>
      <c r="BE45" s="550">
        <v>1</v>
      </c>
      <c r="BF45" s="367" t="s">
        <v>323</v>
      </c>
      <c r="BG45" s="367">
        <v>0</v>
      </c>
      <c r="BH45" s="56" t="s">
        <v>145</v>
      </c>
      <c r="BI45" s="367">
        <v>3</v>
      </c>
      <c r="BJ45" s="367">
        <v>1</v>
      </c>
      <c r="BK45" s="888">
        <v>4240.317</v>
      </c>
      <c r="BL45" s="925">
        <f t="shared" si="46"/>
        <v>51.76657782896892</v>
      </c>
      <c r="BM45" s="888">
        <v>2045.25</v>
      </c>
      <c r="BN45" s="920">
        <v>2195.067</v>
      </c>
      <c r="BO45" s="888">
        <v>207.31299999999999</v>
      </c>
      <c r="BP45" s="1158">
        <f t="shared" si="17"/>
        <v>48.587884020780173</v>
      </c>
      <c r="BQ45" s="917">
        <v>106.584</v>
      </c>
      <c r="BR45" s="920">
        <v>100.729</v>
      </c>
      <c r="BS45" s="888">
        <v>217.27600000000001</v>
      </c>
      <c r="BT45" s="1158">
        <f t="shared" si="18"/>
        <v>48.591653012757966</v>
      </c>
      <c r="BU45" s="917">
        <v>111.69799999999999</v>
      </c>
      <c r="BV45" s="920">
        <v>105.578</v>
      </c>
      <c r="BW45" s="888">
        <v>206.822</v>
      </c>
      <c r="BX45" s="1158">
        <f t="shared" si="19"/>
        <v>48.619585924127996</v>
      </c>
      <c r="BY45" s="917">
        <v>106.26600000000001</v>
      </c>
      <c r="BZ45" s="920">
        <v>100.556</v>
      </c>
      <c r="CA45" s="888">
        <f t="shared" si="20"/>
        <v>3608.9059999999999</v>
      </c>
      <c r="CB45" s="1158">
        <f t="shared" si="21"/>
        <v>52.320675573151533</v>
      </c>
      <c r="CC45" s="917">
        <f t="shared" si="22"/>
        <v>1720.7019999999998</v>
      </c>
      <c r="CD45" s="920">
        <f t="shared" si="23"/>
        <v>1888.2040000000002</v>
      </c>
      <c r="CE45" s="914">
        <v>2015</v>
      </c>
      <c r="CF45" s="910" t="s">
        <v>5630</v>
      </c>
      <c r="CG45" s="931">
        <v>90</v>
      </c>
      <c r="CH45" s="504">
        <v>90</v>
      </c>
      <c r="CI45" s="1008">
        <v>90</v>
      </c>
      <c r="CJ45" s="904" t="s">
        <v>1621</v>
      </c>
      <c r="CK45" s="904" t="s">
        <v>1621</v>
      </c>
      <c r="CL45" s="906">
        <v>2011</v>
      </c>
      <c r="CM45" s="1002" t="s">
        <v>5703</v>
      </c>
      <c r="CN45" s="1125">
        <v>3454</v>
      </c>
      <c r="CO45" s="1045">
        <f t="shared" si="47"/>
        <v>81.456174149244035</v>
      </c>
      <c r="CP45" s="1040">
        <f t="shared" si="60"/>
        <v>1665.9824017874137</v>
      </c>
      <c r="CQ45" s="1041">
        <f t="shared" si="61"/>
        <v>1788.0175982125866</v>
      </c>
      <c r="CR45" s="1046">
        <v>2015</v>
      </c>
      <c r="CS45" s="1047" t="s">
        <v>5833</v>
      </c>
      <c r="CT45" s="1068">
        <f t="shared" si="48"/>
        <v>16</v>
      </c>
      <c r="CU45" s="1071">
        <v>18</v>
      </c>
      <c r="CV45" s="1068" t="s">
        <v>5889</v>
      </c>
      <c r="CW45" s="1113">
        <v>3825.2420000000002</v>
      </c>
      <c r="CX45" s="1113">
        <v>3602.7809999999999</v>
      </c>
      <c r="CY45" s="1113">
        <v>4470.5339999999997</v>
      </c>
      <c r="CZ45" s="494">
        <v>1</v>
      </c>
      <c r="DA45" s="1104">
        <v>4</v>
      </c>
      <c r="DB45" s="1050" t="s">
        <v>647</v>
      </c>
      <c r="DC45" s="1146" t="s">
        <v>322</v>
      </c>
      <c r="DD45" s="974">
        <f t="shared" si="34"/>
        <v>218.04709999999994</v>
      </c>
      <c r="DE45" s="979">
        <f t="shared" si="49"/>
        <v>5.1422358281232263</v>
      </c>
      <c r="DF45" s="979">
        <f t="shared" si="35"/>
        <v>60.020381737438214</v>
      </c>
      <c r="DG45" s="976">
        <f t="shared" si="36"/>
        <v>87.174398212586098</v>
      </c>
      <c r="DH45" s="976">
        <f t="shared" si="37"/>
        <v>130.8727017874136</v>
      </c>
      <c r="DI45" s="979">
        <f t="shared" si="50"/>
        <v>4.26228569674055</v>
      </c>
      <c r="DJ45" s="981">
        <f t="shared" si="51"/>
        <v>5.9621278889169949</v>
      </c>
      <c r="DK45" s="984">
        <f t="shared" si="52"/>
        <v>154.90599999999995</v>
      </c>
      <c r="DL45" s="979">
        <f t="shared" si="38"/>
        <v>64.675610878477045</v>
      </c>
      <c r="DM45" s="980">
        <f t="shared" si="53"/>
        <v>54.719598212586106</v>
      </c>
      <c r="DN45" s="985">
        <f t="shared" si="54"/>
        <v>100.18640178741362</v>
      </c>
      <c r="DO45" s="984">
        <f t="shared" si="55"/>
        <v>42.40979999999999</v>
      </c>
      <c r="DP45" s="979">
        <f t="shared" si="39"/>
        <v>48.605275195827389</v>
      </c>
      <c r="DQ45" s="980">
        <f t="shared" si="28"/>
        <v>21.796399999999995</v>
      </c>
      <c r="DR45" s="985">
        <f t="shared" si="29"/>
        <v>20.613399999999999</v>
      </c>
      <c r="DS45" s="984">
        <f t="shared" si="56"/>
        <v>20.731299999999994</v>
      </c>
      <c r="DT45" s="339">
        <f t="shared" si="40"/>
        <v>48.587884020780173</v>
      </c>
      <c r="DU45" s="980">
        <f t="shared" si="30"/>
        <v>10.658399999999999</v>
      </c>
      <c r="DV45" s="985">
        <f t="shared" si="31"/>
        <v>10.072899999999997</v>
      </c>
      <c r="DW45" s="979">
        <f t="shared" si="32"/>
        <v>9.9999999999999982</v>
      </c>
      <c r="DX45" s="981">
        <f t="shared" si="33"/>
        <v>9.9999999999999982</v>
      </c>
      <c r="DY45" s="414">
        <v>0.06</v>
      </c>
      <c r="DZ45" s="111">
        <v>2008</v>
      </c>
      <c r="EA45" s="118">
        <v>3</v>
      </c>
      <c r="EB45" s="123">
        <v>11.1</v>
      </c>
      <c r="EC45" s="113">
        <v>2004</v>
      </c>
      <c r="ED45" s="20">
        <v>489.17699999999996</v>
      </c>
      <c r="EE45" s="414">
        <v>21.1</v>
      </c>
      <c r="EF45" s="121">
        <v>2011</v>
      </c>
      <c r="EG45" s="380">
        <v>99.125358581542997</v>
      </c>
      <c r="EH45" s="24" t="s">
        <v>340</v>
      </c>
      <c r="EI45" s="288">
        <v>0</v>
      </c>
      <c r="EJ45" s="40" t="s">
        <v>145</v>
      </c>
      <c r="EK45" s="35" t="s">
        <v>145</v>
      </c>
      <c r="EL45" s="95" t="s">
        <v>145</v>
      </c>
      <c r="EM45" s="95" t="s">
        <v>145</v>
      </c>
      <c r="EN45" s="35" t="s">
        <v>145</v>
      </c>
      <c r="EO45" s="95" t="s">
        <v>145</v>
      </c>
      <c r="EP45" s="205" t="s">
        <v>145</v>
      </c>
      <c r="EQ45" s="207" t="s">
        <v>145</v>
      </c>
      <c r="ER45" s="517">
        <v>1</v>
      </c>
      <c r="ES45" s="183" t="s">
        <v>145</v>
      </c>
      <c r="ET45" s="183" t="s">
        <v>145</v>
      </c>
      <c r="EU45" s="82" t="s">
        <v>3786</v>
      </c>
      <c r="EV45" s="82" t="s">
        <v>145</v>
      </c>
      <c r="EW45" s="82" t="s">
        <v>145</v>
      </c>
      <c r="EX45" s="360" t="s">
        <v>145</v>
      </c>
      <c r="EY45" s="159"/>
      <c r="EZ45" s="156"/>
      <c r="FA45" s="323"/>
      <c r="FB45" s="323"/>
      <c r="FC45" s="323"/>
      <c r="FD45" s="160"/>
      <c r="FE45" s="156"/>
      <c r="FF45" s="156"/>
      <c r="FG45" s="156"/>
      <c r="FH45" s="157"/>
      <c r="FI45" s="242"/>
      <c r="FJ45" s="240"/>
      <c r="FK45" s="179"/>
      <c r="FL45" s="179"/>
      <c r="FM45" s="179"/>
      <c r="FN45" s="172"/>
      <c r="FO45" s="164"/>
      <c r="FP45" s="255"/>
      <c r="FQ45" s="183"/>
      <c r="FR45" s="257"/>
      <c r="FS45" s="82"/>
      <c r="FT45" s="259"/>
      <c r="FU45" s="82"/>
      <c r="FV45" s="259"/>
      <c r="FW45" s="82"/>
      <c r="FX45" s="259"/>
      <c r="FY45" s="82"/>
      <c r="FZ45" s="259"/>
      <c r="GA45" s="82"/>
      <c r="GB45" s="261"/>
      <c r="GC45" s="90"/>
      <c r="GD45" s="76">
        <v>1</v>
      </c>
      <c r="GE45" s="445" t="s">
        <v>3424</v>
      </c>
      <c r="GF45" s="447" t="s">
        <v>10</v>
      </c>
      <c r="GG45" s="448">
        <v>1</v>
      </c>
      <c r="GH45" s="449">
        <v>2</v>
      </c>
      <c r="GI45" s="447" t="s">
        <v>145</v>
      </c>
      <c r="GJ45" s="449" t="s">
        <v>145</v>
      </c>
      <c r="GK45" s="447" t="s">
        <v>145</v>
      </c>
      <c r="GL45" s="448" t="s">
        <v>145</v>
      </c>
      <c r="GM45" s="449" t="s">
        <v>145</v>
      </c>
      <c r="GN45" s="447" t="s">
        <v>590</v>
      </c>
      <c r="GO45" s="449">
        <v>40</v>
      </c>
      <c r="GP45" s="447">
        <v>9</v>
      </c>
      <c r="GQ45" s="448">
        <v>16</v>
      </c>
      <c r="GR45" s="449">
        <v>15</v>
      </c>
      <c r="GS45" s="446">
        <v>9</v>
      </c>
      <c r="GT45" s="461">
        <v>0.4747498631477356</v>
      </c>
      <c r="GU45" s="462">
        <v>0.61406373977661133</v>
      </c>
      <c r="GV45" s="462">
        <v>0.68913173675537109</v>
      </c>
      <c r="GW45" s="462">
        <v>0.4402124285697937</v>
      </c>
      <c r="GX45" s="462">
        <v>0.26469108462333679</v>
      </c>
      <c r="GY45" s="463">
        <v>0.10712494701147079</v>
      </c>
      <c r="GZ45" s="10">
        <v>47</v>
      </c>
      <c r="HA45" s="536">
        <v>0.62817000000000001</v>
      </c>
      <c r="HB45" s="536">
        <v>0.33333000000000002</v>
      </c>
      <c r="HC45" s="525">
        <v>0.46455999999999997</v>
      </c>
      <c r="HD45" s="526">
        <v>0.62710999999999995</v>
      </c>
      <c r="HE45" s="527">
        <v>0.79279999999999995</v>
      </c>
      <c r="HF45" s="10">
        <v>37</v>
      </c>
      <c r="HG45" s="532">
        <v>6.9</v>
      </c>
      <c r="HH45" s="545">
        <v>7.31</v>
      </c>
      <c r="HI45" s="546">
        <v>5.62</v>
      </c>
      <c r="HJ45" s="547">
        <v>8.6300000000000008</v>
      </c>
      <c r="HK45" s="379" t="s">
        <v>4030</v>
      </c>
      <c r="HL45" s="23" t="s">
        <v>4701</v>
      </c>
      <c r="HM45" s="557">
        <v>2003</v>
      </c>
      <c r="HN45" s="557">
        <v>2003</v>
      </c>
      <c r="HO45" s="557" t="s">
        <v>3985</v>
      </c>
      <c r="HP45" s="562" t="s">
        <v>3988</v>
      </c>
      <c r="HQ45" s="639" t="s">
        <v>4702</v>
      </c>
      <c r="HR45" s="563" t="s">
        <v>4031</v>
      </c>
      <c r="HS45" s="545">
        <v>13</v>
      </c>
      <c r="HT45" s="557">
        <v>112</v>
      </c>
      <c r="HU45" s="557">
        <v>2003</v>
      </c>
      <c r="HV45" s="583" t="s">
        <v>4184</v>
      </c>
      <c r="HW45" s="557">
        <v>5</v>
      </c>
      <c r="HX45" s="557">
        <v>27</v>
      </c>
      <c r="HY45" s="557">
        <v>20</v>
      </c>
      <c r="HZ45" s="557">
        <v>24</v>
      </c>
      <c r="IA45" s="557">
        <v>19</v>
      </c>
      <c r="IB45" s="557">
        <v>3</v>
      </c>
      <c r="IC45" s="547">
        <v>14</v>
      </c>
      <c r="ID45" s="40"/>
      <c r="IE45" s="550"/>
      <c r="IF45" s="550"/>
      <c r="IG45" s="553"/>
      <c r="IH45" s="115"/>
      <c r="II45" s="647" t="s">
        <v>4922</v>
      </c>
      <c r="IJ45" s="423" t="s">
        <v>4926</v>
      </c>
      <c r="IK45" s="10">
        <v>0</v>
      </c>
      <c r="IL45" s="749">
        <f t="shared" si="57"/>
        <v>21</v>
      </c>
      <c r="IM45" s="747">
        <f t="shared" si="58"/>
        <v>84</v>
      </c>
      <c r="IN45" s="750" t="str">
        <f t="shared" si="59"/>
        <v>A</v>
      </c>
      <c r="IO45" s="446"/>
      <c r="IP45" s="902">
        <v>3</v>
      </c>
      <c r="IQ45" s="903">
        <v>0</v>
      </c>
      <c r="IR45" s="993">
        <v>0</v>
      </c>
      <c r="IT45" s="435"/>
      <c r="IU45" s="435"/>
      <c r="IV45" s="435"/>
    </row>
    <row r="46" spans="1:256">
      <c r="A46" s="21">
        <v>44</v>
      </c>
      <c r="B46" s="9"/>
      <c r="C46" s="430" t="s">
        <v>73</v>
      </c>
      <c r="D46" s="424"/>
      <c r="E46" s="24" t="s">
        <v>12</v>
      </c>
      <c r="F46" s="76" t="s">
        <v>785</v>
      </c>
      <c r="G46" s="102" t="s">
        <v>480</v>
      </c>
      <c r="H46" s="251" t="s">
        <v>2231</v>
      </c>
      <c r="I46" s="95" t="s">
        <v>2227</v>
      </c>
      <c r="J46" s="176">
        <v>6</v>
      </c>
      <c r="K46" s="88">
        <v>1885</v>
      </c>
      <c r="L46" s="371">
        <v>2</v>
      </c>
      <c r="M46" s="240" t="s">
        <v>145</v>
      </c>
      <c r="N46" s="369" t="s">
        <v>1822</v>
      </c>
      <c r="O46" s="366" t="s">
        <v>965</v>
      </c>
      <c r="P46" s="362" t="s">
        <v>3156</v>
      </c>
      <c r="Q46" s="370">
        <v>6</v>
      </c>
      <c r="R46" s="176">
        <v>1944</v>
      </c>
      <c r="S46" s="372" t="s">
        <v>1961</v>
      </c>
      <c r="T46" s="176">
        <v>1</v>
      </c>
      <c r="U46" s="176">
        <v>2</v>
      </c>
      <c r="V46" s="176">
        <v>16</v>
      </c>
      <c r="W46" s="369" t="s">
        <v>1822</v>
      </c>
      <c r="X46" s="170">
        <v>1</v>
      </c>
      <c r="Y46" s="369">
        <v>1</v>
      </c>
      <c r="Z46" s="271"/>
      <c r="AA46" s="169">
        <v>1</v>
      </c>
      <c r="AB46" s="177"/>
      <c r="AC46" s="171"/>
      <c r="AD46" s="366" t="s">
        <v>965</v>
      </c>
      <c r="AE46" s="355">
        <v>2014</v>
      </c>
      <c r="AF46" s="357">
        <v>2</v>
      </c>
      <c r="AG46" s="55">
        <v>4</v>
      </c>
      <c r="AH46" s="355" t="s">
        <v>3108</v>
      </c>
      <c r="AI46" s="55">
        <v>0</v>
      </c>
      <c r="AJ46" s="55">
        <v>0</v>
      </c>
      <c r="AK46" s="590">
        <v>40</v>
      </c>
      <c r="AL46" s="386">
        <v>9</v>
      </c>
      <c r="AM46" s="361" t="s">
        <v>3157</v>
      </c>
      <c r="AN46" s="793" t="s">
        <v>145</v>
      </c>
      <c r="AO46" s="170">
        <v>1</v>
      </c>
      <c r="AP46" s="172">
        <v>1</v>
      </c>
      <c r="AQ46" s="365" t="s">
        <v>5361</v>
      </c>
      <c r="AR46" s="377" t="s">
        <v>4934</v>
      </c>
      <c r="AS46" s="55">
        <v>1</v>
      </c>
      <c r="AT46" s="370">
        <v>3</v>
      </c>
      <c r="AU46" s="724">
        <v>2013</v>
      </c>
      <c r="AV46" s="370">
        <v>5</v>
      </c>
      <c r="AW46" s="589" t="s">
        <v>145</v>
      </c>
      <c r="AX46" s="687">
        <v>0</v>
      </c>
      <c r="AY46" s="174" t="s">
        <v>4344</v>
      </c>
      <c r="AZ46" s="550">
        <v>2006</v>
      </c>
      <c r="BA46" s="550">
        <v>0</v>
      </c>
      <c r="BB46" s="550">
        <v>0</v>
      </c>
      <c r="BC46" s="108" t="s">
        <v>145</v>
      </c>
      <c r="BD46" s="550" t="s">
        <v>145</v>
      </c>
      <c r="BE46" s="550">
        <v>0</v>
      </c>
      <c r="BF46" s="367" t="s">
        <v>145</v>
      </c>
      <c r="BG46" s="367">
        <v>0</v>
      </c>
      <c r="BH46" s="56" t="s">
        <v>145</v>
      </c>
      <c r="BI46" s="367">
        <v>0</v>
      </c>
      <c r="BJ46" s="367">
        <v>0</v>
      </c>
      <c r="BK46" s="888">
        <v>11389.562</v>
      </c>
      <c r="BL46" s="925">
        <f t="shared" si="46"/>
        <v>49.761527265051988</v>
      </c>
      <c r="BM46" s="888">
        <v>5721.942</v>
      </c>
      <c r="BN46" s="920">
        <v>5667.62</v>
      </c>
      <c r="BO46" s="888">
        <v>587.755</v>
      </c>
      <c r="BP46" s="1158">
        <f t="shared" si="17"/>
        <v>48.626893858835743</v>
      </c>
      <c r="BQ46" s="917">
        <v>301.94799999999998</v>
      </c>
      <c r="BR46" s="920">
        <v>285.80700000000002</v>
      </c>
      <c r="BS46" s="888">
        <v>613.84500000000003</v>
      </c>
      <c r="BT46" s="1158">
        <f t="shared" si="18"/>
        <v>48.544665184207737</v>
      </c>
      <c r="BU46" s="917">
        <v>315.85599999999999</v>
      </c>
      <c r="BV46" s="920">
        <v>297.98899999999998</v>
      </c>
      <c r="BW46" s="888">
        <v>655.50599999999997</v>
      </c>
      <c r="BX46" s="1158">
        <f t="shared" si="19"/>
        <v>48.302685253834447</v>
      </c>
      <c r="BY46" s="917">
        <v>338.87900000000002</v>
      </c>
      <c r="BZ46" s="920">
        <v>316.62700000000001</v>
      </c>
      <c r="CA46" s="888">
        <f t="shared" si="20"/>
        <v>9532.4560000000019</v>
      </c>
      <c r="CB46" s="1158">
        <f t="shared" si="21"/>
        <v>50.010165271153618</v>
      </c>
      <c r="CC46" s="917">
        <f t="shared" si="22"/>
        <v>4765.259</v>
      </c>
      <c r="CD46" s="920">
        <f t="shared" si="23"/>
        <v>4767.1970000000001</v>
      </c>
      <c r="CE46" s="914">
        <v>2015</v>
      </c>
      <c r="CF46" s="910" t="s">
        <v>5630</v>
      </c>
      <c r="CG46" s="930">
        <v>100</v>
      </c>
      <c r="CH46" s="495">
        <v>100</v>
      </c>
      <c r="CI46" s="497">
        <v>100</v>
      </c>
      <c r="CJ46" s="904">
        <v>100</v>
      </c>
      <c r="CK46" s="904">
        <v>100</v>
      </c>
      <c r="CL46" s="904">
        <v>2011</v>
      </c>
      <c r="CM46" s="905" t="s">
        <v>5588</v>
      </c>
      <c r="CN46" s="1044">
        <v>8668.4570000000003</v>
      </c>
      <c r="CO46" s="1045">
        <f t="shared" si="47"/>
        <v>76.108782760917421</v>
      </c>
      <c r="CP46" s="1040">
        <f t="shared" si="60"/>
        <v>4354.9004064856927</v>
      </c>
      <c r="CQ46" s="1041">
        <f t="shared" si="61"/>
        <v>4313.5565935143077</v>
      </c>
      <c r="CR46" s="1046">
        <v>2013</v>
      </c>
      <c r="CS46" s="1047" t="s">
        <v>5834</v>
      </c>
      <c r="CT46" s="1068">
        <f t="shared" si="48"/>
        <v>16</v>
      </c>
      <c r="CU46" s="1071">
        <v>16</v>
      </c>
      <c r="CV46" s="1068" t="s">
        <v>5890</v>
      </c>
      <c r="CW46" s="1113">
        <v>8668.4570000000003</v>
      </c>
      <c r="CX46" s="1113">
        <v>8876.8080000000009</v>
      </c>
      <c r="CY46" s="1113">
        <v>11075.244000000001</v>
      </c>
      <c r="CZ46" s="494">
        <v>1</v>
      </c>
      <c r="DA46" s="1104">
        <v>4</v>
      </c>
      <c r="DB46" s="1050" t="s">
        <v>647</v>
      </c>
      <c r="DC46" s="1145" t="s">
        <v>323</v>
      </c>
      <c r="DD46" s="1131">
        <f t="shared" si="34"/>
        <v>863.99900000000162</v>
      </c>
      <c r="DE46" s="1132">
        <f t="shared" si="49"/>
        <v>7.5858843386602715</v>
      </c>
      <c r="DF46" s="1132">
        <f t="shared" si="35"/>
        <v>52.504737445956721</v>
      </c>
      <c r="DG46" s="1133">
        <f t="shared" si="36"/>
        <v>410.35859351430736</v>
      </c>
      <c r="DH46" s="1133">
        <f t="shared" si="37"/>
        <v>453.64040648569244</v>
      </c>
      <c r="DI46" s="1132">
        <f t="shared" si="50"/>
        <v>7.1716664292351684</v>
      </c>
      <c r="DJ46" s="1134">
        <f t="shared" si="51"/>
        <v>8.0040723705134162</v>
      </c>
      <c r="DK46" s="1135">
        <f t="shared" si="52"/>
        <v>863.99900000000162</v>
      </c>
      <c r="DL46" s="1132">
        <f t="shared" si="38"/>
        <v>52.504737445956721</v>
      </c>
      <c r="DM46" s="1133">
        <f t="shared" si="53"/>
        <v>410.35859351430736</v>
      </c>
      <c r="DN46" s="1136">
        <f t="shared" si="54"/>
        <v>453.64040648569244</v>
      </c>
      <c r="DO46" s="1135">
        <f t="shared" si="55"/>
        <v>0</v>
      </c>
      <c r="DP46" s="1132">
        <f t="shared" si="39"/>
        <v>0</v>
      </c>
      <c r="DQ46" s="1133">
        <f t="shared" si="28"/>
        <v>0</v>
      </c>
      <c r="DR46" s="1136">
        <f t="shared" si="29"/>
        <v>0</v>
      </c>
      <c r="DS46" s="1135">
        <f t="shared" si="56"/>
        <v>0</v>
      </c>
      <c r="DT46" s="1137">
        <f t="shared" si="40"/>
        <v>0</v>
      </c>
      <c r="DU46" s="1133">
        <f t="shared" si="30"/>
        <v>0</v>
      </c>
      <c r="DV46" s="1136">
        <f t="shared" si="31"/>
        <v>0</v>
      </c>
      <c r="DW46" s="1132">
        <f t="shared" si="32"/>
        <v>0</v>
      </c>
      <c r="DX46" s="1134">
        <f t="shared" si="33"/>
        <v>0</v>
      </c>
      <c r="DY46" s="414" t="s">
        <v>145</v>
      </c>
      <c r="DZ46" s="111" t="s">
        <v>145</v>
      </c>
      <c r="EA46" s="118"/>
      <c r="EB46" s="123" t="s">
        <v>145</v>
      </c>
      <c r="EC46" s="113" t="s">
        <v>145</v>
      </c>
      <c r="ED46" s="20"/>
      <c r="EE46" s="414" t="s">
        <v>145</v>
      </c>
      <c r="EF46" s="111" t="s">
        <v>145</v>
      </c>
      <c r="EG46" s="380">
        <v>99.837409973144503</v>
      </c>
      <c r="EH46" s="24" t="s">
        <v>358</v>
      </c>
      <c r="EI46" s="287">
        <v>0</v>
      </c>
      <c r="EJ46" s="40" t="s">
        <v>145</v>
      </c>
      <c r="EK46" s="35" t="s">
        <v>145</v>
      </c>
      <c r="EL46" s="95" t="s">
        <v>145</v>
      </c>
      <c r="EM46" s="95" t="s">
        <v>145</v>
      </c>
      <c r="EN46" s="35" t="s">
        <v>145</v>
      </c>
      <c r="EO46" s="95" t="s">
        <v>145</v>
      </c>
      <c r="EP46" s="205" t="s">
        <v>145</v>
      </c>
      <c r="EQ46" s="207" t="s">
        <v>145</v>
      </c>
      <c r="ER46" s="517" t="s">
        <v>145</v>
      </c>
      <c r="ES46" s="183"/>
      <c r="ET46" s="183"/>
      <c r="EU46" s="82"/>
      <c r="EV46" s="82"/>
      <c r="EW46" s="82"/>
      <c r="EX46" s="90"/>
      <c r="EY46" s="159"/>
      <c r="EZ46" s="156"/>
      <c r="FA46" s="323"/>
      <c r="FB46" s="323"/>
      <c r="FC46" s="323"/>
      <c r="FD46" s="160"/>
      <c r="FE46" s="156"/>
      <c r="FF46" s="156"/>
      <c r="FG46" s="156"/>
      <c r="FH46" s="157"/>
      <c r="FI46" s="242"/>
      <c r="FJ46" s="240"/>
      <c r="FK46" s="179"/>
      <c r="FL46" s="179"/>
      <c r="FM46" s="179"/>
      <c r="FN46" s="172"/>
      <c r="FO46" s="164"/>
      <c r="FP46" s="255"/>
      <c r="FQ46" s="183"/>
      <c r="FR46" s="257"/>
      <c r="FS46" s="82"/>
      <c r="FT46" s="259"/>
      <c r="FU46" s="82"/>
      <c r="FV46" s="259"/>
      <c r="FW46" s="82"/>
      <c r="FX46" s="259"/>
      <c r="FY46" s="82"/>
      <c r="FZ46" s="259"/>
      <c r="GA46" s="82"/>
      <c r="GB46" s="261"/>
      <c r="GC46" s="90"/>
      <c r="GD46" s="76">
        <v>1</v>
      </c>
      <c r="GE46" s="445" t="s">
        <v>3424</v>
      </c>
      <c r="GF46" s="447" t="s">
        <v>580</v>
      </c>
      <c r="GG46" s="448">
        <v>7</v>
      </c>
      <c r="GH46" s="449">
        <v>6</v>
      </c>
      <c r="GI46" s="447" t="s">
        <v>580</v>
      </c>
      <c r="GJ46" s="449">
        <v>84</v>
      </c>
      <c r="GK46" s="447">
        <v>23</v>
      </c>
      <c r="GL46" s="448">
        <v>28</v>
      </c>
      <c r="GM46" s="449">
        <v>33</v>
      </c>
      <c r="GN46" s="447" t="s">
        <v>580</v>
      </c>
      <c r="GO46" s="449">
        <v>90</v>
      </c>
      <c r="GP46" s="447">
        <v>28</v>
      </c>
      <c r="GQ46" s="448">
        <v>34</v>
      </c>
      <c r="GR46" s="449">
        <v>28</v>
      </c>
      <c r="GS46" s="446">
        <v>3</v>
      </c>
      <c r="GT46" s="461">
        <v>-1.3954648971557617</v>
      </c>
      <c r="GU46" s="462">
        <v>0.3694552481174469</v>
      </c>
      <c r="GV46" s="462">
        <v>-0.44012627005577087</v>
      </c>
      <c r="GW46" s="462">
        <v>-1.6193597316741943</v>
      </c>
      <c r="GX46" s="462">
        <v>-0.62753498554229736</v>
      </c>
      <c r="GY46" s="463">
        <v>0.1231253519654274</v>
      </c>
      <c r="GZ46" s="10">
        <v>116</v>
      </c>
      <c r="HA46" s="536">
        <v>0.39165</v>
      </c>
      <c r="HB46" s="536">
        <v>0.35293999999999998</v>
      </c>
      <c r="HC46" s="525">
        <v>0.22833999999999999</v>
      </c>
      <c r="HD46" s="526">
        <v>9.6869999999999998E-2</v>
      </c>
      <c r="HE46" s="527">
        <v>0.84970000000000001</v>
      </c>
      <c r="HF46" s="10">
        <v>125</v>
      </c>
      <c r="HG46" s="532">
        <v>2.77</v>
      </c>
      <c r="HH46" s="545">
        <v>1.87</v>
      </c>
      <c r="HI46" s="546">
        <v>0.86</v>
      </c>
      <c r="HJ46" s="547">
        <v>8.41</v>
      </c>
      <c r="HK46" s="379" t="s">
        <v>145</v>
      </c>
      <c r="HL46" s="362" t="s">
        <v>145</v>
      </c>
      <c r="HM46" s="557" t="s">
        <v>145</v>
      </c>
      <c r="HN46" s="557" t="s">
        <v>145</v>
      </c>
      <c r="HO46" s="557" t="s">
        <v>145</v>
      </c>
      <c r="HP46" s="562" t="s">
        <v>145</v>
      </c>
      <c r="HQ46" s="562" t="s">
        <v>145</v>
      </c>
      <c r="HR46" s="563" t="s">
        <v>145</v>
      </c>
      <c r="HS46" s="545" t="s">
        <v>145</v>
      </c>
      <c r="HT46" s="557" t="s">
        <v>145</v>
      </c>
      <c r="HU46" s="557" t="s">
        <v>145</v>
      </c>
      <c r="HV46" s="581" t="s">
        <v>145</v>
      </c>
      <c r="HW46" s="557" t="s">
        <v>145</v>
      </c>
      <c r="HX46" s="557" t="s">
        <v>145</v>
      </c>
      <c r="HY46" s="557" t="s">
        <v>145</v>
      </c>
      <c r="HZ46" s="557" t="s">
        <v>145</v>
      </c>
      <c r="IA46" s="557" t="s">
        <v>145</v>
      </c>
      <c r="IB46" s="557" t="s">
        <v>145</v>
      </c>
      <c r="IC46" s="547" t="s">
        <v>145</v>
      </c>
      <c r="ID46" s="660" t="s">
        <v>5211</v>
      </c>
      <c r="IE46" s="550"/>
      <c r="IF46" s="550"/>
      <c r="IG46" s="553"/>
      <c r="IH46" s="339"/>
      <c r="II46" s="553" t="s">
        <v>4920</v>
      </c>
      <c r="IJ46" s="424" t="s">
        <v>4926</v>
      </c>
      <c r="IK46" s="24">
        <v>0</v>
      </c>
      <c r="IL46" s="749">
        <f t="shared" si="57"/>
        <v>12</v>
      </c>
      <c r="IM46" s="747">
        <f t="shared" si="58"/>
        <v>48</v>
      </c>
      <c r="IN46" s="750" t="str">
        <f t="shared" si="59"/>
        <v>C</v>
      </c>
      <c r="IO46" s="446"/>
      <c r="IP46" s="902">
        <v>4</v>
      </c>
      <c r="IQ46" s="903">
        <v>0</v>
      </c>
      <c r="IR46" s="993">
        <v>0</v>
      </c>
      <c r="IT46" s="435"/>
      <c r="IU46" s="435"/>
      <c r="IV46" s="435"/>
    </row>
    <row r="47" spans="1:256">
      <c r="A47" s="21">
        <v>45</v>
      </c>
      <c r="B47" s="9"/>
      <c r="C47" s="430" t="s">
        <v>75</v>
      </c>
      <c r="D47" s="424"/>
      <c r="E47" s="24" t="s">
        <v>17</v>
      </c>
      <c r="F47" s="76" t="s">
        <v>786</v>
      </c>
      <c r="G47" s="102" t="s">
        <v>483</v>
      </c>
      <c r="H47" s="375" t="s">
        <v>2222</v>
      </c>
      <c r="I47" s="364" t="s">
        <v>2221</v>
      </c>
      <c r="J47" s="176">
        <v>2</v>
      </c>
      <c r="K47" s="88">
        <v>1959</v>
      </c>
      <c r="L47" s="371">
        <v>2</v>
      </c>
      <c r="M47" s="240" t="s">
        <v>1813</v>
      </c>
      <c r="N47" s="280">
        <v>5</v>
      </c>
      <c r="O47" s="365" t="s">
        <v>3158</v>
      </c>
      <c r="P47" s="362" t="s">
        <v>2221</v>
      </c>
      <c r="Q47" s="176">
        <v>2</v>
      </c>
      <c r="R47" s="370">
        <v>1960</v>
      </c>
      <c r="S47" s="234" t="s">
        <v>2849</v>
      </c>
      <c r="T47" s="176">
        <v>1</v>
      </c>
      <c r="U47" s="370">
        <v>2</v>
      </c>
      <c r="V47" s="176">
        <v>12</v>
      </c>
      <c r="W47" s="369" t="s">
        <v>2097</v>
      </c>
      <c r="X47" s="170">
        <v>1</v>
      </c>
      <c r="Y47" s="369">
        <v>0</v>
      </c>
      <c r="Z47" s="273" t="s">
        <v>3159</v>
      </c>
      <c r="AA47" s="169">
        <v>1</v>
      </c>
      <c r="AB47" s="177">
        <v>1</v>
      </c>
      <c r="AC47" s="171"/>
      <c r="AD47" s="376" t="s">
        <v>145</v>
      </c>
      <c r="AE47" s="355" t="s">
        <v>145</v>
      </c>
      <c r="AF47" s="357">
        <v>0</v>
      </c>
      <c r="AG47" s="550">
        <v>1</v>
      </c>
      <c r="AH47" s="355" t="s">
        <v>145</v>
      </c>
      <c r="AI47" s="550" t="s">
        <v>145</v>
      </c>
      <c r="AJ47" s="550" t="s">
        <v>145</v>
      </c>
      <c r="AK47" s="590" t="s">
        <v>145</v>
      </c>
      <c r="AL47" s="357">
        <v>0</v>
      </c>
      <c r="AM47" s="360" t="s">
        <v>145</v>
      </c>
      <c r="AN47" s="793" t="s">
        <v>145</v>
      </c>
      <c r="AO47" s="170">
        <v>0</v>
      </c>
      <c r="AP47" s="369">
        <v>0</v>
      </c>
      <c r="AQ47" s="365" t="s">
        <v>4977</v>
      </c>
      <c r="AR47" s="378" t="s">
        <v>2221</v>
      </c>
      <c r="AS47" s="55">
        <v>2</v>
      </c>
      <c r="AT47" s="370">
        <v>2</v>
      </c>
      <c r="AU47" s="371">
        <v>2010</v>
      </c>
      <c r="AV47" s="370">
        <v>5</v>
      </c>
      <c r="AW47" s="589">
        <v>16</v>
      </c>
      <c r="AX47" s="687">
        <v>0</v>
      </c>
      <c r="AY47" s="174" t="s">
        <v>2158</v>
      </c>
      <c r="AZ47" s="550">
        <v>2005</v>
      </c>
      <c r="BA47" s="550">
        <v>1</v>
      </c>
      <c r="BB47" s="550">
        <v>1</v>
      </c>
      <c r="BC47" s="592" t="s">
        <v>4404</v>
      </c>
      <c r="BD47" s="550">
        <v>2011</v>
      </c>
      <c r="BE47" s="550">
        <v>0</v>
      </c>
      <c r="BF47" s="367" t="s">
        <v>145</v>
      </c>
      <c r="BG47" s="367">
        <v>0</v>
      </c>
      <c r="BH47" s="56" t="s">
        <v>145</v>
      </c>
      <c r="BI47" s="367">
        <v>3</v>
      </c>
      <c r="BJ47" s="367">
        <v>1</v>
      </c>
      <c r="BK47" s="888">
        <v>1165.3</v>
      </c>
      <c r="BL47" s="925">
        <f t="shared" si="46"/>
        <v>48.983781000600708</v>
      </c>
      <c r="BM47" s="888">
        <v>594.49199999999996</v>
      </c>
      <c r="BN47" s="920">
        <v>570.80799999999999</v>
      </c>
      <c r="BO47" s="888">
        <v>65.671999999999997</v>
      </c>
      <c r="BP47" s="1158">
        <f t="shared" si="17"/>
        <v>48.407235960531125</v>
      </c>
      <c r="BQ47" s="917">
        <v>33.881999999999998</v>
      </c>
      <c r="BR47" s="920">
        <v>31.79</v>
      </c>
      <c r="BS47" s="888">
        <v>63.942999999999998</v>
      </c>
      <c r="BT47" s="1158">
        <f t="shared" si="18"/>
        <v>48.202305178049201</v>
      </c>
      <c r="BU47" s="917">
        <v>33.121000000000002</v>
      </c>
      <c r="BV47" s="920">
        <v>30.821999999999999</v>
      </c>
      <c r="BW47" s="888">
        <v>63.253999999999998</v>
      </c>
      <c r="BX47" s="1158">
        <f t="shared" si="19"/>
        <v>48.313150156511838</v>
      </c>
      <c r="BY47" s="917">
        <v>32.694000000000003</v>
      </c>
      <c r="BZ47" s="920">
        <v>30.56</v>
      </c>
      <c r="CA47" s="888">
        <f t="shared" si="20"/>
        <v>972.43099999999993</v>
      </c>
      <c r="CB47" s="1158">
        <f t="shared" si="21"/>
        <v>49.117726604766823</v>
      </c>
      <c r="CC47" s="917">
        <f t="shared" si="22"/>
        <v>494.79500000000002</v>
      </c>
      <c r="CD47" s="920">
        <f t="shared" si="23"/>
        <v>477.63600000000002</v>
      </c>
      <c r="CE47" s="914">
        <v>2015</v>
      </c>
      <c r="CF47" s="910" t="s">
        <v>5630</v>
      </c>
      <c r="CG47" s="930">
        <v>100</v>
      </c>
      <c r="CH47" s="1005">
        <v>100</v>
      </c>
      <c r="CI47" s="1006">
        <v>100</v>
      </c>
      <c r="CJ47" s="904" t="s">
        <v>1621</v>
      </c>
      <c r="CK47" s="904" t="s">
        <v>1621</v>
      </c>
      <c r="CL47" s="904">
        <v>2010</v>
      </c>
      <c r="CM47" s="905" t="s">
        <v>5578</v>
      </c>
      <c r="CN47" s="1044">
        <v>606.91600000000005</v>
      </c>
      <c r="CO47" s="1045">
        <f t="shared" si="47"/>
        <v>52.082382219171031</v>
      </c>
      <c r="CP47" s="1040">
        <f t="shared" si="60"/>
        <v>309.62559570239426</v>
      </c>
      <c r="CQ47" s="1041">
        <f t="shared" si="61"/>
        <v>297.29040429760585</v>
      </c>
      <c r="CR47" s="1046">
        <v>2014</v>
      </c>
      <c r="CS47" s="1047" t="s">
        <v>5638</v>
      </c>
      <c r="CT47" s="1068">
        <f t="shared" si="48"/>
        <v>12</v>
      </c>
      <c r="CU47" s="1071">
        <v>18</v>
      </c>
      <c r="CV47" s="1117" t="s">
        <v>5776</v>
      </c>
      <c r="CW47" s="1113">
        <v>545.49300000000005</v>
      </c>
      <c r="CX47" s="1113">
        <v>897.82399999999996</v>
      </c>
      <c r="CY47" s="1113">
        <v>1138.0709999999999</v>
      </c>
      <c r="CZ47" s="494">
        <v>1</v>
      </c>
      <c r="DA47" s="1104">
        <v>5</v>
      </c>
      <c r="DB47" s="1050" t="s">
        <v>647</v>
      </c>
      <c r="DC47" s="1145" t="s">
        <v>323</v>
      </c>
      <c r="DD47" s="1131">
        <f t="shared" si="34"/>
        <v>365.51499999999987</v>
      </c>
      <c r="DE47" s="1132">
        <f t="shared" si="49"/>
        <v>31.366600875311068</v>
      </c>
      <c r="DF47" s="1132">
        <f t="shared" si="35"/>
        <v>49.340135343937796</v>
      </c>
      <c r="DG47" s="1133">
        <f t="shared" si="36"/>
        <v>185.16940429760575</v>
      </c>
      <c r="DH47" s="1133">
        <f t="shared" si="37"/>
        <v>180.34559570239418</v>
      </c>
      <c r="DI47" s="1132">
        <f t="shared" si="50"/>
        <v>31.147501446210509</v>
      </c>
      <c r="DJ47" s="1134">
        <f t="shared" si="51"/>
        <v>31.59479119115257</v>
      </c>
      <c r="DK47" s="1135">
        <f t="shared" si="52"/>
        <v>365.51499999999987</v>
      </c>
      <c r="DL47" s="1132">
        <f t="shared" si="38"/>
        <v>49.340135343937796</v>
      </c>
      <c r="DM47" s="1133">
        <f t="shared" si="53"/>
        <v>185.16940429760575</v>
      </c>
      <c r="DN47" s="1136">
        <f t="shared" si="54"/>
        <v>180.34559570239418</v>
      </c>
      <c r="DO47" s="1135">
        <f t="shared" si="55"/>
        <v>0</v>
      </c>
      <c r="DP47" s="1132">
        <f t="shared" si="39"/>
        <v>0</v>
      </c>
      <c r="DQ47" s="1133">
        <f t="shared" si="28"/>
        <v>0</v>
      </c>
      <c r="DR47" s="1136">
        <f t="shared" si="29"/>
        <v>0</v>
      </c>
      <c r="DS47" s="1135">
        <f t="shared" si="56"/>
        <v>0</v>
      </c>
      <c r="DT47" s="1137">
        <f t="shared" si="40"/>
        <v>0</v>
      </c>
      <c r="DU47" s="1133">
        <f t="shared" si="30"/>
        <v>0</v>
      </c>
      <c r="DV47" s="1136">
        <f t="shared" si="31"/>
        <v>0</v>
      </c>
      <c r="DW47" s="1132">
        <f t="shared" si="32"/>
        <v>0</v>
      </c>
      <c r="DX47" s="1134">
        <f t="shared" si="33"/>
        <v>0</v>
      </c>
      <c r="DY47" s="414" t="s">
        <v>145</v>
      </c>
      <c r="DZ47" s="111" t="s">
        <v>145</v>
      </c>
      <c r="EA47" s="118"/>
      <c r="EB47" s="123" t="s">
        <v>145</v>
      </c>
      <c r="EC47" s="113" t="s">
        <v>145</v>
      </c>
      <c r="ED47" s="20"/>
      <c r="EE47" s="414" t="s">
        <v>145</v>
      </c>
      <c r="EF47" s="111" t="s">
        <v>145</v>
      </c>
      <c r="EG47" s="380">
        <v>98.678428649902301</v>
      </c>
      <c r="EH47" s="24" t="s">
        <v>379</v>
      </c>
      <c r="EI47" s="287">
        <v>0</v>
      </c>
      <c r="EJ47" s="40" t="s">
        <v>145</v>
      </c>
      <c r="EK47" s="35" t="s">
        <v>145</v>
      </c>
      <c r="EL47" s="95" t="s">
        <v>145</v>
      </c>
      <c r="EM47" s="95" t="s">
        <v>145</v>
      </c>
      <c r="EN47" s="35" t="s">
        <v>145</v>
      </c>
      <c r="EO47" s="95" t="s">
        <v>145</v>
      </c>
      <c r="EP47" s="205" t="s">
        <v>145</v>
      </c>
      <c r="EQ47" s="207" t="s">
        <v>145</v>
      </c>
      <c r="ER47" s="517" t="s">
        <v>145</v>
      </c>
      <c r="ES47" s="183"/>
      <c r="ET47" s="183"/>
      <c r="EU47" s="82"/>
      <c r="EV47" s="82"/>
      <c r="EW47" s="82"/>
      <c r="EX47" s="90"/>
      <c r="EY47" s="159"/>
      <c r="EZ47" s="156"/>
      <c r="FA47" s="323"/>
      <c r="FB47" s="323"/>
      <c r="FC47" s="323"/>
      <c r="FD47" s="160"/>
      <c r="FE47" s="156"/>
      <c r="FF47" s="156"/>
      <c r="FG47" s="156"/>
      <c r="FH47" s="157"/>
      <c r="FI47" s="242"/>
      <c r="FJ47" s="240"/>
      <c r="FK47" s="179"/>
      <c r="FL47" s="179"/>
      <c r="FM47" s="179"/>
      <c r="FN47" s="172"/>
      <c r="FO47" s="164"/>
      <c r="FP47" s="255"/>
      <c r="FQ47" s="183"/>
      <c r="FR47" s="257"/>
      <c r="FS47" s="82"/>
      <c r="FT47" s="259"/>
      <c r="FU47" s="82"/>
      <c r="FV47" s="259"/>
      <c r="FW47" s="82"/>
      <c r="FX47" s="259"/>
      <c r="FY47" s="82"/>
      <c r="FZ47" s="259"/>
      <c r="GA47" s="82"/>
      <c r="GB47" s="261"/>
      <c r="GC47" s="90"/>
      <c r="GD47" s="76">
        <v>2</v>
      </c>
      <c r="GE47" s="445" t="s">
        <v>3425</v>
      </c>
      <c r="GF47" s="447" t="s">
        <v>10</v>
      </c>
      <c r="GG47" s="448">
        <v>1</v>
      </c>
      <c r="GH47" s="449">
        <v>1</v>
      </c>
      <c r="GI47" s="447" t="s">
        <v>145</v>
      </c>
      <c r="GJ47" s="449" t="s">
        <v>145</v>
      </c>
      <c r="GK47" s="447" t="s">
        <v>145</v>
      </c>
      <c r="GL47" s="448" t="s">
        <v>145</v>
      </c>
      <c r="GM47" s="449" t="s">
        <v>145</v>
      </c>
      <c r="GN47" s="447" t="s">
        <v>10</v>
      </c>
      <c r="GO47" s="449">
        <v>25</v>
      </c>
      <c r="GP47" s="447">
        <v>5</v>
      </c>
      <c r="GQ47" s="448">
        <v>11</v>
      </c>
      <c r="GR47" s="449">
        <v>9</v>
      </c>
      <c r="GS47" s="446">
        <v>10</v>
      </c>
      <c r="GT47" s="461">
        <v>0.96630054712295532</v>
      </c>
      <c r="GU47" s="462">
        <v>0.51833212375640869</v>
      </c>
      <c r="GV47" s="462">
        <v>1.3510664701461792</v>
      </c>
      <c r="GW47" s="462">
        <v>0.91109567880630493</v>
      </c>
      <c r="GX47" s="462">
        <v>0.99828946590423584</v>
      </c>
      <c r="GY47" s="463">
        <v>1.2355309724807739</v>
      </c>
      <c r="GZ47" s="10">
        <v>58</v>
      </c>
      <c r="HA47" s="536">
        <v>0.59575999999999996</v>
      </c>
      <c r="HB47" s="536">
        <v>0.31372</v>
      </c>
      <c r="HC47" s="525">
        <v>0.47244000000000003</v>
      </c>
      <c r="HD47" s="526">
        <v>0.53203</v>
      </c>
      <c r="HE47" s="527">
        <v>0.78280000000000005</v>
      </c>
      <c r="HF47" s="10">
        <v>51</v>
      </c>
      <c r="HG47" s="532">
        <v>6.11</v>
      </c>
      <c r="HH47" s="545">
        <v>6.93</v>
      </c>
      <c r="HI47" s="546">
        <v>4.34</v>
      </c>
      <c r="HJ47" s="547">
        <v>7.99</v>
      </c>
      <c r="HK47" s="379" t="s">
        <v>4032</v>
      </c>
      <c r="HL47" s="23" t="s">
        <v>4703</v>
      </c>
      <c r="HM47" s="557">
        <v>2001</v>
      </c>
      <c r="HN47" s="557">
        <v>2003</v>
      </c>
      <c r="HO47" s="557" t="s">
        <v>3985</v>
      </c>
      <c r="HP47" s="562" t="s">
        <v>4033</v>
      </c>
      <c r="HQ47" s="639" t="s">
        <v>4704</v>
      </c>
      <c r="HR47" s="563" t="s">
        <v>4034</v>
      </c>
      <c r="HS47" s="545" t="s">
        <v>145</v>
      </c>
      <c r="HT47" s="557" t="s">
        <v>145</v>
      </c>
      <c r="HU47" s="809">
        <v>1960</v>
      </c>
      <c r="HV47" s="583" t="s">
        <v>4874</v>
      </c>
      <c r="HW47" s="557" t="s">
        <v>145</v>
      </c>
      <c r="HX47" s="557" t="s">
        <v>145</v>
      </c>
      <c r="HY47" s="557" t="s">
        <v>145</v>
      </c>
      <c r="HZ47" s="557" t="s">
        <v>145</v>
      </c>
      <c r="IA47" s="557" t="s">
        <v>145</v>
      </c>
      <c r="IB47" s="557" t="s">
        <v>145</v>
      </c>
      <c r="IC47" s="547" t="s">
        <v>145</v>
      </c>
      <c r="ID47" s="40" t="s">
        <v>5199</v>
      </c>
      <c r="IE47" s="550"/>
      <c r="IF47" s="550"/>
      <c r="IG47" s="553"/>
      <c r="IH47" s="339"/>
      <c r="II47" s="553" t="s">
        <v>4920</v>
      </c>
      <c r="IJ47" s="424" t="s">
        <v>4925</v>
      </c>
      <c r="IK47" s="24">
        <v>0</v>
      </c>
      <c r="IL47" s="749">
        <f t="shared" si="57"/>
        <v>14</v>
      </c>
      <c r="IM47" s="747">
        <f t="shared" si="58"/>
        <v>56.000000000000007</v>
      </c>
      <c r="IN47" s="750" t="str">
        <f t="shared" si="59"/>
        <v>B</v>
      </c>
      <c r="IO47" s="446"/>
      <c r="IP47" s="902">
        <v>5</v>
      </c>
      <c r="IQ47" s="903">
        <v>0</v>
      </c>
      <c r="IR47" s="993">
        <v>0</v>
      </c>
      <c r="IT47" s="435"/>
      <c r="IU47" s="435"/>
      <c r="IV47" s="435"/>
    </row>
    <row r="48" spans="1:256">
      <c r="A48" s="21">
        <v>46</v>
      </c>
      <c r="B48" s="9"/>
      <c r="C48" s="430" t="s">
        <v>77</v>
      </c>
      <c r="D48" s="423" t="s">
        <v>408</v>
      </c>
      <c r="E48" s="24" t="s">
        <v>17</v>
      </c>
      <c r="F48" s="76" t="s">
        <v>787</v>
      </c>
      <c r="G48" s="102" t="s">
        <v>484</v>
      </c>
      <c r="H48" s="375" t="s">
        <v>3160</v>
      </c>
      <c r="I48" s="364" t="s">
        <v>3161</v>
      </c>
      <c r="J48" s="370">
        <v>2</v>
      </c>
      <c r="K48" s="359">
        <v>1946</v>
      </c>
      <c r="L48" s="371">
        <v>2</v>
      </c>
      <c r="M48" s="373" t="s">
        <v>145</v>
      </c>
      <c r="N48" s="369" t="s">
        <v>2225</v>
      </c>
      <c r="O48" s="365" t="s">
        <v>2014</v>
      </c>
      <c r="P48" s="362" t="s">
        <v>2798</v>
      </c>
      <c r="Q48" s="370">
        <v>2</v>
      </c>
      <c r="R48" s="370">
        <v>1939</v>
      </c>
      <c r="S48" s="372" t="s">
        <v>2064</v>
      </c>
      <c r="T48" s="370">
        <v>1</v>
      </c>
      <c r="U48" s="370">
        <v>2</v>
      </c>
      <c r="V48" s="370">
        <v>15</v>
      </c>
      <c r="W48" s="369" t="s">
        <v>1822</v>
      </c>
      <c r="X48" s="170">
        <v>1</v>
      </c>
      <c r="Y48" s="369">
        <v>1</v>
      </c>
      <c r="Z48" s="273" t="s">
        <v>2013</v>
      </c>
      <c r="AA48" s="169" t="s">
        <v>66</v>
      </c>
      <c r="AB48" s="177"/>
      <c r="AC48" s="171"/>
      <c r="AD48" s="366" t="s">
        <v>3016</v>
      </c>
      <c r="AE48" s="357">
        <v>2012</v>
      </c>
      <c r="AF48" s="804">
        <v>2</v>
      </c>
      <c r="AG48" s="550">
        <v>4</v>
      </c>
      <c r="AH48" s="550" t="s">
        <v>4629</v>
      </c>
      <c r="AI48" s="550">
        <v>1</v>
      </c>
      <c r="AJ48" s="550">
        <v>1</v>
      </c>
      <c r="AK48" s="590" t="s">
        <v>145</v>
      </c>
      <c r="AL48" s="387" t="s">
        <v>5432</v>
      </c>
      <c r="AM48" s="361" t="s">
        <v>2778</v>
      </c>
      <c r="AN48" s="528" t="s">
        <v>145</v>
      </c>
      <c r="AO48" s="170">
        <v>0</v>
      </c>
      <c r="AP48" s="369">
        <v>0</v>
      </c>
      <c r="AQ48" s="365" t="s">
        <v>4978</v>
      </c>
      <c r="AR48" s="378" t="s">
        <v>4979</v>
      </c>
      <c r="AS48" s="55">
        <v>2</v>
      </c>
      <c r="AT48" s="370">
        <v>2</v>
      </c>
      <c r="AU48" s="371">
        <v>2006</v>
      </c>
      <c r="AV48" s="370">
        <v>10</v>
      </c>
      <c r="AW48" s="589">
        <v>2700</v>
      </c>
      <c r="AX48" s="687">
        <v>1</v>
      </c>
      <c r="AY48" s="174" t="s">
        <v>2159</v>
      </c>
      <c r="AZ48" s="550">
        <v>2013</v>
      </c>
      <c r="BA48" s="550">
        <v>1</v>
      </c>
      <c r="BB48" s="550">
        <v>2</v>
      </c>
      <c r="BC48" s="174" t="s">
        <v>4345</v>
      </c>
      <c r="BD48" s="550">
        <v>1991</v>
      </c>
      <c r="BE48" s="550">
        <v>1</v>
      </c>
      <c r="BF48" s="367" t="s">
        <v>323</v>
      </c>
      <c r="BG48" s="367">
        <v>0</v>
      </c>
      <c r="BH48" s="56" t="s">
        <v>145</v>
      </c>
      <c r="BI48" s="367">
        <v>3</v>
      </c>
      <c r="BJ48" s="367">
        <v>1</v>
      </c>
      <c r="BK48" s="888">
        <v>10543.186</v>
      </c>
      <c r="BL48" s="925">
        <f t="shared" si="46"/>
        <v>50.868105713016917</v>
      </c>
      <c r="BM48" s="888">
        <v>5180.067</v>
      </c>
      <c r="BN48" s="920">
        <v>5363.1189999999997</v>
      </c>
      <c r="BO48" s="888">
        <v>537.90599999999995</v>
      </c>
      <c r="BP48" s="1158">
        <f t="shared" si="17"/>
        <v>48.620019111145815</v>
      </c>
      <c r="BQ48" s="917">
        <v>276.37599999999998</v>
      </c>
      <c r="BR48" s="920">
        <v>261.52999999999997</v>
      </c>
      <c r="BS48" s="888">
        <v>568.73599999999999</v>
      </c>
      <c r="BT48" s="1158">
        <f t="shared" si="18"/>
        <v>48.677417993585777</v>
      </c>
      <c r="BU48" s="917">
        <v>291.89</v>
      </c>
      <c r="BV48" s="920">
        <v>276.846</v>
      </c>
      <c r="BW48" s="888">
        <v>479.25299999999999</v>
      </c>
      <c r="BX48" s="1158">
        <f t="shared" si="19"/>
        <v>48.681594064095584</v>
      </c>
      <c r="BY48" s="917">
        <v>245.94499999999999</v>
      </c>
      <c r="BZ48" s="920">
        <v>233.30799999999999</v>
      </c>
      <c r="CA48" s="888">
        <f t="shared" si="20"/>
        <v>8957.2909999999974</v>
      </c>
      <c r="CB48" s="1158">
        <f t="shared" si="21"/>
        <v>51.259192092787899</v>
      </c>
      <c r="CC48" s="917">
        <f t="shared" si="22"/>
        <v>4365.8559999999998</v>
      </c>
      <c r="CD48" s="920">
        <f t="shared" si="23"/>
        <v>4591.4350000000004</v>
      </c>
      <c r="CE48" s="914">
        <v>2015</v>
      </c>
      <c r="CF48" s="910" t="s">
        <v>5630</v>
      </c>
      <c r="CG48" s="930">
        <v>100</v>
      </c>
      <c r="CH48" s="1005">
        <v>100</v>
      </c>
      <c r="CI48" s="1006">
        <v>100</v>
      </c>
      <c r="CJ48" s="904" t="s">
        <v>1621</v>
      </c>
      <c r="CK48" s="904" t="s">
        <v>1621</v>
      </c>
      <c r="CL48" s="904">
        <v>2012</v>
      </c>
      <c r="CM48" s="905" t="s">
        <v>5576</v>
      </c>
      <c r="CN48" s="1044">
        <v>10240.704</v>
      </c>
      <c r="CO48" s="1045">
        <f t="shared" si="47"/>
        <v>97.131019029731618</v>
      </c>
      <c r="CP48" s="1049">
        <v>5002.335</v>
      </c>
      <c r="CQ48" s="1050">
        <v>5238.3689999999997</v>
      </c>
      <c r="CR48" s="1046">
        <v>2013</v>
      </c>
      <c r="CS48" s="1047" t="s">
        <v>5639</v>
      </c>
      <c r="CT48" s="1068">
        <f t="shared" si="48"/>
        <v>15</v>
      </c>
      <c r="CU48" s="1071">
        <v>18</v>
      </c>
      <c r="CV48" s="1068" t="s">
        <v>5891</v>
      </c>
      <c r="CW48" s="1113">
        <v>8424.2270000000008</v>
      </c>
      <c r="CX48" s="1113">
        <v>8347.6039999999994</v>
      </c>
      <c r="CY48" s="1113">
        <v>10162.921</v>
      </c>
      <c r="CZ48" s="1048">
        <v>20</v>
      </c>
      <c r="DA48" s="1104">
        <v>5</v>
      </c>
      <c r="DB48" s="1050" t="s">
        <v>647</v>
      </c>
      <c r="DC48" s="1146" t="s">
        <v>322</v>
      </c>
      <c r="DD48" s="978">
        <f t="shared" si="34"/>
        <v>302.48199999999997</v>
      </c>
      <c r="DE48" s="979">
        <f t="shared" si="49"/>
        <v>2.8689809702683795</v>
      </c>
      <c r="DF48" s="979">
        <f t="shared" si="35"/>
        <v>41.242123498257747</v>
      </c>
      <c r="DG48" s="980">
        <f t="shared" si="36"/>
        <v>177.73199999999997</v>
      </c>
      <c r="DH48" s="980">
        <f t="shared" si="37"/>
        <v>124.75</v>
      </c>
      <c r="DI48" s="979">
        <f t="shared" si="50"/>
        <v>3.4310753123463456</v>
      </c>
      <c r="DJ48" s="981">
        <f t="shared" si="51"/>
        <v>2.3260718249958656</v>
      </c>
      <c r="DK48" s="984">
        <f t="shared" si="52"/>
        <v>302.48199999999997</v>
      </c>
      <c r="DL48" s="979">
        <f t="shared" si="38"/>
        <v>41.242123498257747</v>
      </c>
      <c r="DM48" s="980">
        <f t="shared" si="53"/>
        <v>177.73199999999997</v>
      </c>
      <c r="DN48" s="985">
        <f t="shared" si="54"/>
        <v>124.75</v>
      </c>
      <c r="DO48" s="984">
        <f t="shared" si="55"/>
        <v>0</v>
      </c>
      <c r="DP48" s="979">
        <f t="shared" si="39"/>
        <v>0</v>
      </c>
      <c r="DQ48" s="980">
        <f t="shared" si="28"/>
        <v>0</v>
      </c>
      <c r="DR48" s="985">
        <f t="shared" si="29"/>
        <v>0</v>
      </c>
      <c r="DS48" s="984">
        <f t="shared" si="56"/>
        <v>0</v>
      </c>
      <c r="DT48" s="339">
        <f t="shared" si="40"/>
        <v>0</v>
      </c>
      <c r="DU48" s="980">
        <f t="shared" si="30"/>
        <v>0</v>
      </c>
      <c r="DV48" s="985">
        <f t="shared" si="31"/>
        <v>0</v>
      </c>
      <c r="DW48" s="979">
        <f t="shared" si="32"/>
        <v>0</v>
      </c>
      <c r="DX48" s="981">
        <f t="shared" si="33"/>
        <v>0</v>
      </c>
      <c r="DY48" s="414">
        <v>0.13</v>
      </c>
      <c r="DZ48" s="111">
        <v>1996</v>
      </c>
      <c r="EA48" s="368" t="e">
        <f>#REF!*DY48/100</f>
        <v>#REF!</v>
      </c>
      <c r="EB48" s="123" t="s">
        <v>145</v>
      </c>
      <c r="EC48" s="113" t="s">
        <v>145</v>
      </c>
      <c r="ED48" s="20"/>
      <c r="EE48" s="414">
        <v>9.8000000000000007</v>
      </c>
      <c r="EF48" s="111">
        <v>2011</v>
      </c>
      <c r="EG48" s="380" t="s">
        <v>145</v>
      </c>
      <c r="EH48" s="24" t="s">
        <v>380</v>
      </c>
      <c r="EI48" s="287">
        <v>0</v>
      </c>
      <c r="EJ48" s="40" t="s">
        <v>145</v>
      </c>
      <c r="EK48" s="355" t="s">
        <v>145</v>
      </c>
      <c r="EL48" s="364" t="s">
        <v>145</v>
      </c>
      <c r="EM48" s="364" t="s">
        <v>145</v>
      </c>
      <c r="EN48" s="355" t="s">
        <v>145</v>
      </c>
      <c r="EO48" s="364" t="s">
        <v>145</v>
      </c>
      <c r="EP48" s="205" t="s">
        <v>145</v>
      </c>
      <c r="EQ48" s="207" t="s">
        <v>145</v>
      </c>
      <c r="ER48" s="517" t="s">
        <v>145</v>
      </c>
      <c r="ES48" s="183"/>
      <c r="ET48" s="183"/>
      <c r="EU48" s="82"/>
      <c r="EV48" s="82"/>
      <c r="EW48" s="82"/>
      <c r="EX48" s="360"/>
      <c r="EY48" s="159"/>
      <c r="EZ48" s="156"/>
      <c r="FA48" s="323"/>
      <c r="FB48" s="323"/>
      <c r="FC48" s="323"/>
      <c r="FD48" s="160"/>
      <c r="FE48" s="156"/>
      <c r="FF48" s="156"/>
      <c r="FG48" s="156"/>
      <c r="FH48" s="157"/>
      <c r="FI48" s="242"/>
      <c r="FJ48" s="373"/>
      <c r="FK48" s="179"/>
      <c r="FL48" s="179"/>
      <c r="FM48" s="179"/>
      <c r="FN48" s="369"/>
      <c r="FO48" s="164"/>
      <c r="FP48" s="255"/>
      <c r="FQ48" s="183"/>
      <c r="FR48" s="257"/>
      <c r="FS48" s="82"/>
      <c r="FT48" s="259"/>
      <c r="FU48" s="82"/>
      <c r="FV48" s="259"/>
      <c r="FW48" s="82"/>
      <c r="FX48" s="259"/>
      <c r="FY48" s="82"/>
      <c r="FZ48" s="259"/>
      <c r="GA48" s="82"/>
      <c r="GB48" s="261"/>
      <c r="GC48" s="360"/>
      <c r="GD48" s="76">
        <v>1</v>
      </c>
      <c r="GE48" s="445" t="s">
        <v>3424</v>
      </c>
      <c r="GF48" s="447" t="s">
        <v>10</v>
      </c>
      <c r="GG48" s="448">
        <v>1</v>
      </c>
      <c r="GH48" s="449">
        <v>1</v>
      </c>
      <c r="GI48" s="447" t="s">
        <v>145</v>
      </c>
      <c r="GJ48" s="449" t="s">
        <v>145</v>
      </c>
      <c r="GK48" s="447" t="s">
        <v>145</v>
      </c>
      <c r="GL48" s="448" t="s">
        <v>145</v>
      </c>
      <c r="GM48" s="449" t="s">
        <v>145</v>
      </c>
      <c r="GN48" s="447" t="s">
        <v>10</v>
      </c>
      <c r="GO48" s="449">
        <v>20</v>
      </c>
      <c r="GP48" s="447">
        <v>4</v>
      </c>
      <c r="GQ48" s="448">
        <v>8</v>
      </c>
      <c r="GR48" s="449">
        <v>8</v>
      </c>
      <c r="GS48" s="446">
        <v>10</v>
      </c>
      <c r="GT48" s="461">
        <v>0.9577755331993103</v>
      </c>
      <c r="GU48" s="462">
        <v>1.0525963306427002</v>
      </c>
      <c r="GV48" s="462">
        <v>0.87627589702606201</v>
      </c>
      <c r="GW48" s="462">
        <v>1.0873984098434448</v>
      </c>
      <c r="GX48" s="462">
        <v>1.0022605657577515</v>
      </c>
      <c r="GY48" s="463">
        <v>0.1902933269739151</v>
      </c>
      <c r="GZ48" s="10">
        <v>53</v>
      </c>
      <c r="HA48" s="536">
        <v>0.60694999999999999</v>
      </c>
      <c r="HB48" s="536">
        <v>0.25490000000000002</v>
      </c>
      <c r="HC48" s="525">
        <v>0.37007000000000001</v>
      </c>
      <c r="HD48" s="526">
        <v>0.57532000000000005</v>
      </c>
      <c r="HE48" s="527">
        <v>0.87549999999999994</v>
      </c>
      <c r="HF48" s="10">
        <v>41</v>
      </c>
      <c r="HG48" s="532">
        <v>6.72</v>
      </c>
      <c r="HH48" s="545">
        <v>7.26</v>
      </c>
      <c r="HI48" s="546">
        <v>5.22</v>
      </c>
      <c r="HJ48" s="547">
        <v>8.65</v>
      </c>
      <c r="HK48" s="379" t="s">
        <v>3992</v>
      </c>
      <c r="HL48" s="23" t="s">
        <v>4705</v>
      </c>
      <c r="HM48" s="557">
        <v>1992</v>
      </c>
      <c r="HN48" s="557">
        <v>2000</v>
      </c>
      <c r="HO48" s="557" t="s">
        <v>3985</v>
      </c>
      <c r="HP48" s="562" t="s">
        <v>4035</v>
      </c>
      <c r="HQ48" s="639" t="s">
        <v>4706</v>
      </c>
      <c r="HR48" s="563" t="s">
        <v>4036</v>
      </c>
      <c r="HS48" s="545">
        <v>69</v>
      </c>
      <c r="HT48" s="557">
        <v>72</v>
      </c>
      <c r="HU48" s="557">
        <v>1999</v>
      </c>
      <c r="HV48" s="583" t="s">
        <v>4185</v>
      </c>
      <c r="HW48" s="557">
        <v>2</v>
      </c>
      <c r="HX48" s="557">
        <v>28</v>
      </c>
      <c r="HY48" s="557">
        <v>14</v>
      </c>
      <c r="HZ48" s="557">
        <v>14</v>
      </c>
      <c r="IA48" s="557">
        <v>10</v>
      </c>
      <c r="IB48" s="557">
        <v>0</v>
      </c>
      <c r="IC48" s="547">
        <v>4</v>
      </c>
      <c r="ID48" s="40" t="s">
        <v>5199</v>
      </c>
      <c r="IE48" s="355" t="s">
        <v>5200</v>
      </c>
      <c r="IF48" s="355"/>
      <c r="IG48" s="553"/>
      <c r="IH48" s="115"/>
      <c r="II48" s="647" t="s">
        <v>4920</v>
      </c>
      <c r="IJ48" s="423" t="s">
        <v>4926</v>
      </c>
      <c r="IK48" s="10">
        <v>0</v>
      </c>
      <c r="IL48" s="749">
        <f t="shared" si="57"/>
        <v>21</v>
      </c>
      <c r="IM48" s="747">
        <f t="shared" si="58"/>
        <v>84</v>
      </c>
      <c r="IN48" s="750" t="str">
        <f t="shared" si="59"/>
        <v>A</v>
      </c>
      <c r="IO48" s="446"/>
      <c r="IP48" s="902">
        <v>3</v>
      </c>
      <c r="IQ48" s="903">
        <v>0</v>
      </c>
      <c r="IR48" s="993">
        <v>0</v>
      </c>
      <c r="IT48" s="435"/>
      <c r="IU48" s="435"/>
      <c r="IV48" s="435"/>
    </row>
    <row r="49" spans="1:256">
      <c r="A49" s="21">
        <v>47</v>
      </c>
      <c r="B49" s="9"/>
      <c r="C49" s="430" t="s">
        <v>79</v>
      </c>
      <c r="D49" s="424"/>
      <c r="E49" s="24" t="s">
        <v>17</v>
      </c>
      <c r="F49" s="76" t="s">
        <v>788</v>
      </c>
      <c r="G49" s="102" t="s">
        <v>487</v>
      </c>
      <c r="H49" s="375" t="s">
        <v>2224</v>
      </c>
      <c r="I49" s="95" t="s">
        <v>2223</v>
      </c>
      <c r="J49" s="370">
        <v>2</v>
      </c>
      <c r="K49" s="88">
        <v>1874</v>
      </c>
      <c r="L49" s="371">
        <v>2</v>
      </c>
      <c r="M49" s="373" t="s">
        <v>1834</v>
      </c>
      <c r="N49" s="369" t="s">
        <v>1822</v>
      </c>
      <c r="O49" s="365" t="s">
        <v>1958</v>
      </c>
      <c r="P49" s="377" t="s">
        <v>3025</v>
      </c>
      <c r="Q49" s="370">
        <v>0</v>
      </c>
      <c r="R49" s="370">
        <v>1968</v>
      </c>
      <c r="S49" s="372" t="s">
        <v>3024</v>
      </c>
      <c r="T49" s="370">
        <v>0</v>
      </c>
      <c r="U49" s="370">
        <v>0</v>
      </c>
      <c r="V49" s="370">
        <v>12</v>
      </c>
      <c r="W49" s="369" t="s">
        <v>1822</v>
      </c>
      <c r="X49" s="170">
        <v>1</v>
      </c>
      <c r="Y49" s="369">
        <v>0</v>
      </c>
      <c r="Z49" s="273" t="s">
        <v>2051</v>
      </c>
      <c r="AA49" s="169">
        <v>1</v>
      </c>
      <c r="AB49" s="177">
        <v>1</v>
      </c>
      <c r="AC49" s="171"/>
      <c r="AD49" s="366" t="s">
        <v>145</v>
      </c>
      <c r="AE49" s="355" t="s">
        <v>145</v>
      </c>
      <c r="AF49" s="357">
        <v>0</v>
      </c>
      <c r="AG49" s="550">
        <v>0</v>
      </c>
      <c r="AH49" s="355" t="s">
        <v>145</v>
      </c>
      <c r="AI49" s="550" t="s">
        <v>145</v>
      </c>
      <c r="AJ49" s="550" t="s">
        <v>145</v>
      </c>
      <c r="AK49" s="590" t="s">
        <v>145</v>
      </c>
      <c r="AL49" s="357">
        <v>0</v>
      </c>
      <c r="AM49" s="361" t="s">
        <v>145</v>
      </c>
      <c r="AN49" s="528" t="s">
        <v>145</v>
      </c>
      <c r="AO49" s="170">
        <v>0</v>
      </c>
      <c r="AP49" s="369">
        <v>0</v>
      </c>
      <c r="AQ49" s="365" t="s">
        <v>4980</v>
      </c>
      <c r="AR49" s="377" t="s">
        <v>4981</v>
      </c>
      <c r="AS49" s="55">
        <v>2</v>
      </c>
      <c r="AT49" s="370">
        <v>2</v>
      </c>
      <c r="AU49" s="371">
        <v>2006</v>
      </c>
      <c r="AV49" s="370">
        <v>10</v>
      </c>
      <c r="AW49" s="589">
        <v>3750</v>
      </c>
      <c r="AX49" s="687">
        <v>1</v>
      </c>
      <c r="AY49" s="174" t="s">
        <v>2160</v>
      </c>
      <c r="AZ49" s="550">
        <v>2000</v>
      </c>
      <c r="BA49" s="550">
        <v>1</v>
      </c>
      <c r="BB49" s="550">
        <v>2</v>
      </c>
      <c r="BC49" s="174" t="s">
        <v>4346</v>
      </c>
      <c r="BD49" s="550">
        <v>2000</v>
      </c>
      <c r="BE49" s="550">
        <v>1</v>
      </c>
      <c r="BF49" s="367" t="s">
        <v>323</v>
      </c>
      <c r="BG49" s="367">
        <v>0</v>
      </c>
      <c r="BH49" s="56" t="s">
        <v>145</v>
      </c>
      <c r="BI49" s="367">
        <v>3</v>
      </c>
      <c r="BJ49" s="367">
        <v>1</v>
      </c>
      <c r="BK49" s="888">
        <v>5669.0810000000001</v>
      </c>
      <c r="BL49" s="925">
        <f t="shared" si="46"/>
        <v>50.363577447561603</v>
      </c>
      <c r="BM49" s="888">
        <v>2813.9290000000001</v>
      </c>
      <c r="BN49" s="920">
        <v>2855.152</v>
      </c>
      <c r="BO49" s="888">
        <v>294.67500000000001</v>
      </c>
      <c r="BP49" s="1158">
        <f t="shared" si="17"/>
        <v>48.727581233562397</v>
      </c>
      <c r="BQ49" s="917">
        <v>151.08699999999999</v>
      </c>
      <c r="BR49" s="920">
        <v>143.58799999999999</v>
      </c>
      <c r="BS49" s="888">
        <v>332.39499999999998</v>
      </c>
      <c r="BT49" s="1158">
        <f t="shared" si="18"/>
        <v>48.662284330390051</v>
      </c>
      <c r="BU49" s="917">
        <v>170.64400000000001</v>
      </c>
      <c r="BV49" s="920">
        <v>161.751</v>
      </c>
      <c r="BW49" s="888">
        <v>329.928</v>
      </c>
      <c r="BX49" s="1158">
        <f t="shared" si="19"/>
        <v>48.941284158968017</v>
      </c>
      <c r="BY49" s="917">
        <v>168.45699999999999</v>
      </c>
      <c r="BZ49" s="920">
        <v>161.471</v>
      </c>
      <c r="CA49" s="888">
        <f t="shared" si="20"/>
        <v>4712.0830000000005</v>
      </c>
      <c r="CB49" s="1158">
        <f t="shared" si="21"/>
        <v>50.685482407674044</v>
      </c>
      <c r="CC49" s="917">
        <f t="shared" si="22"/>
        <v>2323.7410000000004</v>
      </c>
      <c r="CD49" s="920">
        <f t="shared" si="23"/>
        <v>2388.3419999999996</v>
      </c>
      <c r="CE49" s="914">
        <v>2015</v>
      </c>
      <c r="CF49" s="910" t="s">
        <v>5630</v>
      </c>
      <c r="CG49" s="930">
        <v>100</v>
      </c>
      <c r="CH49" s="1005">
        <v>100</v>
      </c>
      <c r="CI49" s="1006">
        <v>100</v>
      </c>
      <c r="CJ49" s="904" t="s">
        <v>1621</v>
      </c>
      <c r="CK49" s="904" t="s">
        <v>1621</v>
      </c>
      <c r="CL49" s="904">
        <v>2011</v>
      </c>
      <c r="CM49" s="905" t="s">
        <v>5576</v>
      </c>
      <c r="CN49" s="1044">
        <v>5660</v>
      </c>
      <c r="CO49" s="1045">
        <f t="shared" si="47"/>
        <v>99.839815306925402</v>
      </c>
      <c r="CP49" s="1049">
        <f>CN49*(100-BL49)/100</f>
        <v>2809.4215164680131</v>
      </c>
      <c r="CQ49" s="1050">
        <f>CN49*BL49/100</f>
        <v>2850.5784835319869</v>
      </c>
      <c r="CR49" s="1046">
        <v>2015</v>
      </c>
      <c r="CS49" s="1047" t="s">
        <v>5777</v>
      </c>
      <c r="CT49" s="1068">
        <f t="shared" si="48"/>
        <v>12</v>
      </c>
      <c r="CU49" s="1071">
        <v>18</v>
      </c>
      <c r="CV49" s="1068" t="s">
        <v>5892</v>
      </c>
      <c r="CW49" s="1113">
        <v>4145.1049999999996</v>
      </c>
      <c r="CX49" s="1113">
        <v>4431.2910000000002</v>
      </c>
      <c r="CY49" s="1113">
        <v>5581.5029999999997</v>
      </c>
      <c r="CZ49" s="1048">
        <v>20</v>
      </c>
      <c r="DA49" s="1104">
        <v>5</v>
      </c>
      <c r="DB49" s="1050" t="s">
        <v>647</v>
      </c>
      <c r="DC49" s="1145" t="s">
        <v>323</v>
      </c>
      <c r="DD49" s="1131">
        <f t="shared" si="34"/>
        <v>9.081000000000131</v>
      </c>
      <c r="DE49" s="1132">
        <f t="shared" si="49"/>
        <v>0.16018469307459413</v>
      </c>
      <c r="DF49" s="1132">
        <f t="shared" si="35"/>
        <v>50.363577447561958</v>
      </c>
      <c r="DG49" s="1133">
        <f t="shared" si="36"/>
        <v>4.5074835319869635</v>
      </c>
      <c r="DH49" s="1133">
        <f t="shared" si="37"/>
        <v>4.5735164680131675</v>
      </c>
      <c r="DI49" s="1132">
        <f t="shared" si="50"/>
        <v>0.16018469307459299</v>
      </c>
      <c r="DJ49" s="1134">
        <f t="shared" si="51"/>
        <v>0.16018469307459524</v>
      </c>
      <c r="DK49" s="1135">
        <f t="shared" si="52"/>
        <v>9.081000000000131</v>
      </c>
      <c r="DL49" s="1132">
        <f t="shared" si="38"/>
        <v>50.363577447561958</v>
      </c>
      <c r="DM49" s="1133">
        <f t="shared" si="53"/>
        <v>4.5074835319869635</v>
      </c>
      <c r="DN49" s="1136">
        <f t="shared" si="54"/>
        <v>4.5735164680131675</v>
      </c>
      <c r="DO49" s="1135">
        <f t="shared" si="55"/>
        <v>0</v>
      </c>
      <c r="DP49" s="1132">
        <f t="shared" si="39"/>
        <v>0</v>
      </c>
      <c r="DQ49" s="1133">
        <f t="shared" si="28"/>
        <v>0</v>
      </c>
      <c r="DR49" s="1136">
        <f t="shared" si="29"/>
        <v>0</v>
      </c>
      <c r="DS49" s="1135">
        <f t="shared" si="56"/>
        <v>0</v>
      </c>
      <c r="DT49" s="1137">
        <f t="shared" si="40"/>
        <v>0</v>
      </c>
      <c r="DU49" s="1133">
        <f t="shared" si="30"/>
        <v>0</v>
      </c>
      <c r="DV49" s="1136">
        <f t="shared" si="31"/>
        <v>0</v>
      </c>
      <c r="DW49" s="1132">
        <f t="shared" si="32"/>
        <v>0</v>
      </c>
      <c r="DX49" s="1134">
        <f t="shared" si="33"/>
        <v>0</v>
      </c>
      <c r="DY49" s="414" t="s">
        <v>145</v>
      </c>
      <c r="DZ49" s="111" t="s">
        <v>145</v>
      </c>
      <c r="EA49" s="118"/>
      <c r="EB49" s="123" t="s">
        <v>145</v>
      </c>
      <c r="EC49" s="113" t="s">
        <v>145</v>
      </c>
      <c r="ED49" s="20"/>
      <c r="EE49" s="414">
        <v>13.4</v>
      </c>
      <c r="EF49" s="121">
        <v>2011</v>
      </c>
      <c r="EG49" s="380" t="s">
        <v>145</v>
      </c>
      <c r="EH49" s="24" t="s">
        <v>333</v>
      </c>
      <c r="EI49" s="288">
        <v>0</v>
      </c>
      <c r="EJ49" s="40" t="s">
        <v>145</v>
      </c>
      <c r="EK49" s="35" t="s">
        <v>145</v>
      </c>
      <c r="EL49" s="95" t="s">
        <v>145</v>
      </c>
      <c r="EM49" s="95" t="s">
        <v>145</v>
      </c>
      <c r="EN49" s="35" t="s">
        <v>145</v>
      </c>
      <c r="EO49" s="95" t="s">
        <v>145</v>
      </c>
      <c r="EP49" s="205" t="s">
        <v>145</v>
      </c>
      <c r="EQ49" s="207" t="s">
        <v>145</v>
      </c>
      <c r="ER49" s="517" t="s">
        <v>145</v>
      </c>
      <c r="ES49" s="183"/>
      <c r="ET49" s="183"/>
      <c r="EU49" s="82"/>
      <c r="EV49" s="82"/>
      <c r="EW49" s="82"/>
      <c r="EX49" s="90"/>
      <c r="EY49" s="159"/>
      <c r="EZ49" s="156"/>
      <c r="FA49" s="323"/>
      <c r="FB49" s="323"/>
      <c r="FC49" s="323"/>
      <c r="FD49" s="160"/>
      <c r="FE49" s="156"/>
      <c r="FF49" s="156"/>
      <c r="FG49" s="156"/>
      <c r="FH49" s="157"/>
      <c r="FI49" s="242"/>
      <c r="FJ49" s="373"/>
      <c r="FK49" s="179"/>
      <c r="FL49" s="179"/>
      <c r="FM49" s="179"/>
      <c r="FN49" s="369"/>
      <c r="FO49" s="164"/>
      <c r="FP49" s="255"/>
      <c r="FQ49" s="183"/>
      <c r="FR49" s="257"/>
      <c r="FS49" s="82"/>
      <c r="FT49" s="259"/>
      <c r="FU49" s="82"/>
      <c r="FV49" s="259"/>
      <c r="FW49" s="82"/>
      <c r="FX49" s="259"/>
      <c r="FY49" s="82"/>
      <c r="FZ49" s="259"/>
      <c r="GA49" s="82"/>
      <c r="GB49" s="261"/>
      <c r="GC49" s="90"/>
      <c r="GD49" s="76">
        <v>1</v>
      </c>
      <c r="GE49" s="445" t="s">
        <v>3424</v>
      </c>
      <c r="GF49" s="447" t="s">
        <v>10</v>
      </c>
      <c r="GG49" s="448">
        <v>1</v>
      </c>
      <c r="GH49" s="449">
        <v>1</v>
      </c>
      <c r="GI49" s="447" t="s">
        <v>145</v>
      </c>
      <c r="GJ49" s="449" t="s">
        <v>145</v>
      </c>
      <c r="GK49" s="447" t="s">
        <v>145</v>
      </c>
      <c r="GL49" s="448" t="s">
        <v>145</v>
      </c>
      <c r="GM49" s="449" t="s">
        <v>145</v>
      </c>
      <c r="GN49" s="447" t="s">
        <v>10</v>
      </c>
      <c r="GO49" s="449">
        <v>12</v>
      </c>
      <c r="GP49" s="447">
        <v>2</v>
      </c>
      <c r="GQ49" s="448">
        <v>5</v>
      </c>
      <c r="GR49" s="449">
        <v>5</v>
      </c>
      <c r="GS49" s="446">
        <v>10</v>
      </c>
      <c r="GT49" s="461">
        <v>1.682456374168396</v>
      </c>
      <c r="GU49" s="462">
        <v>0.94661509990692139</v>
      </c>
      <c r="GV49" s="462">
        <v>1.9710785150527954</v>
      </c>
      <c r="GW49" s="462">
        <v>1.8021895885467529</v>
      </c>
      <c r="GX49" s="462">
        <v>1.8732744455337524</v>
      </c>
      <c r="GY49" s="463">
        <v>2.4107282161712646</v>
      </c>
      <c r="GZ49" s="10">
        <v>16</v>
      </c>
      <c r="HA49" s="536">
        <v>0.81620000000000004</v>
      </c>
      <c r="HB49" s="536">
        <v>0.54901</v>
      </c>
      <c r="HC49" s="525">
        <v>0.66141000000000005</v>
      </c>
      <c r="HD49" s="526">
        <v>0.87402999999999997</v>
      </c>
      <c r="HE49" s="527">
        <v>0.91320000000000001</v>
      </c>
      <c r="HF49" s="10">
        <v>1</v>
      </c>
      <c r="HG49" s="532">
        <v>8.86</v>
      </c>
      <c r="HH49" s="545">
        <v>8.8000000000000007</v>
      </c>
      <c r="HI49" s="546">
        <v>8.7100000000000009</v>
      </c>
      <c r="HJ49" s="547">
        <v>9.2799999999999994</v>
      </c>
      <c r="HK49" s="379" t="s">
        <v>4037</v>
      </c>
      <c r="HL49" s="23" t="s">
        <v>4707</v>
      </c>
      <c r="HM49" s="557">
        <v>1978</v>
      </c>
      <c r="HN49" s="557">
        <v>2000</v>
      </c>
      <c r="HO49" s="557" t="s">
        <v>3985</v>
      </c>
      <c r="HP49" s="562" t="s">
        <v>3988</v>
      </c>
      <c r="HQ49" s="639" t="s">
        <v>4708</v>
      </c>
      <c r="HR49" s="563" t="s">
        <v>4038</v>
      </c>
      <c r="HS49" s="545">
        <v>84</v>
      </c>
      <c r="HT49" s="557">
        <v>64</v>
      </c>
      <c r="HU49" s="557">
        <v>1970</v>
      </c>
      <c r="HV49" s="583" t="s">
        <v>4186</v>
      </c>
      <c r="HW49" s="557">
        <v>1</v>
      </c>
      <c r="HX49" s="557">
        <v>17</v>
      </c>
      <c r="HY49" s="557">
        <v>13</v>
      </c>
      <c r="HZ49" s="557">
        <v>10</v>
      </c>
      <c r="IA49" s="557">
        <v>23</v>
      </c>
      <c r="IB49" s="557">
        <v>0</v>
      </c>
      <c r="IC49" s="547">
        <v>0</v>
      </c>
      <c r="ID49" s="40" t="s">
        <v>5199</v>
      </c>
      <c r="IE49" s="355" t="s">
        <v>5200</v>
      </c>
      <c r="IF49" s="355"/>
      <c r="IG49" s="553"/>
      <c r="IH49" s="339"/>
      <c r="II49" s="553" t="s">
        <v>4920</v>
      </c>
      <c r="IJ49" s="424" t="s">
        <v>4926</v>
      </c>
      <c r="IK49" s="24">
        <v>0</v>
      </c>
      <c r="IL49" s="749">
        <f t="shared" si="57"/>
        <v>12</v>
      </c>
      <c r="IM49" s="747">
        <f t="shared" si="58"/>
        <v>48</v>
      </c>
      <c r="IN49" s="750" t="str">
        <f t="shared" si="59"/>
        <v>C</v>
      </c>
      <c r="IO49" s="446"/>
      <c r="IP49" s="902">
        <v>1</v>
      </c>
      <c r="IQ49" s="903">
        <v>0</v>
      </c>
      <c r="IR49" s="993">
        <v>0</v>
      </c>
      <c r="IT49" s="435"/>
      <c r="IU49" s="435"/>
      <c r="IV49" s="435"/>
    </row>
    <row r="50" spans="1:256">
      <c r="A50" s="21">
        <v>48</v>
      </c>
      <c r="B50" s="9"/>
      <c r="C50" s="430" t="s">
        <v>81</v>
      </c>
      <c r="D50" s="423" t="s">
        <v>410</v>
      </c>
      <c r="E50" s="24" t="s">
        <v>20</v>
      </c>
      <c r="F50" s="76" t="s">
        <v>789</v>
      </c>
      <c r="G50" s="102" t="s">
        <v>486</v>
      </c>
      <c r="H50" s="375" t="s">
        <v>2232</v>
      </c>
      <c r="I50" s="364" t="s">
        <v>2230</v>
      </c>
      <c r="J50" s="176">
        <v>2</v>
      </c>
      <c r="K50" s="88">
        <v>1977</v>
      </c>
      <c r="L50" s="371">
        <v>2</v>
      </c>
      <c r="M50" s="240" t="s">
        <v>145</v>
      </c>
      <c r="N50" s="369" t="s">
        <v>1822</v>
      </c>
      <c r="O50" s="365" t="s">
        <v>3163</v>
      </c>
      <c r="P50" s="362" t="s">
        <v>3164</v>
      </c>
      <c r="Q50" s="176">
        <v>2</v>
      </c>
      <c r="R50" s="370">
        <v>2004</v>
      </c>
      <c r="S50" s="372" t="s">
        <v>1961</v>
      </c>
      <c r="T50" s="176">
        <v>1</v>
      </c>
      <c r="U50" s="370">
        <v>2</v>
      </c>
      <c r="V50" s="176">
        <v>18</v>
      </c>
      <c r="W50" s="369" t="s">
        <v>1822</v>
      </c>
      <c r="X50" s="170">
        <v>0</v>
      </c>
      <c r="Y50" s="369">
        <v>0</v>
      </c>
      <c r="Z50" s="271"/>
      <c r="AA50" s="169"/>
      <c r="AB50" s="177">
        <v>1</v>
      </c>
      <c r="AC50" s="171"/>
      <c r="AD50" s="366" t="s">
        <v>3163</v>
      </c>
      <c r="AE50" s="357">
        <v>2014</v>
      </c>
      <c r="AF50" s="357">
        <v>1</v>
      </c>
      <c r="AG50" s="550" t="s">
        <v>5171</v>
      </c>
      <c r="AH50" s="355" t="s">
        <v>323</v>
      </c>
      <c r="AI50" s="55">
        <v>0</v>
      </c>
      <c r="AJ50" s="55">
        <v>0</v>
      </c>
      <c r="AK50" s="589"/>
      <c r="AL50" s="386">
        <v>4</v>
      </c>
      <c r="AM50" s="361" t="s">
        <v>2750</v>
      </c>
      <c r="AN50" s="528" t="s">
        <v>145</v>
      </c>
      <c r="AO50" s="170">
        <v>0</v>
      </c>
      <c r="AP50" s="172">
        <v>0</v>
      </c>
      <c r="AQ50" s="365" t="s">
        <v>5362</v>
      </c>
      <c r="AR50" s="362" t="s">
        <v>4934</v>
      </c>
      <c r="AS50" s="55">
        <v>1</v>
      </c>
      <c r="AT50" s="370">
        <v>3</v>
      </c>
      <c r="AU50" s="724" t="s">
        <v>145</v>
      </c>
      <c r="AV50" s="370">
        <v>5</v>
      </c>
      <c r="AW50" s="589" t="s">
        <v>145</v>
      </c>
      <c r="AX50" s="687">
        <v>0</v>
      </c>
      <c r="AY50" s="174" t="s">
        <v>4347</v>
      </c>
      <c r="AZ50" s="550">
        <v>2009</v>
      </c>
      <c r="BA50" s="550">
        <v>1</v>
      </c>
      <c r="BB50" s="550">
        <v>0</v>
      </c>
      <c r="BC50" s="108" t="s">
        <v>145</v>
      </c>
      <c r="BD50" s="550" t="s">
        <v>145</v>
      </c>
      <c r="BE50" s="550">
        <v>0</v>
      </c>
      <c r="BF50" s="367" t="s">
        <v>145</v>
      </c>
      <c r="BG50" s="367">
        <v>0</v>
      </c>
      <c r="BH50" s="56" t="s">
        <v>145</v>
      </c>
      <c r="BI50" s="367">
        <v>0</v>
      </c>
      <c r="BJ50" s="367">
        <v>0</v>
      </c>
      <c r="BK50" s="888">
        <v>887.86099999999999</v>
      </c>
      <c r="BL50" s="925">
        <f t="shared" si="46"/>
        <v>49.784707290893508</v>
      </c>
      <c r="BM50" s="888">
        <v>445.84199999999998</v>
      </c>
      <c r="BN50" s="920">
        <v>442.01900000000001</v>
      </c>
      <c r="BO50" s="888">
        <v>102.054</v>
      </c>
      <c r="BP50" s="1158">
        <f t="shared" si="17"/>
        <v>49.298410645344617</v>
      </c>
      <c r="BQ50" s="917">
        <v>51.743000000000002</v>
      </c>
      <c r="BR50" s="920">
        <v>50.311</v>
      </c>
      <c r="BS50" s="888">
        <v>96.033000000000001</v>
      </c>
      <c r="BT50" s="1158">
        <f t="shared" si="18"/>
        <v>49.372611498130851</v>
      </c>
      <c r="BU50" s="917">
        <v>48.619</v>
      </c>
      <c r="BV50" s="920">
        <v>47.414000000000001</v>
      </c>
      <c r="BW50" s="888">
        <v>92.558000000000007</v>
      </c>
      <c r="BX50" s="1158">
        <f t="shared" si="19"/>
        <v>49.380928714967915</v>
      </c>
      <c r="BY50" s="917">
        <v>46.851999999999997</v>
      </c>
      <c r="BZ50" s="920">
        <v>45.706000000000003</v>
      </c>
      <c r="CA50" s="888">
        <f t="shared" si="20"/>
        <v>597.21600000000001</v>
      </c>
      <c r="CB50" s="1158">
        <f t="shared" si="21"/>
        <v>49.99665112790013</v>
      </c>
      <c r="CC50" s="917">
        <f t="shared" si="22"/>
        <v>298.62800000000004</v>
      </c>
      <c r="CD50" s="920">
        <f t="shared" si="23"/>
        <v>298.58800000000002</v>
      </c>
      <c r="CE50" s="914">
        <v>2015</v>
      </c>
      <c r="CF50" s="910" t="s">
        <v>5630</v>
      </c>
      <c r="CG50" s="930">
        <v>91.7</v>
      </c>
      <c r="CH50" s="495">
        <v>92.7</v>
      </c>
      <c r="CI50" s="497">
        <v>90.5</v>
      </c>
      <c r="CJ50" s="904">
        <v>92</v>
      </c>
      <c r="CK50" s="904">
        <v>84.3</v>
      </c>
      <c r="CL50" s="904">
        <v>2006</v>
      </c>
      <c r="CM50" s="905" t="s">
        <v>5573</v>
      </c>
      <c r="CN50" s="1044">
        <v>176.87799999999999</v>
      </c>
      <c r="CO50" s="1045">
        <f t="shared" si="47"/>
        <v>19.921812085450309</v>
      </c>
      <c r="CP50" s="1040">
        <f>IF(OR(CZ50=1,CZ50=10),CN50*(1-BL50/100),IF(DA50=6,CN50*(1-BL50/100),CN50*(1-CB50/100)))</f>
        <v>88.819805438013375</v>
      </c>
      <c r="CQ50" s="1041">
        <f>IF(OR(CZ50=1,CZ50=10),CN50*BL50/100,IF(DA50=6,CN50*BL50/100,CN50*CB50/100))</f>
        <v>88.058194561986625</v>
      </c>
      <c r="CR50" s="1046">
        <v>2013</v>
      </c>
      <c r="CS50" s="1047" t="s">
        <v>5835</v>
      </c>
      <c r="CT50" s="1068">
        <f t="shared" si="48"/>
        <v>18</v>
      </c>
      <c r="CU50" s="1071">
        <v>18</v>
      </c>
      <c r="CV50" s="1068" t="s">
        <v>5893</v>
      </c>
      <c r="CW50" s="1113">
        <v>176.87799999999999</v>
      </c>
      <c r="CX50" s="1113">
        <v>456.16199999999998</v>
      </c>
      <c r="CY50" s="1113">
        <v>792.19799999999998</v>
      </c>
      <c r="CZ50" s="494">
        <v>1</v>
      </c>
      <c r="DA50" s="1104">
        <v>4</v>
      </c>
      <c r="DB50" s="1050" t="s">
        <v>647</v>
      </c>
      <c r="DC50" s="1143" t="s">
        <v>320</v>
      </c>
      <c r="DD50" s="982">
        <f t="shared" si="34"/>
        <v>444.46153500000003</v>
      </c>
      <c r="DE50" s="979">
        <f t="shared" si="49"/>
        <v>50.05981060098371</v>
      </c>
      <c r="DF50" s="979">
        <f t="shared" si="35"/>
        <v>50.433104506560589</v>
      </c>
      <c r="DG50" s="983">
        <f t="shared" si="36"/>
        <v>220.55481656198668</v>
      </c>
      <c r="DH50" s="983">
        <f t="shared" si="37"/>
        <v>224.1557504380134</v>
      </c>
      <c r="DI50" s="979">
        <f t="shared" si="50"/>
        <v>49.469277583086992</v>
      </c>
      <c r="DJ50" s="981">
        <f t="shared" si="51"/>
        <v>50.711790768725642</v>
      </c>
      <c r="DK50" s="984">
        <f t="shared" si="52"/>
        <v>420.33800000000002</v>
      </c>
      <c r="DL50" s="979">
        <f t="shared" si="38"/>
        <v>50.085836978339671</v>
      </c>
      <c r="DM50" s="983">
        <f t="shared" si="53"/>
        <v>209.80819456198668</v>
      </c>
      <c r="DN50" s="986">
        <f t="shared" si="54"/>
        <v>210.5298054380134</v>
      </c>
      <c r="DO50" s="984">
        <f t="shared" si="55"/>
        <v>15.653052999999993</v>
      </c>
      <c r="DP50" s="979">
        <f t="shared" si="39"/>
        <v>56.515492536823345</v>
      </c>
      <c r="DQ50" s="983">
        <f t="shared" si="28"/>
        <v>6.9693829999999952</v>
      </c>
      <c r="DR50" s="986">
        <f t="shared" si="29"/>
        <v>8.8463999999999974</v>
      </c>
      <c r="DS50" s="984">
        <f t="shared" si="56"/>
        <v>8.470481999999997</v>
      </c>
      <c r="DT50" s="339">
        <f t="shared" si="40"/>
        <v>56.425891702502881</v>
      </c>
      <c r="DU50" s="983">
        <f t="shared" si="30"/>
        <v>3.7772389999999976</v>
      </c>
      <c r="DV50" s="986">
        <f t="shared" si="31"/>
        <v>4.7795449999999988</v>
      </c>
      <c r="DW50" s="979">
        <f t="shared" si="32"/>
        <v>7.2999999999999954</v>
      </c>
      <c r="DX50" s="981">
        <f t="shared" si="33"/>
        <v>9.4999999999999964</v>
      </c>
      <c r="DY50" s="414">
        <v>18.8</v>
      </c>
      <c r="DZ50" s="111">
        <v>2002</v>
      </c>
      <c r="EA50" s="118">
        <v>170.24603200000001</v>
      </c>
      <c r="EB50" s="123" t="s">
        <v>145</v>
      </c>
      <c r="EC50" s="113" t="s">
        <v>145</v>
      </c>
      <c r="ED50" s="20"/>
      <c r="EE50" s="414">
        <v>18.8</v>
      </c>
      <c r="EF50" s="111" t="s">
        <v>145</v>
      </c>
      <c r="EG50" s="380" t="s">
        <v>145</v>
      </c>
      <c r="EH50" s="24" t="s">
        <v>372</v>
      </c>
      <c r="EI50" s="287">
        <v>3</v>
      </c>
      <c r="EJ50" s="40">
        <v>1</v>
      </c>
      <c r="EK50" s="35" t="s">
        <v>728</v>
      </c>
      <c r="EL50" s="364" t="s">
        <v>1638</v>
      </c>
      <c r="EM50" s="364" t="s">
        <v>1639</v>
      </c>
      <c r="EN50" s="35" t="s">
        <v>145</v>
      </c>
      <c r="EO50" s="364" t="s">
        <v>1650</v>
      </c>
      <c r="EP50" s="205">
        <v>0.89</v>
      </c>
      <c r="EQ50" s="207" t="s">
        <v>145</v>
      </c>
      <c r="ER50" s="517">
        <v>1</v>
      </c>
      <c r="ES50" s="183" t="s">
        <v>3756</v>
      </c>
      <c r="ET50" s="183" t="s">
        <v>3756</v>
      </c>
      <c r="EU50" s="82" t="s">
        <v>145</v>
      </c>
      <c r="EV50" s="82" t="s">
        <v>145</v>
      </c>
      <c r="EW50" s="82" t="s">
        <v>145</v>
      </c>
      <c r="EX50" s="360" t="s">
        <v>145</v>
      </c>
      <c r="EY50" s="159"/>
      <c r="EZ50" s="156"/>
      <c r="FA50" s="323"/>
      <c r="FB50" s="323"/>
      <c r="FC50" s="323"/>
      <c r="FD50" s="160"/>
      <c r="FE50" s="156"/>
      <c r="FF50" s="156"/>
      <c r="FG50" s="156"/>
      <c r="FH50" s="157"/>
      <c r="FI50" s="242"/>
      <c r="FJ50" s="240"/>
      <c r="FK50" s="179"/>
      <c r="FL50" s="179"/>
      <c r="FM50" s="179"/>
      <c r="FN50" s="369"/>
      <c r="FO50" s="164"/>
      <c r="FP50" s="255"/>
      <c r="FQ50" s="183"/>
      <c r="FR50" s="257"/>
      <c r="FS50" s="82"/>
      <c r="FT50" s="259"/>
      <c r="FU50" s="82"/>
      <c r="FV50" s="259"/>
      <c r="FW50" s="82"/>
      <c r="FX50" s="259"/>
      <c r="FY50" s="82"/>
      <c r="FZ50" s="259"/>
      <c r="GA50" s="82"/>
      <c r="GB50" s="261"/>
      <c r="GC50" s="90"/>
      <c r="GD50" s="76">
        <v>3</v>
      </c>
      <c r="GE50" s="445" t="s">
        <v>3435</v>
      </c>
      <c r="GF50" s="447" t="s">
        <v>580</v>
      </c>
      <c r="GG50" s="448">
        <v>6</v>
      </c>
      <c r="GH50" s="449">
        <v>5</v>
      </c>
      <c r="GI50" s="447" t="s">
        <v>145</v>
      </c>
      <c r="GJ50" s="449" t="s">
        <v>145</v>
      </c>
      <c r="GK50" s="447" t="s">
        <v>145</v>
      </c>
      <c r="GL50" s="448" t="s">
        <v>145</v>
      </c>
      <c r="GM50" s="449" t="s">
        <v>145</v>
      </c>
      <c r="GN50" s="447" t="s">
        <v>580</v>
      </c>
      <c r="GO50" s="449">
        <v>75</v>
      </c>
      <c r="GP50" s="447">
        <v>24</v>
      </c>
      <c r="GQ50" s="448">
        <v>28</v>
      </c>
      <c r="GR50" s="449">
        <v>23</v>
      </c>
      <c r="GS50" s="446">
        <v>4</v>
      </c>
      <c r="GT50" s="461">
        <v>-1.444769024848938</v>
      </c>
      <c r="GU50" s="462">
        <v>-0.11876150965690613</v>
      </c>
      <c r="GV50" s="462">
        <v>-1.1845608949661255</v>
      </c>
      <c r="GW50" s="462">
        <v>-0.54540067911148071</v>
      </c>
      <c r="GX50" s="462">
        <v>-0.75569522380828857</v>
      </c>
      <c r="GY50" s="463">
        <v>-0.44067952036857605</v>
      </c>
      <c r="GZ50" s="10">
        <v>184</v>
      </c>
      <c r="HA50" s="536">
        <v>0.14560000000000001</v>
      </c>
      <c r="HB50" s="536">
        <v>7.843E-2</v>
      </c>
      <c r="HC50" s="525">
        <v>6.2990000000000004E-2</v>
      </c>
      <c r="HD50" s="526">
        <v>5.5570000000000001E-2</v>
      </c>
      <c r="HE50" s="527">
        <v>0.31819999999999998</v>
      </c>
      <c r="HF50" s="10">
        <v>141</v>
      </c>
      <c r="HG50" s="532">
        <v>2.08</v>
      </c>
      <c r="HH50" s="545">
        <v>2.36</v>
      </c>
      <c r="HI50" s="546">
        <v>0.43</v>
      </c>
      <c r="HJ50" s="547">
        <v>4.84</v>
      </c>
      <c r="HK50" s="379" t="s">
        <v>145</v>
      </c>
      <c r="HL50" s="362" t="s">
        <v>145</v>
      </c>
      <c r="HM50" s="557" t="s">
        <v>145</v>
      </c>
      <c r="HN50" s="557" t="s">
        <v>145</v>
      </c>
      <c r="HO50" s="557" t="s">
        <v>145</v>
      </c>
      <c r="HP50" s="562" t="s">
        <v>145</v>
      </c>
      <c r="HQ50" s="562" t="s">
        <v>145</v>
      </c>
      <c r="HR50" s="563" t="s">
        <v>145</v>
      </c>
      <c r="HS50" s="545" t="s">
        <v>145</v>
      </c>
      <c r="HT50" s="557" t="s">
        <v>145</v>
      </c>
      <c r="HU50" s="557" t="s">
        <v>145</v>
      </c>
      <c r="HV50" s="581" t="s">
        <v>145</v>
      </c>
      <c r="HW50" s="557" t="s">
        <v>145</v>
      </c>
      <c r="HX50" s="557" t="s">
        <v>145</v>
      </c>
      <c r="HY50" s="557" t="s">
        <v>145</v>
      </c>
      <c r="HZ50" s="557" t="s">
        <v>145</v>
      </c>
      <c r="IA50" s="557" t="s">
        <v>145</v>
      </c>
      <c r="IB50" s="557" t="s">
        <v>145</v>
      </c>
      <c r="IC50" s="547" t="s">
        <v>145</v>
      </c>
      <c r="ID50" s="40"/>
      <c r="IE50" s="550"/>
      <c r="IF50" s="550"/>
      <c r="IG50" s="553"/>
      <c r="IH50" s="115"/>
      <c r="II50" s="647" t="s">
        <v>4921</v>
      </c>
      <c r="IJ50" s="423" t="s">
        <v>4926</v>
      </c>
      <c r="IK50" s="10">
        <v>0</v>
      </c>
      <c r="IL50" s="749">
        <f t="shared" si="57"/>
        <v>12</v>
      </c>
      <c r="IM50" s="747">
        <f t="shared" si="58"/>
        <v>48</v>
      </c>
      <c r="IN50" s="750" t="str">
        <f t="shared" si="59"/>
        <v>C</v>
      </c>
      <c r="IO50" s="446">
        <v>1</v>
      </c>
      <c r="IP50" s="902">
        <v>4</v>
      </c>
      <c r="IQ50" s="903">
        <v>0</v>
      </c>
      <c r="IR50" s="993">
        <v>0</v>
      </c>
      <c r="IT50" s="435"/>
      <c r="IU50" s="435"/>
      <c r="IV50" s="435"/>
    </row>
    <row r="51" spans="1:256">
      <c r="A51" s="21">
        <v>49</v>
      </c>
      <c r="B51" s="9"/>
      <c r="C51" s="430" t="s">
        <v>83</v>
      </c>
      <c r="D51" s="424" t="s">
        <v>409</v>
      </c>
      <c r="E51" s="24" t="s">
        <v>12</v>
      </c>
      <c r="F51" s="76" t="s">
        <v>790</v>
      </c>
      <c r="G51" s="102" t="s">
        <v>488</v>
      </c>
      <c r="H51" s="375" t="s">
        <v>3114</v>
      </c>
      <c r="I51" s="95" t="s">
        <v>2228</v>
      </c>
      <c r="J51" s="176">
        <v>1</v>
      </c>
      <c r="K51" s="88">
        <v>1916</v>
      </c>
      <c r="L51" s="371">
        <v>2</v>
      </c>
      <c r="M51" s="240" t="s">
        <v>145</v>
      </c>
      <c r="N51" s="369" t="s">
        <v>2229</v>
      </c>
      <c r="O51" s="365" t="s">
        <v>3165</v>
      </c>
      <c r="P51" s="362" t="s">
        <v>3115</v>
      </c>
      <c r="Q51" s="176">
        <v>4</v>
      </c>
      <c r="R51" s="370">
        <v>1974</v>
      </c>
      <c r="S51" s="234" t="s">
        <v>4333</v>
      </c>
      <c r="T51" s="176">
        <v>1</v>
      </c>
      <c r="U51" s="370">
        <v>2</v>
      </c>
      <c r="V51" s="176">
        <v>18</v>
      </c>
      <c r="W51" s="369" t="s">
        <v>1822</v>
      </c>
      <c r="X51" s="170">
        <v>0</v>
      </c>
      <c r="Y51" s="369">
        <v>0</v>
      </c>
      <c r="Z51" s="271"/>
      <c r="AA51" s="169">
        <v>1</v>
      </c>
      <c r="AB51" s="177">
        <v>1</v>
      </c>
      <c r="AC51" s="171"/>
      <c r="AD51" s="365" t="s">
        <v>3165</v>
      </c>
      <c r="AE51" s="550">
        <v>2015</v>
      </c>
      <c r="AF51" s="804">
        <v>2</v>
      </c>
      <c r="AG51" s="550" t="s">
        <v>4272</v>
      </c>
      <c r="AH51" s="355" t="s">
        <v>3112</v>
      </c>
      <c r="AI51" s="55">
        <v>0</v>
      </c>
      <c r="AJ51" s="55">
        <v>0</v>
      </c>
      <c r="AK51" s="589">
        <v>100</v>
      </c>
      <c r="AL51" s="391">
        <v>10</v>
      </c>
      <c r="AM51" s="361" t="s">
        <v>3113</v>
      </c>
      <c r="AN51" s="793">
        <v>3</v>
      </c>
      <c r="AO51" s="170">
        <v>0</v>
      </c>
      <c r="AP51" s="369">
        <v>0</v>
      </c>
      <c r="AQ51" s="365" t="s">
        <v>5321</v>
      </c>
      <c r="AR51" s="378" t="s">
        <v>5216</v>
      </c>
      <c r="AS51" s="55">
        <v>2</v>
      </c>
      <c r="AT51" s="370">
        <v>2</v>
      </c>
      <c r="AU51" s="371">
        <v>2014</v>
      </c>
      <c r="AV51" s="370">
        <v>5</v>
      </c>
      <c r="AW51" s="589" t="s">
        <v>145</v>
      </c>
      <c r="AX51" s="687">
        <v>0</v>
      </c>
      <c r="AY51" s="174" t="s">
        <v>4348</v>
      </c>
      <c r="AZ51" s="550">
        <v>1999</v>
      </c>
      <c r="BA51" s="550">
        <v>1</v>
      </c>
      <c r="BB51" s="550">
        <v>0</v>
      </c>
      <c r="BC51" s="108" t="s">
        <v>145</v>
      </c>
      <c r="BD51" s="550" t="s">
        <v>145</v>
      </c>
      <c r="BE51" s="550">
        <v>0</v>
      </c>
      <c r="BF51" s="367" t="s">
        <v>145</v>
      </c>
      <c r="BG51" s="367">
        <v>0</v>
      </c>
      <c r="BH51" s="56" t="s">
        <v>145</v>
      </c>
      <c r="BI51" s="367">
        <v>1</v>
      </c>
      <c r="BJ51" s="367">
        <v>1</v>
      </c>
      <c r="BK51" s="888">
        <v>73.448999999999998</v>
      </c>
      <c r="BL51" s="925">
        <f t="shared" si="46"/>
        <v>49.528244087734343</v>
      </c>
      <c r="BM51" s="911">
        <v>37.070999999999998</v>
      </c>
      <c r="BN51" s="921">
        <v>36.378</v>
      </c>
      <c r="BO51" s="911">
        <v>5.57</v>
      </c>
      <c r="BP51" s="1159">
        <f t="shared" si="17"/>
        <v>48.8689407540395</v>
      </c>
      <c r="BQ51" s="918">
        <v>2.8479999999999999</v>
      </c>
      <c r="BR51" s="921">
        <v>2.722</v>
      </c>
      <c r="BS51" s="911">
        <v>5.3630000000000004</v>
      </c>
      <c r="BT51" s="1159">
        <f t="shared" si="18"/>
        <v>48.83460749580459</v>
      </c>
      <c r="BU51" s="918">
        <v>2.7440000000000002</v>
      </c>
      <c r="BV51" s="921">
        <v>2.6190000000000002</v>
      </c>
      <c r="BW51" s="911">
        <v>5.306</v>
      </c>
      <c r="BX51" s="1159">
        <f t="shared" si="19"/>
        <v>48.963437617791179</v>
      </c>
      <c r="BY51" s="918">
        <v>2.7080000000000002</v>
      </c>
      <c r="BZ51" s="921">
        <v>2.5979999999999999</v>
      </c>
      <c r="CA51" s="911">
        <f t="shared" si="20"/>
        <v>57.209999999999994</v>
      </c>
      <c r="CB51" s="1159">
        <f t="shared" si="21"/>
        <v>49.709840936899148</v>
      </c>
      <c r="CC51" s="918">
        <f t="shared" si="22"/>
        <v>28.771000000000001</v>
      </c>
      <c r="CD51" s="921">
        <f t="shared" si="23"/>
        <v>28.439</v>
      </c>
      <c r="CE51" s="927">
        <v>2015</v>
      </c>
      <c r="CF51" s="926" t="s">
        <v>5632</v>
      </c>
      <c r="CG51" s="931">
        <v>90</v>
      </c>
      <c r="CH51" s="504">
        <v>90</v>
      </c>
      <c r="CI51" s="1008">
        <v>90</v>
      </c>
      <c r="CJ51" s="904" t="s">
        <v>1621</v>
      </c>
      <c r="CK51" s="904" t="s">
        <v>1621</v>
      </c>
      <c r="CL51" s="906">
        <v>2011</v>
      </c>
      <c r="CM51" s="1002" t="s">
        <v>5704</v>
      </c>
      <c r="CN51" s="1125">
        <v>40.811999999999998</v>
      </c>
      <c r="CO51" s="1045">
        <f t="shared" si="47"/>
        <v>55.565085978025564</v>
      </c>
      <c r="CP51" s="1040">
        <f>IF(OR(CZ51=1,CZ51=10),CN51*(1-BL51/100),IF(DA51=6,CN51*(1-BL51/100),CN51*(1-CB51/100)))</f>
        <v>20.598533022913859</v>
      </c>
      <c r="CQ51" s="1041">
        <f>IF(OR(CZ51=1,CZ51=10),CN51*BL51/100,IF(DA51=6,CN51*BL51/100,CN51*CB51/100))</f>
        <v>20.213466977086139</v>
      </c>
      <c r="CR51" s="1046">
        <v>2014</v>
      </c>
      <c r="CS51" s="1047" t="s">
        <v>5836</v>
      </c>
      <c r="CT51" s="1068">
        <f t="shared" si="48"/>
        <v>18</v>
      </c>
      <c r="CU51" s="1071">
        <v>18</v>
      </c>
      <c r="CV51" s="1068" t="s">
        <v>5894</v>
      </c>
      <c r="CW51" s="1113">
        <v>70.540999999999997</v>
      </c>
      <c r="CX51" s="1113">
        <v>40.811999999999998</v>
      </c>
      <c r="CY51" s="1113">
        <v>73.448999999999998</v>
      </c>
      <c r="CZ51" s="494">
        <v>1</v>
      </c>
      <c r="DA51" s="1104">
        <v>4</v>
      </c>
      <c r="DB51" s="1050" t="s">
        <v>647</v>
      </c>
      <c r="DC51" s="1146" t="s">
        <v>322</v>
      </c>
      <c r="DD51" s="978">
        <f t="shared" si="34"/>
        <v>18.021899999999995</v>
      </c>
      <c r="DE51" s="979">
        <f t="shared" si="49"/>
        <v>24.536617244618707</v>
      </c>
      <c r="DF51" s="979">
        <f t="shared" si="35"/>
        <v>50.047070635803458</v>
      </c>
      <c r="DG51" s="980">
        <f t="shared" si="36"/>
        <v>9.0024669770861419</v>
      </c>
      <c r="DH51" s="980">
        <f t="shared" si="37"/>
        <v>9.0194330229138604</v>
      </c>
      <c r="DI51" s="979">
        <f t="shared" si="50"/>
        <v>24.284392050622163</v>
      </c>
      <c r="DJ51" s="981">
        <f t="shared" si="51"/>
        <v>24.793647322320801</v>
      </c>
      <c r="DK51" s="984">
        <f t="shared" si="52"/>
        <v>16.397999999999996</v>
      </c>
      <c r="DL51" s="979">
        <f t="shared" si="38"/>
        <v>50.16180645757936</v>
      </c>
      <c r="DM51" s="980">
        <f t="shared" si="53"/>
        <v>8.1724669770861418</v>
      </c>
      <c r="DN51" s="985">
        <f t="shared" si="54"/>
        <v>8.2255330229138615</v>
      </c>
      <c r="DO51" s="984">
        <f t="shared" si="55"/>
        <v>1.0668999999999997</v>
      </c>
      <c r="DP51" s="979">
        <f t="shared" si="39"/>
        <v>48.898678414096914</v>
      </c>
      <c r="DQ51" s="980">
        <f t="shared" si="28"/>
        <v>0.54519999999999991</v>
      </c>
      <c r="DR51" s="985">
        <f t="shared" si="29"/>
        <v>0.52169999999999983</v>
      </c>
      <c r="DS51" s="984">
        <f t="shared" si="56"/>
        <v>0.55699999999999994</v>
      </c>
      <c r="DT51" s="339">
        <f t="shared" si="40"/>
        <v>48.868940754039492</v>
      </c>
      <c r="DU51" s="980">
        <f t="shared" si="30"/>
        <v>0.28479999999999994</v>
      </c>
      <c r="DV51" s="985">
        <f t="shared" si="31"/>
        <v>0.27219999999999994</v>
      </c>
      <c r="DW51" s="979">
        <f t="shared" si="32"/>
        <v>9.9999999999999982</v>
      </c>
      <c r="DX51" s="981">
        <f t="shared" si="33"/>
        <v>9.9999999999999982</v>
      </c>
      <c r="DY51" s="414">
        <v>33</v>
      </c>
      <c r="DZ51" s="111">
        <v>2009</v>
      </c>
      <c r="EA51" s="118" t="e">
        <f>#REF!*DY51/100</f>
        <v>#REF!</v>
      </c>
      <c r="EB51" s="123" t="s">
        <v>145</v>
      </c>
      <c r="EC51" s="113" t="s">
        <v>145</v>
      </c>
      <c r="ED51" s="20"/>
      <c r="EE51" s="414">
        <v>29</v>
      </c>
      <c r="EF51" s="111">
        <v>2009</v>
      </c>
      <c r="EG51" s="380" t="s">
        <v>145</v>
      </c>
      <c r="EH51" s="24" t="s">
        <v>335</v>
      </c>
      <c r="EI51" s="287">
        <v>0</v>
      </c>
      <c r="EJ51" s="40" t="s">
        <v>145</v>
      </c>
      <c r="EK51" s="35" t="s">
        <v>145</v>
      </c>
      <c r="EL51" s="95" t="s">
        <v>145</v>
      </c>
      <c r="EM51" s="95" t="s">
        <v>145</v>
      </c>
      <c r="EN51" s="35" t="s">
        <v>145</v>
      </c>
      <c r="EO51" s="95" t="s">
        <v>145</v>
      </c>
      <c r="EP51" s="205" t="s">
        <v>145</v>
      </c>
      <c r="EQ51" s="207" t="s">
        <v>145</v>
      </c>
      <c r="ER51" s="517">
        <v>1</v>
      </c>
      <c r="ES51" s="183" t="s">
        <v>145</v>
      </c>
      <c r="ET51" s="183" t="s">
        <v>3868</v>
      </c>
      <c r="EU51" s="82" t="s">
        <v>145</v>
      </c>
      <c r="EV51" s="82" t="s">
        <v>145</v>
      </c>
      <c r="EW51" s="82" t="s">
        <v>145</v>
      </c>
      <c r="EX51" s="360" t="s">
        <v>145</v>
      </c>
      <c r="EY51" s="159"/>
      <c r="EZ51" s="156"/>
      <c r="FA51" s="323"/>
      <c r="FB51" s="323"/>
      <c r="FC51" s="323"/>
      <c r="FD51" s="160"/>
      <c r="FE51" s="156"/>
      <c r="FF51" s="156"/>
      <c r="FG51" s="156"/>
      <c r="FH51" s="157"/>
      <c r="FI51" s="242"/>
      <c r="FJ51" s="240"/>
      <c r="FK51" s="179"/>
      <c r="FL51" s="179"/>
      <c r="FM51" s="179"/>
      <c r="FN51" s="369"/>
      <c r="FO51" s="164"/>
      <c r="FP51" s="255"/>
      <c r="FQ51" s="183"/>
      <c r="FR51" s="257"/>
      <c r="FS51" s="82"/>
      <c r="FT51" s="259"/>
      <c r="FU51" s="82"/>
      <c r="FV51" s="259"/>
      <c r="FW51" s="82"/>
      <c r="FX51" s="259"/>
      <c r="FY51" s="82"/>
      <c r="FZ51" s="259"/>
      <c r="GA51" s="82"/>
      <c r="GB51" s="261"/>
      <c r="GC51" s="90"/>
      <c r="GD51" s="76">
        <v>2</v>
      </c>
      <c r="GE51" s="445" t="s">
        <v>3425</v>
      </c>
      <c r="GF51" s="447" t="s">
        <v>10</v>
      </c>
      <c r="GG51" s="448">
        <v>1</v>
      </c>
      <c r="GH51" s="449">
        <v>1</v>
      </c>
      <c r="GI51" s="447" t="s">
        <v>145</v>
      </c>
      <c r="GJ51" s="449" t="s">
        <v>145</v>
      </c>
      <c r="GK51" s="447" t="s">
        <v>145</v>
      </c>
      <c r="GL51" s="448" t="s">
        <v>145</v>
      </c>
      <c r="GM51" s="449" t="s">
        <v>145</v>
      </c>
      <c r="GN51" s="447" t="s">
        <v>10</v>
      </c>
      <c r="GO51" s="449">
        <v>25</v>
      </c>
      <c r="GP51" s="447">
        <v>6</v>
      </c>
      <c r="GQ51" s="448">
        <v>11</v>
      </c>
      <c r="GR51" s="449">
        <v>8</v>
      </c>
      <c r="GS51" s="446"/>
      <c r="GT51" s="461">
        <v>0.9924970269203186</v>
      </c>
      <c r="GU51" s="462">
        <v>1.200676441192627</v>
      </c>
      <c r="GV51" s="462">
        <v>0.71161550283432007</v>
      </c>
      <c r="GW51" s="462">
        <v>0.26890251040458679</v>
      </c>
      <c r="GX51" s="462">
        <v>0.63390141725540161</v>
      </c>
      <c r="GY51" s="463">
        <v>0.69384735822677612</v>
      </c>
      <c r="GZ51" s="10">
        <v>110</v>
      </c>
      <c r="HA51" s="536">
        <v>0.43380000000000002</v>
      </c>
      <c r="HB51" s="536">
        <v>0.11763999999999999</v>
      </c>
      <c r="HC51" s="525">
        <v>0.18897</v>
      </c>
      <c r="HD51" s="526">
        <v>0.44236999999999999</v>
      </c>
      <c r="HE51" s="527">
        <v>0.67010000000000003</v>
      </c>
      <c r="HF51" s="10">
        <v>83</v>
      </c>
      <c r="HG51" s="532">
        <v>4.72</v>
      </c>
      <c r="HH51" s="545">
        <v>5.86</v>
      </c>
      <c r="HI51" s="546">
        <v>2.79</v>
      </c>
      <c r="HJ51" s="547">
        <v>6.31</v>
      </c>
      <c r="HK51" s="379" t="s">
        <v>4039</v>
      </c>
      <c r="HL51" s="23" t="s">
        <v>4915</v>
      </c>
      <c r="HM51" s="557">
        <v>2007</v>
      </c>
      <c r="HN51" s="809" t="s">
        <v>145</v>
      </c>
      <c r="HO51" s="557" t="s">
        <v>3985</v>
      </c>
      <c r="HP51" s="562" t="s">
        <v>145</v>
      </c>
      <c r="HQ51" s="562" t="s">
        <v>145</v>
      </c>
      <c r="HR51" s="563" t="s">
        <v>145</v>
      </c>
      <c r="HS51" s="545" t="s">
        <v>145</v>
      </c>
      <c r="HT51" s="557" t="s">
        <v>145</v>
      </c>
      <c r="HU51" s="809">
        <v>1978</v>
      </c>
      <c r="HV51" s="583" t="s">
        <v>4874</v>
      </c>
      <c r="HW51" s="448" t="s">
        <v>145</v>
      </c>
      <c r="HX51" s="448" t="s">
        <v>145</v>
      </c>
      <c r="HY51" s="448" t="s">
        <v>145</v>
      </c>
      <c r="HZ51" s="448" t="s">
        <v>145</v>
      </c>
      <c r="IA51" s="448" t="s">
        <v>145</v>
      </c>
      <c r="IB51" s="448" t="s">
        <v>145</v>
      </c>
      <c r="IC51" s="449" t="s">
        <v>145</v>
      </c>
      <c r="ID51" s="660"/>
      <c r="IE51" s="550"/>
      <c r="IF51" s="550"/>
      <c r="IG51" s="553"/>
      <c r="IH51" s="339"/>
      <c r="II51" s="553" t="s">
        <v>4923</v>
      </c>
      <c r="IJ51" s="424" t="s">
        <v>4926</v>
      </c>
      <c r="IK51" s="24">
        <v>1</v>
      </c>
      <c r="IL51" s="749">
        <f t="shared" si="57"/>
        <v>14</v>
      </c>
      <c r="IM51" s="747">
        <f t="shared" si="58"/>
        <v>56.000000000000007</v>
      </c>
      <c r="IN51" s="750" t="str">
        <f t="shared" si="59"/>
        <v>B</v>
      </c>
      <c r="IO51" s="446"/>
      <c r="IP51" s="902">
        <v>4</v>
      </c>
      <c r="IQ51" s="903">
        <v>0</v>
      </c>
      <c r="IR51" s="993">
        <v>1</v>
      </c>
      <c r="IT51" s="435"/>
      <c r="IU51" s="435"/>
      <c r="IV51" s="435"/>
    </row>
    <row r="52" spans="1:256" ht="15" customHeight="1">
      <c r="A52" s="21">
        <v>50</v>
      </c>
      <c r="B52" s="9"/>
      <c r="C52" s="430" t="s">
        <v>84</v>
      </c>
      <c r="D52" s="424" t="s">
        <v>409</v>
      </c>
      <c r="E52" s="24" t="s">
        <v>12</v>
      </c>
      <c r="F52" s="76" t="s">
        <v>791</v>
      </c>
      <c r="G52" s="102" t="s">
        <v>489</v>
      </c>
      <c r="H52" s="375" t="s">
        <v>1791</v>
      </c>
      <c r="I52" s="95" t="s">
        <v>1789</v>
      </c>
      <c r="J52" s="176">
        <v>4</v>
      </c>
      <c r="K52" s="88">
        <v>1828</v>
      </c>
      <c r="L52" s="371">
        <v>2</v>
      </c>
      <c r="M52" s="240" t="s">
        <v>1832</v>
      </c>
      <c r="N52" s="369" t="s">
        <v>1833</v>
      </c>
      <c r="O52" s="365" t="s">
        <v>3166</v>
      </c>
      <c r="P52" s="364" t="s">
        <v>1789</v>
      </c>
      <c r="Q52" s="370">
        <v>4</v>
      </c>
      <c r="R52" s="370">
        <v>1997</v>
      </c>
      <c r="S52" s="234" t="s">
        <v>2796</v>
      </c>
      <c r="T52" s="176">
        <v>1</v>
      </c>
      <c r="U52" s="370">
        <v>2</v>
      </c>
      <c r="V52" s="176">
        <v>16</v>
      </c>
      <c r="W52" s="369" t="s">
        <v>1822</v>
      </c>
      <c r="X52" s="170">
        <v>1</v>
      </c>
      <c r="Y52" s="369">
        <v>1</v>
      </c>
      <c r="Z52" s="271"/>
      <c r="AA52" s="169">
        <v>1</v>
      </c>
      <c r="AB52" s="177"/>
      <c r="AC52" s="171"/>
      <c r="AD52" s="365" t="s">
        <v>3166</v>
      </c>
      <c r="AE52" s="357">
        <v>2013</v>
      </c>
      <c r="AF52" s="357">
        <v>2</v>
      </c>
      <c r="AG52" s="550" t="s">
        <v>5171</v>
      </c>
      <c r="AH52" s="355" t="s">
        <v>3168</v>
      </c>
      <c r="AI52" s="55">
        <v>0</v>
      </c>
      <c r="AJ52" s="55">
        <v>0</v>
      </c>
      <c r="AK52" s="589">
        <v>3000</v>
      </c>
      <c r="AL52" s="386">
        <v>9</v>
      </c>
      <c r="AM52" s="361" t="s">
        <v>3167</v>
      </c>
      <c r="AN52" s="793" t="s">
        <v>145</v>
      </c>
      <c r="AO52" s="170">
        <v>1</v>
      </c>
      <c r="AP52" s="172">
        <v>1</v>
      </c>
      <c r="AQ52" s="365" t="s">
        <v>5215</v>
      </c>
      <c r="AR52" s="685" t="s">
        <v>5216</v>
      </c>
      <c r="AS52" s="55">
        <v>2</v>
      </c>
      <c r="AT52" s="370">
        <v>3</v>
      </c>
      <c r="AU52" s="371">
        <v>2004</v>
      </c>
      <c r="AV52" s="370">
        <v>5</v>
      </c>
      <c r="AW52" s="589">
        <v>3360</v>
      </c>
      <c r="AX52" s="687">
        <v>0</v>
      </c>
      <c r="AY52" s="174" t="s">
        <v>4349</v>
      </c>
      <c r="AZ52" s="550">
        <v>2007</v>
      </c>
      <c r="BA52" s="550">
        <v>1</v>
      </c>
      <c r="BB52" s="550">
        <v>1</v>
      </c>
      <c r="BC52" s="174" t="s">
        <v>4405</v>
      </c>
      <c r="BD52" s="550">
        <v>2007</v>
      </c>
      <c r="BE52" s="550">
        <v>0</v>
      </c>
      <c r="BF52" s="367" t="s">
        <v>145</v>
      </c>
      <c r="BG52" s="367">
        <v>0</v>
      </c>
      <c r="BH52" s="56" t="s">
        <v>145</v>
      </c>
      <c r="BI52" s="367">
        <v>1</v>
      </c>
      <c r="BJ52" s="367">
        <v>1</v>
      </c>
      <c r="BK52" s="888">
        <v>10528.391</v>
      </c>
      <c r="BL52" s="925">
        <f t="shared" si="46"/>
        <v>50.171873366025252</v>
      </c>
      <c r="BM52" s="888">
        <v>5246.1</v>
      </c>
      <c r="BN52" s="920">
        <v>5282.2910000000002</v>
      </c>
      <c r="BO52" s="888">
        <v>1062.223</v>
      </c>
      <c r="BP52" s="1158">
        <f t="shared" si="17"/>
        <v>48.969754938463964</v>
      </c>
      <c r="BQ52" s="917">
        <v>542.05499999999995</v>
      </c>
      <c r="BR52" s="920">
        <v>520.16800000000001</v>
      </c>
      <c r="BS52" s="888">
        <v>1059.3</v>
      </c>
      <c r="BT52" s="1158">
        <f t="shared" si="18"/>
        <v>49.051165864249988</v>
      </c>
      <c r="BU52" s="917">
        <v>539.70100000000002</v>
      </c>
      <c r="BV52" s="920">
        <v>519.59900000000005</v>
      </c>
      <c r="BW52" s="888">
        <v>1032.6610000000001</v>
      </c>
      <c r="BX52" s="1158">
        <f t="shared" si="19"/>
        <v>49.223026724162139</v>
      </c>
      <c r="BY52" s="917">
        <v>524.35400000000004</v>
      </c>
      <c r="BZ52" s="920">
        <v>508.30700000000002</v>
      </c>
      <c r="CA52" s="888">
        <f t="shared" si="20"/>
        <v>7374.2070000000003</v>
      </c>
      <c r="CB52" s="1158">
        <f t="shared" si="21"/>
        <v>50.638895816187421</v>
      </c>
      <c r="CC52" s="917">
        <f t="shared" si="22"/>
        <v>3639.99</v>
      </c>
      <c r="CD52" s="920">
        <f t="shared" si="23"/>
        <v>3734.2170000000006</v>
      </c>
      <c r="CE52" s="914">
        <v>2015</v>
      </c>
      <c r="CF52" s="910" t="s">
        <v>5630</v>
      </c>
      <c r="CG52" s="930">
        <v>81.099999999999994</v>
      </c>
      <c r="CH52" s="504">
        <v>81.099999999999994</v>
      </c>
      <c r="CI52" s="1008">
        <v>81.099999999999994</v>
      </c>
      <c r="CJ52" s="904" t="s">
        <v>1621</v>
      </c>
      <c r="CK52" s="904" t="s">
        <v>1621</v>
      </c>
      <c r="CL52" s="904">
        <v>2012</v>
      </c>
      <c r="CM52" s="905" t="s">
        <v>5589</v>
      </c>
      <c r="CN52" s="1125">
        <v>6502.9679999999998</v>
      </c>
      <c r="CO52" s="1045">
        <f t="shared" si="47"/>
        <v>61.766019138157013</v>
      </c>
      <c r="CP52" s="1040">
        <f>IF(OR(CZ52=1,CZ52=10),CN52*(1-BL52/100),IF(DA52=6,CN52*(1-BL52/100),CN52*(1-CB52/100)))</f>
        <v>3240.3071300068545</v>
      </c>
      <c r="CQ52" s="1041">
        <f>IF(OR(CZ52=1,CZ52=10),CN52*BL52/100,IF(DA52=6,CN52*BL52/100,CN52*CB52/100))</f>
        <v>3262.6608699931448</v>
      </c>
      <c r="CR52" s="1046">
        <v>2014</v>
      </c>
      <c r="CS52" s="1047" t="s">
        <v>5640</v>
      </c>
      <c r="CT52" s="1068">
        <f t="shared" si="48"/>
        <v>16</v>
      </c>
      <c r="CU52" s="1071">
        <v>18</v>
      </c>
      <c r="CV52" s="1117" t="s">
        <v>5778</v>
      </c>
      <c r="CW52" s="1113">
        <v>6502.9679999999998</v>
      </c>
      <c r="CX52" s="1113">
        <v>6504.3239999999996</v>
      </c>
      <c r="CY52" s="1113">
        <v>10088.598</v>
      </c>
      <c r="CZ52" s="494">
        <v>1</v>
      </c>
      <c r="DA52" s="1104">
        <v>5</v>
      </c>
      <c r="DB52" s="1050" t="s">
        <v>647</v>
      </c>
      <c r="DC52" s="1146" t="s">
        <v>322</v>
      </c>
      <c r="DD52" s="978">
        <f t="shared" si="34"/>
        <v>1467.3797760000007</v>
      </c>
      <c r="DE52" s="979">
        <f t="shared" si="49"/>
        <v>13.937360191125128</v>
      </c>
      <c r="DF52" s="979">
        <f t="shared" si="35"/>
        <v>52.075279249784032</v>
      </c>
      <c r="DG52" s="980">
        <f t="shared" si="36"/>
        <v>703.23765999314526</v>
      </c>
      <c r="DH52" s="980">
        <f t="shared" si="37"/>
        <v>764.14211600685587</v>
      </c>
      <c r="DI52" s="979">
        <f t="shared" si="50"/>
        <v>13.404961018530818</v>
      </c>
      <c r="DJ52" s="981">
        <f t="shared" si="51"/>
        <v>14.466111692953982</v>
      </c>
      <c r="DK52" s="984">
        <f t="shared" si="52"/>
        <v>871.23900000000049</v>
      </c>
      <c r="DL52" s="979">
        <f t="shared" si="38"/>
        <v>54.124772881707017</v>
      </c>
      <c r="DM52" s="980">
        <f t="shared" si="53"/>
        <v>399.68286999314523</v>
      </c>
      <c r="DN52" s="985">
        <f t="shared" si="54"/>
        <v>471.55613000685571</v>
      </c>
      <c r="DO52" s="984">
        <f t="shared" si="55"/>
        <v>395.38062900000011</v>
      </c>
      <c r="DP52" s="979">
        <f t="shared" si="39"/>
        <v>49.136002057399743</v>
      </c>
      <c r="DQ52" s="980">
        <f t="shared" si="28"/>
        <v>201.10639500000008</v>
      </c>
      <c r="DR52" s="985">
        <f t="shared" si="29"/>
        <v>194.27423400000009</v>
      </c>
      <c r="DS52" s="984">
        <f t="shared" si="56"/>
        <v>200.76014700000005</v>
      </c>
      <c r="DT52" s="339">
        <f t="shared" si="40"/>
        <v>48.969754938463964</v>
      </c>
      <c r="DU52" s="980">
        <f t="shared" si="30"/>
        <v>102.44839500000002</v>
      </c>
      <c r="DV52" s="985">
        <f t="shared" si="31"/>
        <v>98.311752000000027</v>
      </c>
      <c r="DW52" s="979">
        <f t="shared" si="32"/>
        <v>18.900000000000006</v>
      </c>
      <c r="DX52" s="981">
        <f t="shared" si="33"/>
        <v>18.900000000000006</v>
      </c>
      <c r="DY52" s="414">
        <v>2.2400000000000002</v>
      </c>
      <c r="DZ52" s="111">
        <v>2010</v>
      </c>
      <c r="EA52" s="118">
        <v>221.23598200000004</v>
      </c>
      <c r="EB52" s="123">
        <v>40.4</v>
      </c>
      <c r="EC52" s="113">
        <v>2011</v>
      </c>
      <c r="ED52" s="20">
        <v>4062.6971240000003</v>
      </c>
      <c r="EE52" s="414">
        <v>34.4</v>
      </c>
      <c r="EF52" s="111">
        <v>2010</v>
      </c>
      <c r="EG52" s="380">
        <v>90.858146667480497</v>
      </c>
      <c r="EH52" s="24" t="s">
        <v>358</v>
      </c>
      <c r="EI52" s="287">
        <v>3</v>
      </c>
      <c r="EJ52" s="40" t="s">
        <v>145</v>
      </c>
      <c r="EK52" s="35" t="s">
        <v>145</v>
      </c>
      <c r="EL52" s="95" t="s">
        <v>145</v>
      </c>
      <c r="EM52" s="95" t="s">
        <v>145</v>
      </c>
      <c r="EN52" s="35" t="s">
        <v>145</v>
      </c>
      <c r="EO52" s="95" t="s">
        <v>145</v>
      </c>
      <c r="EP52" s="205" t="s">
        <v>145</v>
      </c>
      <c r="EQ52" s="207" t="s">
        <v>145</v>
      </c>
      <c r="ER52" s="517">
        <v>2</v>
      </c>
      <c r="ES52" s="183" t="s">
        <v>3908</v>
      </c>
      <c r="ET52" s="183" t="s">
        <v>3908</v>
      </c>
      <c r="EU52" s="82" t="s">
        <v>145</v>
      </c>
      <c r="EV52" s="82" t="s">
        <v>145</v>
      </c>
      <c r="EW52" s="82" t="s">
        <v>145</v>
      </c>
      <c r="EX52" s="360" t="s">
        <v>145</v>
      </c>
      <c r="EY52" s="159">
        <v>9884371</v>
      </c>
      <c r="EZ52" s="156">
        <v>2010</v>
      </c>
      <c r="FA52" s="323">
        <v>66.5</v>
      </c>
      <c r="FB52" s="323">
        <v>33.5</v>
      </c>
      <c r="FC52" s="323">
        <v>41</v>
      </c>
      <c r="FD52" s="160" t="s">
        <v>318</v>
      </c>
      <c r="FE52" s="156">
        <v>88</v>
      </c>
      <c r="FF52" s="156" t="s">
        <v>1673</v>
      </c>
      <c r="FG52" s="156">
        <v>22</v>
      </c>
      <c r="FH52" s="157">
        <v>11.9</v>
      </c>
      <c r="FI52" s="242">
        <v>2</v>
      </c>
      <c r="FJ52" s="240" t="s">
        <v>1832</v>
      </c>
      <c r="FK52" s="179" t="s">
        <v>1833</v>
      </c>
      <c r="FL52" s="236" t="s">
        <v>1817</v>
      </c>
      <c r="FM52" s="179" t="s">
        <v>1822</v>
      </c>
      <c r="FN52" s="172" t="s">
        <v>145</v>
      </c>
      <c r="FO52" s="165" t="s">
        <v>1790</v>
      </c>
      <c r="FP52" s="255">
        <v>1</v>
      </c>
      <c r="FQ52" s="183" t="s">
        <v>1872</v>
      </c>
      <c r="FR52" s="257">
        <v>1</v>
      </c>
      <c r="FS52" s="183" t="s">
        <v>1872</v>
      </c>
      <c r="FT52" s="259"/>
      <c r="FU52" s="82"/>
      <c r="FV52" s="259"/>
      <c r="FW52" s="82"/>
      <c r="FX52" s="259"/>
      <c r="FY52" s="82"/>
      <c r="FZ52" s="259"/>
      <c r="GA52" s="82"/>
      <c r="GB52" s="261"/>
      <c r="GC52" s="90"/>
      <c r="GD52" s="76">
        <v>1</v>
      </c>
      <c r="GE52" s="445" t="s">
        <v>3424</v>
      </c>
      <c r="GF52" s="447" t="s">
        <v>10</v>
      </c>
      <c r="GG52" s="448">
        <v>2</v>
      </c>
      <c r="GH52" s="449">
        <v>3</v>
      </c>
      <c r="GI52" s="447" t="s">
        <v>145</v>
      </c>
      <c r="GJ52" s="449" t="s">
        <v>145</v>
      </c>
      <c r="GK52" s="447" t="s">
        <v>145</v>
      </c>
      <c r="GL52" s="448" t="s">
        <v>145</v>
      </c>
      <c r="GM52" s="449" t="s">
        <v>145</v>
      </c>
      <c r="GN52" s="447" t="s">
        <v>590</v>
      </c>
      <c r="GO52" s="449">
        <v>41</v>
      </c>
      <c r="GP52" s="447">
        <v>8</v>
      </c>
      <c r="GQ52" s="448">
        <v>20</v>
      </c>
      <c r="GR52" s="449">
        <v>13</v>
      </c>
      <c r="GS52" s="446">
        <v>8</v>
      </c>
      <c r="GT52" s="461">
        <v>8.4205761551856995E-2</v>
      </c>
      <c r="GU52" s="462">
        <v>0.1865784227848053</v>
      </c>
      <c r="GV52" s="462">
        <v>-0.49194324016571045</v>
      </c>
      <c r="GW52" s="462">
        <v>-0.10697241872549057</v>
      </c>
      <c r="GX52" s="462">
        <v>-0.53252327442169189</v>
      </c>
      <c r="GY52" s="463">
        <v>-0.84626591205596924</v>
      </c>
      <c r="GZ52" s="10">
        <v>107</v>
      </c>
      <c r="HA52" s="536">
        <v>0.44807999999999998</v>
      </c>
      <c r="HB52" s="536">
        <v>0.33333000000000002</v>
      </c>
      <c r="HC52" s="525">
        <v>0.38582</v>
      </c>
      <c r="HD52" s="526">
        <v>0.29449999999999998</v>
      </c>
      <c r="HE52" s="527">
        <v>0.66390000000000005</v>
      </c>
      <c r="HF52" s="10">
        <v>102</v>
      </c>
      <c r="HG52" s="532">
        <v>4.0599999999999996</v>
      </c>
      <c r="HH52" s="545">
        <v>4.1500000000000004</v>
      </c>
      <c r="HI52" s="546">
        <v>2.65</v>
      </c>
      <c r="HJ52" s="547">
        <v>6.69</v>
      </c>
      <c r="HK52" s="379" t="s">
        <v>4040</v>
      </c>
      <c r="HL52" s="23" t="s">
        <v>4709</v>
      </c>
      <c r="HM52" s="557">
        <v>2013</v>
      </c>
      <c r="HN52" s="809" t="s">
        <v>145</v>
      </c>
      <c r="HO52" s="557" t="s">
        <v>3985</v>
      </c>
      <c r="HP52" s="562" t="s">
        <v>145</v>
      </c>
      <c r="HQ52" s="562" t="s">
        <v>145</v>
      </c>
      <c r="HR52" s="563" t="s">
        <v>4692</v>
      </c>
      <c r="HS52" s="545">
        <v>91</v>
      </c>
      <c r="HT52" s="557">
        <v>59</v>
      </c>
      <c r="HU52" s="557">
        <v>2004</v>
      </c>
      <c r="HV52" s="583" t="s">
        <v>4187</v>
      </c>
      <c r="HW52" s="448">
        <v>5</v>
      </c>
      <c r="HX52" s="448">
        <v>21</v>
      </c>
      <c r="HY52" s="448">
        <v>14</v>
      </c>
      <c r="HZ52" s="448">
        <v>11</v>
      </c>
      <c r="IA52" s="448">
        <v>3</v>
      </c>
      <c r="IB52" s="448">
        <v>2</v>
      </c>
      <c r="IC52" s="449">
        <v>3</v>
      </c>
      <c r="ID52" s="660"/>
      <c r="IE52" s="550"/>
      <c r="IF52" s="550"/>
      <c r="IG52" s="553"/>
      <c r="IH52" s="339"/>
      <c r="II52" s="553" t="s">
        <v>4922</v>
      </c>
      <c r="IJ52" s="424" t="s">
        <v>4926</v>
      </c>
      <c r="IK52" s="24">
        <v>0</v>
      </c>
      <c r="IL52" s="749">
        <f t="shared" si="57"/>
        <v>17</v>
      </c>
      <c r="IM52" s="747">
        <f t="shared" si="58"/>
        <v>68</v>
      </c>
      <c r="IN52" s="750" t="str">
        <f t="shared" si="59"/>
        <v>B</v>
      </c>
      <c r="IO52" s="446"/>
      <c r="IP52" s="902">
        <v>5</v>
      </c>
      <c r="IQ52" s="903">
        <v>0</v>
      </c>
      <c r="IR52" s="993">
        <v>1</v>
      </c>
      <c r="IT52" s="435"/>
      <c r="IU52" s="435"/>
      <c r="IV52" s="435"/>
    </row>
    <row r="53" spans="1:256">
      <c r="A53" s="21">
        <v>51</v>
      </c>
      <c r="B53" s="9"/>
      <c r="C53" s="430" t="s">
        <v>86</v>
      </c>
      <c r="D53" s="424" t="s">
        <v>409</v>
      </c>
      <c r="E53" s="24" t="s">
        <v>12</v>
      </c>
      <c r="F53" s="76" t="s">
        <v>792</v>
      </c>
      <c r="G53" s="102" t="s">
        <v>491</v>
      </c>
      <c r="H53" s="375" t="s">
        <v>3169</v>
      </c>
      <c r="I53" s="95" t="s">
        <v>1760</v>
      </c>
      <c r="J53" s="176">
        <v>1</v>
      </c>
      <c r="K53" s="88">
        <v>1900</v>
      </c>
      <c r="L53" s="371">
        <v>2</v>
      </c>
      <c r="M53" s="240" t="s">
        <v>1825</v>
      </c>
      <c r="N53" s="250">
        <v>0.5</v>
      </c>
      <c r="O53" s="365" t="s">
        <v>3170</v>
      </c>
      <c r="P53" s="362" t="s">
        <v>2805</v>
      </c>
      <c r="Q53" s="176">
        <v>1</v>
      </c>
      <c r="R53" s="370">
        <v>2007</v>
      </c>
      <c r="S53" s="234" t="s">
        <v>1817</v>
      </c>
      <c r="T53" s="176">
        <v>1</v>
      </c>
      <c r="U53" s="370">
        <v>2</v>
      </c>
      <c r="V53" s="176">
        <v>0</v>
      </c>
      <c r="W53" s="353">
        <v>2</v>
      </c>
      <c r="X53" s="170">
        <v>1</v>
      </c>
      <c r="Y53" s="369">
        <v>1</v>
      </c>
      <c r="Z53" s="271"/>
      <c r="AA53" s="1095"/>
      <c r="AB53" s="1096"/>
      <c r="AC53" s="1097"/>
      <c r="AD53" s="366" t="s">
        <v>3171</v>
      </c>
      <c r="AE53" s="357">
        <v>2011</v>
      </c>
      <c r="AF53" s="357">
        <v>2</v>
      </c>
      <c r="AG53" s="550" t="s">
        <v>4272</v>
      </c>
      <c r="AH53" s="355" t="s">
        <v>2973</v>
      </c>
      <c r="AI53" s="55">
        <v>0</v>
      </c>
      <c r="AJ53" s="55">
        <v>0</v>
      </c>
      <c r="AK53" s="590" t="s">
        <v>145</v>
      </c>
      <c r="AL53" s="386">
        <v>1</v>
      </c>
      <c r="AM53" s="361" t="s">
        <v>2875</v>
      </c>
      <c r="AN53" s="528" t="s">
        <v>145</v>
      </c>
      <c r="AO53" s="170">
        <v>1</v>
      </c>
      <c r="AP53" s="369">
        <v>1</v>
      </c>
      <c r="AQ53" s="365" t="s">
        <v>5363</v>
      </c>
      <c r="AR53" s="362" t="s">
        <v>4934</v>
      </c>
      <c r="AS53" s="55">
        <v>1</v>
      </c>
      <c r="AT53" s="370">
        <v>3</v>
      </c>
      <c r="AU53" s="371">
        <v>2005</v>
      </c>
      <c r="AV53" s="370">
        <v>5</v>
      </c>
      <c r="AW53" s="589" t="s">
        <v>145</v>
      </c>
      <c r="AX53" s="687">
        <v>0</v>
      </c>
      <c r="AY53" s="174" t="s">
        <v>4350</v>
      </c>
      <c r="AZ53" s="550">
        <v>2012</v>
      </c>
      <c r="BA53" s="550">
        <v>1</v>
      </c>
      <c r="BB53" s="550">
        <v>2</v>
      </c>
      <c r="BC53" s="174" t="s">
        <v>4351</v>
      </c>
      <c r="BD53" s="550">
        <v>2006</v>
      </c>
      <c r="BE53" s="550">
        <v>1</v>
      </c>
      <c r="BF53" s="371" t="s">
        <v>323</v>
      </c>
      <c r="BG53" s="367">
        <v>0</v>
      </c>
      <c r="BH53" s="56" t="s">
        <v>145</v>
      </c>
      <c r="BI53" s="367">
        <v>0</v>
      </c>
      <c r="BJ53" s="367">
        <v>1</v>
      </c>
      <c r="BK53" s="888">
        <v>16144.362999999999</v>
      </c>
      <c r="BL53" s="925">
        <f t="shared" si="46"/>
        <v>50.006921920672873</v>
      </c>
      <c r="BM53" s="888">
        <v>8071.0640000000003</v>
      </c>
      <c r="BN53" s="920">
        <v>8073.299</v>
      </c>
      <c r="BO53" s="888">
        <v>1610.3330000000001</v>
      </c>
      <c r="BP53" s="1158">
        <f t="shared" si="17"/>
        <v>48.840767716987727</v>
      </c>
      <c r="BQ53" s="917">
        <v>823.83399999999995</v>
      </c>
      <c r="BR53" s="920">
        <v>786.49900000000002</v>
      </c>
      <c r="BS53" s="888">
        <v>1567.9860000000001</v>
      </c>
      <c r="BT53" s="1158">
        <f t="shared" si="18"/>
        <v>48.899607522005937</v>
      </c>
      <c r="BU53" s="917">
        <v>801.24699999999996</v>
      </c>
      <c r="BV53" s="920">
        <v>766.73900000000003</v>
      </c>
      <c r="BW53" s="888">
        <v>1506.6579999999999</v>
      </c>
      <c r="BX53" s="1158">
        <f t="shared" si="19"/>
        <v>49.008268631633726</v>
      </c>
      <c r="BY53" s="917">
        <v>768.27099999999996</v>
      </c>
      <c r="BZ53" s="920">
        <v>738.38699999999994</v>
      </c>
      <c r="CA53" s="888">
        <f t="shared" si="20"/>
        <v>11459.385999999999</v>
      </c>
      <c r="CB53" s="1158">
        <f t="shared" si="21"/>
        <v>50.453610690834573</v>
      </c>
      <c r="CC53" s="917">
        <f t="shared" si="22"/>
        <v>5677.7120000000004</v>
      </c>
      <c r="CD53" s="920">
        <f t="shared" si="23"/>
        <v>5781.674</v>
      </c>
      <c r="CE53" s="914">
        <v>2015</v>
      </c>
      <c r="CF53" s="910" t="s">
        <v>5630</v>
      </c>
      <c r="CG53" s="930">
        <v>90</v>
      </c>
      <c r="CH53" s="495">
        <v>92</v>
      </c>
      <c r="CI53" s="497">
        <v>88</v>
      </c>
      <c r="CJ53" s="904">
        <v>89</v>
      </c>
      <c r="CK53" s="904">
        <v>92</v>
      </c>
      <c r="CL53" s="904">
        <v>2010</v>
      </c>
      <c r="CM53" s="905" t="s">
        <v>5590</v>
      </c>
      <c r="CN53" s="1125">
        <v>10010.924999999999</v>
      </c>
      <c r="CO53" s="1045">
        <f t="shared" si="47"/>
        <v>62.008795268044949</v>
      </c>
      <c r="CP53" s="1040">
        <f>IF(OR(CZ53=1,CZ53=10),CN53*(1-BL53/100),IF(DA53=6,CN53*(1-BL53/100),CN53*(1-CB53/100)))</f>
        <v>5004.7695517128786</v>
      </c>
      <c r="CQ53" s="1041">
        <f>IF(OR(CZ53=1,CZ53=10),CN53*BL53/100,IF(DA53=6,CN53*BL53/100,CN53*CB53/100))</f>
        <v>5006.1554482871206</v>
      </c>
      <c r="CR53" s="1046">
        <v>2013</v>
      </c>
      <c r="CS53" s="1047" t="s">
        <v>5764</v>
      </c>
      <c r="CT53" s="1068">
        <f t="shared" si="48"/>
        <v>0</v>
      </c>
      <c r="CU53" s="1071">
        <v>16</v>
      </c>
      <c r="CV53" s="1068" t="s">
        <v>5895</v>
      </c>
      <c r="CW53" s="1113">
        <v>11675.441000000001</v>
      </c>
      <c r="CX53" s="1113">
        <v>10010.924999999999</v>
      </c>
      <c r="CY53" s="1113">
        <v>15439.429</v>
      </c>
      <c r="CZ53" s="494">
        <v>1</v>
      </c>
      <c r="DA53" s="1104">
        <v>4</v>
      </c>
      <c r="DB53" s="1050" t="s">
        <v>5753</v>
      </c>
      <c r="DC53" s="1146" t="s">
        <v>322</v>
      </c>
      <c r="DD53" s="982">
        <f t="shared" si="34"/>
        <v>1916.9586999999992</v>
      </c>
      <c r="DE53" s="979">
        <f t="shared" si="49"/>
        <v>11.873857766949364</v>
      </c>
      <c r="DF53" s="979">
        <f t="shared" si="35"/>
        <v>54.801052923721294</v>
      </c>
      <c r="DG53" s="983">
        <f t="shared" si="36"/>
        <v>864.4106082871217</v>
      </c>
      <c r="DH53" s="983">
        <f t="shared" si="37"/>
        <v>1050.5135517128792</v>
      </c>
      <c r="DI53" s="979">
        <f t="shared" si="50"/>
        <v>10.709995711682147</v>
      </c>
      <c r="DJ53" s="981">
        <f t="shared" si="51"/>
        <v>13.012196770030185</v>
      </c>
      <c r="DK53" s="984">
        <f t="shared" si="52"/>
        <v>1448.4609999999993</v>
      </c>
      <c r="DL53" s="979">
        <f t="shared" si="38"/>
        <v>53.540865215762089</v>
      </c>
      <c r="DM53" s="983">
        <f t="shared" si="53"/>
        <v>672.94244828712181</v>
      </c>
      <c r="DN53" s="986">
        <f t="shared" si="54"/>
        <v>775.51855171287934</v>
      </c>
      <c r="DO53" s="984">
        <f t="shared" si="55"/>
        <v>307.46439999999996</v>
      </c>
      <c r="DP53" s="979">
        <f t="shared" si="39"/>
        <v>58.743425255086443</v>
      </c>
      <c r="DQ53" s="983">
        <f t="shared" si="28"/>
        <v>125.56143999999992</v>
      </c>
      <c r="DR53" s="986">
        <f t="shared" si="29"/>
        <v>180.61511999999999</v>
      </c>
      <c r="DS53" s="984">
        <f t="shared" si="56"/>
        <v>161.03329999999997</v>
      </c>
      <c r="DT53" s="339">
        <f t="shared" si="40"/>
        <v>58.60892126038528</v>
      </c>
      <c r="DU53" s="983">
        <f t="shared" si="30"/>
        <v>65.906719999999964</v>
      </c>
      <c r="DV53" s="986">
        <f t="shared" si="31"/>
        <v>94.37988</v>
      </c>
      <c r="DW53" s="979">
        <f t="shared" si="32"/>
        <v>7.9999999999999964</v>
      </c>
      <c r="DX53" s="981">
        <f t="shared" si="33"/>
        <v>12</v>
      </c>
      <c r="DY53" s="414">
        <v>4.6100000000000003</v>
      </c>
      <c r="DZ53" s="111">
        <v>2010</v>
      </c>
      <c r="EA53" s="118">
        <v>674.63853000000006</v>
      </c>
      <c r="EB53" s="123">
        <v>28.6</v>
      </c>
      <c r="EC53" s="113">
        <v>2011</v>
      </c>
      <c r="ED53" s="20">
        <v>4194.4917299999997</v>
      </c>
      <c r="EE53" s="414">
        <v>25.6</v>
      </c>
      <c r="EF53" s="111">
        <v>2013</v>
      </c>
      <c r="EG53" s="380">
        <v>93.294624328613295</v>
      </c>
      <c r="EH53" s="24" t="s">
        <v>358</v>
      </c>
      <c r="EI53" s="287">
        <v>0</v>
      </c>
      <c r="EJ53" s="40" t="s">
        <v>145</v>
      </c>
      <c r="EK53" s="35" t="s">
        <v>145</v>
      </c>
      <c r="EL53" s="95" t="s">
        <v>145</v>
      </c>
      <c r="EM53" s="95" t="s">
        <v>145</v>
      </c>
      <c r="EN53" s="35" t="s">
        <v>145</v>
      </c>
      <c r="EO53" s="95" t="s">
        <v>145</v>
      </c>
      <c r="EP53" s="205" t="s">
        <v>145</v>
      </c>
      <c r="EQ53" s="207" t="s">
        <v>145</v>
      </c>
      <c r="ER53" s="517">
        <v>1</v>
      </c>
      <c r="ES53" s="183" t="s">
        <v>145</v>
      </c>
      <c r="ET53" s="183" t="s">
        <v>145</v>
      </c>
      <c r="EU53" s="82" t="s">
        <v>145</v>
      </c>
      <c r="EV53" s="82" t="s">
        <v>145</v>
      </c>
      <c r="EW53" s="82" t="s">
        <v>3870</v>
      </c>
      <c r="EX53" s="360" t="s">
        <v>145</v>
      </c>
      <c r="EY53" s="159">
        <v>14247545</v>
      </c>
      <c r="EZ53" s="156">
        <v>2010</v>
      </c>
      <c r="FA53" s="323">
        <v>67</v>
      </c>
      <c r="FB53" s="323">
        <v>33</v>
      </c>
      <c r="FC53" s="323">
        <v>45.74</v>
      </c>
      <c r="FD53" s="231" t="s">
        <v>1759</v>
      </c>
      <c r="FE53" s="156">
        <v>84</v>
      </c>
      <c r="FF53" s="156" t="s">
        <v>1673</v>
      </c>
      <c r="FG53" s="156">
        <v>15</v>
      </c>
      <c r="FH53" s="157" t="s">
        <v>318</v>
      </c>
      <c r="FI53" s="242">
        <v>1</v>
      </c>
      <c r="FJ53" s="240" t="s">
        <v>1825</v>
      </c>
      <c r="FK53" s="236" t="s">
        <v>1826</v>
      </c>
      <c r="FL53" s="236" t="s">
        <v>1817</v>
      </c>
      <c r="FM53" s="237">
        <v>2</v>
      </c>
      <c r="FN53" s="369" t="s">
        <v>145</v>
      </c>
      <c r="FO53" s="366" t="s">
        <v>1752</v>
      </c>
      <c r="FP53" s="255">
        <v>1</v>
      </c>
      <c r="FQ53" s="183" t="s">
        <v>1875</v>
      </c>
      <c r="FR53" s="257"/>
      <c r="FS53" s="82"/>
      <c r="FT53" s="259"/>
      <c r="FU53" s="82"/>
      <c r="FV53" s="259"/>
      <c r="FW53" s="82"/>
      <c r="FX53" s="259"/>
      <c r="FY53" s="82"/>
      <c r="FZ53" s="259"/>
      <c r="GA53" s="82"/>
      <c r="GB53" s="261"/>
      <c r="GC53" s="90"/>
      <c r="GD53" s="76">
        <v>1</v>
      </c>
      <c r="GE53" s="445" t="s">
        <v>3424</v>
      </c>
      <c r="GF53" s="447" t="s">
        <v>590</v>
      </c>
      <c r="GG53" s="448">
        <v>3</v>
      </c>
      <c r="GH53" s="449">
        <v>3</v>
      </c>
      <c r="GI53" s="447" t="s">
        <v>590</v>
      </c>
      <c r="GJ53" s="449">
        <v>37</v>
      </c>
      <c r="GK53" s="447">
        <v>9</v>
      </c>
      <c r="GL53" s="448">
        <v>11</v>
      </c>
      <c r="GM53" s="449">
        <v>17</v>
      </c>
      <c r="GN53" s="447" t="s">
        <v>580</v>
      </c>
      <c r="GO53" s="449">
        <v>62</v>
      </c>
      <c r="GP53" s="447">
        <v>22</v>
      </c>
      <c r="GQ53" s="448">
        <v>25</v>
      </c>
      <c r="GR53" s="449">
        <v>15</v>
      </c>
      <c r="GS53" s="446">
        <v>9</v>
      </c>
      <c r="GT53" s="461">
        <v>-0.28639298677444458</v>
      </c>
      <c r="GU53" s="462">
        <v>-0.19542352855205536</v>
      </c>
      <c r="GV53" s="462">
        <v>-0.48626500368118286</v>
      </c>
      <c r="GW53" s="462">
        <v>-0.94281107187271118</v>
      </c>
      <c r="GX53" s="462">
        <v>-0.95037126541137695</v>
      </c>
      <c r="GY53" s="463">
        <v>-0.60957825183868408</v>
      </c>
      <c r="GZ53" s="10">
        <v>83</v>
      </c>
      <c r="HA53" s="536">
        <v>0.50529000000000002</v>
      </c>
      <c r="HB53" s="536">
        <v>0.49019000000000001</v>
      </c>
      <c r="HC53" s="525">
        <v>0.48031000000000001</v>
      </c>
      <c r="HD53" s="526">
        <v>0.33184000000000002</v>
      </c>
      <c r="HE53" s="527">
        <v>0.70369999999999999</v>
      </c>
      <c r="HF53" s="10">
        <v>88</v>
      </c>
      <c r="HG53" s="532">
        <v>4.5599999999999996</v>
      </c>
      <c r="HH53" s="545">
        <v>5.16</v>
      </c>
      <c r="HI53" s="546">
        <v>2.58</v>
      </c>
      <c r="HJ53" s="547">
        <v>7.29</v>
      </c>
      <c r="HK53" s="379" t="s">
        <v>145</v>
      </c>
      <c r="HL53" s="362" t="s">
        <v>145</v>
      </c>
      <c r="HM53" s="557" t="s">
        <v>145</v>
      </c>
      <c r="HN53" s="557" t="s">
        <v>145</v>
      </c>
      <c r="HO53" s="557" t="s">
        <v>145</v>
      </c>
      <c r="HP53" s="562" t="s">
        <v>145</v>
      </c>
      <c r="HQ53" s="562" t="s">
        <v>145</v>
      </c>
      <c r="HR53" s="563" t="s">
        <v>145</v>
      </c>
      <c r="HS53" s="545">
        <v>67</v>
      </c>
      <c r="HT53" s="557">
        <v>73</v>
      </c>
      <c r="HU53" s="557">
        <v>2004</v>
      </c>
      <c r="HV53" s="583" t="s">
        <v>4188</v>
      </c>
      <c r="HW53" s="557">
        <v>4</v>
      </c>
      <c r="HX53" s="557">
        <v>27</v>
      </c>
      <c r="HY53" s="557">
        <v>8</v>
      </c>
      <c r="HZ53" s="557">
        <v>14</v>
      </c>
      <c r="IA53" s="557">
        <v>8</v>
      </c>
      <c r="IB53" s="557">
        <v>3</v>
      </c>
      <c r="IC53" s="547">
        <v>9</v>
      </c>
      <c r="ID53" s="660"/>
      <c r="IE53" s="550"/>
      <c r="IF53" s="550"/>
      <c r="IG53" s="553"/>
      <c r="IH53" s="339"/>
      <c r="II53" s="553" t="s">
        <v>4922</v>
      </c>
      <c r="IJ53" s="424" t="s">
        <v>4926</v>
      </c>
      <c r="IK53" s="24">
        <v>0</v>
      </c>
      <c r="IL53" s="749">
        <f t="shared" si="57"/>
        <v>15</v>
      </c>
      <c r="IM53" s="747">
        <f t="shared" si="58"/>
        <v>60</v>
      </c>
      <c r="IN53" s="750" t="str">
        <f t="shared" si="59"/>
        <v>B</v>
      </c>
      <c r="IO53" s="446"/>
      <c r="IP53" s="902">
        <v>5</v>
      </c>
      <c r="IQ53" s="903">
        <v>0</v>
      </c>
      <c r="IR53" s="993">
        <v>0</v>
      </c>
      <c r="IT53" s="435"/>
      <c r="IU53" s="435"/>
      <c r="IV53" s="435"/>
    </row>
    <row r="54" spans="1:256">
      <c r="A54" s="21">
        <v>52</v>
      </c>
      <c r="B54" s="9"/>
      <c r="C54" s="430" t="s">
        <v>87</v>
      </c>
      <c r="D54" s="423" t="s">
        <v>410</v>
      </c>
      <c r="E54" s="24" t="s">
        <v>20</v>
      </c>
      <c r="F54" s="76" t="s">
        <v>737</v>
      </c>
      <c r="G54" s="102" t="s">
        <v>493</v>
      </c>
      <c r="H54" s="375" t="s">
        <v>2233</v>
      </c>
      <c r="I54" s="364" t="s">
        <v>2234</v>
      </c>
      <c r="J54" s="176">
        <v>2</v>
      </c>
      <c r="K54" s="88">
        <v>1962</v>
      </c>
      <c r="L54" s="371">
        <v>2</v>
      </c>
      <c r="M54" s="240" t="s">
        <v>145</v>
      </c>
      <c r="N54" s="172" t="s">
        <v>2235</v>
      </c>
      <c r="O54" s="365" t="s">
        <v>3173</v>
      </c>
      <c r="P54" s="362" t="s">
        <v>2798</v>
      </c>
      <c r="Q54" s="176">
        <v>2</v>
      </c>
      <c r="R54" s="370">
        <v>2009</v>
      </c>
      <c r="S54" s="82" t="s">
        <v>1956</v>
      </c>
      <c r="T54" s="176">
        <v>1</v>
      </c>
      <c r="U54" s="370">
        <v>2</v>
      </c>
      <c r="V54" s="176">
        <v>16</v>
      </c>
      <c r="W54" s="369" t="s">
        <v>3172</v>
      </c>
      <c r="X54" s="170">
        <v>1</v>
      </c>
      <c r="Y54" s="369">
        <v>1</v>
      </c>
      <c r="Z54" s="271"/>
      <c r="AA54" s="169">
        <v>1</v>
      </c>
      <c r="AB54" s="177">
        <v>1</v>
      </c>
      <c r="AC54" s="171"/>
      <c r="AD54" s="365" t="s">
        <v>2233</v>
      </c>
      <c r="AE54" s="357">
        <v>2016</v>
      </c>
      <c r="AF54" s="357">
        <v>2</v>
      </c>
      <c r="AG54" s="550" t="s">
        <v>5171</v>
      </c>
      <c r="AH54" s="355" t="s">
        <v>3141</v>
      </c>
      <c r="AI54" s="55">
        <v>1</v>
      </c>
      <c r="AJ54" s="55">
        <v>0</v>
      </c>
      <c r="AK54" s="590" t="s">
        <v>145</v>
      </c>
      <c r="AL54" s="386">
        <v>2</v>
      </c>
      <c r="AM54" s="361" t="s">
        <v>2884</v>
      </c>
      <c r="AN54" s="528" t="s">
        <v>145</v>
      </c>
      <c r="AO54" s="170">
        <v>1</v>
      </c>
      <c r="AP54" s="369">
        <v>1</v>
      </c>
      <c r="AQ54" s="365" t="s">
        <v>5217</v>
      </c>
      <c r="AR54" s="378" t="s">
        <v>4934</v>
      </c>
      <c r="AS54" s="55">
        <v>2</v>
      </c>
      <c r="AT54" s="370">
        <v>3</v>
      </c>
      <c r="AU54" s="371">
        <v>2007</v>
      </c>
      <c r="AV54" s="370">
        <v>5</v>
      </c>
      <c r="AW54" s="589" t="s">
        <v>145</v>
      </c>
      <c r="AX54" s="687">
        <v>1</v>
      </c>
      <c r="AY54" s="174" t="s">
        <v>4352</v>
      </c>
      <c r="AZ54" s="550">
        <v>2004</v>
      </c>
      <c r="BA54" s="550">
        <v>1</v>
      </c>
      <c r="BB54" s="550">
        <v>0</v>
      </c>
      <c r="BC54" s="108" t="s">
        <v>145</v>
      </c>
      <c r="BD54" s="550" t="s">
        <v>145</v>
      </c>
      <c r="BE54" s="550">
        <v>0</v>
      </c>
      <c r="BF54" s="367" t="s">
        <v>145</v>
      </c>
      <c r="BG54" s="367">
        <v>0</v>
      </c>
      <c r="BH54" s="56" t="s">
        <v>145</v>
      </c>
      <c r="BI54" s="367">
        <v>0</v>
      </c>
      <c r="BJ54" s="367">
        <v>0</v>
      </c>
      <c r="BK54" s="888">
        <v>91508.084000000003</v>
      </c>
      <c r="BL54" s="925">
        <f t="shared" si="46"/>
        <v>49.468486303352165</v>
      </c>
      <c r="BM54" s="888">
        <v>46240.42</v>
      </c>
      <c r="BN54" s="920">
        <v>45267.663999999997</v>
      </c>
      <c r="BO54" s="888">
        <v>12116.075000000001</v>
      </c>
      <c r="BP54" s="1158">
        <f t="shared" si="17"/>
        <v>48.449287413621981</v>
      </c>
      <c r="BQ54" s="917">
        <v>6245.9229999999998</v>
      </c>
      <c r="BR54" s="920">
        <v>5870.152</v>
      </c>
      <c r="BS54" s="888">
        <v>9579.2870000000003</v>
      </c>
      <c r="BT54" s="1158">
        <f t="shared" si="18"/>
        <v>48.492502625717336</v>
      </c>
      <c r="BU54" s="917">
        <v>4934.0510000000004</v>
      </c>
      <c r="BV54" s="920">
        <v>4645.2359999999999</v>
      </c>
      <c r="BW54" s="888">
        <v>8648.9750000000004</v>
      </c>
      <c r="BX54" s="1158">
        <f t="shared" si="19"/>
        <v>48.531912741105153</v>
      </c>
      <c r="BY54" s="917">
        <v>4451.4620000000004</v>
      </c>
      <c r="BZ54" s="920">
        <v>4197.5129999999999</v>
      </c>
      <c r="CA54" s="888">
        <f t="shared" si="20"/>
        <v>61163.74700000001</v>
      </c>
      <c r="CB54" s="1158">
        <f t="shared" si="21"/>
        <v>49.955675540937662</v>
      </c>
      <c r="CC54" s="917">
        <f t="shared" si="22"/>
        <v>30608.983999999997</v>
      </c>
      <c r="CD54" s="920">
        <f t="shared" si="23"/>
        <v>30554.762999999999</v>
      </c>
      <c r="CE54" s="914">
        <v>2015</v>
      </c>
      <c r="CF54" s="910" t="s">
        <v>5630</v>
      </c>
      <c r="CG54" s="930">
        <v>99</v>
      </c>
      <c r="CH54" s="495">
        <v>99.1</v>
      </c>
      <c r="CI54" s="497">
        <v>98.9</v>
      </c>
      <c r="CJ54" s="904">
        <v>99.2</v>
      </c>
      <c r="CK54" s="904">
        <v>98.8</v>
      </c>
      <c r="CL54" s="904">
        <v>2005</v>
      </c>
      <c r="CM54" s="905" t="s">
        <v>5575</v>
      </c>
      <c r="CN54" s="1044">
        <v>53786</v>
      </c>
      <c r="CO54" s="1045">
        <f t="shared" si="47"/>
        <v>58.777320700977633</v>
      </c>
      <c r="CP54" s="1040">
        <f>IF(OR(CZ54=1,CZ54=10),CN54*(1-BL54/100),IF(DA54=6,CN54*(1-BL54/100),CN54*(1-CB54/100)))</f>
        <v>27178.879956879005</v>
      </c>
      <c r="CQ54" s="1041">
        <f>IF(OR(CZ54=1,CZ54=10),CN54*BL54/100,IF(DA54=6,CN54*BL54/100,CN54*CB54/100))</f>
        <v>26607.120043120995</v>
      </c>
      <c r="CR54" s="1046">
        <v>2015</v>
      </c>
      <c r="CS54" s="1047" t="s">
        <v>5837</v>
      </c>
      <c r="CT54" s="1068">
        <f t="shared" si="48"/>
        <v>16</v>
      </c>
      <c r="CU54" s="1071">
        <v>18</v>
      </c>
      <c r="CV54" s="1068" t="s">
        <v>5896</v>
      </c>
      <c r="CW54" s="1113">
        <v>53786</v>
      </c>
      <c r="CX54" s="1113">
        <v>55382.461000000003</v>
      </c>
      <c r="CY54" s="1113">
        <v>88487.395999999993</v>
      </c>
      <c r="CZ54" s="494">
        <v>1</v>
      </c>
      <c r="DA54" s="1104">
        <v>4</v>
      </c>
      <c r="DB54" s="1050" t="s">
        <v>647</v>
      </c>
      <c r="DC54" s="1146" t="s">
        <v>322</v>
      </c>
      <c r="DD54" s="982">
        <f t="shared" si="34"/>
        <v>7681.1903700000103</v>
      </c>
      <c r="DE54" s="979">
        <f t="shared" si="49"/>
        <v>8.3940019659902507</v>
      </c>
      <c r="DF54" s="979">
        <f t="shared" si="35"/>
        <v>53.500625162594396</v>
      </c>
      <c r="DG54" s="983">
        <f t="shared" si="36"/>
        <v>3570.7869671209914</v>
      </c>
      <c r="DH54" s="983">
        <f t="shared" si="37"/>
        <v>4109.4848678790031</v>
      </c>
      <c r="DI54" s="979">
        <f t="shared" si="50"/>
        <v>7.7222200125366331</v>
      </c>
      <c r="DJ54" s="981">
        <f t="shared" si="51"/>
        <v>9.0781907099933488</v>
      </c>
      <c r="DK54" s="984">
        <f t="shared" si="52"/>
        <v>7377.7470000000103</v>
      </c>
      <c r="DL54" s="979">
        <f t="shared" si="38"/>
        <v>53.507431969122813</v>
      </c>
      <c r="DM54" s="983">
        <f t="shared" si="53"/>
        <v>3430.1040431209913</v>
      </c>
      <c r="DN54" s="986">
        <f t="shared" si="54"/>
        <v>3947.6429568790045</v>
      </c>
      <c r="DO54" s="984">
        <f t="shared" si="55"/>
        <v>182.28262000000018</v>
      </c>
      <c r="DP54" s="979">
        <f t="shared" si="39"/>
        <v>53.362322200547155</v>
      </c>
      <c r="DQ54" s="983">
        <f t="shared" si="28"/>
        <v>84.469617000000085</v>
      </c>
      <c r="DR54" s="986">
        <f t="shared" si="29"/>
        <v>97.270238999999094</v>
      </c>
      <c r="DS54" s="984">
        <f t="shared" si="56"/>
        <v>121.16075000000012</v>
      </c>
      <c r="DT54" s="339">
        <f t="shared" si="40"/>
        <v>53.294216154983644</v>
      </c>
      <c r="DU54" s="983">
        <f t="shared" si="30"/>
        <v>56.21330700000005</v>
      </c>
      <c r="DV54" s="986">
        <f t="shared" si="31"/>
        <v>64.57167199999941</v>
      </c>
      <c r="DW54" s="979">
        <f t="shared" si="32"/>
        <v>0.9000000000000008</v>
      </c>
      <c r="DX54" s="981">
        <f t="shared" si="33"/>
        <v>1.0999999999999899</v>
      </c>
      <c r="DY54" s="414">
        <v>1.69</v>
      </c>
      <c r="DZ54" s="111">
        <v>2008</v>
      </c>
      <c r="EA54" s="118">
        <v>1395</v>
      </c>
      <c r="EB54" s="123">
        <v>22</v>
      </c>
      <c r="EC54" s="113">
        <v>2008</v>
      </c>
      <c r="ED54" s="20">
        <v>18158.089400000001</v>
      </c>
      <c r="EE54" s="414">
        <v>22</v>
      </c>
      <c r="EF54" s="111">
        <v>2008</v>
      </c>
      <c r="EG54" s="380">
        <v>73.865585327148395</v>
      </c>
      <c r="EH54" s="24" t="s">
        <v>328</v>
      </c>
      <c r="EI54" s="287">
        <v>3</v>
      </c>
      <c r="EJ54" s="40">
        <v>1</v>
      </c>
      <c r="EK54" s="35" t="s">
        <v>728</v>
      </c>
      <c r="EL54" s="364" t="s">
        <v>1638</v>
      </c>
      <c r="EM54" s="364" t="s">
        <v>1639</v>
      </c>
      <c r="EN54" s="35" t="s">
        <v>145</v>
      </c>
      <c r="EO54" s="364" t="s">
        <v>1650</v>
      </c>
      <c r="EP54" s="205">
        <v>0.99</v>
      </c>
      <c r="EQ54" s="207" t="s">
        <v>1727</v>
      </c>
      <c r="ER54" s="517" t="s">
        <v>145</v>
      </c>
      <c r="ES54" s="183"/>
      <c r="ET54" s="183"/>
      <c r="EU54" s="82"/>
      <c r="EV54" s="82"/>
      <c r="EW54" s="82"/>
      <c r="EX54" s="90"/>
      <c r="EY54" s="159"/>
      <c r="EZ54" s="156"/>
      <c r="FA54" s="323"/>
      <c r="FB54" s="323"/>
      <c r="FC54" s="323"/>
      <c r="FD54" s="160"/>
      <c r="FE54" s="156"/>
      <c r="FF54" s="156"/>
      <c r="FG54" s="156"/>
      <c r="FH54" s="157"/>
      <c r="FI54" s="242"/>
      <c r="FJ54" s="240"/>
      <c r="FK54" s="179"/>
      <c r="FL54" s="179"/>
      <c r="FM54" s="179"/>
      <c r="FN54" s="172"/>
      <c r="FO54" s="164"/>
      <c r="FP54" s="255"/>
      <c r="FQ54" s="183"/>
      <c r="FR54" s="257"/>
      <c r="FS54" s="82"/>
      <c r="FT54" s="259"/>
      <c r="FU54" s="82"/>
      <c r="FV54" s="259"/>
      <c r="FW54" s="82"/>
      <c r="FX54" s="259"/>
      <c r="FY54" s="82"/>
      <c r="FZ54" s="259"/>
      <c r="GA54" s="82"/>
      <c r="GB54" s="261"/>
      <c r="GC54" s="90"/>
      <c r="GD54" s="76">
        <v>1</v>
      </c>
      <c r="GE54" s="445" t="s">
        <v>3424</v>
      </c>
      <c r="GF54" s="447" t="s">
        <v>580</v>
      </c>
      <c r="GG54" s="448">
        <v>6</v>
      </c>
      <c r="GH54" s="449">
        <v>5</v>
      </c>
      <c r="GI54" s="447" t="s">
        <v>590</v>
      </c>
      <c r="GJ54" s="449">
        <v>60</v>
      </c>
      <c r="GK54" s="447">
        <v>15</v>
      </c>
      <c r="GL54" s="448">
        <v>12</v>
      </c>
      <c r="GM54" s="449">
        <v>33</v>
      </c>
      <c r="GN54" s="447" t="s">
        <v>580</v>
      </c>
      <c r="GO54" s="449">
        <v>68</v>
      </c>
      <c r="GP54" s="447">
        <v>22</v>
      </c>
      <c r="GQ54" s="448">
        <v>30</v>
      </c>
      <c r="GR54" s="449">
        <v>16</v>
      </c>
      <c r="GS54" s="446">
        <v>4</v>
      </c>
      <c r="GT54" s="461">
        <v>-1.0403258800506592</v>
      </c>
      <c r="GU54" s="462">
        <v>-1.6198796033859253</v>
      </c>
      <c r="GV54" s="462">
        <v>-0.89306080341339111</v>
      </c>
      <c r="GW54" s="462">
        <v>-0.69587165117263794</v>
      </c>
      <c r="GX54" s="462">
        <v>-0.60204219818115234</v>
      </c>
      <c r="GY54" s="463">
        <v>-0.59902602434158325</v>
      </c>
      <c r="GZ54" s="10">
        <v>80</v>
      </c>
      <c r="HA54" s="536">
        <v>0.51293</v>
      </c>
      <c r="HB54" s="536">
        <v>0.54901</v>
      </c>
      <c r="HC54" s="525">
        <v>0.59055000000000002</v>
      </c>
      <c r="HD54" s="526">
        <v>0.35704999999999998</v>
      </c>
      <c r="HE54" s="527">
        <v>0.59119999999999995</v>
      </c>
      <c r="HF54" s="10">
        <v>89</v>
      </c>
      <c r="HG54" s="532">
        <v>4.45</v>
      </c>
      <c r="HH54" s="545">
        <v>5.09</v>
      </c>
      <c r="HI54" s="546">
        <v>2.87</v>
      </c>
      <c r="HJ54" s="547">
        <v>6.33</v>
      </c>
      <c r="HK54" s="379" t="s">
        <v>145</v>
      </c>
      <c r="HL54" s="362" t="s">
        <v>145</v>
      </c>
      <c r="HM54" s="557" t="s">
        <v>145</v>
      </c>
      <c r="HN54" s="557" t="s">
        <v>145</v>
      </c>
      <c r="HO54" s="557" t="s">
        <v>145</v>
      </c>
      <c r="HP54" s="562" t="s">
        <v>145</v>
      </c>
      <c r="HQ54" s="562" t="s">
        <v>145</v>
      </c>
      <c r="HR54" s="563" t="s">
        <v>145</v>
      </c>
      <c r="HS54" s="545" t="s">
        <v>145</v>
      </c>
      <c r="HT54" s="557" t="s">
        <v>145</v>
      </c>
      <c r="HU54" s="557" t="s">
        <v>145</v>
      </c>
      <c r="HV54" s="581" t="s">
        <v>145</v>
      </c>
      <c r="HW54" s="557" t="s">
        <v>145</v>
      </c>
      <c r="HX54" s="557" t="s">
        <v>145</v>
      </c>
      <c r="HY54" s="557" t="s">
        <v>145</v>
      </c>
      <c r="HZ54" s="557" t="s">
        <v>145</v>
      </c>
      <c r="IA54" s="557" t="s">
        <v>145</v>
      </c>
      <c r="IB54" s="557" t="s">
        <v>145</v>
      </c>
      <c r="IC54" s="547" t="s">
        <v>145</v>
      </c>
      <c r="ID54" s="40"/>
      <c r="IE54" s="550"/>
      <c r="IF54" s="550"/>
      <c r="IG54" s="785" t="s">
        <v>3422</v>
      </c>
      <c r="IH54" s="115"/>
      <c r="II54" s="647" t="s">
        <v>4922</v>
      </c>
      <c r="IJ54" s="423" t="s">
        <v>4926</v>
      </c>
      <c r="IK54" s="10">
        <v>0</v>
      </c>
      <c r="IL54" s="749">
        <f t="shared" si="57"/>
        <v>14</v>
      </c>
      <c r="IM54" s="747">
        <f t="shared" si="58"/>
        <v>56.000000000000007</v>
      </c>
      <c r="IN54" s="750" t="str">
        <f t="shared" si="59"/>
        <v>B</v>
      </c>
      <c r="IO54" s="446">
        <v>1</v>
      </c>
      <c r="IP54" s="902">
        <v>4</v>
      </c>
      <c r="IQ54" s="903">
        <v>0</v>
      </c>
      <c r="IR54" s="993">
        <v>0</v>
      </c>
      <c r="IT54" s="435"/>
      <c r="IU54" s="435"/>
      <c r="IV54" s="435"/>
    </row>
    <row r="55" spans="1:256">
      <c r="A55" s="21">
        <v>53</v>
      </c>
      <c r="B55" s="9"/>
      <c r="C55" s="430" t="s">
        <v>89</v>
      </c>
      <c r="D55" s="424" t="s">
        <v>409</v>
      </c>
      <c r="E55" s="24" t="s">
        <v>20</v>
      </c>
      <c r="F55" s="76" t="s">
        <v>793</v>
      </c>
      <c r="G55" s="102" t="s">
        <v>616</v>
      </c>
      <c r="H55" s="375" t="s">
        <v>1763</v>
      </c>
      <c r="I55" s="364" t="s">
        <v>1762</v>
      </c>
      <c r="J55" s="370">
        <v>4</v>
      </c>
      <c r="K55" s="88">
        <v>1859</v>
      </c>
      <c r="L55" s="371">
        <v>2</v>
      </c>
      <c r="M55" s="373" t="s">
        <v>1813</v>
      </c>
      <c r="N55" s="250">
        <v>2.86</v>
      </c>
      <c r="O55" s="365" t="s">
        <v>3176</v>
      </c>
      <c r="P55" s="364" t="s">
        <v>3177</v>
      </c>
      <c r="Q55" s="370">
        <v>4</v>
      </c>
      <c r="R55" s="370">
        <v>1994</v>
      </c>
      <c r="S55" s="372" t="s">
        <v>2726</v>
      </c>
      <c r="T55" s="370">
        <v>1</v>
      </c>
      <c r="U55" s="370">
        <v>2</v>
      </c>
      <c r="V55" s="370">
        <v>18</v>
      </c>
      <c r="W55" s="250">
        <v>10.31</v>
      </c>
      <c r="X55" s="170">
        <v>1</v>
      </c>
      <c r="Y55" s="369">
        <v>1</v>
      </c>
      <c r="Z55" s="273" t="s">
        <v>3174</v>
      </c>
      <c r="AA55" s="1095" t="s">
        <v>66</v>
      </c>
      <c r="AB55" s="1096"/>
      <c r="AC55" s="1097"/>
      <c r="AD55" s="366" t="s">
        <v>3175</v>
      </c>
      <c r="AE55" s="357">
        <v>2003</v>
      </c>
      <c r="AF55" s="357">
        <v>2</v>
      </c>
      <c r="AG55" s="55">
        <v>3</v>
      </c>
      <c r="AH55" s="355" t="s">
        <v>2785</v>
      </c>
      <c r="AI55" s="55">
        <v>0</v>
      </c>
      <c r="AJ55" s="55">
        <v>0</v>
      </c>
      <c r="AK55" s="590" t="s">
        <v>145</v>
      </c>
      <c r="AL55" s="386">
        <v>5</v>
      </c>
      <c r="AM55" s="361" t="s">
        <v>3056</v>
      </c>
      <c r="AN55" s="793" t="s">
        <v>145</v>
      </c>
      <c r="AO55" s="170">
        <v>0</v>
      </c>
      <c r="AP55" s="369">
        <v>0</v>
      </c>
      <c r="AQ55" s="365" t="s">
        <v>5364</v>
      </c>
      <c r="AR55" s="281" t="s">
        <v>4934</v>
      </c>
      <c r="AS55" s="55">
        <v>2</v>
      </c>
      <c r="AT55" s="370">
        <v>3</v>
      </c>
      <c r="AU55" s="371">
        <v>2014</v>
      </c>
      <c r="AV55" s="370">
        <v>5</v>
      </c>
      <c r="AW55" s="589" t="s">
        <v>145</v>
      </c>
      <c r="AX55" s="687">
        <v>0</v>
      </c>
      <c r="AY55" s="174" t="s">
        <v>4353</v>
      </c>
      <c r="AZ55" s="550">
        <v>2013</v>
      </c>
      <c r="BA55" s="550">
        <v>1</v>
      </c>
      <c r="BB55" s="550">
        <v>0</v>
      </c>
      <c r="BC55" s="108" t="s">
        <v>145</v>
      </c>
      <c r="BD55" s="550" t="s">
        <v>145</v>
      </c>
      <c r="BE55" s="550">
        <v>0</v>
      </c>
      <c r="BF55" s="367" t="s">
        <v>145</v>
      </c>
      <c r="BG55" s="367">
        <v>0</v>
      </c>
      <c r="BH55" s="56" t="s">
        <v>145</v>
      </c>
      <c r="BI55" s="367">
        <v>0</v>
      </c>
      <c r="BJ55" s="367">
        <v>1</v>
      </c>
      <c r="BK55" s="888">
        <v>6126.5829999999996</v>
      </c>
      <c r="BL55" s="925">
        <f t="shared" si="46"/>
        <v>53.069418956700666</v>
      </c>
      <c r="BM55" s="888">
        <v>2875.241</v>
      </c>
      <c r="BN55" s="920">
        <v>3251.3420000000001</v>
      </c>
      <c r="BO55" s="888">
        <v>519.88400000000001</v>
      </c>
      <c r="BP55" s="1158">
        <f t="shared" si="17"/>
        <v>48.847050495879849</v>
      </c>
      <c r="BQ55" s="917">
        <v>265.93599999999998</v>
      </c>
      <c r="BR55" s="920">
        <v>253.94800000000001</v>
      </c>
      <c r="BS55" s="888">
        <v>545.43200000000002</v>
      </c>
      <c r="BT55" s="1158">
        <f t="shared" si="18"/>
        <v>48.871170008360352</v>
      </c>
      <c r="BU55" s="917">
        <v>278.87299999999999</v>
      </c>
      <c r="BV55" s="920">
        <v>266.55900000000003</v>
      </c>
      <c r="BW55" s="888">
        <v>590.61400000000003</v>
      </c>
      <c r="BX55" s="1158">
        <f t="shared" si="19"/>
        <v>49.040151435624615</v>
      </c>
      <c r="BY55" s="917">
        <v>300.976</v>
      </c>
      <c r="BZ55" s="920">
        <v>289.63799999999998</v>
      </c>
      <c r="CA55" s="888">
        <f t="shared" si="20"/>
        <v>4470.6530000000002</v>
      </c>
      <c r="CB55" s="1158">
        <f t="shared" si="21"/>
        <v>54.604931315402915</v>
      </c>
      <c r="CC55" s="917">
        <f t="shared" si="22"/>
        <v>2029.4559999999997</v>
      </c>
      <c r="CD55" s="920">
        <f t="shared" si="23"/>
        <v>2441.1970000000001</v>
      </c>
      <c r="CE55" s="914">
        <v>2015</v>
      </c>
      <c r="CF55" s="910" t="s">
        <v>5630</v>
      </c>
      <c r="CG55" s="930">
        <v>98.6</v>
      </c>
      <c r="CH55" s="495">
        <v>98.8</v>
      </c>
      <c r="CI55" s="497">
        <v>98.5</v>
      </c>
      <c r="CJ55" s="904">
        <v>98.6</v>
      </c>
      <c r="CK55" s="904">
        <v>98.7</v>
      </c>
      <c r="CL55" s="904">
        <v>2008</v>
      </c>
      <c r="CM55" s="905" t="s">
        <v>5591</v>
      </c>
      <c r="CN55" s="1044">
        <v>5258.9380000000001</v>
      </c>
      <c r="CO55" s="1045">
        <f t="shared" si="47"/>
        <v>85.838027494281889</v>
      </c>
      <c r="CP55" s="1049">
        <v>2500.2840000000001</v>
      </c>
      <c r="CQ55" s="1050">
        <v>2758.654</v>
      </c>
      <c r="CR55" s="1046">
        <v>2015</v>
      </c>
      <c r="CS55" s="1047" t="s">
        <v>5641</v>
      </c>
      <c r="CT55" s="1068">
        <f t="shared" si="48"/>
        <v>18</v>
      </c>
      <c r="CU55" s="1071">
        <v>18</v>
      </c>
      <c r="CV55" s="1068" t="s">
        <v>5897</v>
      </c>
      <c r="CW55" s="1113">
        <v>4911.6719999999996</v>
      </c>
      <c r="CX55" s="1113">
        <v>3682.915</v>
      </c>
      <c r="CY55" s="1113">
        <v>6125.5119999999997</v>
      </c>
      <c r="CZ55" s="1048">
        <v>20</v>
      </c>
      <c r="DA55" s="1104">
        <v>5</v>
      </c>
      <c r="DB55" s="1050" t="s">
        <v>647</v>
      </c>
      <c r="DC55" s="1146" t="s">
        <v>322</v>
      </c>
      <c r="DD55" s="978">
        <f t="shared" si="34"/>
        <v>867.64499999999953</v>
      </c>
      <c r="DE55" s="979">
        <f t="shared" si="49"/>
        <v>14.161972505718106</v>
      </c>
      <c r="DF55" s="979">
        <f t="shared" si="35"/>
        <v>56.784514403932526</v>
      </c>
      <c r="DG55" s="980">
        <f t="shared" si="36"/>
        <v>374.95699999999988</v>
      </c>
      <c r="DH55" s="980">
        <f t="shared" si="37"/>
        <v>492.6880000000001</v>
      </c>
      <c r="DI55" s="979">
        <f t="shared" si="50"/>
        <v>13.040889441963296</v>
      </c>
      <c r="DJ55" s="981">
        <f t="shared" si="51"/>
        <v>15.15337359158157</v>
      </c>
      <c r="DK55" s="984">
        <f t="shared" si="52"/>
        <v>844.46197999999958</v>
      </c>
      <c r="DL55" s="979">
        <f t="shared" si="38"/>
        <v>56.904376559380488</v>
      </c>
      <c r="DM55" s="980">
        <f t="shared" si="53"/>
        <v>364.80757999999986</v>
      </c>
      <c r="DN55" s="985">
        <f t="shared" si="54"/>
        <v>480.5358250000001</v>
      </c>
      <c r="DO55" s="984">
        <f t="shared" si="55"/>
        <v>15.904644000000015</v>
      </c>
      <c r="DP55" s="979">
        <f t="shared" si="39"/>
        <v>52.456093955953989</v>
      </c>
      <c r="DQ55" s="980">
        <f t="shared" si="28"/>
        <v>6.958188000000006</v>
      </c>
      <c r="DR55" s="985">
        <f t="shared" si="29"/>
        <v>8.342955000000007</v>
      </c>
      <c r="DS55" s="984">
        <f t="shared" si="56"/>
        <v>7.2783760000000068</v>
      </c>
      <c r="DT55" s="339">
        <f t="shared" si="40"/>
        <v>52.336125531299835</v>
      </c>
      <c r="DU55" s="980">
        <f t="shared" si="30"/>
        <v>3.1912320000000025</v>
      </c>
      <c r="DV55" s="985">
        <f t="shared" si="31"/>
        <v>3.8092200000000034</v>
      </c>
      <c r="DW55" s="979">
        <f t="shared" si="32"/>
        <v>1.2000000000000011</v>
      </c>
      <c r="DX55" s="981">
        <f t="shared" si="33"/>
        <v>1.5000000000000013</v>
      </c>
      <c r="DY55" s="414">
        <v>8.9700000000000006</v>
      </c>
      <c r="DZ55" s="111">
        <v>2009</v>
      </c>
      <c r="EA55" s="118">
        <v>560.47419000000002</v>
      </c>
      <c r="EB55" s="123">
        <v>42.5</v>
      </c>
      <c r="EC55" s="113">
        <v>2010</v>
      </c>
      <c r="ED55" s="20">
        <v>2646.6836749999998</v>
      </c>
      <c r="EE55" s="414">
        <v>36.5</v>
      </c>
      <c r="EF55" s="111">
        <v>2010</v>
      </c>
      <c r="EG55" s="380">
        <v>85.493988037109403</v>
      </c>
      <c r="EH55" s="24" t="s">
        <v>358</v>
      </c>
      <c r="EI55" s="287">
        <v>3</v>
      </c>
      <c r="EJ55" s="40" t="s">
        <v>145</v>
      </c>
      <c r="EK55" s="35" t="s">
        <v>145</v>
      </c>
      <c r="EL55" s="364" t="s">
        <v>145</v>
      </c>
      <c r="EM55" s="364" t="s">
        <v>145</v>
      </c>
      <c r="EN55" s="35" t="s">
        <v>145</v>
      </c>
      <c r="EO55" s="364" t="s">
        <v>145</v>
      </c>
      <c r="EP55" s="205" t="s">
        <v>145</v>
      </c>
      <c r="EQ55" s="207" t="s">
        <v>145</v>
      </c>
      <c r="ER55" s="517">
        <v>2</v>
      </c>
      <c r="ES55" s="183" t="s">
        <v>145</v>
      </c>
      <c r="ET55" s="183" t="s">
        <v>145</v>
      </c>
      <c r="EU55" s="82" t="s">
        <v>3798</v>
      </c>
      <c r="EV55" s="82" t="s">
        <v>145</v>
      </c>
      <c r="EW55" s="82" t="s">
        <v>3909</v>
      </c>
      <c r="EX55" s="360" t="s">
        <v>145</v>
      </c>
      <c r="EY55" s="159">
        <v>5744113</v>
      </c>
      <c r="EZ55" s="156">
        <v>2007</v>
      </c>
      <c r="FA55" s="323">
        <v>64</v>
      </c>
      <c r="FB55" s="323">
        <v>36</v>
      </c>
      <c r="FC55" s="323">
        <v>34.6</v>
      </c>
      <c r="FD55" s="231" t="s">
        <v>1761</v>
      </c>
      <c r="FE55" s="156">
        <v>81</v>
      </c>
      <c r="FF55" s="156" t="s">
        <v>1673</v>
      </c>
      <c r="FG55" s="156">
        <v>9.8000000000000007</v>
      </c>
      <c r="FH55" s="157">
        <v>4.5999999999999996</v>
      </c>
      <c r="FI55" s="242">
        <v>3</v>
      </c>
      <c r="FJ55" s="373" t="s">
        <v>1813</v>
      </c>
      <c r="FK55" s="238">
        <v>2.86</v>
      </c>
      <c r="FL55" s="236" t="s">
        <v>1827</v>
      </c>
      <c r="FM55" s="238">
        <v>10.31</v>
      </c>
      <c r="FN55" s="351" t="s">
        <v>1828</v>
      </c>
      <c r="FO55" s="164" t="s">
        <v>145</v>
      </c>
      <c r="FP55" s="255">
        <v>1</v>
      </c>
      <c r="FQ55" s="183" t="s">
        <v>1876</v>
      </c>
      <c r="FR55" s="257"/>
      <c r="FS55" s="82"/>
      <c r="FT55" s="259"/>
      <c r="FU55" s="82"/>
      <c r="FV55" s="259"/>
      <c r="FW55" s="82"/>
      <c r="FX55" s="259"/>
      <c r="FY55" s="82"/>
      <c r="FZ55" s="259"/>
      <c r="GA55" s="82"/>
      <c r="GB55" s="261">
        <v>1</v>
      </c>
      <c r="GC55" s="90" t="s">
        <v>1878</v>
      </c>
      <c r="GD55" s="76">
        <v>1</v>
      </c>
      <c r="GE55" s="445" t="s">
        <v>3424</v>
      </c>
      <c r="GF55" s="447" t="s">
        <v>10</v>
      </c>
      <c r="GG55" s="448">
        <v>2</v>
      </c>
      <c r="GH55" s="449">
        <v>3</v>
      </c>
      <c r="GI55" s="447" t="s">
        <v>145</v>
      </c>
      <c r="GJ55" s="449" t="s">
        <v>145</v>
      </c>
      <c r="GK55" s="447" t="s">
        <v>145</v>
      </c>
      <c r="GL55" s="448" t="s">
        <v>145</v>
      </c>
      <c r="GM55" s="449" t="s">
        <v>145</v>
      </c>
      <c r="GN55" s="447" t="s">
        <v>590</v>
      </c>
      <c r="GO55" s="449">
        <v>39</v>
      </c>
      <c r="GP55" s="447">
        <v>9</v>
      </c>
      <c r="GQ55" s="448">
        <v>16</v>
      </c>
      <c r="GR55" s="449">
        <v>14</v>
      </c>
      <c r="GS55" s="446">
        <v>8</v>
      </c>
      <c r="GT55" s="461">
        <v>-4.608357697725296E-2</v>
      </c>
      <c r="GU55" s="462">
        <v>-4.3523196130990982E-2</v>
      </c>
      <c r="GV55" s="462">
        <v>-0.13082781434059143</v>
      </c>
      <c r="GW55" s="462">
        <v>0.30621066689491272</v>
      </c>
      <c r="GX55" s="462">
        <v>-0.67533719539642334</v>
      </c>
      <c r="GY55" s="463">
        <v>-0.34808540344238281</v>
      </c>
      <c r="GZ55" s="10">
        <v>88</v>
      </c>
      <c r="HA55" s="536">
        <v>0.49885000000000002</v>
      </c>
      <c r="HB55" s="536">
        <v>0.60784000000000005</v>
      </c>
      <c r="HC55" s="525">
        <v>0.53542999999999996</v>
      </c>
      <c r="HD55" s="526">
        <v>0.31974999999999998</v>
      </c>
      <c r="HE55" s="527">
        <v>0.64139999999999997</v>
      </c>
      <c r="HF55" s="10">
        <v>110</v>
      </c>
      <c r="HG55" s="532">
        <v>3.61</v>
      </c>
      <c r="HH55" s="545">
        <v>4.76</v>
      </c>
      <c r="HI55" s="546">
        <v>1.27</v>
      </c>
      <c r="HJ55" s="547">
        <v>6</v>
      </c>
      <c r="HK55" s="379" t="s">
        <v>145</v>
      </c>
      <c r="HL55" s="362" t="s">
        <v>145</v>
      </c>
      <c r="HM55" s="557" t="s">
        <v>145</v>
      </c>
      <c r="HN55" s="557" t="s">
        <v>145</v>
      </c>
      <c r="HO55" s="557" t="s">
        <v>145</v>
      </c>
      <c r="HP55" s="562" t="s">
        <v>145</v>
      </c>
      <c r="HQ55" s="562" t="s">
        <v>145</v>
      </c>
      <c r="HR55" s="563" t="s">
        <v>145</v>
      </c>
      <c r="HS55" s="545">
        <v>5</v>
      </c>
      <c r="HT55" s="557">
        <v>122</v>
      </c>
      <c r="HU55" s="557">
        <v>2011</v>
      </c>
      <c r="HV55" s="583" t="s">
        <v>4189</v>
      </c>
      <c r="HW55" s="557">
        <v>6</v>
      </c>
      <c r="HX55" s="557">
        <v>30</v>
      </c>
      <c r="HY55" s="557">
        <v>24</v>
      </c>
      <c r="HZ55" s="557">
        <v>22</v>
      </c>
      <c r="IA55" s="557">
        <v>23</v>
      </c>
      <c r="IB55" s="557">
        <v>1</v>
      </c>
      <c r="IC55" s="547">
        <v>16</v>
      </c>
      <c r="ID55" s="660"/>
      <c r="IE55" s="550"/>
      <c r="IF55" s="550"/>
      <c r="IG55" s="553"/>
      <c r="IH55" s="339"/>
      <c r="II55" s="553" t="s">
        <v>4922</v>
      </c>
      <c r="IJ55" s="424" t="s">
        <v>4926</v>
      </c>
      <c r="IK55" s="24">
        <v>0</v>
      </c>
      <c r="IL55" s="749">
        <f t="shared" si="57"/>
        <v>14</v>
      </c>
      <c r="IM55" s="747">
        <f t="shared" si="58"/>
        <v>56.000000000000007</v>
      </c>
      <c r="IN55" s="750" t="str">
        <f t="shared" si="59"/>
        <v>B</v>
      </c>
      <c r="IO55" s="446"/>
      <c r="IP55" s="902">
        <v>5</v>
      </c>
      <c r="IQ55" s="903">
        <v>0</v>
      </c>
      <c r="IR55" s="993">
        <v>1</v>
      </c>
      <c r="IT55" s="435"/>
      <c r="IU55" s="435"/>
      <c r="IV55" s="435"/>
    </row>
    <row r="56" spans="1:256">
      <c r="A56" s="21">
        <v>54</v>
      </c>
      <c r="B56" s="9"/>
      <c r="C56" s="430" t="s">
        <v>91</v>
      </c>
      <c r="D56" s="423" t="s">
        <v>406</v>
      </c>
      <c r="E56" s="24" t="s">
        <v>17</v>
      </c>
      <c r="F56" s="76" t="s">
        <v>794</v>
      </c>
      <c r="G56" s="102" t="s">
        <v>516</v>
      </c>
      <c r="H56" s="375" t="s">
        <v>2239</v>
      </c>
      <c r="I56" s="364" t="s">
        <v>2236</v>
      </c>
      <c r="J56" s="176">
        <v>1</v>
      </c>
      <c r="K56" s="88">
        <v>1982</v>
      </c>
      <c r="L56" s="371">
        <v>2</v>
      </c>
      <c r="M56" s="240" t="s">
        <v>2265</v>
      </c>
      <c r="N56" s="369" t="s">
        <v>1822</v>
      </c>
      <c r="O56" s="365" t="s">
        <v>3178</v>
      </c>
      <c r="P56" s="362" t="s">
        <v>2572</v>
      </c>
      <c r="Q56" s="370">
        <v>1</v>
      </c>
      <c r="R56" s="370">
        <v>1982</v>
      </c>
      <c r="S56" s="372" t="s">
        <v>1961</v>
      </c>
      <c r="T56" s="176">
        <v>1</v>
      </c>
      <c r="U56" s="370">
        <v>2</v>
      </c>
      <c r="V56" s="176">
        <v>18</v>
      </c>
      <c r="W56" s="369" t="s">
        <v>1822</v>
      </c>
      <c r="X56" s="170">
        <v>0</v>
      </c>
      <c r="Y56" s="369">
        <v>0</v>
      </c>
      <c r="Z56" s="271"/>
      <c r="AA56" s="169">
        <v>1</v>
      </c>
      <c r="AB56" s="177"/>
      <c r="AC56" s="171"/>
      <c r="AD56" s="376" t="s">
        <v>145</v>
      </c>
      <c r="AE56" s="355" t="s">
        <v>145</v>
      </c>
      <c r="AF56" s="357">
        <v>0</v>
      </c>
      <c r="AG56" s="550">
        <v>1</v>
      </c>
      <c r="AH56" s="355" t="s">
        <v>145</v>
      </c>
      <c r="AI56" s="550" t="s">
        <v>145</v>
      </c>
      <c r="AJ56" s="550" t="s">
        <v>145</v>
      </c>
      <c r="AK56" s="590" t="s">
        <v>145</v>
      </c>
      <c r="AL56" s="357">
        <v>0</v>
      </c>
      <c r="AM56" s="360" t="s">
        <v>145</v>
      </c>
      <c r="AN56" s="793" t="s">
        <v>145</v>
      </c>
      <c r="AO56" s="170">
        <v>0</v>
      </c>
      <c r="AP56" s="369">
        <v>0</v>
      </c>
      <c r="AQ56" s="365" t="s">
        <v>5365</v>
      </c>
      <c r="AR56" s="362" t="s">
        <v>5320</v>
      </c>
      <c r="AS56" s="55">
        <v>0</v>
      </c>
      <c r="AT56" s="370">
        <v>3</v>
      </c>
      <c r="AU56" s="371" t="s">
        <v>145</v>
      </c>
      <c r="AV56" s="370">
        <v>5</v>
      </c>
      <c r="AW56" s="589" t="s">
        <v>145</v>
      </c>
      <c r="AX56" s="687">
        <v>0</v>
      </c>
      <c r="AY56" s="174" t="s">
        <v>4414</v>
      </c>
      <c r="AZ56" s="550">
        <v>1995</v>
      </c>
      <c r="BA56" s="550">
        <v>0</v>
      </c>
      <c r="BB56" s="550">
        <v>0</v>
      </c>
      <c r="BC56" s="108" t="s">
        <v>145</v>
      </c>
      <c r="BD56" s="550" t="s">
        <v>145</v>
      </c>
      <c r="BE56" s="550">
        <v>0</v>
      </c>
      <c r="BF56" s="367" t="s">
        <v>145</v>
      </c>
      <c r="BG56" s="367">
        <v>0</v>
      </c>
      <c r="BH56" s="56" t="s">
        <v>145</v>
      </c>
      <c r="BI56" s="367">
        <v>0</v>
      </c>
      <c r="BJ56" s="367">
        <v>0</v>
      </c>
      <c r="BK56" s="888">
        <v>845.06</v>
      </c>
      <c r="BL56" s="925">
        <f t="shared" si="46"/>
        <v>48.74849123139186</v>
      </c>
      <c r="BM56" s="888">
        <v>433.10599999999999</v>
      </c>
      <c r="BN56" s="920">
        <v>411.95400000000001</v>
      </c>
      <c r="BO56" s="888">
        <v>128.21799999999999</v>
      </c>
      <c r="BP56" s="1158">
        <f t="shared" si="17"/>
        <v>49.541406042833302</v>
      </c>
      <c r="BQ56" s="917">
        <v>64.697000000000003</v>
      </c>
      <c r="BR56" s="920">
        <v>63.521000000000001</v>
      </c>
      <c r="BS56" s="888">
        <v>109.83499999999999</v>
      </c>
      <c r="BT56" s="1158">
        <f t="shared" si="18"/>
        <v>49.630809851140349</v>
      </c>
      <c r="BU56" s="917">
        <v>55.323</v>
      </c>
      <c r="BV56" s="920">
        <v>54.512</v>
      </c>
      <c r="BW56" s="888">
        <v>93.724999999999994</v>
      </c>
      <c r="BX56" s="1158">
        <f t="shared" si="19"/>
        <v>49.676180314750603</v>
      </c>
      <c r="BY56" s="917">
        <v>47.165999999999997</v>
      </c>
      <c r="BZ56" s="920">
        <v>46.558999999999997</v>
      </c>
      <c r="CA56" s="888">
        <f t="shared" si="20"/>
        <v>513.28199999999993</v>
      </c>
      <c r="CB56" s="1158">
        <f t="shared" si="21"/>
        <v>48.19222181958456</v>
      </c>
      <c r="CC56" s="917">
        <f t="shared" si="22"/>
        <v>265.92</v>
      </c>
      <c r="CD56" s="920">
        <f t="shared" si="23"/>
        <v>247.36199999999999</v>
      </c>
      <c r="CE56" s="914">
        <v>2015</v>
      </c>
      <c r="CF56" s="910" t="s">
        <v>5630</v>
      </c>
      <c r="CG56" s="1026">
        <v>53.5</v>
      </c>
      <c r="CH56" s="495">
        <v>53.3</v>
      </c>
      <c r="CI56" s="497">
        <v>53.6</v>
      </c>
      <c r="CJ56" s="904">
        <v>60.2</v>
      </c>
      <c r="CK56" s="904">
        <v>47.4</v>
      </c>
      <c r="CL56" s="904">
        <v>2011</v>
      </c>
      <c r="CM56" s="905" t="s">
        <v>5575</v>
      </c>
      <c r="CN56" s="1044">
        <v>292.58499999999998</v>
      </c>
      <c r="CO56" s="1045">
        <f t="shared" si="47"/>
        <v>34.622985350152653</v>
      </c>
      <c r="CP56" s="1040">
        <f>IF(OR(CZ56=1,CZ56=10),CN56*(1-BL56/100),IF(DA56=6,CN56*(1-BL56/100),CN56*(1-CB56/100)))</f>
        <v>149.9542269306321</v>
      </c>
      <c r="CQ56" s="1041">
        <f>IF(OR(CZ56=1,CZ56=10),CN56*BL56/100,IF(DA56=6,CN56*BL56/100,CN56*CB56/100))</f>
        <v>142.63077306936785</v>
      </c>
      <c r="CR56" s="1046">
        <v>2013</v>
      </c>
      <c r="CS56" s="1047" t="s">
        <v>5839</v>
      </c>
      <c r="CT56" s="1068">
        <f t="shared" si="48"/>
        <v>18</v>
      </c>
      <c r="CU56" s="1071">
        <v>18</v>
      </c>
      <c r="CV56" s="1117" t="s">
        <v>5838</v>
      </c>
      <c r="CW56" s="1113">
        <v>292.58499999999998</v>
      </c>
      <c r="CX56" s="1113">
        <v>328.96800000000002</v>
      </c>
      <c r="CY56" s="1113">
        <v>633.44100000000003</v>
      </c>
      <c r="CZ56" s="494">
        <v>1</v>
      </c>
      <c r="DA56" s="1104">
        <v>4</v>
      </c>
      <c r="DB56" s="1050" t="s">
        <v>647</v>
      </c>
      <c r="DC56" s="1143" t="s">
        <v>320</v>
      </c>
      <c r="DD56" s="982">
        <f t="shared" si="34"/>
        <v>374.97376999999994</v>
      </c>
      <c r="DE56" s="979">
        <f t="shared" si="49"/>
        <v>44.372443376801648</v>
      </c>
      <c r="DF56" s="979">
        <f t="shared" si="35"/>
        <v>48.297222211204847</v>
      </c>
      <c r="DG56" s="983">
        <f t="shared" si="36"/>
        <v>194.04163506936794</v>
      </c>
      <c r="DH56" s="983">
        <f t="shared" si="37"/>
        <v>181.10191493063215</v>
      </c>
      <c r="DI56" s="979">
        <f t="shared" si="50"/>
        <v>44.802342860493262</v>
      </c>
      <c r="DJ56" s="981">
        <f t="shared" si="51"/>
        <v>43.961683811938265</v>
      </c>
      <c r="DK56" s="984">
        <f t="shared" si="52"/>
        <v>220.69699999999995</v>
      </c>
      <c r="DL56" s="979">
        <f t="shared" si="38"/>
        <v>47.454757849283027</v>
      </c>
      <c r="DM56" s="983">
        <f t="shared" si="53"/>
        <v>115.96577306936791</v>
      </c>
      <c r="DN56" s="986">
        <f t="shared" si="54"/>
        <v>104.73122693063215</v>
      </c>
      <c r="DO56" s="984">
        <f t="shared" si="55"/>
        <v>94.655399999999986</v>
      </c>
      <c r="DP56" s="979">
        <f t="shared" si="39"/>
        <v>49.544921895634054</v>
      </c>
      <c r="DQ56" s="983">
        <f t="shared" si="28"/>
        <v>47.862363000000009</v>
      </c>
      <c r="DR56" s="986">
        <f t="shared" si="29"/>
        <v>46.896943999999991</v>
      </c>
      <c r="DS56" s="984">
        <f t="shared" si="56"/>
        <v>59.621369999999992</v>
      </c>
      <c r="DT56" s="339">
        <f t="shared" si="40"/>
        <v>49.434865384676677</v>
      </c>
      <c r="DU56" s="983">
        <f t="shared" si="30"/>
        <v>30.213499000000006</v>
      </c>
      <c r="DV56" s="986">
        <f t="shared" si="31"/>
        <v>29.473744</v>
      </c>
      <c r="DW56" s="979">
        <f t="shared" si="32"/>
        <v>46.70000000000001</v>
      </c>
      <c r="DX56" s="981">
        <f t="shared" si="33"/>
        <v>46.4</v>
      </c>
      <c r="DY56" s="414">
        <v>60</v>
      </c>
      <c r="DZ56" s="111">
        <v>2013</v>
      </c>
      <c r="EA56" s="368" t="e">
        <f>#REF!*DY56/100</f>
        <v>#REF!</v>
      </c>
      <c r="EB56" s="123">
        <v>76.8</v>
      </c>
      <c r="EC56" s="113">
        <v>2006</v>
      </c>
      <c r="ED56" s="20">
        <v>553.12358399999994</v>
      </c>
      <c r="EE56" s="414" t="s">
        <v>145</v>
      </c>
      <c r="EF56" s="111" t="s">
        <v>145</v>
      </c>
      <c r="EG56" s="380">
        <v>94.513809204101605</v>
      </c>
      <c r="EH56" s="24" t="s">
        <v>358</v>
      </c>
      <c r="EI56" s="287">
        <v>1</v>
      </c>
      <c r="EJ56" s="40">
        <v>3</v>
      </c>
      <c r="EK56" s="35" t="s">
        <v>145</v>
      </c>
      <c r="EL56" s="364" t="s">
        <v>145</v>
      </c>
      <c r="EM56" s="364" t="s">
        <v>145</v>
      </c>
      <c r="EN56" s="35" t="s">
        <v>145</v>
      </c>
      <c r="EO56" s="364" t="s">
        <v>1646</v>
      </c>
      <c r="EP56" s="205">
        <v>0.32</v>
      </c>
      <c r="EQ56" s="207" t="s">
        <v>145</v>
      </c>
      <c r="ER56" s="517" t="s">
        <v>145</v>
      </c>
      <c r="ES56" s="183"/>
      <c r="ET56" s="183"/>
      <c r="EU56" s="82"/>
      <c r="EV56" s="82"/>
      <c r="EW56" s="82"/>
      <c r="EX56" s="90"/>
      <c r="EY56" s="159"/>
      <c r="EZ56" s="156"/>
      <c r="FA56" s="323"/>
      <c r="FB56" s="323"/>
      <c r="FC56" s="323"/>
      <c r="FD56" s="160"/>
      <c r="FE56" s="156"/>
      <c r="FF56" s="156"/>
      <c r="FG56" s="156"/>
      <c r="FH56" s="157"/>
      <c r="FI56" s="242"/>
      <c r="FJ56" s="240"/>
      <c r="FK56" s="179"/>
      <c r="FL56" s="179"/>
      <c r="FM56" s="179"/>
      <c r="FN56" s="172"/>
      <c r="FO56" s="164"/>
      <c r="FP56" s="255"/>
      <c r="FQ56" s="183"/>
      <c r="FR56" s="257"/>
      <c r="FS56" s="82"/>
      <c r="FT56" s="259"/>
      <c r="FU56" s="82"/>
      <c r="FV56" s="259"/>
      <c r="FW56" s="82"/>
      <c r="FX56" s="259"/>
      <c r="FY56" s="82"/>
      <c r="FZ56" s="259"/>
      <c r="GA56" s="82"/>
      <c r="GB56" s="261"/>
      <c r="GC56" s="90"/>
      <c r="GD56" s="76">
        <v>1</v>
      </c>
      <c r="GE56" s="445" t="s">
        <v>3424</v>
      </c>
      <c r="GF56" s="447" t="s">
        <v>580</v>
      </c>
      <c r="GG56" s="448">
        <v>7</v>
      </c>
      <c r="GH56" s="449">
        <v>7</v>
      </c>
      <c r="GI56" s="447" t="s">
        <v>145</v>
      </c>
      <c r="GJ56" s="449" t="s">
        <v>145</v>
      </c>
      <c r="GK56" s="447" t="s">
        <v>145</v>
      </c>
      <c r="GL56" s="448" t="s">
        <v>145</v>
      </c>
      <c r="GM56" s="449" t="s">
        <v>145</v>
      </c>
      <c r="GN56" s="447" t="s">
        <v>580</v>
      </c>
      <c r="GO56" s="449">
        <v>90</v>
      </c>
      <c r="GP56" s="447">
        <v>27</v>
      </c>
      <c r="GQ56" s="448">
        <v>36</v>
      </c>
      <c r="GR56" s="449">
        <v>27</v>
      </c>
      <c r="GS56" s="446">
        <v>2</v>
      </c>
      <c r="GT56" s="461">
        <v>-1.962244987487793</v>
      </c>
      <c r="GU56" s="462">
        <v>8.090607076883316E-2</v>
      </c>
      <c r="GV56" s="462">
        <v>-1.5913176536560059</v>
      </c>
      <c r="GW56" s="462">
        <v>-1.4368792772293091</v>
      </c>
      <c r="GX56" s="462">
        <v>-1.3177694082260132</v>
      </c>
      <c r="GY56" s="463">
        <v>-1.6088148355484009</v>
      </c>
      <c r="GZ56" s="10">
        <v>168</v>
      </c>
      <c r="HA56" s="536">
        <v>0.22675000000000001</v>
      </c>
      <c r="HB56" s="536">
        <v>1.9599999999999999E-2</v>
      </c>
      <c r="HC56" s="525">
        <v>3.1489999999999997E-2</v>
      </c>
      <c r="HD56" s="526">
        <v>0.11996</v>
      </c>
      <c r="HE56" s="527">
        <v>0.52880000000000005</v>
      </c>
      <c r="HF56" s="10" t="s">
        <v>145</v>
      </c>
      <c r="HG56" s="532" t="s">
        <v>145</v>
      </c>
      <c r="HH56" s="524" t="s">
        <v>145</v>
      </c>
      <c r="HI56" s="525" t="s">
        <v>145</v>
      </c>
      <c r="HJ56" s="527" t="s">
        <v>145</v>
      </c>
      <c r="HK56" s="379" t="s">
        <v>145</v>
      </c>
      <c r="HL56" s="362" t="s">
        <v>145</v>
      </c>
      <c r="HM56" s="557" t="s">
        <v>145</v>
      </c>
      <c r="HN56" s="557" t="s">
        <v>145</v>
      </c>
      <c r="HO56" s="526" t="s">
        <v>145</v>
      </c>
      <c r="HP56" s="564" t="s">
        <v>145</v>
      </c>
      <c r="HQ56" s="564" t="s">
        <v>145</v>
      </c>
      <c r="HR56" s="565" t="s">
        <v>145</v>
      </c>
      <c r="HS56" s="524" t="s">
        <v>145</v>
      </c>
      <c r="HT56" s="526" t="s">
        <v>145</v>
      </c>
      <c r="HU56" s="526" t="s">
        <v>145</v>
      </c>
      <c r="HV56" s="582" t="s">
        <v>145</v>
      </c>
      <c r="HW56" s="526" t="s">
        <v>145</v>
      </c>
      <c r="HX56" s="526" t="s">
        <v>145</v>
      </c>
      <c r="HY56" s="526" t="s">
        <v>145</v>
      </c>
      <c r="HZ56" s="526" t="s">
        <v>145</v>
      </c>
      <c r="IA56" s="526" t="s">
        <v>145</v>
      </c>
      <c r="IB56" s="526" t="s">
        <v>145</v>
      </c>
      <c r="IC56" s="527" t="s">
        <v>145</v>
      </c>
      <c r="ID56" s="40"/>
      <c r="IE56" s="550"/>
      <c r="IF56" s="550"/>
      <c r="IG56" s="553"/>
      <c r="IH56" s="115">
        <v>55.5</v>
      </c>
      <c r="II56" s="647" t="s">
        <v>4922</v>
      </c>
      <c r="IJ56" s="423" t="s">
        <v>4926</v>
      </c>
      <c r="IK56" s="10">
        <v>0</v>
      </c>
      <c r="IL56" s="749">
        <f t="shared" si="57"/>
        <v>6</v>
      </c>
      <c r="IM56" s="747">
        <f t="shared" si="58"/>
        <v>24</v>
      </c>
      <c r="IN56" s="750" t="str">
        <f t="shared" si="59"/>
        <v>D</v>
      </c>
      <c r="IO56" s="446">
        <v>1</v>
      </c>
      <c r="IP56" s="902">
        <v>4</v>
      </c>
      <c r="IQ56" s="903">
        <v>0</v>
      </c>
      <c r="IR56" s="993">
        <v>0</v>
      </c>
      <c r="IT56" s="435"/>
      <c r="IU56" s="435"/>
      <c r="IV56" s="435"/>
    </row>
    <row r="57" spans="1:256">
      <c r="A57" s="21">
        <v>55</v>
      </c>
      <c r="B57" s="9"/>
      <c r="C57" s="430" t="s">
        <v>92</v>
      </c>
      <c r="D57" s="423" t="s">
        <v>406</v>
      </c>
      <c r="E57" s="87" t="s">
        <v>9</v>
      </c>
      <c r="F57" s="76" t="s">
        <v>795</v>
      </c>
      <c r="G57" s="102" t="s">
        <v>495</v>
      </c>
      <c r="H57" s="282" t="s">
        <v>2238</v>
      </c>
      <c r="I57" s="281" t="s">
        <v>2237</v>
      </c>
      <c r="J57" s="370">
        <v>3</v>
      </c>
      <c r="K57" s="359">
        <v>1939</v>
      </c>
      <c r="L57" s="371">
        <v>2</v>
      </c>
      <c r="M57" s="373" t="s">
        <v>1810</v>
      </c>
      <c r="N57" s="353">
        <v>45</v>
      </c>
      <c r="O57" s="365" t="s">
        <v>3092</v>
      </c>
      <c r="P57" s="362" t="s">
        <v>3090</v>
      </c>
      <c r="Q57" s="370">
        <v>6</v>
      </c>
      <c r="R57" s="370">
        <v>2012</v>
      </c>
      <c r="S57" s="372" t="s">
        <v>1961</v>
      </c>
      <c r="T57" s="370">
        <v>1</v>
      </c>
      <c r="U57" s="370">
        <v>2</v>
      </c>
      <c r="V57" s="370">
        <v>18</v>
      </c>
      <c r="W57" s="369" t="s">
        <v>1822</v>
      </c>
      <c r="X57" s="170">
        <v>0</v>
      </c>
      <c r="Y57" s="369">
        <v>0</v>
      </c>
      <c r="Z57" s="271"/>
      <c r="AA57" s="169">
        <v>1</v>
      </c>
      <c r="AB57" s="177"/>
      <c r="AC57" s="171"/>
      <c r="AD57" s="366" t="s">
        <v>3091</v>
      </c>
      <c r="AE57" s="357">
        <v>2010</v>
      </c>
      <c r="AF57" s="55">
        <v>1</v>
      </c>
      <c r="AG57" s="550" t="s">
        <v>4272</v>
      </c>
      <c r="AH57" s="355" t="s">
        <v>323</v>
      </c>
      <c r="AI57" s="55">
        <v>0</v>
      </c>
      <c r="AJ57" s="55">
        <v>0</v>
      </c>
      <c r="AK57" s="590" t="s">
        <v>145</v>
      </c>
      <c r="AL57" s="386">
        <v>14</v>
      </c>
      <c r="AM57" s="361" t="s">
        <v>2750</v>
      </c>
      <c r="AN57" s="528">
        <v>3</v>
      </c>
      <c r="AO57" s="170">
        <v>0</v>
      </c>
      <c r="AP57" s="369">
        <v>0</v>
      </c>
      <c r="AQ57" s="365" t="s">
        <v>5322</v>
      </c>
      <c r="AR57" s="362" t="s">
        <v>4934</v>
      </c>
      <c r="AS57" s="55">
        <v>1</v>
      </c>
      <c r="AT57" s="370">
        <v>3</v>
      </c>
      <c r="AU57" s="371">
        <v>2010</v>
      </c>
      <c r="AV57" s="370">
        <v>5</v>
      </c>
      <c r="AW57" s="589" t="s">
        <v>145</v>
      </c>
      <c r="AX57" s="687">
        <v>0</v>
      </c>
      <c r="AY57" s="174" t="s">
        <v>4354</v>
      </c>
      <c r="AZ57" s="550">
        <v>1993</v>
      </c>
      <c r="BA57" s="550">
        <v>0</v>
      </c>
      <c r="BB57" s="550">
        <v>0</v>
      </c>
      <c r="BC57" s="174" t="s">
        <v>145</v>
      </c>
      <c r="BD57" s="550" t="s">
        <v>145</v>
      </c>
      <c r="BE57" s="550">
        <v>0</v>
      </c>
      <c r="BF57" s="371" t="s">
        <v>145</v>
      </c>
      <c r="BG57" s="367">
        <v>0</v>
      </c>
      <c r="BH57" s="56" t="s">
        <v>145</v>
      </c>
      <c r="BI57" s="367">
        <v>0</v>
      </c>
      <c r="BJ57" s="367">
        <v>0</v>
      </c>
      <c r="BK57" s="888">
        <v>5227.7910000000002</v>
      </c>
      <c r="BL57" s="925">
        <f t="shared" si="46"/>
        <v>49.905361557108918</v>
      </c>
      <c r="BM57" s="888">
        <v>2618.8429999999998</v>
      </c>
      <c r="BN57" s="920">
        <v>2608.9479999999999</v>
      </c>
      <c r="BO57" s="888">
        <v>814.75599999999997</v>
      </c>
      <c r="BP57" s="1158">
        <f t="shared" si="17"/>
        <v>48.892674616695061</v>
      </c>
      <c r="BQ57" s="917">
        <v>416.4</v>
      </c>
      <c r="BR57" s="920">
        <v>398.35599999999999</v>
      </c>
      <c r="BS57" s="888">
        <v>767.86199999999997</v>
      </c>
      <c r="BT57" s="1158">
        <f t="shared" si="18"/>
        <v>48.917513824098606</v>
      </c>
      <c r="BU57" s="917">
        <v>392.24299999999999</v>
      </c>
      <c r="BV57" s="920">
        <v>375.61900000000003</v>
      </c>
      <c r="BW57" s="888">
        <v>654.10299999999995</v>
      </c>
      <c r="BX57" s="1158">
        <f t="shared" si="19"/>
        <v>48.993812901026303</v>
      </c>
      <c r="BY57" s="917">
        <v>333.63299999999998</v>
      </c>
      <c r="BZ57" s="920">
        <v>320.47000000000003</v>
      </c>
      <c r="CA57" s="888">
        <f t="shared" si="20"/>
        <v>2991.0699999999997</v>
      </c>
      <c r="CB57" s="1158">
        <f t="shared" si="21"/>
        <v>50.634154332730418</v>
      </c>
      <c r="CC57" s="917">
        <f t="shared" si="22"/>
        <v>1476.5669999999998</v>
      </c>
      <c r="CD57" s="920">
        <f t="shared" si="23"/>
        <v>1514.5029999999995</v>
      </c>
      <c r="CE57" s="914">
        <v>2015</v>
      </c>
      <c r="CF57" s="910" t="s">
        <v>5630</v>
      </c>
      <c r="CG57" s="404">
        <v>15</v>
      </c>
      <c r="CH57" s="1007">
        <f>CG57</f>
        <v>15</v>
      </c>
      <c r="CI57" s="824">
        <f>CG57</f>
        <v>15</v>
      </c>
      <c r="CJ57" s="904" t="s">
        <v>1621</v>
      </c>
      <c r="CK57" s="904" t="s">
        <v>1621</v>
      </c>
      <c r="CL57" s="906">
        <v>2010</v>
      </c>
      <c r="CM57" s="1002" t="s">
        <v>5705</v>
      </c>
      <c r="CN57" s="1044">
        <v>1173.7059999999999</v>
      </c>
      <c r="CO57" s="1045">
        <f t="shared" si="47"/>
        <v>22.451280091342593</v>
      </c>
      <c r="CP57" s="1040">
        <f>IF(OR(CZ57=1,CZ57=10),CN57*(1-BL57/100),IF(DA57=6,CN57*(1-BL57/100),CN57*(1-CB57/100)))</f>
        <v>587.96377708251919</v>
      </c>
      <c r="CQ57" s="1041">
        <f>IF(OR(CZ57=1,CZ57=10),CN57*BL57/100,IF(DA57=6,CN57*BL57/100,CN57*CB57/100))</f>
        <v>585.74222291748072</v>
      </c>
      <c r="CR57" s="1046">
        <v>1993</v>
      </c>
      <c r="CS57" s="1047" t="s">
        <v>5840</v>
      </c>
      <c r="CT57" s="1068">
        <f t="shared" si="48"/>
        <v>18</v>
      </c>
      <c r="CU57" s="1071">
        <v>18</v>
      </c>
      <c r="CV57" s="1117" t="s">
        <v>5841</v>
      </c>
      <c r="CW57" s="1113">
        <v>1173.7059999999999</v>
      </c>
      <c r="CX57" s="1113" t="s">
        <v>145</v>
      </c>
      <c r="CY57" s="1113" t="s">
        <v>145</v>
      </c>
      <c r="CZ57" s="494">
        <v>1</v>
      </c>
      <c r="DA57" s="1104">
        <v>3</v>
      </c>
      <c r="DB57" s="1050" t="s">
        <v>647</v>
      </c>
      <c r="DC57" s="1143" t="s">
        <v>320</v>
      </c>
      <c r="DD57" s="978">
        <f t="shared" si="34"/>
        <v>3718.5768499999995</v>
      </c>
      <c r="DE57" s="979">
        <f t="shared" si="49"/>
        <v>71.130939435030953</v>
      </c>
      <c r="DF57" s="979">
        <f t="shared" si="35"/>
        <v>49.993293189100527</v>
      </c>
      <c r="DG57" s="980">
        <f t="shared" si="36"/>
        <v>1859.5378229174808</v>
      </c>
      <c r="DH57" s="980">
        <f t="shared" si="37"/>
        <v>1859.0390270825187</v>
      </c>
      <c r="DI57" s="979">
        <f t="shared" si="50"/>
        <v>71.006082568427388</v>
      </c>
      <c r="DJ57" s="981">
        <f t="shared" si="51"/>
        <v>71.256269848326554</v>
      </c>
      <c r="DK57" s="984">
        <f t="shared" si="52"/>
        <v>1817.3639999999998</v>
      </c>
      <c r="DL57" s="979">
        <f t="shared" si="38"/>
        <v>51.104829691933972</v>
      </c>
      <c r="DM57" s="980">
        <f t="shared" si="53"/>
        <v>888.60322291748059</v>
      </c>
      <c r="DN57" s="985">
        <f t="shared" si="54"/>
        <v>928.76077708251876</v>
      </c>
      <c r="DO57" s="984">
        <f t="shared" si="55"/>
        <v>1208.6702499999999</v>
      </c>
      <c r="DP57" s="979">
        <f t="shared" si="39"/>
        <v>48.952611351193596</v>
      </c>
      <c r="DQ57" s="980">
        <f t="shared" si="28"/>
        <v>616.99459999999999</v>
      </c>
      <c r="DR57" s="985">
        <f t="shared" si="29"/>
        <v>591.67565000000002</v>
      </c>
      <c r="DS57" s="984">
        <f t="shared" si="56"/>
        <v>692.54259999999999</v>
      </c>
      <c r="DT57" s="339">
        <f t="shared" si="40"/>
        <v>48.892674616695061</v>
      </c>
      <c r="DU57" s="980">
        <f t="shared" si="30"/>
        <v>353.94</v>
      </c>
      <c r="DV57" s="985">
        <f t="shared" si="31"/>
        <v>338.6026</v>
      </c>
      <c r="DW57" s="979">
        <f t="shared" si="32"/>
        <v>85.000000000000014</v>
      </c>
      <c r="DX57" s="981">
        <f t="shared" si="33"/>
        <v>85</v>
      </c>
      <c r="DY57" s="414">
        <v>50</v>
      </c>
      <c r="DZ57" s="111">
        <v>2004</v>
      </c>
      <c r="EA57" s="368" t="e">
        <f>#REF!*DY57/100</f>
        <v>#REF!</v>
      </c>
      <c r="EB57" s="123" t="s">
        <v>145</v>
      </c>
      <c r="EC57" s="113" t="s">
        <v>145</v>
      </c>
      <c r="ED57" s="20"/>
      <c r="EE57" s="414">
        <v>50</v>
      </c>
      <c r="EF57" s="111">
        <v>2004</v>
      </c>
      <c r="EG57" s="380">
        <v>70.491760253906307</v>
      </c>
      <c r="EH57" s="24" t="s">
        <v>328</v>
      </c>
      <c r="EI57" s="287">
        <v>1</v>
      </c>
      <c r="EJ57" s="40">
        <v>3</v>
      </c>
      <c r="EK57" s="355" t="s">
        <v>145</v>
      </c>
      <c r="EL57" s="364" t="s">
        <v>145</v>
      </c>
      <c r="EM57" s="364" t="s">
        <v>145</v>
      </c>
      <c r="EN57" s="355" t="s">
        <v>145</v>
      </c>
      <c r="EO57" s="364" t="s">
        <v>1646</v>
      </c>
      <c r="EP57" s="205">
        <v>0</v>
      </c>
      <c r="EQ57" s="207" t="s">
        <v>145</v>
      </c>
      <c r="ER57" s="517" t="s">
        <v>145</v>
      </c>
      <c r="ES57" s="183"/>
      <c r="ET57" s="183"/>
      <c r="EU57" s="82"/>
      <c r="EV57" s="82"/>
      <c r="EW57" s="82"/>
      <c r="EX57" s="360"/>
      <c r="EY57" s="159"/>
      <c r="EZ57" s="156"/>
      <c r="FA57" s="323"/>
      <c r="FB57" s="323"/>
      <c r="FC57" s="323"/>
      <c r="FD57" s="160"/>
      <c r="FE57" s="156"/>
      <c r="FF57" s="156"/>
      <c r="FG57" s="156"/>
      <c r="FH57" s="157"/>
      <c r="FI57" s="242"/>
      <c r="FJ57" s="373"/>
      <c r="FK57" s="179"/>
      <c r="FL57" s="179"/>
      <c r="FM57" s="179"/>
      <c r="FN57" s="369"/>
      <c r="FO57" s="164"/>
      <c r="FP57" s="255"/>
      <c r="FQ57" s="183"/>
      <c r="FR57" s="257"/>
      <c r="FS57" s="82"/>
      <c r="FT57" s="259"/>
      <c r="FU57" s="82"/>
      <c r="FV57" s="259"/>
      <c r="FW57" s="82"/>
      <c r="FX57" s="259"/>
      <c r="FY57" s="82"/>
      <c r="FZ57" s="259"/>
      <c r="GA57" s="82"/>
      <c r="GB57" s="261"/>
      <c r="GC57" s="360"/>
      <c r="GD57" s="76">
        <v>3</v>
      </c>
      <c r="GE57" s="445" t="s">
        <v>3435</v>
      </c>
      <c r="GF57" s="447" t="s">
        <v>580</v>
      </c>
      <c r="GG57" s="448">
        <v>7</v>
      </c>
      <c r="GH57" s="449">
        <v>7</v>
      </c>
      <c r="GI57" s="447" t="s">
        <v>145</v>
      </c>
      <c r="GJ57" s="449" t="s">
        <v>145</v>
      </c>
      <c r="GK57" s="447" t="s">
        <v>145</v>
      </c>
      <c r="GL57" s="448" t="s">
        <v>145</v>
      </c>
      <c r="GM57" s="449" t="s">
        <v>145</v>
      </c>
      <c r="GN57" s="447" t="s">
        <v>580</v>
      </c>
      <c r="GO57" s="449">
        <v>94</v>
      </c>
      <c r="GP57" s="447">
        <v>30</v>
      </c>
      <c r="GQ57" s="448">
        <v>40</v>
      </c>
      <c r="GR57" s="449">
        <v>24</v>
      </c>
      <c r="GS57" s="446">
        <v>-6</v>
      </c>
      <c r="GT57" s="461">
        <v>-2.1491765975952148</v>
      </c>
      <c r="GU57" s="462">
        <v>-0.775779128074646</v>
      </c>
      <c r="GV57" s="462">
        <v>-1.5433948040008545</v>
      </c>
      <c r="GW57" s="462">
        <v>-2.2307236194610596</v>
      </c>
      <c r="GX57" s="462">
        <v>-1.3893728256225586</v>
      </c>
      <c r="GY57" s="463">
        <v>-0.79470270872116089</v>
      </c>
      <c r="GZ57" s="10">
        <v>192</v>
      </c>
      <c r="HA57" s="536">
        <v>9.0749999999999997E-2</v>
      </c>
      <c r="HB57" s="536">
        <v>0</v>
      </c>
      <c r="HC57" s="525">
        <v>0</v>
      </c>
      <c r="HD57" s="526">
        <v>0</v>
      </c>
      <c r="HE57" s="527">
        <v>0.27229999999999999</v>
      </c>
      <c r="HF57" s="10">
        <v>163</v>
      </c>
      <c r="HG57" s="532">
        <v>1.2</v>
      </c>
      <c r="HH57" s="545">
        <v>1.27</v>
      </c>
      <c r="HI57" s="546">
        <v>0.03</v>
      </c>
      <c r="HJ57" s="547">
        <v>3.41</v>
      </c>
      <c r="HK57" s="379" t="s">
        <v>145</v>
      </c>
      <c r="HL57" s="362" t="s">
        <v>145</v>
      </c>
      <c r="HM57" s="557" t="s">
        <v>145</v>
      </c>
      <c r="HN57" s="557" t="s">
        <v>145</v>
      </c>
      <c r="HO57" s="557" t="s">
        <v>145</v>
      </c>
      <c r="HP57" s="562" t="s">
        <v>145</v>
      </c>
      <c r="HQ57" s="562" t="s">
        <v>145</v>
      </c>
      <c r="HR57" s="563" t="s">
        <v>145</v>
      </c>
      <c r="HS57" s="545" t="s">
        <v>145</v>
      </c>
      <c r="HT57" s="557" t="s">
        <v>145</v>
      </c>
      <c r="HU57" s="557" t="s">
        <v>145</v>
      </c>
      <c r="HV57" s="581" t="s">
        <v>145</v>
      </c>
      <c r="HW57" s="557" t="s">
        <v>145</v>
      </c>
      <c r="HX57" s="557" t="s">
        <v>145</v>
      </c>
      <c r="HY57" s="557" t="s">
        <v>145</v>
      </c>
      <c r="HZ57" s="557" t="s">
        <v>145</v>
      </c>
      <c r="IA57" s="557" t="s">
        <v>145</v>
      </c>
      <c r="IB57" s="557" t="s">
        <v>145</v>
      </c>
      <c r="IC57" s="547" t="s">
        <v>145</v>
      </c>
      <c r="ID57" s="40"/>
      <c r="IE57" s="550"/>
      <c r="IF57" s="550"/>
      <c r="IG57" s="786">
        <v>1</v>
      </c>
      <c r="IH57" s="115"/>
      <c r="II57" s="647" t="s">
        <v>4921</v>
      </c>
      <c r="IJ57" s="423" t="s">
        <v>4918</v>
      </c>
      <c r="IK57" s="10">
        <v>0</v>
      </c>
      <c r="IL57" s="749">
        <f t="shared" si="57"/>
        <v>9</v>
      </c>
      <c r="IM57" s="747">
        <f t="shared" si="58"/>
        <v>36</v>
      </c>
      <c r="IN57" s="750" t="str">
        <f t="shared" si="59"/>
        <v>C</v>
      </c>
      <c r="IO57" s="446">
        <v>1</v>
      </c>
      <c r="IP57" s="902">
        <v>3</v>
      </c>
      <c r="IQ57" s="903">
        <v>0</v>
      </c>
      <c r="IR57" s="993">
        <v>0</v>
      </c>
      <c r="IT57" s="435"/>
      <c r="IU57" s="435"/>
      <c r="IV57" s="435"/>
    </row>
    <row r="58" spans="1:256">
      <c r="A58" s="21">
        <v>56</v>
      </c>
      <c r="B58" s="9"/>
      <c r="C58" s="430" t="s">
        <v>93</v>
      </c>
      <c r="D58" s="423" t="s">
        <v>408</v>
      </c>
      <c r="E58" s="24" t="s">
        <v>17</v>
      </c>
      <c r="F58" s="76" t="s">
        <v>796</v>
      </c>
      <c r="G58" s="102" t="s">
        <v>492</v>
      </c>
      <c r="H58" s="251" t="s">
        <v>2242</v>
      </c>
      <c r="I58" s="95" t="s">
        <v>2241</v>
      </c>
      <c r="J58" s="176">
        <v>2</v>
      </c>
      <c r="K58" s="88">
        <v>1918</v>
      </c>
      <c r="L58" s="371">
        <v>1</v>
      </c>
      <c r="M58" s="240" t="s">
        <v>2240</v>
      </c>
      <c r="N58" s="172" t="s">
        <v>2036</v>
      </c>
      <c r="O58" s="365" t="s">
        <v>3027</v>
      </c>
      <c r="P58" s="377" t="s">
        <v>1979</v>
      </c>
      <c r="Q58" s="370">
        <v>2</v>
      </c>
      <c r="R58" s="370">
        <v>1993</v>
      </c>
      <c r="S58" s="234" t="s">
        <v>2065</v>
      </c>
      <c r="T58" s="176">
        <v>1</v>
      </c>
      <c r="U58" s="370">
        <v>2</v>
      </c>
      <c r="V58" s="176">
        <v>15</v>
      </c>
      <c r="W58" s="369" t="s">
        <v>2036</v>
      </c>
      <c r="X58" s="170">
        <v>1</v>
      </c>
      <c r="Y58" s="369">
        <v>1</v>
      </c>
      <c r="Z58" s="273" t="s">
        <v>2015</v>
      </c>
      <c r="AA58" s="1098"/>
      <c r="AB58" s="177">
        <v>1</v>
      </c>
      <c r="AC58" s="171">
        <v>1</v>
      </c>
      <c r="AD58" s="366" t="s">
        <v>3026</v>
      </c>
      <c r="AE58" s="357">
        <v>2002</v>
      </c>
      <c r="AF58" s="804">
        <v>3</v>
      </c>
      <c r="AG58" s="55">
        <v>4</v>
      </c>
      <c r="AH58" s="355" t="s">
        <v>3028</v>
      </c>
      <c r="AI58" s="55">
        <v>1</v>
      </c>
      <c r="AJ58" s="55">
        <v>1</v>
      </c>
      <c r="AK58" s="590" t="s">
        <v>145</v>
      </c>
      <c r="AL58" s="386">
        <v>5</v>
      </c>
      <c r="AM58" s="361" t="s">
        <v>3029</v>
      </c>
      <c r="AN58" s="793">
        <v>4</v>
      </c>
      <c r="AO58" s="170">
        <v>0</v>
      </c>
      <c r="AP58" s="172">
        <v>0</v>
      </c>
      <c r="AQ58" s="365" t="s">
        <v>5218</v>
      </c>
      <c r="AR58" s="377" t="s">
        <v>4934</v>
      </c>
      <c r="AS58" s="55">
        <v>2</v>
      </c>
      <c r="AT58" s="370">
        <v>3</v>
      </c>
      <c r="AU58" s="371">
        <v>2007</v>
      </c>
      <c r="AV58" s="370">
        <v>5</v>
      </c>
      <c r="AW58" s="589">
        <v>200</v>
      </c>
      <c r="AX58" s="687">
        <v>1</v>
      </c>
      <c r="AY58" s="174" t="s">
        <v>4355</v>
      </c>
      <c r="AZ58" s="550">
        <v>1999</v>
      </c>
      <c r="BA58" s="550">
        <v>1</v>
      </c>
      <c r="BB58" s="550">
        <v>1</v>
      </c>
      <c r="BC58" s="174" t="s">
        <v>5323</v>
      </c>
      <c r="BD58" s="550">
        <v>2007</v>
      </c>
      <c r="BE58" s="550">
        <v>0</v>
      </c>
      <c r="BF58" s="367" t="s">
        <v>145</v>
      </c>
      <c r="BG58" s="367">
        <v>1</v>
      </c>
      <c r="BH58" s="1" t="s">
        <v>4356</v>
      </c>
      <c r="BI58" s="367">
        <v>3</v>
      </c>
      <c r="BJ58" s="367">
        <v>1</v>
      </c>
      <c r="BK58" s="888">
        <v>1312.558</v>
      </c>
      <c r="BL58" s="925">
        <f t="shared" si="46"/>
        <v>53.196887299456485</v>
      </c>
      <c r="BM58" s="888">
        <v>614.31799999999998</v>
      </c>
      <c r="BN58" s="920">
        <v>698.24</v>
      </c>
      <c r="BO58" s="888">
        <v>71.963999999999999</v>
      </c>
      <c r="BP58" s="1158">
        <f t="shared" si="17"/>
        <v>48.834139291868155</v>
      </c>
      <c r="BQ58" s="917">
        <v>36.820999999999998</v>
      </c>
      <c r="BR58" s="920">
        <v>35.143000000000001</v>
      </c>
      <c r="BS58" s="888">
        <v>76.92</v>
      </c>
      <c r="BT58" s="1158">
        <f t="shared" si="18"/>
        <v>48.330733229329176</v>
      </c>
      <c r="BU58" s="917">
        <v>39.744</v>
      </c>
      <c r="BV58" s="920">
        <v>37.176000000000002</v>
      </c>
      <c r="BW58" s="888">
        <v>62.277999999999999</v>
      </c>
      <c r="BX58" s="1158">
        <f t="shared" si="19"/>
        <v>48.699380198464951</v>
      </c>
      <c r="BY58" s="917">
        <v>31.949000000000002</v>
      </c>
      <c r="BZ58" s="920">
        <v>30.329000000000001</v>
      </c>
      <c r="CA58" s="888">
        <f t="shared" si="20"/>
        <v>1101.396</v>
      </c>
      <c r="CB58" s="1158">
        <f t="shared" si="21"/>
        <v>54.07609978608965</v>
      </c>
      <c r="CC58" s="917">
        <f t="shared" si="22"/>
        <v>505.80399999999992</v>
      </c>
      <c r="CD58" s="920">
        <f t="shared" si="23"/>
        <v>595.59199999999998</v>
      </c>
      <c r="CE58" s="914">
        <v>2015</v>
      </c>
      <c r="CF58" s="910" t="s">
        <v>5630</v>
      </c>
      <c r="CG58" s="930">
        <v>100</v>
      </c>
      <c r="CH58" s="1005">
        <v>100</v>
      </c>
      <c r="CI58" s="1006">
        <v>100</v>
      </c>
      <c r="CJ58" s="904" t="s">
        <v>1621</v>
      </c>
      <c r="CK58" s="904" t="s">
        <v>1621</v>
      </c>
      <c r="CL58" s="904">
        <v>2011</v>
      </c>
      <c r="CM58" s="905" t="s">
        <v>5578</v>
      </c>
      <c r="CN58" s="1044">
        <v>899.79300000000001</v>
      </c>
      <c r="CO58" s="1045">
        <f t="shared" si="47"/>
        <v>68.552627769591908</v>
      </c>
      <c r="CP58" s="1040">
        <f>IF(OR(CZ58=1,CZ58=10),CN58*(1-BL58/100),IF(DA58=6,CN58*(1-BL58/100),CN58*(1-CB58/100)))</f>
        <v>421.13113186160149</v>
      </c>
      <c r="CQ58" s="1041">
        <f>IF(OR(CZ58=1,CZ58=10),CN58*BL58/100,IF(DA58=6,CN58*BL58/100,CN58*CB58/100))</f>
        <v>478.66186813839852</v>
      </c>
      <c r="CR58" s="1046">
        <v>2015</v>
      </c>
      <c r="CS58" s="1047" t="s">
        <v>5642</v>
      </c>
      <c r="CT58" s="1068">
        <f t="shared" si="48"/>
        <v>15</v>
      </c>
      <c r="CU58" s="1071">
        <v>18</v>
      </c>
      <c r="CV58" s="1068" t="s">
        <v>5898</v>
      </c>
      <c r="CW58" s="1113">
        <v>899.79300000000001</v>
      </c>
      <c r="CX58" s="1113">
        <v>1017.053</v>
      </c>
      <c r="CY58" s="1113">
        <v>1249.3119999999999</v>
      </c>
      <c r="CZ58" s="494">
        <v>1</v>
      </c>
      <c r="DA58" s="1104">
        <v>2</v>
      </c>
      <c r="DB58" s="1050" t="s">
        <v>647</v>
      </c>
      <c r="DC58" s="1146" t="s">
        <v>322</v>
      </c>
      <c r="DD58" s="982">
        <f t="shared" si="34"/>
        <v>201.60299999999995</v>
      </c>
      <c r="DE58" s="979">
        <f t="shared" si="49"/>
        <v>15.359549825607703</v>
      </c>
      <c r="DF58" s="979">
        <f t="shared" si="35"/>
        <v>58.000194372901937</v>
      </c>
      <c r="DG58" s="983">
        <f t="shared" si="36"/>
        <v>84.672868138398428</v>
      </c>
      <c r="DH58" s="983">
        <f t="shared" si="37"/>
        <v>116.93013186160147</v>
      </c>
      <c r="DI58" s="979">
        <f t="shared" si="50"/>
        <v>13.783230857373288</v>
      </c>
      <c r="DJ58" s="981">
        <f t="shared" si="51"/>
        <v>16.746409810609741</v>
      </c>
      <c r="DK58" s="984">
        <f t="shared" si="52"/>
        <v>201.60299999999995</v>
      </c>
      <c r="DL58" s="979">
        <f t="shared" si="38"/>
        <v>58.000194372901937</v>
      </c>
      <c r="DM58" s="983">
        <f t="shared" si="53"/>
        <v>84.672868138398428</v>
      </c>
      <c r="DN58" s="986">
        <f t="shared" si="54"/>
        <v>116.93013186160147</v>
      </c>
      <c r="DO58" s="984">
        <f t="shared" si="55"/>
        <v>0</v>
      </c>
      <c r="DP58" s="979">
        <f t="shared" si="39"/>
        <v>0</v>
      </c>
      <c r="DQ58" s="983">
        <f t="shared" si="28"/>
        <v>0</v>
      </c>
      <c r="DR58" s="986">
        <f t="shared" si="29"/>
        <v>0</v>
      </c>
      <c r="DS58" s="984">
        <f t="shared" si="56"/>
        <v>0</v>
      </c>
      <c r="DT58" s="339">
        <f t="shared" si="40"/>
        <v>0</v>
      </c>
      <c r="DU58" s="983">
        <f t="shared" si="30"/>
        <v>0</v>
      </c>
      <c r="DV58" s="986">
        <f t="shared" si="31"/>
        <v>0</v>
      </c>
      <c r="DW58" s="979">
        <f t="shared" si="32"/>
        <v>0</v>
      </c>
      <c r="DX58" s="981">
        <f t="shared" si="33"/>
        <v>0</v>
      </c>
      <c r="DY58" s="414">
        <v>0.46</v>
      </c>
      <c r="DZ58" s="111">
        <v>2004</v>
      </c>
      <c r="EA58" s="118" t="e">
        <f>#REF!*DY58/100</f>
        <v>#REF!</v>
      </c>
      <c r="EB58" s="123" t="s">
        <v>145</v>
      </c>
      <c r="EC58" s="113" t="s">
        <v>145</v>
      </c>
      <c r="ED58" s="20"/>
      <c r="EE58" s="414">
        <v>17.5</v>
      </c>
      <c r="EF58" s="121">
        <v>2010</v>
      </c>
      <c r="EG58" s="380">
        <v>99.862777709960895</v>
      </c>
      <c r="EH58" s="24" t="s">
        <v>336</v>
      </c>
      <c r="EI58" s="288">
        <v>0</v>
      </c>
      <c r="EJ58" s="40" t="s">
        <v>145</v>
      </c>
      <c r="EK58" s="35" t="s">
        <v>145</v>
      </c>
      <c r="EL58" s="95" t="s">
        <v>145</v>
      </c>
      <c r="EM58" s="95" t="s">
        <v>145</v>
      </c>
      <c r="EN58" s="35" t="s">
        <v>145</v>
      </c>
      <c r="EO58" s="95" t="s">
        <v>145</v>
      </c>
      <c r="EP58" s="205" t="s">
        <v>145</v>
      </c>
      <c r="EQ58" s="207" t="s">
        <v>145</v>
      </c>
      <c r="ER58" s="517" t="s">
        <v>145</v>
      </c>
      <c r="ES58" s="183"/>
      <c r="ET58" s="183"/>
      <c r="EU58" s="82"/>
      <c r="EV58" s="82"/>
      <c r="EW58" s="82"/>
      <c r="EX58" s="90"/>
      <c r="EY58" s="159"/>
      <c r="EZ58" s="156"/>
      <c r="FA58" s="323"/>
      <c r="FB58" s="323"/>
      <c r="FC58" s="323"/>
      <c r="FD58" s="160"/>
      <c r="FE58" s="156"/>
      <c r="FF58" s="156"/>
      <c r="FG58" s="156"/>
      <c r="FH58" s="157"/>
      <c r="FI58" s="242"/>
      <c r="FJ58" s="240"/>
      <c r="FK58" s="179"/>
      <c r="FL58" s="179"/>
      <c r="FM58" s="179"/>
      <c r="FN58" s="172"/>
      <c r="FO58" s="164"/>
      <c r="FP58" s="255">
        <v>2</v>
      </c>
      <c r="FQ58" s="183"/>
      <c r="FR58" s="257"/>
      <c r="FS58" s="82"/>
      <c r="FT58" s="259"/>
      <c r="FU58" s="82"/>
      <c r="FV58" s="259"/>
      <c r="FW58" s="82"/>
      <c r="FX58" s="259"/>
      <c r="FY58" s="82"/>
      <c r="FZ58" s="259"/>
      <c r="GA58" s="82"/>
      <c r="GB58" s="261"/>
      <c r="GC58" s="90"/>
      <c r="GD58" s="76">
        <v>1</v>
      </c>
      <c r="GE58" s="445" t="s">
        <v>3424</v>
      </c>
      <c r="GF58" s="447" t="s">
        <v>10</v>
      </c>
      <c r="GG58" s="448">
        <v>1</v>
      </c>
      <c r="GH58" s="449">
        <v>1</v>
      </c>
      <c r="GI58" s="447" t="s">
        <v>10</v>
      </c>
      <c r="GJ58" s="449">
        <v>8</v>
      </c>
      <c r="GK58" s="447">
        <v>1</v>
      </c>
      <c r="GL58" s="448">
        <v>3</v>
      </c>
      <c r="GM58" s="449">
        <v>4</v>
      </c>
      <c r="GN58" s="447" t="s">
        <v>10</v>
      </c>
      <c r="GO58" s="449">
        <v>16</v>
      </c>
      <c r="GP58" s="447">
        <v>5</v>
      </c>
      <c r="GQ58" s="448">
        <v>4</v>
      </c>
      <c r="GR58" s="449">
        <v>7</v>
      </c>
      <c r="GS58" s="446">
        <v>10</v>
      </c>
      <c r="GT58" s="461">
        <v>1.0942745208740234</v>
      </c>
      <c r="GU58" s="462">
        <v>0.72538304328918457</v>
      </c>
      <c r="GV58" s="462">
        <v>0.9840056300163269</v>
      </c>
      <c r="GW58" s="462">
        <v>1.4291390180587769</v>
      </c>
      <c r="GX58" s="462">
        <v>1.1649566888809204</v>
      </c>
      <c r="GY58" s="463">
        <v>1.1091399192810059</v>
      </c>
      <c r="GZ58" s="10">
        <v>15</v>
      </c>
      <c r="HA58" s="536">
        <v>0.81796000000000002</v>
      </c>
      <c r="HB58" s="536">
        <v>0.76470000000000005</v>
      </c>
      <c r="HC58" s="525">
        <v>0.77164999999999995</v>
      </c>
      <c r="HD58" s="526">
        <v>0.79337000000000002</v>
      </c>
      <c r="HE58" s="527">
        <v>0.88890000000000002</v>
      </c>
      <c r="HF58" s="10">
        <v>21</v>
      </c>
      <c r="HG58" s="532">
        <v>7.68</v>
      </c>
      <c r="HH58" s="545">
        <v>7.82</v>
      </c>
      <c r="HI58" s="546">
        <v>6.77</v>
      </c>
      <c r="HJ58" s="547">
        <v>9.2100000000000009</v>
      </c>
      <c r="HK58" s="379" t="s">
        <v>3991</v>
      </c>
      <c r="HL58" s="23" t="s">
        <v>4710</v>
      </c>
      <c r="HM58" s="557">
        <v>2003</v>
      </c>
      <c r="HN58" s="557">
        <v>2003</v>
      </c>
      <c r="HO58" s="557" t="s">
        <v>3985</v>
      </c>
      <c r="HP58" s="562" t="s">
        <v>4041</v>
      </c>
      <c r="HQ58" s="639" t="s">
        <v>4711</v>
      </c>
      <c r="HR58" s="563" t="s">
        <v>4042</v>
      </c>
      <c r="HS58" s="545">
        <v>36</v>
      </c>
      <c r="HT58" s="557">
        <v>94</v>
      </c>
      <c r="HU58" s="557">
        <v>2000</v>
      </c>
      <c r="HV58" s="583" t="s">
        <v>4190</v>
      </c>
      <c r="HW58" s="557">
        <v>5</v>
      </c>
      <c r="HX58" s="557">
        <v>20</v>
      </c>
      <c r="HY58" s="557">
        <v>24</v>
      </c>
      <c r="HZ58" s="557">
        <v>22</v>
      </c>
      <c r="IA58" s="557">
        <v>16</v>
      </c>
      <c r="IB58" s="557">
        <v>1</v>
      </c>
      <c r="IC58" s="547">
        <v>6</v>
      </c>
      <c r="ID58" s="40" t="s">
        <v>5199</v>
      </c>
      <c r="IE58" s="355" t="s">
        <v>5200</v>
      </c>
      <c r="IF58" s="355"/>
      <c r="IG58" s="553"/>
      <c r="IH58" s="115"/>
      <c r="II58" s="647" t="s">
        <v>4920</v>
      </c>
      <c r="IJ58" s="423" t="s">
        <v>4925</v>
      </c>
      <c r="IK58" s="10">
        <v>0</v>
      </c>
      <c r="IL58" s="749">
        <f t="shared" si="57"/>
        <v>20</v>
      </c>
      <c r="IM58" s="747">
        <f t="shared" si="58"/>
        <v>80</v>
      </c>
      <c r="IN58" s="750" t="str">
        <f t="shared" si="59"/>
        <v>A</v>
      </c>
      <c r="IO58" s="446"/>
      <c r="IP58" s="902">
        <v>2</v>
      </c>
      <c r="IQ58" s="903">
        <v>0</v>
      </c>
      <c r="IR58" s="993">
        <v>0</v>
      </c>
      <c r="IT58" s="435"/>
      <c r="IU58" s="435"/>
      <c r="IV58" s="435"/>
    </row>
    <row r="59" spans="1:256">
      <c r="A59" s="21">
        <v>57</v>
      </c>
      <c r="B59" s="9"/>
      <c r="C59" s="430" t="s">
        <v>94</v>
      </c>
      <c r="D59" s="423" t="s">
        <v>406</v>
      </c>
      <c r="E59" s="24" t="s">
        <v>9</v>
      </c>
      <c r="F59" s="76" t="s">
        <v>797</v>
      </c>
      <c r="G59" s="102" t="s">
        <v>497</v>
      </c>
      <c r="H59" s="375" t="s">
        <v>2246</v>
      </c>
      <c r="I59" s="364" t="s">
        <v>2243</v>
      </c>
      <c r="J59" s="176">
        <v>5</v>
      </c>
      <c r="K59" s="88">
        <v>2012</v>
      </c>
      <c r="L59" s="371">
        <v>2</v>
      </c>
      <c r="M59" s="240" t="s">
        <v>1825</v>
      </c>
      <c r="N59" s="353" t="s">
        <v>1822</v>
      </c>
      <c r="O59" s="96" t="s">
        <v>2932</v>
      </c>
      <c r="P59" s="362" t="s">
        <v>2929</v>
      </c>
      <c r="Q59" s="176">
        <v>1</v>
      </c>
      <c r="R59" s="176">
        <v>2012</v>
      </c>
      <c r="S59" s="234" t="s">
        <v>1961</v>
      </c>
      <c r="T59" s="176">
        <v>1</v>
      </c>
      <c r="U59" s="176">
        <v>2</v>
      </c>
      <c r="V59" s="176">
        <v>16</v>
      </c>
      <c r="W59" s="369" t="s">
        <v>2928</v>
      </c>
      <c r="X59" s="170">
        <v>1</v>
      </c>
      <c r="Y59" s="369">
        <v>0</v>
      </c>
      <c r="Z59" s="271"/>
      <c r="AA59" s="169">
        <v>1</v>
      </c>
      <c r="AB59" s="177">
        <v>1</v>
      </c>
      <c r="AC59" s="171"/>
      <c r="AD59" s="376" t="s">
        <v>145</v>
      </c>
      <c r="AE59" s="355" t="s">
        <v>145</v>
      </c>
      <c r="AF59" s="357">
        <v>0</v>
      </c>
      <c r="AG59" s="550">
        <v>1</v>
      </c>
      <c r="AH59" s="355" t="s">
        <v>145</v>
      </c>
      <c r="AI59" s="550" t="s">
        <v>145</v>
      </c>
      <c r="AJ59" s="550" t="s">
        <v>145</v>
      </c>
      <c r="AK59" s="590" t="s">
        <v>145</v>
      </c>
      <c r="AL59" s="55">
        <v>0</v>
      </c>
      <c r="AM59" s="360" t="s">
        <v>145</v>
      </c>
      <c r="AN59" s="793" t="s">
        <v>145</v>
      </c>
      <c r="AO59" s="170">
        <v>0</v>
      </c>
      <c r="AP59" s="172">
        <v>0</v>
      </c>
      <c r="AQ59" s="365" t="s">
        <v>5219</v>
      </c>
      <c r="AR59" s="378" t="s">
        <v>4934</v>
      </c>
      <c r="AS59" s="55">
        <v>2</v>
      </c>
      <c r="AT59" s="370">
        <v>3</v>
      </c>
      <c r="AU59" s="371">
        <v>2010</v>
      </c>
      <c r="AV59" s="370">
        <v>5</v>
      </c>
      <c r="AW59" s="589" t="s">
        <v>145</v>
      </c>
      <c r="AX59" s="687">
        <v>0</v>
      </c>
      <c r="AY59" s="174" t="s">
        <v>4357</v>
      </c>
      <c r="AZ59" s="550">
        <v>2010</v>
      </c>
      <c r="BA59" s="550">
        <v>0</v>
      </c>
      <c r="BB59" s="550">
        <v>1</v>
      </c>
      <c r="BC59" s="174" t="s">
        <v>4358</v>
      </c>
      <c r="BD59" s="550">
        <v>1997</v>
      </c>
      <c r="BE59" s="550">
        <v>0</v>
      </c>
      <c r="BF59" s="371" t="s">
        <v>145</v>
      </c>
      <c r="BG59" s="367">
        <v>0</v>
      </c>
      <c r="BH59" s="56" t="s">
        <v>145</v>
      </c>
      <c r="BI59" s="367">
        <v>0</v>
      </c>
      <c r="BJ59" s="367">
        <v>1</v>
      </c>
      <c r="BK59" s="888">
        <v>99390.75</v>
      </c>
      <c r="BL59" s="925">
        <f t="shared" si="46"/>
        <v>50.088301979812009</v>
      </c>
      <c r="BM59" s="888">
        <v>49607.610999999997</v>
      </c>
      <c r="BN59" s="920">
        <v>49783.139000000003</v>
      </c>
      <c r="BO59" s="888">
        <v>14601.687</v>
      </c>
      <c r="BP59" s="1158">
        <f t="shared" si="17"/>
        <v>49.316493361349274</v>
      </c>
      <c r="BQ59" s="917">
        <v>7400.6469999999999</v>
      </c>
      <c r="BR59" s="920">
        <v>7201.04</v>
      </c>
      <c r="BS59" s="888">
        <v>13612.096</v>
      </c>
      <c r="BT59" s="1158">
        <f t="shared" si="18"/>
        <v>49.437485601041899</v>
      </c>
      <c r="BU59" s="917">
        <v>6882.6180000000004</v>
      </c>
      <c r="BV59" s="920">
        <v>6729.4780000000001</v>
      </c>
      <c r="BW59" s="888">
        <v>12973.97</v>
      </c>
      <c r="BX59" s="1158">
        <f t="shared" si="19"/>
        <v>49.51973066069985</v>
      </c>
      <c r="BY59" s="917">
        <v>6549.2950000000001</v>
      </c>
      <c r="BZ59" s="920">
        <v>6424.6750000000002</v>
      </c>
      <c r="CA59" s="888">
        <f t="shared" si="20"/>
        <v>58202.996999999988</v>
      </c>
      <c r="CB59" s="1158">
        <f t="shared" si="21"/>
        <v>50.560877475089484</v>
      </c>
      <c r="CC59" s="917">
        <f t="shared" si="22"/>
        <v>28775.050999999999</v>
      </c>
      <c r="CD59" s="920">
        <f t="shared" si="23"/>
        <v>29427.946</v>
      </c>
      <c r="CE59" s="914">
        <v>2015</v>
      </c>
      <c r="CF59" s="910" t="s">
        <v>5630</v>
      </c>
      <c r="CG59" s="1026">
        <v>6.6</v>
      </c>
      <c r="CH59" s="495">
        <v>6.4</v>
      </c>
      <c r="CI59" s="497">
        <v>6.9</v>
      </c>
      <c r="CJ59" s="904">
        <v>28.9</v>
      </c>
      <c r="CK59" s="904">
        <v>4.9000000000000004</v>
      </c>
      <c r="CL59" s="904">
        <v>2005</v>
      </c>
      <c r="CM59" s="905" t="s">
        <v>5575</v>
      </c>
      <c r="CN59" s="1044">
        <v>36851.461000000003</v>
      </c>
      <c r="CO59" s="1045">
        <f t="shared" si="47"/>
        <v>37.077354784021651</v>
      </c>
      <c r="CP59" s="1040">
        <f>IF(OR(CZ59=1,CZ59=10),CN59*(1-BL59/100),IF(DA59=6,CN59*(1-BL59/100),CN59*(1-CB59/100)))</f>
        <v>18393.189930347351</v>
      </c>
      <c r="CQ59" s="1041">
        <f>IF(OR(CZ59=1,CZ59=10),CN59*BL59/100,IF(DA59=6,CN59*BL59/100,CN59*CB59/100))</f>
        <v>18458.271069652652</v>
      </c>
      <c r="CR59" s="1046">
        <v>2015</v>
      </c>
      <c r="CS59" s="1047" t="s">
        <v>5765</v>
      </c>
      <c r="CT59" s="1068">
        <f t="shared" si="48"/>
        <v>16</v>
      </c>
      <c r="CU59" s="1071">
        <v>17</v>
      </c>
      <c r="CV59" s="1068" t="s">
        <v>5899</v>
      </c>
      <c r="CW59" s="1113">
        <v>36851.461000000003</v>
      </c>
      <c r="CX59" s="1113">
        <v>49011.364000000001</v>
      </c>
      <c r="CY59" s="1113">
        <v>99465.819000000003</v>
      </c>
      <c r="CZ59" s="494">
        <v>1</v>
      </c>
      <c r="DA59" s="1104">
        <v>5</v>
      </c>
      <c r="DB59" s="1050" t="s">
        <v>5753</v>
      </c>
      <c r="DC59" s="1143" t="s">
        <v>320</v>
      </c>
      <c r="DD59" s="978">
        <f t="shared" si="34"/>
        <v>59820.897301999983</v>
      </c>
      <c r="DE59" s="979">
        <f t="shared" si="49"/>
        <v>60.187590195264626</v>
      </c>
      <c r="DF59" s="979">
        <f t="shared" si="35"/>
        <v>50.016567725985993</v>
      </c>
      <c r="DG59" s="980">
        <f t="shared" si="36"/>
        <v>29881.137229652646</v>
      </c>
      <c r="DH59" s="980">
        <f t="shared" si="37"/>
        <v>29920.359613347347</v>
      </c>
      <c r="DI59" s="979">
        <f t="shared" si="50"/>
        <v>60.234985372814364</v>
      </c>
      <c r="DJ59" s="981">
        <f t="shared" si="51"/>
        <v>60.101392186915625</v>
      </c>
      <c r="DK59" s="984">
        <f t="shared" si="52"/>
        <v>21351.535999999986</v>
      </c>
      <c r="DL59" s="979">
        <f t="shared" si="38"/>
        <v>51.376514225240541</v>
      </c>
      <c r="DM59" s="980">
        <f t="shared" si="53"/>
        <v>10381.861069652648</v>
      </c>
      <c r="DN59" s="985">
        <f t="shared" si="54"/>
        <v>10969.674930347348</v>
      </c>
      <c r="DO59" s="984">
        <f t="shared" si="55"/>
        <v>24831.385643999998</v>
      </c>
      <c r="DP59" s="979">
        <f t="shared" si="39"/>
        <v>49.318699401533891</v>
      </c>
      <c r="DQ59" s="980">
        <f t="shared" si="28"/>
        <v>12572.270568</v>
      </c>
      <c r="DR59" s="985">
        <f t="shared" si="29"/>
        <v>12246.516443</v>
      </c>
      <c r="DS59" s="984">
        <f t="shared" si="56"/>
        <v>13637.975657999999</v>
      </c>
      <c r="DT59" s="339">
        <f t="shared" si="40"/>
        <v>49.158089207083698</v>
      </c>
      <c r="DU59" s="980">
        <f t="shared" si="30"/>
        <v>6927.0055919999995</v>
      </c>
      <c r="DV59" s="985">
        <f t="shared" si="31"/>
        <v>6704.16824</v>
      </c>
      <c r="DW59" s="979">
        <f t="shared" si="32"/>
        <v>93.6</v>
      </c>
      <c r="DX59" s="981">
        <f t="shared" si="33"/>
        <v>93.100000000000009</v>
      </c>
      <c r="DY59" s="414">
        <v>30.65</v>
      </c>
      <c r="DZ59" s="111">
        <v>2011</v>
      </c>
      <c r="EA59" s="118">
        <v>26013.418434000003</v>
      </c>
      <c r="EB59" s="123">
        <v>29.6</v>
      </c>
      <c r="EC59" s="113">
        <v>2011</v>
      </c>
      <c r="ED59" s="20">
        <v>25081.341552000005</v>
      </c>
      <c r="EE59" s="414">
        <v>39</v>
      </c>
      <c r="EF59" s="111">
        <v>2012</v>
      </c>
      <c r="EG59" s="380">
        <v>38.995983123779297</v>
      </c>
      <c r="EH59" s="24" t="s">
        <v>335</v>
      </c>
      <c r="EI59" s="287">
        <v>1</v>
      </c>
      <c r="EJ59" s="40">
        <v>1</v>
      </c>
      <c r="EK59" s="35" t="s">
        <v>728</v>
      </c>
      <c r="EL59" s="95" t="s">
        <v>1638</v>
      </c>
      <c r="EM59" s="95" t="s">
        <v>1641</v>
      </c>
      <c r="EN59" s="35" t="s">
        <v>728</v>
      </c>
      <c r="EO59" s="95" t="s">
        <v>1646</v>
      </c>
      <c r="EP59" s="205">
        <v>7.0000000000000007E-2</v>
      </c>
      <c r="EQ59" s="207" t="s">
        <v>145</v>
      </c>
      <c r="ER59" s="517">
        <v>4</v>
      </c>
      <c r="ES59" s="183" t="s">
        <v>145</v>
      </c>
      <c r="ET59" s="183" t="s">
        <v>3910</v>
      </c>
      <c r="EU59" s="82" t="s">
        <v>3838</v>
      </c>
      <c r="EV59" s="82" t="s">
        <v>145</v>
      </c>
      <c r="EW59" s="82" t="s">
        <v>3814</v>
      </c>
      <c r="EX59" s="360" t="s">
        <v>3911</v>
      </c>
      <c r="EY59" s="159"/>
      <c r="EZ59" s="156"/>
      <c r="FA59" s="323"/>
      <c r="FB59" s="323"/>
      <c r="FC59" s="323"/>
      <c r="FD59" s="160"/>
      <c r="FE59" s="156"/>
      <c r="FF59" s="156"/>
      <c r="FG59" s="156"/>
      <c r="FH59" s="157"/>
      <c r="FI59" s="242"/>
      <c r="FJ59" s="240"/>
      <c r="FK59" s="179"/>
      <c r="FL59" s="179"/>
      <c r="FM59" s="179"/>
      <c r="FN59" s="172"/>
      <c r="FO59" s="164"/>
      <c r="FP59" s="255"/>
      <c r="FQ59" s="183"/>
      <c r="FR59" s="257"/>
      <c r="FS59" s="82"/>
      <c r="FT59" s="259"/>
      <c r="FU59" s="82"/>
      <c r="FV59" s="259"/>
      <c r="FW59" s="82"/>
      <c r="FX59" s="259"/>
      <c r="FY59" s="82"/>
      <c r="FZ59" s="259"/>
      <c r="GA59" s="82"/>
      <c r="GB59" s="261">
        <v>1</v>
      </c>
      <c r="GC59" s="90" t="s">
        <v>1879</v>
      </c>
      <c r="GD59" s="76">
        <v>1</v>
      </c>
      <c r="GE59" s="445" t="s">
        <v>3424</v>
      </c>
      <c r="GF59" s="447" t="s">
        <v>580</v>
      </c>
      <c r="GG59" s="448">
        <v>6</v>
      </c>
      <c r="GH59" s="449">
        <v>6</v>
      </c>
      <c r="GI59" s="447" t="s">
        <v>580</v>
      </c>
      <c r="GJ59" s="449">
        <v>80</v>
      </c>
      <c r="GK59" s="447">
        <v>23</v>
      </c>
      <c r="GL59" s="448">
        <v>28</v>
      </c>
      <c r="GM59" s="449">
        <v>29</v>
      </c>
      <c r="GN59" s="447" t="s">
        <v>580</v>
      </c>
      <c r="GO59" s="449">
        <v>81</v>
      </c>
      <c r="GP59" s="447">
        <v>27</v>
      </c>
      <c r="GQ59" s="448">
        <v>35</v>
      </c>
      <c r="GR59" s="449">
        <v>19</v>
      </c>
      <c r="GS59" s="446">
        <v>4</v>
      </c>
      <c r="GT59" s="461">
        <v>-1.2928982973098755</v>
      </c>
      <c r="GU59" s="462">
        <v>-1.394188404083252</v>
      </c>
      <c r="GV59" s="462">
        <v>-0.51946473121643066</v>
      </c>
      <c r="GW59" s="462">
        <v>-1.1341695785522461</v>
      </c>
      <c r="GX59" s="462">
        <v>-0.62172514200210571</v>
      </c>
      <c r="GY59" s="463">
        <v>-0.50280857086181641</v>
      </c>
      <c r="GZ59" s="10">
        <v>157</v>
      </c>
      <c r="HA59" s="536">
        <v>0.25888</v>
      </c>
      <c r="HB59" s="536">
        <v>0.25490000000000002</v>
      </c>
      <c r="HC59" s="525">
        <v>0.45668999999999998</v>
      </c>
      <c r="HD59" s="526">
        <v>2.6589999999999999E-2</v>
      </c>
      <c r="HE59" s="527">
        <v>0.29339999999999999</v>
      </c>
      <c r="HF59" s="10">
        <v>162</v>
      </c>
      <c r="HG59" s="532">
        <v>1.31</v>
      </c>
      <c r="HH59" s="545">
        <v>1.87</v>
      </c>
      <c r="HI59" s="546">
        <v>0.24</v>
      </c>
      <c r="HJ59" s="547">
        <v>2.35</v>
      </c>
      <c r="HK59" s="379" t="s">
        <v>145</v>
      </c>
      <c r="HL59" s="362" t="s">
        <v>145</v>
      </c>
      <c r="HM59" s="557" t="s">
        <v>145</v>
      </c>
      <c r="HN59" s="557" t="s">
        <v>145</v>
      </c>
      <c r="HO59" s="557" t="s">
        <v>145</v>
      </c>
      <c r="HP59" s="562" t="s">
        <v>145</v>
      </c>
      <c r="HQ59" s="562" t="s">
        <v>145</v>
      </c>
      <c r="HR59" s="563" t="s">
        <v>145</v>
      </c>
      <c r="HS59" s="545">
        <v>14</v>
      </c>
      <c r="HT59" s="557">
        <v>112</v>
      </c>
      <c r="HU59" s="557">
        <v>2008</v>
      </c>
      <c r="HV59" s="583" t="s">
        <v>4191</v>
      </c>
      <c r="HW59" s="557">
        <v>5</v>
      </c>
      <c r="HX59" s="557">
        <v>25</v>
      </c>
      <c r="HY59" s="557">
        <v>19</v>
      </c>
      <c r="HZ59" s="557">
        <v>18</v>
      </c>
      <c r="IA59" s="557">
        <v>25</v>
      </c>
      <c r="IB59" s="557">
        <v>6</v>
      </c>
      <c r="IC59" s="547">
        <v>14</v>
      </c>
      <c r="ID59" s="40"/>
      <c r="IE59" s="550"/>
      <c r="IF59" s="550"/>
      <c r="IG59" s="553"/>
      <c r="IH59" s="115"/>
      <c r="II59" s="647" t="s">
        <v>4921</v>
      </c>
      <c r="IJ59" s="423" t="s">
        <v>4918</v>
      </c>
      <c r="IK59" s="10">
        <v>0</v>
      </c>
      <c r="IL59" s="749">
        <f t="shared" si="57"/>
        <v>10</v>
      </c>
      <c r="IM59" s="747">
        <f t="shared" si="58"/>
        <v>40</v>
      </c>
      <c r="IN59" s="750" t="str">
        <f t="shared" si="59"/>
        <v>C</v>
      </c>
      <c r="IO59" s="446">
        <v>1</v>
      </c>
      <c r="IP59" s="902">
        <v>5</v>
      </c>
      <c r="IQ59" s="903">
        <v>0</v>
      </c>
      <c r="IR59" s="993">
        <v>0</v>
      </c>
      <c r="IT59" s="435"/>
      <c r="IU59" s="435"/>
      <c r="IV59" s="435"/>
    </row>
    <row r="60" spans="1:256">
      <c r="A60" s="21">
        <v>58</v>
      </c>
      <c r="B60" s="9"/>
      <c r="C60" s="430" t="s">
        <v>96</v>
      </c>
      <c r="D60" s="424" t="s">
        <v>407</v>
      </c>
      <c r="E60" s="697" t="s">
        <v>12</v>
      </c>
      <c r="F60" s="76" t="s">
        <v>798</v>
      </c>
      <c r="G60" s="102" t="s">
        <v>499</v>
      </c>
      <c r="H60" s="375" t="s">
        <v>3179</v>
      </c>
      <c r="I60" s="364" t="s">
        <v>2245</v>
      </c>
      <c r="J60" s="176">
        <v>1</v>
      </c>
      <c r="K60" s="88">
        <v>1874</v>
      </c>
      <c r="L60" s="371">
        <v>2</v>
      </c>
      <c r="M60" s="240" t="s">
        <v>2244</v>
      </c>
      <c r="N60" s="369" t="s">
        <v>1822</v>
      </c>
      <c r="O60" s="365" t="s">
        <v>3180</v>
      </c>
      <c r="P60" s="378" t="s">
        <v>3182</v>
      </c>
      <c r="Q60" s="370">
        <v>6</v>
      </c>
      <c r="R60" s="176">
        <v>2013</v>
      </c>
      <c r="S60" s="234" t="s">
        <v>3181</v>
      </c>
      <c r="T60" s="176">
        <v>1</v>
      </c>
      <c r="U60" s="176">
        <v>2</v>
      </c>
      <c r="V60" s="176">
        <v>18</v>
      </c>
      <c r="W60" s="369" t="s">
        <v>1822</v>
      </c>
      <c r="X60" s="170">
        <v>0</v>
      </c>
      <c r="Y60" s="369">
        <v>0</v>
      </c>
      <c r="Z60" s="271"/>
      <c r="AA60" s="169">
        <v>1</v>
      </c>
      <c r="AB60" s="177">
        <v>1</v>
      </c>
      <c r="AC60" s="171"/>
      <c r="AD60" s="366" t="s">
        <v>3183</v>
      </c>
      <c r="AE60" s="355">
        <v>2013</v>
      </c>
      <c r="AF60" s="357">
        <v>2</v>
      </c>
      <c r="AG60" s="55">
        <v>4</v>
      </c>
      <c r="AH60" s="355" t="s">
        <v>3184</v>
      </c>
      <c r="AI60" s="55">
        <v>0</v>
      </c>
      <c r="AJ60" s="55">
        <v>0</v>
      </c>
      <c r="AK60" s="589">
        <v>700</v>
      </c>
      <c r="AL60" s="391">
        <v>9</v>
      </c>
      <c r="AM60" s="361" t="s">
        <v>3180</v>
      </c>
      <c r="AN60" s="793" t="s">
        <v>145</v>
      </c>
      <c r="AO60" s="170">
        <v>0</v>
      </c>
      <c r="AP60" s="172">
        <v>0</v>
      </c>
      <c r="AQ60" s="365" t="s">
        <v>5366</v>
      </c>
      <c r="AR60" s="362" t="s">
        <v>5265</v>
      </c>
      <c r="AS60" s="55">
        <v>1</v>
      </c>
      <c r="AT60" s="370">
        <v>2</v>
      </c>
      <c r="AU60" s="371">
        <v>2012</v>
      </c>
      <c r="AV60" s="370">
        <v>5</v>
      </c>
      <c r="AW60" s="589" t="s">
        <v>145</v>
      </c>
      <c r="AX60" s="687">
        <v>0</v>
      </c>
      <c r="AY60" s="174" t="s">
        <v>4359</v>
      </c>
      <c r="AZ60" s="550">
        <v>2008</v>
      </c>
      <c r="BA60" s="550">
        <v>1</v>
      </c>
      <c r="BB60" s="550">
        <v>1</v>
      </c>
      <c r="BC60" s="174" t="s">
        <v>4442</v>
      </c>
      <c r="BD60" s="550">
        <v>2010</v>
      </c>
      <c r="BE60" s="550">
        <v>0</v>
      </c>
      <c r="BF60" s="371" t="s">
        <v>145</v>
      </c>
      <c r="BG60" s="371">
        <v>1</v>
      </c>
      <c r="BH60" s="1" t="s">
        <v>4360</v>
      </c>
      <c r="BI60" s="371">
        <v>0</v>
      </c>
      <c r="BJ60" s="371">
        <v>1</v>
      </c>
      <c r="BK60" s="888">
        <v>892.14499999999998</v>
      </c>
      <c r="BL60" s="925">
        <f t="shared" si="46"/>
        <v>49.153220608757543</v>
      </c>
      <c r="BM60" s="888">
        <v>453.62700000000001</v>
      </c>
      <c r="BN60" s="920">
        <v>438.51799999999997</v>
      </c>
      <c r="BO60" s="888">
        <v>88.08</v>
      </c>
      <c r="BP60" s="1158">
        <f t="shared" si="17"/>
        <v>48.616030881017259</v>
      </c>
      <c r="BQ60" s="917">
        <v>45.259</v>
      </c>
      <c r="BR60" s="920">
        <v>42.820999999999998</v>
      </c>
      <c r="BS60" s="888">
        <v>88.025000000000006</v>
      </c>
      <c r="BT60" s="1158">
        <f t="shared" si="18"/>
        <v>48.428287418347054</v>
      </c>
      <c r="BU60" s="917">
        <v>45.396000000000001</v>
      </c>
      <c r="BV60" s="920">
        <v>42.628999999999998</v>
      </c>
      <c r="BW60" s="888">
        <v>80.338999999999999</v>
      </c>
      <c r="BX60" s="1158">
        <f t="shared" si="19"/>
        <v>48.209462403067008</v>
      </c>
      <c r="BY60" s="917">
        <v>41.607999999999997</v>
      </c>
      <c r="BZ60" s="920">
        <v>38.731000000000002</v>
      </c>
      <c r="CA60" s="888">
        <f t="shared" si="20"/>
        <v>635.70100000000002</v>
      </c>
      <c r="CB60" s="1158">
        <f t="shared" si="21"/>
        <v>49.44730305599645</v>
      </c>
      <c r="CC60" s="917">
        <f t="shared" si="22"/>
        <v>321.36399999999998</v>
      </c>
      <c r="CD60" s="920">
        <f t="shared" si="23"/>
        <v>314.33699999999999</v>
      </c>
      <c r="CE60" s="914">
        <v>2015</v>
      </c>
      <c r="CF60" s="910" t="s">
        <v>5630</v>
      </c>
      <c r="CG60" s="931">
        <v>90</v>
      </c>
      <c r="CH60" s="504">
        <v>90</v>
      </c>
      <c r="CI60" s="1008">
        <v>90</v>
      </c>
      <c r="CJ60" s="904" t="s">
        <v>1621</v>
      </c>
      <c r="CK60" s="904" t="s">
        <v>1621</v>
      </c>
      <c r="CL60" s="906">
        <v>2013</v>
      </c>
      <c r="CM60" s="1002" t="s">
        <v>5706</v>
      </c>
      <c r="CN60" s="1044">
        <v>591.101</v>
      </c>
      <c r="CO60" s="1045">
        <f t="shared" si="47"/>
        <v>66.256157911550247</v>
      </c>
      <c r="CP60" s="1040">
        <f>IF(OR(CZ60=1,CZ60=10),CN60*(1-BL60/100),IF(DA60=6,CN60*(1-BL60/100),CN60*(1-CB60/100)))</f>
        <v>300.55582144942809</v>
      </c>
      <c r="CQ60" s="1041">
        <f>IF(OR(CZ60=1,CZ60=10),CN60*BL60/100,IF(DA60=6,CN60*BL60/100,CN60*CB60/100))</f>
        <v>290.5451785505719</v>
      </c>
      <c r="CR60" s="1046">
        <v>2014</v>
      </c>
      <c r="CS60" s="1047" t="s">
        <v>5842</v>
      </c>
      <c r="CT60" s="1068">
        <f t="shared" si="48"/>
        <v>18</v>
      </c>
      <c r="CU60" s="1071">
        <v>18</v>
      </c>
      <c r="CV60" s="1068" t="s">
        <v>5900</v>
      </c>
      <c r="CW60" s="1113">
        <v>591.101</v>
      </c>
      <c r="CX60" s="1113">
        <v>602.40499999999997</v>
      </c>
      <c r="CY60" s="1113">
        <v>903.20699999999999</v>
      </c>
      <c r="CZ60" s="494">
        <v>1</v>
      </c>
      <c r="DA60" s="1104">
        <v>4</v>
      </c>
      <c r="DB60" s="1050" t="s">
        <v>647</v>
      </c>
      <c r="DC60" s="1146" t="s">
        <v>322</v>
      </c>
      <c r="DD60" s="982">
        <f t="shared" si="34"/>
        <v>70.244400000000013</v>
      </c>
      <c r="DE60" s="979">
        <f t="shared" si="49"/>
        <v>7.8736528254936156</v>
      </c>
      <c r="DF60" s="979">
        <f t="shared" si="35"/>
        <v>51.548481372789965</v>
      </c>
      <c r="DG60" s="983">
        <f t="shared" si="36"/>
        <v>34.034478550571876</v>
      </c>
      <c r="DH60" s="983">
        <f t="shared" si="37"/>
        <v>36.20992144942808</v>
      </c>
      <c r="DI60" s="979">
        <f t="shared" si="50"/>
        <v>7.5027453283362497</v>
      </c>
      <c r="DJ60" s="981">
        <f t="shared" si="51"/>
        <v>8.2573398240045055</v>
      </c>
      <c r="DK60" s="984">
        <f t="shared" si="52"/>
        <v>44.600000000000023</v>
      </c>
      <c r="DL60" s="979">
        <f t="shared" si="38"/>
        <v>53.34489114221541</v>
      </c>
      <c r="DM60" s="983">
        <f t="shared" si="53"/>
        <v>20.808178550571881</v>
      </c>
      <c r="DN60" s="986">
        <f t="shared" si="54"/>
        <v>23.791821449428085</v>
      </c>
      <c r="DO60" s="984">
        <f t="shared" si="55"/>
        <v>16.836399999999998</v>
      </c>
      <c r="DP60" s="979">
        <f t="shared" si="39"/>
        <v>48.323869710864557</v>
      </c>
      <c r="DQ60" s="983">
        <f t="shared" si="28"/>
        <v>8.7003999999999984</v>
      </c>
      <c r="DR60" s="986">
        <f t="shared" si="29"/>
        <v>8.1359999999999992</v>
      </c>
      <c r="DS60" s="984">
        <f t="shared" si="56"/>
        <v>8.8079999999999981</v>
      </c>
      <c r="DT60" s="339">
        <f t="shared" si="40"/>
        <v>48.616030881017259</v>
      </c>
      <c r="DU60" s="983">
        <f t="shared" si="30"/>
        <v>4.5258999999999991</v>
      </c>
      <c r="DV60" s="986">
        <f t="shared" si="31"/>
        <v>4.2820999999999989</v>
      </c>
      <c r="DW60" s="979">
        <f t="shared" si="32"/>
        <v>9.9999999999999982</v>
      </c>
      <c r="DX60" s="981">
        <f t="shared" si="33"/>
        <v>9.9999999999999982</v>
      </c>
      <c r="DY60" s="414">
        <v>5.88</v>
      </c>
      <c r="DZ60" s="111">
        <v>2009</v>
      </c>
      <c r="EA60" s="118">
        <v>51.235954</v>
      </c>
      <c r="EB60" s="123">
        <v>31</v>
      </c>
      <c r="EC60" s="113">
        <v>2009</v>
      </c>
      <c r="ED60" s="20">
        <v>269.20585999999997</v>
      </c>
      <c r="EE60" s="414">
        <v>31</v>
      </c>
      <c r="EF60" s="111">
        <v>2009</v>
      </c>
      <c r="EG60" s="380" t="s">
        <v>145</v>
      </c>
      <c r="EH60" s="24" t="s">
        <v>335</v>
      </c>
      <c r="EI60" s="287">
        <v>3</v>
      </c>
      <c r="EJ60" s="40" t="s">
        <v>145</v>
      </c>
      <c r="EK60" s="35" t="s">
        <v>145</v>
      </c>
      <c r="EL60" s="95" t="s">
        <v>145</v>
      </c>
      <c r="EM60" s="95" t="s">
        <v>145</v>
      </c>
      <c r="EN60" s="35" t="s">
        <v>145</v>
      </c>
      <c r="EO60" s="95" t="s">
        <v>145</v>
      </c>
      <c r="EP60" s="205" t="s">
        <v>145</v>
      </c>
      <c r="EQ60" s="207" t="s">
        <v>145</v>
      </c>
      <c r="ER60" s="517" t="s">
        <v>145</v>
      </c>
      <c r="ES60" s="183"/>
      <c r="ET60" s="183"/>
      <c r="EU60" s="82"/>
      <c r="EV60" s="82"/>
      <c r="EW60" s="82"/>
      <c r="EX60" s="90"/>
      <c r="EY60" s="159"/>
      <c r="EZ60" s="156"/>
      <c r="FA60" s="323"/>
      <c r="FB60" s="323"/>
      <c r="FC60" s="323"/>
      <c r="FD60" s="160"/>
      <c r="FE60" s="156"/>
      <c r="FF60" s="156"/>
      <c r="FG60" s="156"/>
      <c r="FH60" s="157"/>
      <c r="FI60" s="242"/>
      <c r="FJ60" s="240"/>
      <c r="FK60" s="179"/>
      <c r="FL60" s="179"/>
      <c r="FM60" s="179"/>
      <c r="FN60" s="172"/>
      <c r="FO60" s="164"/>
      <c r="FP60" s="255"/>
      <c r="FQ60" s="183"/>
      <c r="FR60" s="257">
        <v>1</v>
      </c>
      <c r="FS60" s="82" t="s">
        <v>1880</v>
      </c>
      <c r="FT60" s="259"/>
      <c r="FU60" s="82"/>
      <c r="FV60" s="259"/>
      <c r="FW60" s="82"/>
      <c r="FX60" s="259"/>
      <c r="FY60" s="82"/>
      <c r="FZ60" s="259"/>
      <c r="GA60" s="82"/>
      <c r="GB60" s="261"/>
      <c r="GC60" s="90"/>
      <c r="GD60" s="76">
        <v>2</v>
      </c>
      <c r="GE60" s="445" t="s">
        <v>3425</v>
      </c>
      <c r="GF60" s="447" t="s">
        <v>590</v>
      </c>
      <c r="GG60" s="448">
        <v>6</v>
      </c>
      <c r="GH60" s="449">
        <v>4</v>
      </c>
      <c r="GI60" s="447" t="s">
        <v>145</v>
      </c>
      <c r="GJ60" s="449" t="s">
        <v>145</v>
      </c>
      <c r="GK60" s="447" t="s">
        <v>145</v>
      </c>
      <c r="GL60" s="448" t="s">
        <v>145</v>
      </c>
      <c r="GM60" s="449" t="s">
        <v>145</v>
      </c>
      <c r="GN60" s="447" t="s">
        <v>590</v>
      </c>
      <c r="GO60" s="449">
        <v>54</v>
      </c>
      <c r="GP60" s="447">
        <v>18</v>
      </c>
      <c r="GQ60" s="448">
        <v>24</v>
      </c>
      <c r="GR60" s="449">
        <v>12</v>
      </c>
      <c r="GS60" s="446">
        <v>9</v>
      </c>
      <c r="GT60" s="461">
        <v>-0.81189316511154175</v>
      </c>
      <c r="GU60" s="462">
        <v>-2.6633691042661667E-2</v>
      </c>
      <c r="GV60" s="462">
        <v>-0.95745861530303955</v>
      </c>
      <c r="GW60" s="462">
        <v>-0.57245975732803345</v>
      </c>
      <c r="GX60" s="462">
        <v>-0.84139895439147949</v>
      </c>
      <c r="GY60" s="463">
        <v>-0.40324515104293823</v>
      </c>
      <c r="GZ60" s="10">
        <v>85</v>
      </c>
      <c r="HA60" s="536">
        <v>0.50436999999999999</v>
      </c>
      <c r="HB60" s="536">
        <v>0.39215</v>
      </c>
      <c r="HC60" s="525">
        <v>0.39369999999999999</v>
      </c>
      <c r="HD60" s="526">
        <v>0.28719</v>
      </c>
      <c r="HE60" s="527">
        <v>0.83220000000000005</v>
      </c>
      <c r="HF60" s="10">
        <v>91</v>
      </c>
      <c r="HG60" s="532">
        <v>4.4000000000000004</v>
      </c>
      <c r="HH60" s="545">
        <v>4.5999999999999996</v>
      </c>
      <c r="HI60" s="546">
        <v>3.08</v>
      </c>
      <c r="HJ60" s="547">
        <v>6.64</v>
      </c>
      <c r="HK60" s="379" t="s">
        <v>145</v>
      </c>
      <c r="HL60" s="362" t="s">
        <v>145</v>
      </c>
      <c r="HM60" s="557" t="s">
        <v>145</v>
      </c>
      <c r="HN60" s="557" t="s">
        <v>145</v>
      </c>
      <c r="HO60" s="557" t="s">
        <v>145</v>
      </c>
      <c r="HP60" s="562" t="s">
        <v>145</v>
      </c>
      <c r="HQ60" s="562" t="s">
        <v>145</v>
      </c>
      <c r="HR60" s="563" t="s">
        <v>145</v>
      </c>
      <c r="HS60" s="545" t="s">
        <v>145</v>
      </c>
      <c r="HT60" s="557" t="s">
        <v>145</v>
      </c>
      <c r="HU60" s="809">
        <v>1970</v>
      </c>
      <c r="HV60" s="583" t="s">
        <v>4879</v>
      </c>
      <c r="HW60" s="557" t="s">
        <v>145</v>
      </c>
      <c r="HX60" s="557" t="s">
        <v>145</v>
      </c>
      <c r="HY60" s="557" t="s">
        <v>145</v>
      </c>
      <c r="HZ60" s="557" t="s">
        <v>145</v>
      </c>
      <c r="IA60" s="557" t="s">
        <v>145</v>
      </c>
      <c r="IB60" s="557" t="s">
        <v>145</v>
      </c>
      <c r="IC60" s="547" t="s">
        <v>145</v>
      </c>
      <c r="ID60" s="660"/>
      <c r="IE60" s="550"/>
      <c r="IF60" s="550"/>
      <c r="IG60" s="553"/>
      <c r="IH60" s="339"/>
      <c r="II60" s="553" t="s">
        <v>4922</v>
      </c>
      <c r="IJ60" s="424" t="s">
        <v>4926</v>
      </c>
      <c r="IK60" s="24">
        <v>0</v>
      </c>
      <c r="IL60" s="749">
        <f t="shared" si="57"/>
        <v>16</v>
      </c>
      <c r="IM60" s="747">
        <f t="shared" si="58"/>
        <v>64</v>
      </c>
      <c r="IN60" s="750" t="str">
        <f t="shared" si="59"/>
        <v>B</v>
      </c>
      <c r="IO60" s="446"/>
      <c r="IP60" s="902">
        <v>4</v>
      </c>
      <c r="IQ60" s="903">
        <v>0</v>
      </c>
      <c r="IR60" s="993">
        <v>0</v>
      </c>
      <c r="IT60" s="435"/>
      <c r="IU60" s="435"/>
      <c r="IV60" s="435"/>
    </row>
    <row r="61" spans="1:256">
      <c r="A61" s="21">
        <v>59</v>
      </c>
      <c r="B61" s="9"/>
      <c r="C61" s="430" t="s">
        <v>97</v>
      </c>
      <c r="D61" s="424"/>
      <c r="E61" s="24" t="s">
        <v>17</v>
      </c>
      <c r="F61" s="76" t="s">
        <v>799</v>
      </c>
      <c r="G61" s="102" t="s">
        <v>498</v>
      </c>
      <c r="H61" s="375" t="s">
        <v>2248</v>
      </c>
      <c r="I61" s="364" t="s">
        <v>2247</v>
      </c>
      <c r="J61" s="370">
        <v>5</v>
      </c>
      <c r="K61" s="88">
        <v>1923</v>
      </c>
      <c r="L61" s="371">
        <v>1</v>
      </c>
      <c r="M61" s="373" t="s">
        <v>145</v>
      </c>
      <c r="N61" s="369" t="s">
        <v>1822</v>
      </c>
      <c r="O61" s="365" t="s">
        <v>3031</v>
      </c>
      <c r="P61" s="362" t="s">
        <v>1980</v>
      </c>
      <c r="Q61" s="370">
        <v>2</v>
      </c>
      <c r="R61" s="370">
        <v>2003</v>
      </c>
      <c r="S61" s="372" t="s">
        <v>3030</v>
      </c>
      <c r="T61" s="370">
        <v>1</v>
      </c>
      <c r="U61" s="370">
        <v>1</v>
      </c>
      <c r="V61" s="370" t="s">
        <v>145</v>
      </c>
      <c r="W61" s="369" t="s">
        <v>2036</v>
      </c>
      <c r="X61" s="170">
        <v>1</v>
      </c>
      <c r="Y61" s="369">
        <v>0</v>
      </c>
      <c r="Z61" s="273" t="s">
        <v>2016</v>
      </c>
      <c r="AA61" s="169"/>
      <c r="AB61" s="177">
        <v>1</v>
      </c>
      <c r="AC61" s="171"/>
      <c r="AD61" s="366" t="s">
        <v>3032</v>
      </c>
      <c r="AE61" s="357">
        <v>2003</v>
      </c>
      <c r="AF61" s="357">
        <v>1</v>
      </c>
      <c r="AG61" s="550">
        <v>4</v>
      </c>
      <c r="AH61" s="355" t="s">
        <v>323</v>
      </c>
      <c r="AI61" s="550">
        <v>0</v>
      </c>
      <c r="AJ61" s="550">
        <v>0</v>
      </c>
      <c r="AK61" s="590" t="s">
        <v>145</v>
      </c>
      <c r="AL61" s="387">
        <v>1</v>
      </c>
      <c r="AM61" s="361" t="s">
        <v>2770</v>
      </c>
      <c r="AN61" s="528">
        <v>3</v>
      </c>
      <c r="AO61" s="170">
        <v>0</v>
      </c>
      <c r="AP61" s="369">
        <v>0</v>
      </c>
      <c r="AQ61" s="365" t="s">
        <v>5220</v>
      </c>
      <c r="AR61" s="378" t="s">
        <v>5221</v>
      </c>
      <c r="AS61" s="55">
        <v>2</v>
      </c>
      <c r="AT61" s="370">
        <v>2</v>
      </c>
      <c r="AU61" s="371">
        <v>2006</v>
      </c>
      <c r="AV61" s="370">
        <v>10</v>
      </c>
      <c r="AW61" s="589">
        <v>2000</v>
      </c>
      <c r="AX61" s="687">
        <v>1</v>
      </c>
      <c r="AY61" s="174" t="s">
        <v>2162</v>
      </c>
      <c r="AZ61" s="550">
        <v>1971</v>
      </c>
      <c r="BA61" s="550">
        <v>1</v>
      </c>
      <c r="BB61" s="550">
        <v>2</v>
      </c>
      <c r="BC61" s="174" t="s">
        <v>4361</v>
      </c>
      <c r="BD61" s="550">
        <v>1971</v>
      </c>
      <c r="BE61" s="550">
        <v>2</v>
      </c>
      <c r="BF61" s="367" t="s">
        <v>4609</v>
      </c>
      <c r="BG61" s="367">
        <v>1</v>
      </c>
      <c r="BH61" s="1" t="s">
        <v>4362</v>
      </c>
      <c r="BI61" s="367">
        <v>3</v>
      </c>
      <c r="BJ61" s="367">
        <v>1</v>
      </c>
      <c r="BK61" s="888">
        <v>5503.4570000000003</v>
      </c>
      <c r="BL61" s="925">
        <f t="shared" si="46"/>
        <v>50.775685173882522</v>
      </c>
      <c r="BM61" s="888">
        <v>2709.0390000000002</v>
      </c>
      <c r="BN61" s="920">
        <v>2794.4180000000001</v>
      </c>
      <c r="BO61" s="888">
        <v>304.447</v>
      </c>
      <c r="BP61" s="1158">
        <f t="shared" si="17"/>
        <v>48.770065068796868</v>
      </c>
      <c r="BQ61" s="917">
        <v>155.96799999999999</v>
      </c>
      <c r="BR61" s="920">
        <v>148.47900000000001</v>
      </c>
      <c r="BS61" s="888">
        <v>307.09399999999999</v>
      </c>
      <c r="BT61" s="1158">
        <f t="shared" si="18"/>
        <v>48.920525962734537</v>
      </c>
      <c r="BU61" s="917">
        <v>156.86199999999999</v>
      </c>
      <c r="BV61" s="920">
        <v>150.232</v>
      </c>
      <c r="BW61" s="888">
        <v>287.63200000000001</v>
      </c>
      <c r="BX61" s="1158">
        <f t="shared" si="19"/>
        <v>48.820715358513652</v>
      </c>
      <c r="BY61" s="917">
        <v>147.208</v>
      </c>
      <c r="BZ61" s="920">
        <v>140.42400000000001</v>
      </c>
      <c r="CA61" s="888">
        <f t="shared" si="20"/>
        <v>4604.2840000000006</v>
      </c>
      <c r="CB61" s="1158">
        <f t="shared" si="21"/>
        <v>51.154164252248556</v>
      </c>
      <c r="CC61" s="917">
        <f t="shared" si="22"/>
        <v>2249.0010000000002</v>
      </c>
      <c r="CD61" s="920">
        <f t="shared" si="23"/>
        <v>2355.2830000000004</v>
      </c>
      <c r="CE61" s="914">
        <v>2015</v>
      </c>
      <c r="CF61" s="910" t="s">
        <v>5630</v>
      </c>
      <c r="CG61" s="930">
        <v>100</v>
      </c>
      <c r="CH61" s="1005">
        <v>100</v>
      </c>
      <c r="CI61" s="1006">
        <v>100</v>
      </c>
      <c r="CJ61" s="904" t="s">
        <v>1621</v>
      </c>
      <c r="CK61" s="904" t="s">
        <v>1621</v>
      </c>
      <c r="CL61" s="904">
        <v>2011</v>
      </c>
      <c r="CM61" s="905" t="s">
        <v>5578</v>
      </c>
      <c r="CN61" s="1044">
        <v>4463.3330000000005</v>
      </c>
      <c r="CO61" s="1045">
        <f t="shared" si="47"/>
        <v>81.100533719078754</v>
      </c>
      <c r="CP61" s="1049">
        <v>2145.58</v>
      </c>
      <c r="CQ61" s="1050">
        <v>2317.7530000000002</v>
      </c>
      <c r="CR61" s="1046">
        <v>2015</v>
      </c>
      <c r="CS61" s="1047" t="s">
        <v>5643</v>
      </c>
      <c r="CT61" s="1068" t="str">
        <f t="shared" si="48"/>
        <v>-</v>
      </c>
      <c r="CU61" s="1071">
        <v>18</v>
      </c>
      <c r="CV61" s="1068" t="s">
        <v>5901</v>
      </c>
      <c r="CW61" s="1113">
        <v>4463.3329999999996</v>
      </c>
      <c r="CX61" s="1113">
        <v>4079.9279999999999</v>
      </c>
      <c r="CY61" s="1113">
        <v>5475.45</v>
      </c>
      <c r="CZ61" s="1048">
        <v>10</v>
      </c>
      <c r="DA61" s="1104">
        <v>4</v>
      </c>
      <c r="DB61" s="1050" t="s">
        <v>647</v>
      </c>
      <c r="DC61" s="1145" t="s">
        <v>323</v>
      </c>
      <c r="DD61" s="1131">
        <f t="shared" si="34"/>
        <v>140.95100000000002</v>
      </c>
      <c r="DE61" s="1132">
        <f t="shared" si="49"/>
        <v>2.5611356643651439</v>
      </c>
      <c r="DF61" s="1132">
        <f t="shared" si="35"/>
        <v>26.626274379039661</v>
      </c>
      <c r="DG61" s="1133">
        <f t="shared" si="36"/>
        <v>103.42100000000028</v>
      </c>
      <c r="DH61" s="1133">
        <f t="shared" si="37"/>
        <v>37.5300000000002</v>
      </c>
      <c r="DI61" s="1132">
        <f t="shared" si="50"/>
        <v>3.8176268411049179</v>
      </c>
      <c r="DJ61" s="1134">
        <f t="shared" si="51"/>
        <v>1.3430345782198725</v>
      </c>
      <c r="DK61" s="1135">
        <f t="shared" si="52"/>
        <v>140.95100000000002</v>
      </c>
      <c r="DL61" s="1132">
        <f t="shared" si="38"/>
        <v>26.626274379039661</v>
      </c>
      <c r="DM61" s="1133">
        <f t="shared" si="53"/>
        <v>103.42100000000028</v>
      </c>
      <c r="DN61" s="1136">
        <f t="shared" si="54"/>
        <v>37.5300000000002</v>
      </c>
      <c r="DO61" s="1135">
        <f t="shared" si="55"/>
        <v>0</v>
      </c>
      <c r="DP61" s="1132">
        <f t="shared" si="39"/>
        <v>0</v>
      </c>
      <c r="DQ61" s="1133">
        <f t="shared" si="28"/>
        <v>0</v>
      </c>
      <c r="DR61" s="1136">
        <f t="shared" si="29"/>
        <v>0</v>
      </c>
      <c r="DS61" s="1135">
        <f t="shared" si="56"/>
        <v>0</v>
      </c>
      <c r="DT61" s="1137">
        <f t="shared" si="40"/>
        <v>0</v>
      </c>
      <c r="DU61" s="1133">
        <f t="shared" si="30"/>
        <v>0</v>
      </c>
      <c r="DV61" s="1136">
        <f t="shared" si="31"/>
        <v>0</v>
      </c>
      <c r="DW61" s="1132">
        <f t="shared" si="32"/>
        <v>0</v>
      </c>
      <c r="DX61" s="1134">
        <f t="shared" si="33"/>
        <v>0</v>
      </c>
      <c r="DY61" s="414" t="s">
        <v>145</v>
      </c>
      <c r="DZ61" s="111" t="s">
        <v>145</v>
      </c>
      <c r="EA61" s="118"/>
      <c r="EB61" s="123" t="s">
        <v>145</v>
      </c>
      <c r="EC61" s="113" t="s">
        <v>145</v>
      </c>
      <c r="ED61" s="20"/>
      <c r="EE61" s="414" t="s">
        <v>145</v>
      </c>
      <c r="EF61" s="111" t="s">
        <v>145</v>
      </c>
      <c r="EG61" s="380" t="s">
        <v>145</v>
      </c>
      <c r="EH61" s="24" t="s">
        <v>337</v>
      </c>
      <c r="EI61" s="287">
        <v>0</v>
      </c>
      <c r="EJ61" s="40" t="s">
        <v>145</v>
      </c>
      <c r="EK61" s="35" t="s">
        <v>145</v>
      </c>
      <c r="EL61" s="364" t="s">
        <v>145</v>
      </c>
      <c r="EM61" s="364" t="s">
        <v>145</v>
      </c>
      <c r="EN61" s="35" t="s">
        <v>145</v>
      </c>
      <c r="EO61" s="364" t="s">
        <v>145</v>
      </c>
      <c r="EP61" s="205" t="s">
        <v>145</v>
      </c>
      <c r="EQ61" s="207" t="s">
        <v>145</v>
      </c>
      <c r="ER61" s="517" t="s">
        <v>145</v>
      </c>
      <c r="ES61" s="183"/>
      <c r="ET61" s="183"/>
      <c r="EU61" s="82"/>
      <c r="EV61" s="82"/>
      <c r="EW61" s="82"/>
      <c r="EX61" s="90"/>
      <c r="EY61" s="159"/>
      <c r="EZ61" s="156"/>
      <c r="FA61" s="323"/>
      <c r="FB61" s="323"/>
      <c r="FC61" s="323"/>
      <c r="FD61" s="160"/>
      <c r="FE61" s="156"/>
      <c r="FF61" s="156"/>
      <c r="FG61" s="156"/>
      <c r="FH61" s="157"/>
      <c r="FI61" s="242"/>
      <c r="FJ61" s="373"/>
      <c r="FK61" s="179"/>
      <c r="FL61" s="179"/>
      <c r="FM61" s="179"/>
      <c r="FN61" s="369"/>
      <c r="FO61" s="164"/>
      <c r="FP61" s="255">
        <v>2</v>
      </c>
      <c r="FQ61" s="183"/>
      <c r="FR61" s="257"/>
      <c r="FS61" s="82"/>
      <c r="FT61" s="259"/>
      <c r="FU61" s="82"/>
      <c r="FV61" s="259"/>
      <c r="FW61" s="82"/>
      <c r="FX61" s="259"/>
      <c r="FY61" s="82"/>
      <c r="FZ61" s="259"/>
      <c r="GA61" s="82"/>
      <c r="GB61" s="261"/>
      <c r="GC61" s="90"/>
      <c r="GD61" s="76">
        <v>1</v>
      </c>
      <c r="GE61" s="445" t="s">
        <v>3424</v>
      </c>
      <c r="GF61" s="447" t="s">
        <v>10</v>
      </c>
      <c r="GG61" s="448">
        <v>1</v>
      </c>
      <c r="GH61" s="449">
        <v>1</v>
      </c>
      <c r="GI61" s="447" t="s">
        <v>145</v>
      </c>
      <c r="GJ61" s="449" t="s">
        <v>145</v>
      </c>
      <c r="GK61" s="447" t="s">
        <v>145</v>
      </c>
      <c r="GL61" s="448" t="s">
        <v>145</v>
      </c>
      <c r="GM61" s="449" t="s">
        <v>145</v>
      </c>
      <c r="GN61" s="447" t="s">
        <v>10</v>
      </c>
      <c r="GO61" s="449">
        <v>11</v>
      </c>
      <c r="GP61" s="447">
        <v>4</v>
      </c>
      <c r="GQ61" s="448">
        <v>3</v>
      </c>
      <c r="GR61" s="449">
        <v>4</v>
      </c>
      <c r="GS61" s="446">
        <v>10</v>
      </c>
      <c r="GT61" s="461">
        <v>1.5846525430679321</v>
      </c>
      <c r="GU61" s="462">
        <v>1.3591697216033936</v>
      </c>
      <c r="GV61" s="462">
        <v>2.1680662631988525</v>
      </c>
      <c r="GW61" s="462">
        <v>1.8487647771835327</v>
      </c>
      <c r="GX61" s="462">
        <v>1.9256919622421265</v>
      </c>
      <c r="GY61" s="463">
        <v>2.1921367645263672</v>
      </c>
      <c r="GZ61" s="10">
        <v>10</v>
      </c>
      <c r="HA61" s="536">
        <v>0.84491000000000005</v>
      </c>
      <c r="HB61" s="536">
        <v>0.70587999999999995</v>
      </c>
      <c r="HC61" s="525">
        <v>0.77164999999999995</v>
      </c>
      <c r="HD61" s="526">
        <v>0.85940000000000005</v>
      </c>
      <c r="HE61" s="527">
        <v>0.90369999999999995</v>
      </c>
      <c r="HF61" s="10">
        <v>8</v>
      </c>
      <c r="HG61" s="532">
        <v>8.31</v>
      </c>
      <c r="HH61" s="545">
        <v>7.8</v>
      </c>
      <c r="HI61" s="546">
        <v>8.09</v>
      </c>
      <c r="HJ61" s="547">
        <v>9.75</v>
      </c>
      <c r="HK61" s="379" t="s">
        <v>4043</v>
      </c>
      <c r="HL61" s="23" t="s">
        <v>4712</v>
      </c>
      <c r="HM61" s="557">
        <v>1987</v>
      </c>
      <c r="HN61" s="557">
        <v>2000</v>
      </c>
      <c r="HO61" s="557" t="s">
        <v>3985</v>
      </c>
      <c r="HP61" s="562" t="s">
        <v>4044</v>
      </c>
      <c r="HQ61" s="639" t="s">
        <v>4713</v>
      </c>
      <c r="HR61" s="563" t="s">
        <v>4038</v>
      </c>
      <c r="HS61" s="545">
        <v>21</v>
      </c>
      <c r="HT61" s="557">
        <v>105</v>
      </c>
      <c r="HU61" s="557">
        <v>1951</v>
      </c>
      <c r="HV61" s="583" t="s">
        <v>4192</v>
      </c>
      <c r="HW61" s="557">
        <v>6</v>
      </c>
      <c r="HX61" s="557">
        <v>28</v>
      </c>
      <c r="HY61" s="557">
        <v>22</v>
      </c>
      <c r="HZ61" s="557">
        <v>16</v>
      </c>
      <c r="IA61" s="557">
        <v>20</v>
      </c>
      <c r="IB61" s="557">
        <v>3</v>
      </c>
      <c r="IC61" s="547">
        <v>10</v>
      </c>
      <c r="ID61" s="40" t="s">
        <v>5199</v>
      </c>
      <c r="IE61" s="355" t="s">
        <v>5200</v>
      </c>
      <c r="IF61" s="355"/>
      <c r="IG61" s="553"/>
      <c r="IH61" s="339"/>
      <c r="II61" s="553" t="s">
        <v>4920</v>
      </c>
      <c r="IJ61" s="424" t="s">
        <v>4925</v>
      </c>
      <c r="IK61" s="24">
        <v>0</v>
      </c>
      <c r="IL61" s="749">
        <f t="shared" si="57"/>
        <v>20</v>
      </c>
      <c r="IM61" s="747">
        <f t="shared" si="58"/>
        <v>80</v>
      </c>
      <c r="IN61" s="750" t="str">
        <f t="shared" si="59"/>
        <v>A</v>
      </c>
      <c r="IO61" s="446"/>
      <c r="IP61" s="902">
        <v>4</v>
      </c>
      <c r="IQ61" s="903">
        <v>0</v>
      </c>
      <c r="IR61" s="993">
        <v>0</v>
      </c>
      <c r="IT61" s="435"/>
      <c r="IU61" s="435"/>
      <c r="IV61" s="435"/>
    </row>
    <row r="62" spans="1:256">
      <c r="A62" s="21">
        <v>60</v>
      </c>
      <c r="B62" s="9"/>
      <c r="C62" s="430" t="s">
        <v>98</v>
      </c>
      <c r="D62" s="424"/>
      <c r="E62" s="24" t="s">
        <v>17</v>
      </c>
      <c r="F62" s="76" t="s">
        <v>800</v>
      </c>
      <c r="G62" s="102" t="s">
        <v>503</v>
      </c>
      <c r="H62" s="375" t="s">
        <v>2256</v>
      </c>
      <c r="I62" s="364" t="s">
        <v>2252</v>
      </c>
      <c r="J62" s="370">
        <v>5</v>
      </c>
      <c r="K62" s="88">
        <v>1792</v>
      </c>
      <c r="L62" s="371">
        <v>2</v>
      </c>
      <c r="M62" s="373" t="s">
        <v>1825</v>
      </c>
      <c r="N62" s="369" t="s">
        <v>1822</v>
      </c>
      <c r="O62" s="365" t="s">
        <v>3035</v>
      </c>
      <c r="P62" s="378" t="s">
        <v>2099</v>
      </c>
      <c r="Q62" s="370">
        <v>2</v>
      </c>
      <c r="R62" s="370">
        <v>1980</v>
      </c>
      <c r="S62" s="372" t="s">
        <v>3187</v>
      </c>
      <c r="T62" s="370">
        <v>1</v>
      </c>
      <c r="U62" s="370">
        <v>1</v>
      </c>
      <c r="V62" s="370">
        <v>16</v>
      </c>
      <c r="W62" s="369" t="s">
        <v>2098</v>
      </c>
      <c r="X62" s="170">
        <v>1</v>
      </c>
      <c r="Y62" s="369">
        <v>0</v>
      </c>
      <c r="Z62" s="273" t="s">
        <v>2017</v>
      </c>
      <c r="AA62" s="169">
        <v>1</v>
      </c>
      <c r="AB62" s="177">
        <v>1</v>
      </c>
      <c r="AC62" s="171"/>
      <c r="AD62" s="366" t="s">
        <v>3033</v>
      </c>
      <c r="AE62" s="357">
        <v>1998</v>
      </c>
      <c r="AF62" s="357">
        <v>1</v>
      </c>
      <c r="AG62" s="550" t="s">
        <v>5171</v>
      </c>
      <c r="AH62" s="355" t="s">
        <v>323</v>
      </c>
      <c r="AI62" s="55">
        <v>0</v>
      </c>
      <c r="AJ62" s="55">
        <v>0</v>
      </c>
      <c r="AK62" s="590" t="s">
        <v>145</v>
      </c>
      <c r="AL62" s="386">
        <v>1</v>
      </c>
      <c r="AM62" s="361" t="s">
        <v>2771</v>
      </c>
      <c r="AN62" s="528" t="s">
        <v>145</v>
      </c>
      <c r="AO62" s="170">
        <v>0</v>
      </c>
      <c r="AP62" s="369">
        <v>0</v>
      </c>
      <c r="AQ62" s="365" t="s">
        <v>5222</v>
      </c>
      <c r="AR62" s="378" t="s">
        <v>2798</v>
      </c>
      <c r="AS62" s="55">
        <v>2</v>
      </c>
      <c r="AT62" s="370">
        <v>2</v>
      </c>
      <c r="AU62" s="371">
        <v>2006</v>
      </c>
      <c r="AV62" s="370">
        <v>10</v>
      </c>
      <c r="AW62" s="589">
        <v>18000</v>
      </c>
      <c r="AX62" s="687">
        <v>1</v>
      </c>
      <c r="AY62" s="174" t="s">
        <v>2163</v>
      </c>
      <c r="AZ62" s="550">
        <v>2002</v>
      </c>
      <c r="BA62" s="550">
        <v>1</v>
      </c>
      <c r="BB62" s="550">
        <v>2</v>
      </c>
      <c r="BC62" s="174" t="s">
        <v>4363</v>
      </c>
      <c r="BD62" s="550">
        <v>2002</v>
      </c>
      <c r="BE62" s="550">
        <v>1</v>
      </c>
      <c r="BF62" s="367" t="s">
        <v>323</v>
      </c>
      <c r="BG62" s="367">
        <v>1</v>
      </c>
      <c r="BH62" s="1" t="s">
        <v>4364</v>
      </c>
      <c r="BI62" s="367">
        <v>3</v>
      </c>
      <c r="BJ62" s="367">
        <v>1</v>
      </c>
      <c r="BK62" s="888">
        <v>64395.345000000001</v>
      </c>
      <c r="BL62" s="925">
        <f t="shared" si="46"/>
        <v>51.329318912725761</v>
      </c>
      <c r="BM62" s="888">
        <v>31341.652999999998</v>
      </c>
      <c r="BN62" s="920">
        <v>33053.692000000003</v>
      </c>
      <c r="BO62" s="888">
        <v>3926.92</v>
      </c>
      <c r="BP62" s="1158">
        <f t="shared" si="17"/>
        <v>48.751617043382595</v>
      </c>
      <c r="BQ62" s="917">
        <v>2012.4829999999999</v>
      </c>
      <c r="BR62" s="920">
        <v>1914.4369999999999</v>
      </c>
      <c r="BS62" s="888">
        <v>3986.5439999999999</v>
      </c>
      <c r="BT62" s="1158">
        <f t="shared" si="18"/>
        <v>48.94229186985018</v>
      </c>
      <c r="BU62" s="917">
        <v>2035.4380000000001</v>
      </c>
      <c r="BV62" s="920">
        <v>1951.106</v>
      </c>
      <c r="BW62" s="888">
        <v>3989.0709999999999</v>
      </c>
      <c r="BX62" s="1158">
        <f t="shared" si="19"/>
        <v>48.911388140246189</v>
      </c>
      <c r="BY62" s="917">
        <v>2037.961</v>
      </c>
      <c r="BZ62" s="920">
        <v>1951.11</v>
      </c>
      <c r="CA62" s="888">
        <f t="shared" si="20"/>
        <v>52492.81</v>
      </c>
      <c r="CB62" s="1158">
        <f t="shared" si="21"/>
        <v>51.887180358605313</v>
      </c>
      <c r="CC62" s="917">
        <f t="shared" si="22"/>
        <v>25255.770999999997</v>
      </c>
      <c r="CD62" s="920">
        <f t="shared" si="23"/>
        <v>27237.039000000004</v>
      </c>
      <c r="CE62" s="914">
        <v>2015</v>
      </c>
      <c r="CF62" s="910" t="s">
        <v>5630</v>
      </c>
      <c r="CG62" s="930">
        <v>100</v>
      </c>
      <c r="CH62" s="1005">
        <v>100</v>
      </c>
      <c r="CI62" s="1006">
        <v>100</v>
      </c>
      <c r="CJ62" s="904" t="s">
        <v>1621</v>
      </c>
      <c r="CK62" s="904" t="s">
        <v>1621</v>
      </c>
      <c r="CL62" s="904">
        <v>2011</v>
      </c>
      <c r="CM62" s="905" t="s">
        <v>5576</v>
      </c>
      <c r="CN62" s="1044">
        <v>44587</v>
      </c>
      <c r="CO62" s="1045">
        <f t="shared" si="47"/>
        <v>69.239476859701583</v>
      </c>
      <c r="CP62" s="1040">
        <f>IF(OR(CZ62=1,CZ62=10),CN62*(1-BL62/100),IF(DA62=6,CN62*(1-BL62/100),CN62*(1-CB62/100)))</f>
        <v>21700.796576382963</v>
      </c>
      <c r="CQ62" s="1041">
        <f>IF(OR(CZ62=1,CZ62=10),CN62*BL62/100,IF(DA62=6,CN62*BL62/100,CN62*CB62/100))</f>
        <v>22886.203423617037</v>
      </c>
      <c r="CR62" s="1046">
        <v>2015</v>
      </c>
      <c r="CS62" s="1013" t="s">
        <v>5644</v>
      </c>
      <c r="CT62" s="1068">
        <f t="shared" si="48"/>
        <v>16</v>
      </c>
      <c r="CU62" s="1073">
        <v>18</v>
      </c>
      <c r="CV62" s="1117" t="s">
        <v>5780</v>
      </c>
      <c r="CW62" s="1113">
        <v>43233.648000000001</v>
      </c>
      <c r="CX62" s="1113">
        <v>51979.508000000002</v>
      </c>
      <c r="CY62" s="1113">
        <v>65630.691999999995</v>
      </c>
      <c r="CZ62" s="494">
        <v>1</v>
      </c>
      <c r="DA62" s="1104">
        <v>5</v>
      </c>
      <c r="DB62" s="1050" t="s">
        <v>647</v>
      </c>
      <c r="DC62" s="1145" t="s">
        <v>323</v>
      </c>
      <c r="DD62" s="1131">
        <f t="shared" si="34"/>
        <v>7905.8099999999977</v>
      </c>
      <c r="DE62" s="1132">
        <f t="shared" si="49"/>
        <v>12.276989897328756</v>
      </c>
      <c r="DF62" s="1132">
        <f t="shared" si="35"/>
        <v>55.033394128912391</v>
      </c>
      <c r="DG62" s="1133">
        <f t="shared" si="36"/>
        <v>3554.9744236170336</v>
      </c>
      <c r="DH62" s="1133">
        <f t="shared" si="37"/>
        <v>4350.8355763829677</v>
      </c>
      <c r="DI62" s="1132">
        <f t="shared" si="50"/>
        <v>11.342651338833448</v>
      </c>
      <c r="DJ62" s="1134">
        <f t="shared" si="51"/>
        <v>13.162933739392765</v>
      </c>
      <c r="DK62" s="1135">
        <f t="shared" si="52"/>
        <v>7905.8099999999977</v>
      </c>
      <c r="DL62" s="1132">
        <f t="shared" si="38"/>
        <v>55.033394128912391</v>
      </c>
      <c r="DM62" s="1133">
        <f t="shared" si="53"/>
        <v>3554.9744236170336</v>
      </c>
      <c r="DN62" s="1136">
        <f t="shared" si="54"/>
        <v>4350.8355763829677</v>
      </c>
      <c r="DO62" s="1135">
        <f t="shared" si="55"/>
        <v>0</v>
      </c>
      <c r="DP62" s="1132">
        <f t="shared" si="39"/>
        <v>0</v>
      </c>
      <c r="DQ62" s="1133">
        <f t="shared" si="28"/>
        <v>0</v>
      </c>
      <c r="DR62" s="1136">
        <f t="shared" si="29"/>
        <v>0</v>
      </c>
      <c r="DS62" s="1135">
        <f t="shared" si="56"/>
        <v>0</v>
      </c>
      <c r="DT62" s="1137">
        <f t="shared" si="40"/>
        <v>0</v>
      </c>
      <c r="DU62" s="1133">
        <f t="shared" si="30"/>
        <v>0</v>
      </c>
      <c r="DV62" s="1136">
        <f t="shared" si="31"/>
        <v>0</v>
      </c>
      <c r="DW62" s="1132">
        <f t="shared" si="32"/>
        <v>0</v>
      </c>
      <c r="DX62" s="1134">
        <f t="shared" si="33"/>
        <v>0</v>
      </c>
      <c r="DY62" s="414" t="s">
        <v>145</v>
      </c>
      <c r="DZ62" s="111" t="s">
        <v>145</v>
      </c>
      <c r="EA62" s="118"/>
      <c r="EB62" s="123" t="s">
        <v>145</v>
      </c>
      <c r="EC62" s="113" t="s">
        <v>145</v>
      </c>
      <c r="ED62" s="20"/>
      <c r="EE62" s="414">
        <v>7.9</v>
      </c>
      <c r="EF62" s="121">
        <v>2011</v>
      </c>
      <c r="EG62" s="380" t="s">
        <v>145</v>
      </c>
      <c r="EH62" s="24" t="s">
        <v>372</v>
      </c>
      <c r="EI62" s="288">
        <v>0</v>
      </c>
      <c r="EJ62" s="40" t="s">
        <v>145</v>
      </c>
      <c r="EK62" s="35" t="s">
        <v>145</v>
      </c>
      <c r="EL62" s="95" t="s">
        <v>145</v>
      </c>
      <c r="EM62" s="95" t="s">
        <v>145</v>
      </c>
      <c r="EN62" s="35" t="s">
        <v>145</v>
      </c>
      <c r="EO62" s="95" t="s">
        <v>145</v>
      </c>
      <c r="EP62" s="205" t="s">
        <v>145</v>
      </c>
      <c r="EQ62" s="207" t="s">
        <v>145</v>
      </c>
      <c r="ER62" s="517" t="s">
        <v>145</v>
      </c>
      <c r="ES62" s="183"/>
      <c r="ET62" s="183"/>
      <c r="EU62" s="82"/>
      <c r="EV62" s="82"/>
      <c r="EW62" s="82"/>
      <c r="EX62" s="90"/>
      <c r="EY62" s="159"/>
      <c r="EZ62" s="156"/>
      <c r="FA62" s="323"/>
      <c r="FB62" s="323"/>
      <c r="FC62" s="323"/>
      <c r="FD62" s="160"/>
      <c r="FE62" s="156"/>
      <c r="FF62" s="156"/>
      <c r="FG62" s="156"/>
      <c r="FH62" s="157"/>
      <c r="FI62" s="242"/>
      <c r="FJ62" s="373"/>
      <c r="FK62" s="179"/>
      <c r="FL62" s="179"/>
      <c r="FM62" s="179"/>
      <c r="FN62" s="369"/>
      <c r="FO62" s="164"/>
      <c r="FP62" s="255"/>
      <c r="FQ62" s="183"/>
      <c r="FR62" s="257"/>
      <c r="FS62" s="82"/>
      <c r="FT62" s="259"/>
      <c r="FU62" s="82"/>
      <c r="FV62" s="259"/>
      <c r="FW62" s="82"/>
      <c r="FX62" s="259"/>
      <c r="FY62" s="82"/>
      <c r="FZ62" s="259"/>
      <c r="GA62" s="82"/>
      <c r="GB62" s="261"/>
      <c r="GC62" s="90"/>
      <c r="GD62" s="76">
        <v>1</v>
      </c>
      <c r="GE62" s="445" t="s">
        <v>3424</v>
      </c>
      <c r="GF62" s="447" t="s">
        <v>10</v>
      </c>
      <c r="GG62" s="448">
        <v>1</v>
      </c>
      <c r="GH62" s="449">
        <v>1</v>
      </c>
      <c r="GI62" s="447" t="s">
        <v>10</v>
      </c>
      <c r="GJ62" s="449">
        <v>20</v>
      </c>
      <c r="GK62" s="447">
        <v>3</v>
      </c>
      <c r="GL62" s="448">
        <v>4</v>
      </c>
      <c r="GM62" s="449">
        <v>13</v>
      </c>
      <c r="GN62" s="447" t="s">
        <v>10</v>
      </c>
      <c r="GO62" s="449">
        <v>22</v>
      </c>
      <c r="GP62" s="447">
        <v>5</v>
      </c>
      <c r="GQ62" s="448">
        <v>10</v>
      </c>
      <c r="GR62" s="449">
        <v>7</v>
      </c>
      <c r="GS62" s="446">
        <v>10</v>
      </c>
      <c r="GT62" s="461">
        <v>1.2008407115936279</v>
      </c>
      <c r="GU62" s="462">
        <v>0.42368781566619873</v>
      </c>
      <c r="GV62" s="462">
        <v>1.4695528745651245</v>
      </c>
      <c r="GW62" s="462">
        <v>1.1482467651367187</v>
      </c>
      <c r="GX62" s="462">
        <v>1.3982659578323364</v>
      </c>
      <c r="GY62" s="463">
        <v>1.3030450344085693</v>
      </c>
      <c r="GZ62" s="10">
        <v>4</v>
      </c>
      <c r="HA62" s="536">
        <v>0.89383999999999997</v>
      </c>
      <c r="HB62" s="536">
        <v>0.96077999999999997</v>
      </c>
      <c r="HC62" s="525">
        <v>1</v>
      </c>
      <c r="HD62" s="526">
        <v>0.80028999999999995</v>
      </c>
      <c r="HE62" s="527">
        <v>0.88119999999999998</v>
      </c>
      <c r="HF62" s="10">
        <v>18</v>
      </c>
      <c r="HG62" s="532">
        <v>7.87</v>
      </c>
      <c r="HH62" s="545">
        <v>8.65</v>
      </c>
      <c r="HI62" s="546">
        <v>6.74</v>
      </c>
      <c r="HJ62" s="547">
        <v>8.57</v>
      </c>
      <c r="HK62" s="379" t="s">
        <v>4045</v>
      </c>
      <c r="HL62" s="23" t="s">
        <v>4714</v>
      </c>
      <c r="HM62" s="557">
        <v>1978</v>
      </c>
      <c r="HN62" s="557">
        <v>2004</v>
      </c>
      <c r="HO62" s="557" t="s">
        <v>3985</v>
      </c>
      <c r="HP62" s="562" t="s">
        <v>4046</v>
      </c>
      <c r="HQ62" s="639" t="s">
        <v>4715</v>
      </c>
      <c r="HR62" s="563" t="s">
        <v>4047</v>
      </c>
      <c r="HS62" s="545">
        <v>86</v>
      </c>
      <c r="HT62" s="557">
        <v>64</v>
      </c>
      <c r="HU62" s="557">
        <v>1978</v>
      </c>
      <c r="HV62" s="583" t="s">
        <v>4193</v>
      </c>
      <c r="HW62" s="557">
        <v>1</v>
      </c>
      <c r="HX62" s="557">
        <v>17</v>
      </c>
      <c r="HY62" s="557">
        <v>14</v>
      </c>
      <c r="HZ62" s="557">
        <v>14</v>
      </c>
      <c r="IA62" s="557">
        <v>16</v>
      </c>
      <c r="IB62" s="557">
        <v>0</v>
      </c>
      <c r="IC62" s="547">
        <v>2</v>
      </c>
      <c r="ID62" s="40" t="s">
        <v>5199</v>
      </c>
      <c r="IE62" s="355" t="s">
        <v>5200</v>
      </c>
      <c r="IF62" s="355"/>
      <c r="IG62" s="553"/>
      <c r="IH62" s="339"/>
      <c r="II62" s="553" t="s">
        <v>4920</v>
      </c>
      <c r="IJ62" s="424" t="s">
        <v>4925</v>
      </c>
      <c r="IK62" s="24">
        <v>0</v>
      </c>
      <c r="IL62" s="749">
        <f t="shared" si="57"/>
        <v>20</v>
      </c>
      <c r="IM62" s="747">
        <f t="shared" si="58"/>
        <v>80</v>
      </c>
      <c r="IN62" s="750" t="str">
        <f t="shared" si="59"/>
        <v>A</v>
      </c>
      <c r="IO62" s="446"/>
      <c r="IP62" s="902">
        <v>5</v>
      </c>
      <c r="IQ62" s="903">
        <v>2</v>
      </c>
      <c r="IR62" s="993">
        <v>0</v>
      </c>
      <c r="IT62" s="435"/>
      <c r="IU62" s="435"/>
      <c r="IV62" s="435"/>
    </row>
    <row r="63" spans="1:256">
      <c r="A63" s="21">
        <v>61</v>
      </c>
      <c r="B63" s="9"/>
      <c r="C63" s="430" t="s">
        <v>99</v>
      </c>
      <c r="D63" s="423" t="s">
        <v>406</v>
      </c>
      <c r="E63" s="24" t="s">
        <v>12</v>
      </c>
      <c r="F63" s="76" t="s">
        <v>801</v>
      </c>
      <c r="G63" s="102" t="s">
        <v>505</v>
      </c>
      <c r="H63" s="375" t="s">
        <v>2255</v>
      </c>
      <c r="I63" s="95" t="s">
        <v>2254</v>
      </c>
      <c r="J63" s="176">
        <v>3</v>
      </c>
      <c r="K63" s="88">
        <v>1957</v>
      </c>
      <c r="L63" s="371">
        <v>2</v>
      </c>
      <c r="M63" s="240" t="s">
        <v>1841</v>
      </c>
      <c r="N63" s="369" t="s">
        <v>2253</v>
      </c>
      <c r="O63" s="365" t="s">
        <v>3185</v>
      </c>
      <c r="P63" s="362" t="s">
        <v>2798</v>
      </c>
      <c r="Q63" s="370">
        <v>2</v>
      </c>
      <c r="R63" s="176">
        <v>1961</v>
      </c>
      <c r="S63" s="372" t="s">
        <v>1961</v>
      </c>
      <c r="T63" s="176">
        <v>1</v>
      </c>
      <c r="U63" s="176">
        <v>2</v>
      </c>
      <c r="V63" s="176">
        <v>16</v>
      </c>
      <c r="W63" s="369" t="s">
        <v>1822</v>
      </c>
      <c r="X63" s="170">
        <v>1</v>
      </c>
      <c r="Y63" s="369">
        <v>1</v>
      </c>
      <c r="Z63" s="271"/>
      <c r="AA63" s="169">
        <v>1</v>
      </c>
      <c r="AB63" s="177">
        <v>1</v>
      </c>
      <c r="AC63" s="171"/>
      <c r="AD63" s="365" t="s">
        <v>3185</v>
      </c>
      <c r="AE63" s="357">
        <v>2014</v>
      </c>
      <c r="AF63" s="357">
        <v>1</v>
      </c>
      <c r="AG63" s="550" t="s">
        <v>5171</v>
      </c>
      <c r="AH63" s="355" t="s">
        <v>323</v>
      </c>
      <c r="AI63" s="55">
        <v>0</v>
      </c>
      <c r="AJ63" s="55">
        <v>0</v>
      </c>
      <c r="AK63" s="590" t="s">
        <v>145</v>
      </c>
      <c r="AL63" s="386">
        <v>1</v>
      </c>
      <c r="AM63" s="361" t="s">
        <v>2772</v>
      </c>
      <c r="AN63" s="528" t="s">
        <v>145</v>
      </c>
      <c r="AO63" s="170">
        <v>1</v>
      </c>
      <c r="AP63" s="172">
        <v>1</v>
      </c>
      <c r="AQ63" s="365" t="s">
        <v>5223</v>
      </c>
      <c r="AR63" s="378" t="s">
        <v>5224</v>
      </c>
      <c r="AS63" s="55">
        <v>2</v>
      </c>
      <c r="AT63" s="370">
        <v>2</v>
      </c>
      <c r="AU63" s="371">
        <v>2013</v>
      </c>
      <c r="AV63" s="370">
        <v>5</v>
      </c>
      <c r="AW63" s="589" t="s">
        <v>145</v>
      </c>
      <c r="AX63" s="687">
        <v>0</v>
      </c>
      <c r="AY63" s="174" t="s">
        <v>4411</v>
      </c>
      <c r="AZ63" s="55">
        <v>2016</v>
      </c>
      <c r="BA63" s="55">
        <v>0</v>
      </c>
      <c r="BB63" s="55">
        <v>0</v>
      </c>
      <c r="BC63" s="174" t="s">
        <v>145</v>
      </c>
      <c r="BD63" s="55" t="s">
        <v>145</v>
      </c>
      <c r="BE63" s="55">
        <v>0</v>
      </c>
      <c r="BF63" s="371" t="s">
        <v>145</v>
      </c>
      <c r="BG63" s="367">
        <v>0</v>
      </c>
      <c r="BH63" s="1" t="s">
        <v>145</v>
      </c>
      <c r="BI63" s="367">
        <v>3</v>
      </c>
      <c r="BJ63" s="367">
        <v>0</v>
      </c>
      <c r="BK63" s="888">
        <v>1725.2919999999999</v>
      </c>
      <c r="BL63" s="925">
        <f t="shared" si="46"/>
        <v>49.432791666570068</v>
      </c>
      <c r="BM63" s="888">
        <v>872.43200000000002</v>
      </c>
      <c r="BN63" s="920">
        <v>852.86</v>
      </c>
      <c r="BO63" s="888">
        <v>239.08</v>
      </c>
      <c r="BP63" s="1158">
        <f t="shared" si="17"/>
        <v>49.458758574535715</v>
      </c>
      <c r="BQ63" s="917">
        <v>120.834</v>
      </c>
      <c r="BR63" s="920">
        <v>118.246</v>
      </c>
      <c r="BS63" s="888">
        <v>212.09200000000001</v>
      </c>
      <c r="BT63" s="1158">
        <f t="shared" si="18"/>
        <v>49.528977990683281</v>
      </c>
      <c r="BU63" s="917">
        <v>107.045</v>
      </c>
      <c r="BV63" s="920">
        <v>105.047</v>
      </c>
      <c r="BW63" s="888">
        <v>189.376</v>
      </c>
      <c r="BX63" s="1158">
        <f t="shared" si="19"/>
        <v>49.571223386279151</v>
      </c>
      <c r="BY63" s="917">
        <v>95.5</v>
      </c>
      <c r="BZ63" s="920">
        <v>93.876000000000005</v>
      </c>
      <c r="CA63" s="888">
        <f t="shared" si="20"/>
        <v>1084.7439999999999</v>
      </c>
      <c r="CB63" s="1158">
        <f t="shared" si="21"/>
        <v>49.384094311653264</v>
      </c>
      <c r="CC63" s="917">
        <f t="shared" si="22"/>
        <v>549.053</v>
      </c>
      <c r="CD63" s="920">
        <f t="shared" si="23"/>
        <v>535.69100000000003</v>
      </c>
      <c r="CE63" s="914">
        <v>2015</v>
      </c>
      <c r="CF63" s="910" t="s">
        <v>5630</v>
      </c>
      <c r="CG63" s="930">
        <v>89.6</v>
      </c>
      <c r="CH63" s="495">
        <v>91</v>
      </c>
      <c r="CI63" s="497">
        <v>88</v>
      </c>
      <c r="CJ63" s="904">
        <v>89.3</v>
      </c>
      <c r="CK63" s="904">
        <v>91</v>
      </c>
      <c r="CL63" s="904">
        <v>2012</v>
      </c>
      <c r="CM63" s="905" t="s">
        <v>5575</v>
      </c>
      <c r="CN63" s="1044">
        <v>745.64499999999998</v>
      </c>
      <c r="CO63" s="1045">
        <f t="shared" si="47"/>
        <v>43.218481277372177</v>
      </c>
      <c r="CP63" s="1040">
        <f>IF(OR(CZ63=1,CZ63=10),CN63*(1-BL63/100),IF(DA63=6,CN63*(1-BL63/100),CN63*(1-CB63/100)))</f>
        <v>377.05186057780361</v>
      </c>
      <c r="CQ63" s="1041">
        <f>IF(OR(CZ63=1,CZ63=10),CN63*BL63/100,IF(DA63=6,CN63*BL63/100,CN63*CB63/100))</f>
        <v>368.59313942219637</v>
      </c>
      <c r="CR63" s="1046">
        <v>2011</v>
      </c>
      <c r="CS63" s="1047" t="s">
        <v>5843</v>
      </c>
      <c r="CT63" s="1068">
        <f t="shared" si="48"/>
        <v>16</v>
      </c>
      <c r="CU63" s="1071">
        <v>18</v>
      </c>
      <c r="CV63" s="1068" t="s">
        <v>5902</v>
      </c>
      <c r="CW63" s="1113">
        <v>745.64499999999998</v>
      </c>
      <c r="CX63" s="1113">
        <v>905.06</v>
      </c>
      <c r="CY63" s="1113">
        <v>1534</v>
      </c>
      <c r="CZ63" s="494">
        <v>1</v>
      </c>
      <c r="DA63" s="1104">
        <v>4</v>
      </c>
      <c r="DB63" s="1050" t="s">
        <v>647</v>
      </c>
      <c r="DC63" s="1143" t="s">
        <v>320</v>
      </c>
      <c r="DD63" s="978">
        <f t="shared" si="34"/>
        <v>405.71599199999997</v>
      </c>
      <c r="DE63" s="979">
        <f t="shared" si="49"/>
        <v>23.515787008807784</v>
      </c>
      <c r="DF63" s="979">
        <f t="shared" si="35"/>
        <v>50.566934659505279</v>
      </c>
      <c r="DG63" s="980">
        <f t="shared" si="36"/>
        <v>201.10524942219638</v>
      </c>
      <c r="DH63" s="980">
        <f t="shared" si="37"/>
        <v>205.15814057780364</v>
      </c>
      <c r="DI63" s="979">
        <f t="shared" si="50"/>
        <v>23.051108788099974</v>
      </c>
      <c r="DJ63" s="981">
        <f t="shared" si="51"/>
        <v>24.055312780269169</v>
      </c>
      <c r="DK63" s="984">
        <f t="shared" si="52"/>
        <v>339.09899999999993</v>
      </c>
      <c r="DL63" s="979">
        <f t="shared" si="38"/>
        <v>49.277013667926973</v>
      </c>
      <c r="DM63" s="980">
        <f t="shared" si="53"/>
        <v>172.00113942219639</v>
      </c>
      <c r="DN63" s="985">
        <f t="shared" si="54"/>
        <v>167.09786057780366</v>
      </c>
      <c r="DO63" s="984">
        <f t="shared" si="55"/>
        <v>41.75267200000004</v>
      </c>
      <c r="DP63" s="979">
        <f t="shared" si="39"/>
        <v>57.17181405779246</v>
      </c>
      <c r="DQ63" s="980">
        <f t="shared" si="28"/>
        <v>18.229049999999994</v>
      </c>
      <c r="DR63" s="985">
        <f t="shared" si="29"/>
        <v>23.870759999999997</v>
      </c>
      <c r="DS63" s="984">
        <f t="shared" si="56"/>
        <v>24.864320000000024</v>
      </c>
      <c r="DT63" s="339">
        <f t="shared" si="40"/>
        <v>57.067798355233457</v>
      </c>
      <c r="DU63" s="980">
        <f t="shared" si="30"/>
        <v>10.875059999999996</v>
      </c>
      <c r="DV63" s="985">
        <f t="shared" si="31"/>
        <v>14.189519999999998</v>
      </c>
      <c r="DW63" s="979">
        <f t="shared" si="32"/>
        <v>8.9999999999999964</v>
      </c>
      <c r="DX63" s="981">
        <f t="shared" si="33"/>
        <v>12</v>
      </c>
      <c r="DY63" s="414">
        <v>4.84</v>
      </c>
      <c r="DZ63" s="111">
        <v>2005</v>
      </c>
      <c r="EA63" s="118">
        <v>73.644576000000001</v>
      </c>
      <c r="EB63" s="123">
        <v>32.700000000000003</v>
      </c>
      <c r="EC63" s="113">
        <v>2005</v>
      </c>
      <c r="ED63" s="20">
        <v>501.70367400000003</v>
      </c>
      <c r="EE63" s="414" t="s">
        <v>145</v>
      </c>
      <c r="EF63" s="111" t="s">
        <v>145</v>
      </c>
      <c r="EG63" s="380">
        <v>82.283798217773395</v>
      </c>
      <c r="EH63" s="24" t="s">
        <v>372</v>
      </c>
      <c r="EI63" s="287">
        <v>3</v>
      </c>
      <c r="EJ63" s="40">
        <v>3</v>
      </c>
      <c r="EK63" s="35" t="s">
        <v>145</v>
      </c>
      <c r="EL63" s="95" t="s">
        <v>145</v>
      </c>
      <c r="EM63" s="95" t="s">
        <v>145</v>
      </c>
      <c r="EN63" s="35" t="s">
        <v>145</v>
      </c>
      <c r="EO63" s="95" t="s">
        <v>1646</v>
      </c>
      <c r="EP63" s="205">
        <v>0.89</v>
      </c>
      <c r="EQ63" s="207" t="s">
        <v>145</v>
      </c>
      <c r="ER63" s="517" t="s">
        <v>145</v>
      </c>
      <c r="ES63" s="183"/>
      <c r="ET63" s="183"/>
      <c r="EU63" s="82"/>
      <c r="EV63" s="82"/>
      <c r="EW63" s="82"/>
      <c r="EX63" s="90"/>
      <c r="EY63" s="159"/>
      <c r="EZ63" s="156"/>
      <c r="FA63" s="323"/>
      <c r="FB63" s="323"/>
      <c r="FC63" s="323"/>
      <c r="FD63" s="160"/>
      <c r="FE63" s="156"/>
      <c r="FF63" s="156"/>
      <c r="FG63" s="156"/>
      <c r="FH63" s="157"/>
      <c r="FI63" s="242"/>
      <c r="FJ63" s="240"/>
      <c r="FK63" s="179"/>
      <c r="FL63" s="179"/>
      <c r="FM63" s="179"/>
      <c r="FN63" s="369"/>
      <c r="FO63" s="164"/>
      <c r="FP63" s="255">
        <v>1</v>
      </c>
      <c r="FQ63" s="183" t="s">
        <v>1612</v>
      </c>
      <c r="FR63" s="257"/>
      <c r="FS63" s="82"/>
      <c r="FT63" s="259"/>
      <c r="FU63" s="82"/>
      <c r="FV63" s="259"/>
      <c r="FW63" s="82"/>
      <c r="FX63" s="259">
        <v>1</v>
      </c>
      <c r="FY63" s="82" t="s">
        <v>1881</v>
      </c>
      <c r="FZ63" s="259"/>
      <c r="GA63" s="82"/>
      <c r="GB63" s="261"/>
      <c r="GC63" s="90"/>
      <c r="GD63" s="76">
        <v>1</v>
      </c>
      <c r="GE63" s="445" t="s">
        <v>3424</v>
      </c>
      <c r="GF63" s="447" t="s">
        <v>580</v>
      </c>
      <c r="GG63" s="448">
        <v>6</v>
      </c>
      <c r="GH63" s="449">
        <v>5</v>
      </c>
      <c r="GI63" s="447" t="s">
        <v>145</v>
      </c>
      <c r="GJ63" s="449" t="s">
        <v>145</v>
      </c>
      <c r="GK63" s="447" t="s">
        <v>145</v>
      </c>
      <c r="GL63" s="448" t="s">
        <v>145</v>
      </c>
      <c r="GM63" s="449" t="s">
        <v>145</v>
      </c>
      <c r="GN63" s="447" t="s">
        <v>580</v>
      </c>
      <c r="GO63" s="449">
        <v>70</v>
      </c>
      <c r="GP63" s="447">
        <v>24</v>
      </c>
      <c r="GQ63" s="448">
        <v>24</v>
      </c>
      <c r="GR63" s="449">
        <v>22</v>
      </c>
      <c r="GS63" s="446">
        <v>3</v>
      </c>
      <c r="GT63" s="461">
        <v>-0.85770004987716675</v>
      </c>
      <c r="GU63" s="462">
        <v>0.33723980188369751</v>
      </c>
      <c r="GV63" s="462">
        <v>-0.76872265338897705</v>
      </c>
      <c r="GW63" s="462">
        <v>-0.5647236704826355</v>
      </c>
      <c r="GX63" s="462">
        <v>-0.51648277044296265</v>
      </c>
      <c r="GY63" s="463">
        <v>-0.55725061893463135</v>
      </c>
      <c r="GZ63" s="10">
        <v>131</v>
      </c>
      <c r="HA63" s="536">
        <v>0.32940000000000003</v>
      </c>
      <c r="HB63" s="536">
        <v>0.21568000000000001</v>
      </c>
      <c r="HC63" s="525">
        <v>9.4479999999999995E-2</v>
      </c>
      <c r="HD63" s="526">
        <v>0.22600999999999999</v>
      </c>
      <c r="HE63" s="527">
        <v>0.66769999999999996</v>
      </c>
      <c r="HF63" s="10">
        <v>126</v>
      </c>
      <c r="HG63" s="532">
        <v>2.66</v>
      </c>
      <c r="HH63" s="545">
        <v>3.88</v>
      </c>
      <c r="HI63" s="546">
        <v>0.35</v>
      </c>
      <c r="HJ63" s="547">
        <v>4.82</v>
      </c>
      <c r="HK63" s="379" t="s">
        <v>4048</v>
      </c>
      <c r="HL63" s="23" t="s">
        <v>4716</v>
      </c>
      <c r="HM63" s="557">
        <v>2011</v>
      </c>
      <c r="HN63" s="557">
        <v>2011</v>
      </c>
      <c r="HO63" s="557" t="s">
        <v>3985</v>
      </c>
      <c r="HP63" s="562" t="s">
        <v>4049</v>
      </c>
      <c r="HQ63" s="639" t="s">
        <v>4717</v>
      </c>
      <c r="HR63" s="563" t="s">
        <v>4010</v>
      </c>
      <c r="HS63" s="545" t="s">
        <v>145</v>
      </c>
      <c r="HT63" s="557" t="s">
        <v>145</v>
      </c>
      <c r="HU63" s="557" t="s">
        <v>145</v>
      </c>
      <c r="HV63" s="581" t="s">
        <v>145</v>
      </c>
      <c r="HW63" s="557" t="s">
        <v>145</v>
      </c>
      <c r="HX63" s="557" t="s">
        <v>145</v>
      </c>
      <c r="HY63" s="557" t="s">
        <v>145</v>
      </c>
      <c r="HZ63" s="557" t="s">
        <v>145</v>
      </c>
      <c r="IA63" s="557" t="s">
        <v>145</v>
      </c>
      <c r="IB63" s="557" t="s">
        <v>145</v>
      </c>
      <c r="IC63" s="547" t="s">
        <v>145</v>
      </c>
      <c r="ID63" s="40"/>
      <c r="IE63" s="550"/>
      <c r="IF63" s="550"/>
      <c r="IG63" s="553"/>
      <c r="IH63" s="115">
        <v>43.7</v>
      </c>
      <c r="II63" s="647" t="s">
        <v>4922</v>
      </c>
      <c r="IJ63" s="423" t="s">
        <v>4926</v>
      </c>
      <c r="IK63" s="10">
        <v>0</v>
      </c>
      <c r="IL63" s="749">
        <f t="shared" si="57"/>
        <v>15</v>
      </c>
      <c r="IM63" s="747">
        <f t="shared" si="58"/>
        <v>60</v>
      </c>
      <c r="IN63" s="750" t="str">
        <f t="shared" si="59"/>
        <v>B</v>
      </c>
      <c r="IO63" s="446">
        <v>1</v>
      </c>
      <c r="IP63" s="902">
        <v>4</v>
      </c>
      <c r="IQ63" s="903">
        <v>0</v>
      </c>
      <c r="IR63" s="993">
        <v>0</v>
      </c>
      <c r="IT63" s="435"/>
      <c r="IU63" s="435"/>
      <c r="IV63" s="435"/>
    </row>
    <row r="64" spans="1:256" ht="14.25" customHeight="1">
      <c r="A64" s="71">
        <v>62</v>
      </c>
      <c r="B64" s="9"/>
      <c r="C64" s="431" t="s">
        <v>100</v>
      </c>
      <c r="D64" s="423" t="s">
        <v>406</v>
      </c>
      <c r="E64" s="24" t="s">
        <v>9</v>
      </c>
      <c r="F64" s="76" t="s">
        <v>738</v>
      </c>
      <c r="G64" s="102" t="s">
        <v>513</v>
      </c>
      <c r="H64" s="375" t="s">
        <v>2251</v>
      </c>
      <c r="I64" s="95" t="s">
        <v>2249</v>
      </c>
      <c r="J64" s="176">
        <v>3</v>
      </c>
      <c r="K64" s="88">
        <v>1965</v>
      </c>
      <c r="L64" s="371">
        <v>1</v>
      </c>
      <c r="M64" s="240" t="s">
        <v>2250</v>
      </c>
      <c r="N64" s="369" t="s">
        <v>1822</v>
      </c>
      <c r="O64" s="365" t="s">
        <v>1946</v>
      </c>
      <c r="P64" s="377" t="s">
        <v>1970</v>
      </c>
      <c r="Q64" s="370">
        <v>2</v>
      </c>
      <c r="R64" s="370">
        <v>2009</v>
      </c>
      <c r="S64" s="234" t="s">
        <v>1947</v>
      </c>
      <c r="T64" s="176">
        <v>1</v>
      </c>
      <c r="U64" s="370">
        <v>2</v>
      </c>
      <c r="V64" s="176">
        <v>18</v>
      </c>
      <c r="W64" s="351" t="s">
        <v>1997</v>
      </c>
      <c r="X64" s="170">
        <v>1</v>
      </c>
      <c r="Y64" s="369">
        <v>1</v>
      </c>
      <c r="Z64" s="271"/>
      <c r="AA64" s="169"/>
      <c r="AB64" s="177">
        <v>1</v>
      </c>
      <c r="AC64" s="171"/>
      <c r="AD64" s="174" t="s">
        <v>2883</v>
      </c>
      <c r="AE64" s="357">
        <v>2009</v>
      </c>
      <c r="AF64" s="357">
        <v>1</v>
      </c>
      <c r="AG64" s="550" t="s">
        <v>5171</v>
      </c>
      <c r="AH64" s="355" t="s">
        <v>323</v>
      </c>
      <c r="AI64" s="55">
        <v>0</v>
      </c>
      <c r="AJ64" s="55">
        <v>0</v>
      </c>
      <c r="AK64" s="590" t="s">
        <v>145</v>
      </c>
      <c r="AL64" s="386">
        <v>9</v>
      </c>
      <c r="AM64" s="361" t="s">
        <v>2877</v>
      </c>
      <c r="AN64" s="528">
        <v>3</v>
      </c>
      <c r="AO64" s="170">
        <v>1</v>
      </c>
      <c r="AP64" s="369">
        <v>1</v>
      </c>
      <c r="AQ64" s="365" t="s">
        <v>5225</v>
      </c>
      <c r="AR64" s="377" t="s">
        <v>2798</v>
      </c>
      <c r="AS64" s="55">
        <v>2</v>
      </c>
      <c r="AT64" s="370">
        <v>2</v>
      </c>
      <c r="AU64" s="371">
        <v>2014</v>
      </c>
      <c r="AV64" s="370">
        <v>5</v>
      </c>
      <c r="AW64" s="589" t="s">
        <v>145</v>
      </c>
      <c r="AX64" s="687">
        <v>0</v>
      </c>
      <c r="AY64" s="174" t="s">
        <v>4406</v>
      </c>
      <c r="AZ64" s="55">
        <v>2013</v>
      </c>
      <c r="BA64" s="55">
        <v>1</v>
      </c>
      <c r="BB64" s="55">
        <v>2</v>
      </c>
      <c r="BC64" s="174" t="s">
        <v>4407</v>
      </c>
      <c r="BD64" s="55">
        <v>2013</v>
      </c>
      <c r="BE64" s="55">
        <v>1</v>
      </c>
      <c r="BF64" s="371" t="s">
        <v>323</v>
      </c>
      <c r="BG64" s="367">
        <v>0</v>
      </c>
      <c r="BH64" s="56" t="s">
        <v>145</v>
      </c>
      <c r="BI64" s="367">
        <v>0</v>
      </c>
      <c r="BJ64" s="367">
        <v>0</v>
      </c>
      <c r="BK64" s="888">
        <v>1990.924</v>
      </c>
      <c r="BL64" s="925">
        <f t="shared" si="46"/>
        <v>50.498813616190276</v>
      </c>
      <c r="BM64" s="888">
        <v>985.53099999999995</v>
      </c>
      <c r="BN64" s="920">
        <v>1005.393</v>
      </c>
      <c r="BO64" s="888">
        <v>366.22500000000002</v>
      </c>
      <c r="BP64" s="1158">
        <f t="shared" si="17"/>
        <v>49.464400300361802</v>
      </c>
      <c r="BQ64" s="917">
        <v>185.07400000000001</v>
      </c>
      <c r="BR64" s="920">
        <v>181.15100000000001</v>
      </c>
      <c r="BS64" s="888">
        <v>301.178</v>
      </c>
      <c r="BT64" s="1158">
        <f t="shared" si="18"/>
        <v>49.510256393229255</v>
      </c>
      <c r="BU64" s="917">
        <v>152.06399999999999</v>
      </c>
      <c r="BV64" s="920">
        <v>149.114</v>
      </c>
      <c r="BW64" s="888">
        <v>252.09100000000001</v>
      </c>
      <c r="BX64" s="1158">
        <f t="shared" si="19"/>
        <v>49.701099999603315</v>
      </c>
      <c r="BY64" s="917">
        <v>126.79900000000001</v>
      </c>
      <c r="BZ64" s="920">
        <v>125.292</v>
      </c>
      <c r="CA64" s="888">
        <f t="shared" si="20"/>
        <v>1071.4300000000003</v>
      </c>
      <c r="CB64" s="1158">
        <f t="shared" si="21"/>
        <v>51.31795824272232</v>
      </c>
      <c r="CC64" s="917">
        <f t="shared" si="22"/>
        <v>521.59399999999994</v>
      </c>
      <c r="CD64" s="920">
        <f t="shared" si="23"/>
        <v>549.8359999999999</v>
      </c>
      <c r="CE64" s="914">
        <v>2015</v>
      </c>
      <c r="CF64" s="910" t="s">
        <v>5630</v>
      </c>
      <c r="CG64" s="1026">
        <v>52.5</v>
      </c>
      <c r="CH64" s="495">
        <v>52.5</v>
      </c>
      <c r="CI64" s="497">
        <v>52.4</v>
      </c>
      <c r="CJ64" s="904">
        <v>53.7</v>
      </c>
      <c r="CK64" s="904">
        <v>51.6</v>
      </c>
      <c r="CL64" s="904">
        <v>2010</v>
      </c>
      <c r="CM64" s="905" t="s">
        <v>5573</v>
      </c>
      <c r="CN64" s="1044">
        <v>796.92899999999997</v>
      </c>
      <c r="CO64" s="1045">
        <f t="shared" si="47"/>
        <v>40.028097506484428</v>
      </c>
      <c r="CP64" s="1040">
        <f>IF(OR(CZ64=1,CZ64=10),CN64*(1-BL64/100),IF(DA64=6,CN64*(1-BL64/100),CN64*(1-CB64/100)))</f>
        <v>394.48930963663099</v>
      </c>
      <c r="CQ64" s="1041">
        <f>IF(OR(CZ64=1,CZ64=10),CN64*BL64/100,IF(DA64=6,CN64*BL64/100,CN64*CB64/100))</f>
        <v>402.43969036336898</v>
      </c>
      <c r="CR64" s="1046">
        <v>2011</v>
      </c>
      <c r="CS64" s="1047" t="s">
        <v>5743</v>
      </c>
      <c r="CT64" s="1068">
        <f t="shared" si="48"/>
        <v>18</v>
      </c>
      <c r="CU64" s="1071">
        <v>18</v>
      </c>
      <c r="CV64" s="1068" t="s">
        <v>5903</v>
      </c>
      <c r="CW64" s="1113">
        <v>796.92899999999997</v>
      </c>
      <c r="CX64" s="1113">
        <v>894.774</v>
      </c>
      <c r="CY64" s="1113">
        <v>1797.86</v>
      </c>
      <c r="CZ64" s="494">
        <v>1</v>
      </c>
      <c r="DA64" s="1104">
        <v>4</v>
      </c>
      <c r="DB64" s="1050" t="s">
        <v>647</v>
      </c>
      <c r="DC64" s="1143" t="s">
        <v>320</v>
      </c>
      <c r="DD64" s="978">
        <f t="shared" si="34"/>
        <v>711.26065000000028</v>
      </c>
      <c r="DE64" s="979">
        <f t="shared" si="49"/>
        <v>35.725153245427762</v>
      </c>
      <c r="DF64" s="979">
        <f t="shared" si="35"/>
        <v>51.210683683489414</v>
      </c>
      <c r="DG64" s="980">
        <f t="shared" si="36"/>
        <v>347.47476536336893</v>
      </c>
      <c r="DH64" s="980">
        <f t="shared" si="37"/>
        <v>364.2414416366309</v>
      </c>
      <c r="DI64" s="979">
        <f t="shared" si="50"/>
        <v>35.257619026024443</v>
      </c>
      <c r="DJ64" s="981">
        <f t="shared" si="51"/>
        <v>36.228762447782195</v>
      </c>
      <c r="DK64" s="984">
        <f t="shared" si="52"/>
        <v>274.50100000000032</v>
      </c>
      <c r="DL64" s="979">
        <f t="shared" si="38"/>
        <v>53.696092049439073</v>
      </c>
      <c r="DM64" s="980">
        <f t="shared" si="53"/>
        <v>127.10469036336895</v>
      </c>
      <c r="DN64" s="985">
        <f t="shared" si="54"/>
        <v>147.39630963663092</v>
      </c>
      <c r="DO64" s="984">
        <f t="shared" si="55"/>
        <v>262.802775</v>
      </c>
      <c r="DP64" s="979">
        <f t="shared" si="39"/>
        <v>49.701627389589014</v>
      </c>
      <c r="DQ64" s="980">
        <f t="shared" si="28"/>
        <v>132.459925</v>
      </c>
      <c r="DR64" s="985">
        <f t="shared" si="29"/>
        <v>130.617256</v>
      </c>
      <c r="DS64" s="984">
        <f t="shared" si="56"/>
        <v>173.956875</v>
      </c>
      <c r="DT64" s="339">
        <f t="shared" si="40"/>
        <v>49.568535879941507</v>
      </c>
      <c r="DU64" s="980">
        <f t="shared" si="30"/>
        <v>87.910150000000002</v>
      </c>
      <c r="DV64" s="985">
        <f t="shared" si="31"/>
        <v>86.227875999999995</v>
      </c>
      <c r="DW64" s="979">
        <f t="shared" si="32"/>
        <v>47.5</v>
      </c>
      <c r="DX64" s="981">
        <f t="shared" si="33"/>
        <v>47.599999999999994</v>
      </c>
      <c r="DY64" s="414">
        <v>33.6</v>
      </c>
      <c r="DZ64" s="111">
        <v>2003</v>
      </c>
      <c r="EA64" s="118">
        <v>529.27869400000009</v>
      </c>
      <c r="EB64" s="123">
        <v>48.4</v>
      </c>
      <c r="EC64" s="113">
        <v>2010</v>
      </c>
      <c r="ED64" s="20">
        <v>859.63385200000005</v>
      </c>
      <c r="EE64" s="414">
        <v>48.4</v>
      </c>
      <c r="EF64" s="111">
        <v>2010</v>
      </c>
      <c r="EG64" s="380">
        <v>52.004360198974602</v>
      </c>
      <c r="EH64" s="24" t="s">
        <v>335</v>
      </c>
      <c r="EI64" s="287">
        <v>1</v>
      </c>
      <c r="EJ64" s="40">
        <v>3</v>
      </c>
      <c r="EK64" s="35" t="s">
        <v>145</v>
      </c>
      <c r="EL64" s="95" t="s">
        <v>145</v>
      </c>
      <c r="EM64" s="95" t="s">
        <v>145</v>
      </c>
      <c r="EN64" s="35" t="s">
        <v>145</v>
      </c>
      <c r="EO64" s="95" t="s">
        <v>1646</v>
      </c>
      <c r="EP64" s="205">
        <v>0.55000000000000004</v>
      </c>
      <c r="EQ64" s="207" t="s">
        <v>145</v>
      </c>
      <c r="ER64" s="517">
        <v>2</v>
      </c>
      <c r="ES64" s="183" t="s">
        <v>145</v>
      </c>
      <c r="ET64" s="183" t="s">
        <v>145</v>
      </c>
      <c r="EU64" s="82" t="s">
        <v>3839</v>
      </c>
      <c r="EV64" s="82" t="s">
        <v>3839</v>
      </c>
      <c r="EW64" s="82" t="s">
        <v>3757</v>
      </c>
      <c r="EX64" s="360" t="s">
        <v>145</v>
      </c>
      <c r="EY64" s="159"/>
      <c r="EZ64" s="156"/>
      <c r="FA64" s="323"/>
      <c r="FB64" s="323"/>
      <c r="FC64" s="323"/>
      <c r="FD64" s="160"/>
      <c r="FE64" s="156"/>
      <c r="FF64" s="156"/>
      <c r="FG64" s="156"/>
      <c r="FH64" s="157"/>
      <c r="FI64" s="242"/>
      <c r="FJ64" s="240"/>
      <c r="FK64" s="179"/>
      <c r="FL64" s="179"/>
      <c r="FM64" s="179"/>
      <c r="FN64" s="172"/>
      <c r="FO64" s="164"/>
      <c r="FP64" s="255">
        <v>1</v>
      </c>
      <c r="FQ64" s="183" t="s">
        <v>1882</v>
      </c>
      <c r="FR64" s="257">
        <v>1</v>
      </c>
      <c r="FS64" s="82" t="s">
        <v>1945</v>
      </c>
      <c r="FT64" s="259"/>
      <c r="FU64" s="82"/>
      <c r="FV64" s="259"/>
      <c r="FW64" s="82"/>
      <c r="FX64" s="259"/>
      <c r="FY64" s="82"/>
      <c r="FZ64" s="259"/>
      <c r="GA64" s="82"/>
      <c r="GB64" s="261"/>
      <c r="GC64" s="90"/>
      <c r="GD64" s="76">
        <v>3</v>
      </c>
      <c r="GE64" s="445" t="s">
        <v>3436</v>
      </c>
      <c r="GF64" s="447" t="s">
        <v>580</v>
      </c>
      <c r="GG64" s="448">
        <v>6</v>
      </c>
      <c r="GH64" s="449">
        <v>6</v>
      </c>
      <c r="GI64" s="447" t="s">
        <v>580</v>
      </c>
      <c r="GJ64" s="449">
        <v>65</v>
      </c>
      <c r="GK64" s="447">
        <v>19</v>
      </c>
      <c r="GL64" s="448">
        <v>21</v>
      </c>
      <c r="GM64" s="449">
        <v>25</v>
      </c>
      <c r="GN64" s="447" t="s">
        <v>580</v>
      </c>
      <c r="GO64" s="449">
        <v>83</v>
      </c>
      <c r="GP64" s="447">
        <v>28</v>
      </c>
      <c r="GQ64" s="448">
        <v>35</v>
      </c>
      <c r="GR64" s="449">
        <v>20</v>
      </c>
      <c r="GS64" s="446">
        <v>8</v>
      </c>
      <c r="GT64" s="461">
        <v>-1.2526001930236816</v>
      </c>
      <c r="GU64" s="462">
        <v>-4.6368207782506943E-2</v>
      </c>
      <c r="GV64" s="462">
        <v>-0.71818774938583374</v>
      </c>
      <c r="GW64" s="462">
        <v>-0.36699727177619934</v>
      </c>
      <c r="GX64" s="462">
        <v>-0.58685719966888428</v>
      </c>
      <c r="GY64" s="463">
        <v>-0.70093679428100586</v>
      </c>
      <c r="GZ64" s="10">
        <v>167</v>
      </c>
      <c r="HA64" s="536">
        <v>0.22850999999999999</v>
      </c>
      <c r="HB64" s="536">
        <v>0.21568000000000001</v>
      </c>
      <c r="HC64" s="525">
        <v>0.20472000000000001</v>
      </c>
      <c r="HD64" s="526">
        <v>0.14815999999999999</v>
      </c>
      <c r="HE64" s="527">
        <v>0.33260000000000001</v>
      </c>
      <c r="HF64" s="10">
        <v>135</v>
      </c>
      <c r="HG64" s="532">
        <v>2.31</v>
      </c>
      <c r="HH64" s="545">
        <v>3.39</v>
      </c>
      <c r="HI64" s="546">
        <v>0.51</v>
      </c>
      <c r="HJ64" s="547">
        <v>3.76</v>
      </c>
      <c r="HK64" s="379" t="s">
        <v>145</v>
      </c>
      <c r="HL64" s="362" t="s">
        <v>145</v>
      </c>
      <c r="HM64" s="557" t="s">
        <v>145</v>
      </c>
      <c r="HN64" s="557" t="s">
        <v>145</v>
      </c>
      <c r="HO64" s="557" t="s">
        <v>145</v>
      </c>
      <c r="HP64" s="562" t="s">
        <v>145</v>
      </c>
      <c r="HQ64" s="562" t="s">
        <v>145</v>
      </c>
      <c r="HR64" s="563" t="s">
        <v>145</v>
      </c>
      <c r="HS64" s="545" t="s">
        <v>145</v>
      </c>
      <c r="HT64" s="557" t="s">
        <v>145</v>
      </c>
      <c r="HU64" s="557" t="s">
        <v>145</v>
      </c>
      <c r="HV64" s="581" t="s">
        <v>145</v>
      </c>
      <c r="HW64" s="557" t="s">
        <v>145</v>
      </c>
      <c r="HX64" s="557" t="s">
        <v>145</v>
      </c>
      <c r="HY64" s="557" t="s">
        <v>145</v>
      </c>
      <c r="HZ64" s="557" t="s">
        <v>145</v>
      </c>
      <c r="IA64" s="557" t="s">
        <v>145</v>
      </c>
      <c r="IB64" s="557" t="s">
        <v>145</v>
      </c>
      <c r="IC64" s="547" t="s">
        <v>145</v>
      </c>
      <c r="ID64" s="40"/>
      <c r="IE64" s="550"/>
      <c r="IF64" s="550"/>
      <c r="IG64" s="553"/>
      <c r="IH64" s="115"/>
      <c r="II64" s="647" t="s">
        <v>4921</v>
      </c>
      <c r="IJ64" s="423" t="s">
        <v>4918</v>
      </c>
      <c r="IK64" s="10">
        <v>0</v>
      </c>
      <c r="IL64" s="749">
        <f t="shared" si="57"/>
        <v>15</v>
      </c>
      <c r="IM64" s="747">
        <f t="shared" si="58"/>
        <v>60</v>
      </c>
      <c r="IN64" s="750" t="str">
        <f t="shared" si="59"/>
        <v>B</v>
      </c>
      <c r="IO64" s="446">
        <v>1</v>
      </c>
      <c r="IP64" s="902">
        <v>4</v>
      </c>
      <c r="IQ64" s="903">
        <v>0</v>
      </c>
      <c r="IR64" s="993">
        <v>0</v>
      </c>
      <c r="IT64" s="435"/>
      <c r="IU64" s="435"/>
      <c r="IV64" s="435"/>
    </row>
    <row r="65" spans="1:256">
      <c r="A65" s="21">
        <v>63</v>
      </c>
      <c r="B65" s="9"/>
      <c r="C65" s="430" t="s">
        <v>101</v>
      </c>
      <c r="D65" s="423" t="s">
        <v>408</v>
      </c>
      <c r="E65" s="24" t="s">
        <v>20</v>
      </c>
      <c r="F65" s="76" t="s">
        <v>802</v>
      </c>
      <c r="G65" s="102" t="s">
        <v>508</v>
      </c>
      <c r="H65" s="375" t="s">
        <v>3095</v>
      </c>
      <c r="I65" s="364" t="s">
        <v>3094</v>
      </c>
      <c r="J65" s="176">
        <v>3</v>
      </c>
      <c r="K65" s="88">
        <v>1919</v>
      </c>
      <c r="L65" s="371">
        <v>2</v>
      </c>
      <c r="M65" s="240" t="s">
        <v>1835</v>
      </c>
      <c r="N65" s="369" t="s">
        <v>1822</v>
      </c>
      <c r="O65" s="375" t="s">
        <v>3096</v>
      </c>
      <c r="P65" s="364" t="s">
        <v>3094</v>
      </c>
      <c r="Q65" s="176">
        <v>6</v>
      </c>
      <c r="R65" s="176">
        <v>2011</v>
      </c>
      <c r="S65" s="234" t="s">
        <v>1961</v>
      </c>
      <c r="T65" s="176">
        <v>1</v>
      </c>
      <c r="U65" s="176">
        <v>2</v>
      </c>
      <c r="V65" s="176">
        <v>14</v>
      </c>
      <c r="W65" s="369" t="s">
        <v>1822</v>
      </c>
      <c r="X65" s="170">
        <v>0</v>
      </c>
      <c r="Y65" s="369">
        <v>0</v>
      </c>
      <c r="Z65" s="271"/>
      <c r="AA65" s="169"/>
      <c r="AB65" s="177"/>
      <c r="AC65" s="171"/>
      <c r="AD65" s="366" t="s">
        <v>932</v>
      </c>
      <c r="AE65" s="357">
        <v>2011</v>
      </c>
      <c r="AF65" s="804">
        <v>2</v>
      </c>
      <c r="AG65" s="550" t="s">
        <v>5171</v>
      </c>
      <c r="AH65" s="355" t="s">
        <v>3191</v>
      </c>
      <c r="AI65" s="550">
        <v>0</v>
      </c>
      <c r="AJ65" s="550">
        <v>0</v>
      </c>
      <c r="AK65" s="590" t="s">
        <v>145</v>
      </c>
      <c r="AL65" s="387">
        <v>5</v>
      </c>
      <c r="AM65" s="361" t="s">
        <v>3056</v>
      </c>
      <c r="AN65" s="528" t="s">
        <v>145</v>
      </c>
      <c r="AO65" s="170">
        <v>0</v>
      </c>
      <c r="AP65" s="172">
        <v>0</v>
      </c>
      <c r="AQ65" s="282" t="s">
        <v>5226</v>
      </c>
      <c r="AR65" s="685" t="s">
        <v>5227</v>
      </c>
      <c r="AS65" s="55">
        <v>2</v>
      </c>
      <c r="AT65" s="370">
        <v>2</v>
      </c>
      <c r="AU65" s="371">
        <v>2010</v>
      </c>
      <c r="AV65" s="370">
        <v>5</v>
      </c>
      <c r="AW65" s="589">
        <v>35</v>
      </c>
      <c r="AX65" s="687">
        <v>0</v>
      </c>
      <c r="AY65" s="174" t="s">
        <v>4408</v>
      </c>
      <c r="AZ65" s="55">
        <v>2007</v>
      </c>
      <c r="BA65" s="55">
        <v>1</v>
      </c>
      <c r="BB65" s="55">
        <v>2</v>
      </c>
      <c r="BC65" s="174" t="s">
        <v>4409</v>
      </c>
      <c r="BD65" s="55">
        <v>2005</v>
      </c>
      <c r="BE65" s="55">
        <v>1</v>
      </c>
      <c r="BF65" s="367" t="s">
        <v>323</v>
      </c>
      <c r="BG65" s="367">
        <v>0</v>
      </c>
      <c r="BH65" s="56" t="s">
        <v>145</v>
      </c>
      <c r="BI65" s="367">
        <v>3</v>
      </c>
      <c r="BJ65" s="367">
        <v>1</v>
      </c>
      <c r="BK65" s="1138">
        <v>4490.7</v>
      </c>
      <c r="BL65" s="1163">
        <f t="shared" si="46"/>
        <v>52.317010711025013</v>
      </c>
      <c r="BM65" s="1138">
        <v>2141.3000000000002</v>
      </c>
      <c r="BN65" s="1139">
        <v>2349.4</v>
      </c>
      <c r="BO65" s="888">
        <v>274.76799999999997</v>
      </c>
      <c r="BP65" s="1158">
        <f t="shared" si="17"/>
        <v>48.300020380830375</v>
      </c>
      <c r="BQ65" s="917">
        <v>142.05500000000001</v>
      </c>
      <c r="BR65" s="920">
        <v>132.71299999999999</v>
      </c>
      <c r="BS65" s="888">
        <v>228.517</v>
      </c>
      <c r="BT65" s="1158">
        <f t="shared" si="18"/>
        <v>46.905919472074295</v>
      </c>
      <c r="BU65" s="917">
        <v>121.32899999999999</v>
      </c>
      <c r="BV65" s="920">
        <v>107.188</v>
      </c>
      <c r="BW65" s="888">
        <v>189.78100000000001</v>
      </c>
      <c r="BX65" s="1158">
        <f t="shared" si="19"/>
        <v>46.678013078232276</v>
      </c>
      <c r="BY65" s="917">
        <v>101.19499999999999</v>
      </c>
      <c r="BZ65" s="920">
        <v>88.585999999999999</v>
      </c>
      <c r="CA65" s="888">
        <f t="shared" si="20"/>
        <v>3797.634</v>
      </c>
      <c r="CB65" s="1158">
        <f t="shared" si="21"/>
        <v>53.215054425992605</v>
      </c>
      <c r="CC65" s="917">
        <f t="shared" si="22"/>
        <v>1776.7210000000002</v>
      </c>
      <c r="CD65" s="920">
        <f t="shared" si="23"/>
        <v>2020.9129999999998</v>
      </c>
      <c r="CE65" s="914">
        <v>2015</v>
      </c>
      <c r="CF65" s="910" t="s">
        <v>5630</v>
      </c>
      <c r="CG65" s="930">
        <v>99.6</v>
      </c>
      <c r="CH65" s="495">
        <v>99.4</v>
      </c>
      <c r="CI65" s="497">
        <v>99.9</v>
      </c>
      <c r="CJ65" s="904">
        <v>99.6</v>
      </c>
      <c r="CK65" s="904">
        <v>99.7</v>
      </c>
      <c r="CL65" s="904">
        <v>2013</v>
      </c>
      <c r="CM65" s="905" t="s">
        <v>5592</v>
      </c>
      <c r="CN65" s="1125">
        <v>3509.6010000000001</v>
      </c>
      <c r="CO65" s="1045">
        <f t="shared" si="47"/>
        <v>78.15264880753557</v>
      </c>
      <c r="CP65" s="1040">
        <f>IF(OR(CZ65=1,CZ65=10),CN65*(1-BL65/100),IF(DA65=6,CN65*(1-BL65/100),CN65*(1-CB65/100)))</f>
        <v>1673.4826689157589</v>
      </c>
      <c r="CQ65" s="1041">
        <f>IF(OR(CZ65=1,CZ65=10),CN65*BL65/100,IF(DA65=6,CN65*BL65/100,CN65*CB65/100))</f>
        <v>1836.1183310842409</v>
      </c>
      <c r="CR65" s="1046">
        <v>2013</v>
      </c>
      <c r="CS65" s="1047" t="s">
        <v>5844</v>
      </c>
      <c r="CT65" s="1068">
        <f t="shared" si="48"/>
        <v>14</v>
      </c>
      <c r="CU65" s="1071">
        <v>18</v>
      </c>
      <c r="CV65" s="1068" t="s">
        <v>5904</v>
      </c>
      <c r="CW65" s="1113">
        <v>3537.7190000000001</v>
      </c>
      <c r="CX65" s="1113">
        <v>3509.6010000000001</v>
      </c>
      <c r="CY65" s="1113">
        <v>4555.9110000000001</v>
      </c>
      <c r="CZ65" s="494">
        <v>1</v>
      </c>
      <c r="DA65" s="1104">
        <v>4</v>
      </c>
      <c r="DB65" s="1050" t="s">
        <v>647</v>
      </c>
      <c r="DC65" s="1146" t="s">
        <v>322</v>
      </c>
      <c r="DD65" s="978">
        <f t="shared" si="34"/>
        <v>290.80526399999991</v>
      </c>
      <c r="DE65" s="979">
        <f t="shared" si="49"/>
        <v>6.4757223595430542</v>
      </c>
      <c r="DF65" s="979">
        <f t="shared" si="35"/>
        <v>63.658804991837727</v>
      </c>
      <c r="DG65" s="980">
        <f t="shared" si="36"/>
        <v>105.42580508424123</v>
      </c>
      <c r="DH65" s="980">
        <f t="shared" si="37"/>
        <v>185.12315591575882</v>
      </c>
      <c r="DI65" s="979">
        <f t="shared" si="50"/>
        <v>4.9234486099211336</v>
      </c>
      <c r="DJ65" s="981">
        <f t="shared" si="51"/>
        <v>7.8795929137549496</v>
      </c>
      <c r="DK65" s="984">
        <f t="shared" si="52"/>
        <v>288.0329999999999</v>
      </c>
      <c r="DL65" s="979">
        <f t="shared" si="38"/>
        <v>64.157464219641128</v>
      </c>
      <c r="DM65" s="980">
        <f t="shared" si="53"/>
        <v>103.23833108424128</v>
      </c>
      <c r="DN65" s="985">
        <f t="shared" si="54"/>
        <v>184.79466891575885</v>
      </c>
      <c r="DO65" s="984">
        <f t="shared" si="55"/>
        <v>1.6731920000000016</v>
      </c>
      <c r="DP65" s="979">
        <f t="shared" si="39"/>
        <v>11.700629694618325</v>
      </c>
      <c r="DQ65" s="980">
        <f t="shared" si="28"/>
        <v>1.3351439999999763</v>
      </c>
      <c r="DR65" s="985">
        <f t="shared" si="29"/>
        <v>0.19577399999997844</v>
      </c>
      <c r="DS65" s="984">
        <f t="shared" si="56"/>
        <v>1.0990720000000009</v>
      </c>
      <c r="DT65" s="339">
        <f t="shared" si="40"/>
        <v>12.075005095206253</v>
      </c>
      <c r="DU65" s="980">
        <f t="shared" si="30"/>
        <v>0.85232999999998504</v>
      </c>
      <c r="DV65" s="985">
        <f t="shared" si="31"/>
        <v>0.13271299999998537</v>
      </c>
      <c r="DW65" s="979">
        <f t="shared" si="32"/>
        <v>0.59999999999998943</v>
      </c>
      <c r="DX65" s="981">
        <f t="shared" si="33"/>
        <v>9.9999999999988987E-2</v>
      </c>
      <c r="DY65" s="414">
        <v>17.989999999999998</v>
      </c>
      <c r="DZ65" s="111">
        <v>2010</v>
      </c>
      <c r="EA65" s="118">
        <v>807.48</v>
      </c>
      <c r="EB65" s="123">
        <v>24.7</v>
      </c>
      <c r="EC65" s="113">
        <v>2009</v>
      </c>
      <c r="ED65" s="20">
        <v>1108.0419999999999</v>
      </c>
      <c r="EE65" s="414">
        <v>9.1999999999999993</v>
      </c>
      <c r="EF65" s="121">
        <v>2010</v>
      </c>
      <c r="EG65" s="380">
        <v>99.739158630371094</v>
      </c>
      <c r="EH65" s="24" t="s">
        <v>387</v>
      </c>
      <c r="EI65" s="288">
        <v>0</v>
      </c>
      <c r="EJ65" s="40" t="s">
        <v>145</v>
      </c>
      <c r="EK65" s="35" t="s">
        <v>145</v>
      </c>
      <c r="EL65" s="364" t="s">
        <v>145</v>
      </c>
      <c r="EM65" s="364" t="s">
        <v>145</v>
      </c>
      <c r="EN65" s="35" t="s">
        <v>145</v>
      </c>
      <c r="EO65" s="364" t="s">
        <v>145</v>
      </c>
      <c r="EP65" s="205" t="s">
        <v>145</v>
      </c>
      <c r="EQ65" s="207" t="s">
        <v>145</v>
      </c>
      <c r="ER65" s="517">
        <v>1</v>
      </c>
      <c r="ES65" s="183" t="s">
        <v>145</v>
      </c>
      <c r="ET65" s="183" t="s">
        <v>145</v>
      </c>
      <c r="EU65" s="82" t="s">
        <v>145</v>
      </c>
      <c r="EV65" s="82" t="s">
        <v>145</v>
      </c>
      <c r="EW65" s="82" t="s">
        <v>3857</v>
      </c>
      <c r="EX65" s="360" t="s">
        <v>145</v>
      </c>
      <c r="EY65" s="159"/>
      <c r="EZ65" s="156"/>
      <c r="FA65" s="323"/>
      <c r="FB65" s="323"/>
      <c r="FC65" s="323"/>
      <c r="FD65" s="160"/>
      <c r="FE65" s="156"/>
      <c r="FF65" s="156"/>
      <c r="FG65" s="156"/>
      <c r="FH65" s="157"/>
      <c r="FI65" s="242"/>
      <c r="FJ65" s="240"/>
      <c r="FK65" s="179"/>
      <c r="FL65" s="179"/>
      <c r="FM65" s="179"/>
      <c r="FN65" s="172"/>
      <c r="FO65" s="164"/>
      <c r="FP65" s="255"/>
      <c r="FQ65" s="183"/>
      <c r="FR65" s="257"/>
      <c r="FS65" s="82"/>
      <c r="FT65" s="259"/>
      <c r="FU65" s="82"/>
      <c r="FV65" s="259"/>
      <c r="FW65" s="82"/>
      <c r="FX65" s="259"/>
      <c r="FY65" s="82"/>
      <c r="FZ65" s="259"/>
      <c r="GA65" s="82"/>
      <c r="GB65" s="261"/>
      <c r="GC65" s="90"/>
      <c r="GD65" s="76">
        <v>1</v>
      </c>
      <c r="GE65" s="445" t="s">
        <v>3424</v>
      </c>
      <c r="GF65" s="447" t="s">
        <v>590</v>
      </c>
      <c r="GG65" s="448">
        <v>3</v>
      </c>
      <c r="GH65" s="449">
        <v>3</v>
      </c>
      <c r="GI65" s="447" t="s">
        <v>10</v>
      </c>
      <c r="GJ65" s="449">
        <v>26</v>
      </c>
      <c r="GK65" s="447">
        <v>8</v>
      </c>
      <c r="GL65" s="448">
        <v>7</v>
      </c>
      <c r="GM65" s="449">
        <v>11</v>
      </c>
      <c r="GN65" s="447" t="s">
        <v>590</v>
      </c>
      <c r="GO65" s="449">
        <v>47</v>
      </c>
      <c r="GP65" s="447">
        <v>12</v>
      </c>
      <c r="GQ65" s="448">
        <v>19</v>
      </c>
      <c r="GR65" s="449">
        <v>16</v>
      </c>
      <c r="GS65" s="446">
        <v>7</v>
      </c>
      <c r="GT65" s="461">
        <v>9.9354945123195648E-2</v>
      </c>
      <c r="GU65" s="462">
        <v>-0.46391326189041138</v>
      </c>
      <c r="GV65" s="462">
        <v>0.53251934051513672</v>
      </c>
      <c r="GW65" s="462">
        <v>0.7352873682975769</v>
      </c>
      <c r="GX65" s="462">
        <v>-2.4865627288818359E-2</v>
      </c>
      <c r="GY65" s="463">
        <v>0.35516422986984253</v>
      </c>
      <c r="GZ65" s="10">
        <v>56</v>
      </c>
      <c r="HA65" s="536">
        <v>0.60468</v>
      </c>
      <c r="HB65" s="536">
        <v>0.58823000000000003</v>
      </c>
      <c r="HC65" s="525">
        <v>0.59841999999999995</v>
      </c>
      <c r="HD65" s="526">
        <v>0.42613000000000001</v>
      </c>
      <c r="HE65" s="527">
        <v>0.78949999999999998</v>
      </c>
      <c r="HF65" s="10">
        <v>78</v>
      </c>
      <c r="HG65" s="532">
        <v>4.8600000000000003</v>
      </c>
      <c r="HH65" s="545">
        <v>5.99</v>
      </c>
      <c r="HI65" s="546">
        <v>2.58</v>
      </c>
      <c r="HJ65" s="547">
        <v>7.14</v>
      </c>
      <c r="HK65" s="379" t="s">
        <v>4050</v>
      </c>
      <c r="HL65" s="23" t="s">
        <v>4718</v>
      </c>
      <c r="HM65" s="557">
        <v>2012</v>
      </c>
      <c r="HN65" s="557" t="s">
        <v>145</v>
      </c>
      <c r="HO65" s="557" t="s">
        <v>3985</v>
      </c>
      <c r="HP65" s="562" t="s">
        <v>4000</v>
      </c>
      <c r="HQ65" s="639" t="s">
        <v>4719</v>
      </c>
      <c r="HR65" s="563" t="s">
        <v>4115</v>
      </c>
      <c r="HS65" s="545">
        <v>31</v>
      </c>
      <c r="HT65" s="557">
        <v>97</v>
      </c>
      <c r="HU65" s="557">
        <v>1999</v>
      </c>
      <c r="HV65" s="583" t="s">
        <v>4194</v>
      </c>
      <c r="HW65" s="557">
        <v>4</v>
      </c>
      <c r="HX65" s="557">
        <v>30</v>
      </c>
      <c r="HY65" s="557">
        <v>15</v>
      </c>
      <c r="HZ65" s="557">
        <v>18</v>
      </c>
      <c r="IA65" s="557">
        <v>20</v>
      </c>
      <c r="IB65" s="557">
        <v>1</v>
      </c>
      <c r="IC65" s="547">
        <v>9</v>
      </c>
      <c r="ID65" s="40"/>
      <c r="IE65" s="550"/>
      <c r="IF65" s="550"/>
      <c r="IG65" s="785" t="s">
        <v>3422</v>
      </c>
      <c r="IH65" s="115"/>
      <c r="II65" s="647" t="s">
        <v>4922</v>
      </c>
      <c r="IJ65" s="423" t="s">
        <v>4926</v>
      </c>
      <c r="IK65" s="10">
        <v>0</v>
      </c>
      <c r="IL65" s="749">
        <f t="shared" si="57"/>
        <v>21</v>
      </c>
      <c r="IM65" s="747">
        <f t="shared" si="58"/>
        <v>84</v>
      </c>
      <c r="IN65" s="750" t="str">
        <f t="shared" si="59"/>
        <v>A</v>
      </c>
      <c r="IO65" s="446"/>
      <c r="IP65" s="902">
        <v>4</v>
      </c>
      <c r="IQ65" s="903">
        <v>0</v>
      </c>
      <c r="IR65" s="993">
        <v>0</v>
      </c>
      <c r="IT65" s="435"/>
      <c r="IU65" s="435"/>
      <c r="IV65" s="435"/>
    </row>
    <row r="66" spans="1:256">
      <c r="A66" s="21">
        <v>64</v>
      </c>
      <c r="B66" s="9"/>
      <c r="C66" s="430" t="s">
        <v>103</v>
      </c>
      <c r="D66" s="424"/>
      <c r="E66" s="24" t="s">
        <v>17</v>
      </c>
      <c r="F66" s="76" t="s">
        <v>803</v>
      </c>
      <c r="G66" s="102" t="s">
        <v>485</v>
      </c>
      <c r="H66" s="375" t="s">
        <v>2261</v>
      </c>
      <c r="I66" s="364" t="s">
        <v>2260</v>
      </c>
      <c r="J66" s="176">
        <v>5</v>
      </c>
      <c r="K66" s="88">
        <v>1876</v>
      </c>
      <c r="L66" s="371">
        <v>2</v>
      </c>
      <c r="M66" s="240" t="s">
        <v>2151</v>
      </c>
      <c r="N66" s="280">
        <v>10</v>
      </c>
      <c r="O66" s="375" t="s">
        <v>3192</v>
      </c>
      <c r="P66" s="378" t="s">
        <v>1981</v>
      </c>
      <c r="Q66" s="176">
        <v>5</v>
      </c>
      <c r="R66" s="370">
        <v>2010</v>
      </c>
      <c r="S66" s="234" t="s">
        <v>2066</v>
      </c>
      <c r="T66" s="176">
        <v>1</v>
      </c>
      <c r="U66" s="370">
        <v>2</v>
      </c>
      <c r="V66" s="176">
        <v>16</v>
      </c>
      <c r="W66" s="351" t="s">
        <v>2036</v>
      </c>
      <c r="X66" s="170">
        <v>1</v>
      </c>
      <c r="Y66" s="369">
        <v>1</v>
      </c>
      <c r="Z66" s="273" t="s">
        <v>2018</v>
      </c>
      <c r="AA66" s="169">
        <v>1</v>
      </c>
      <c r="AB66" s="177">
        <v>1</v>
      </c>
      <c r="AC66" s="171"/>
      <c r="AD66" s="366" t="s">
        <v>3034</v>
      </c>
      <c r="AE66" s="357">
        <v>2010</v>
      </c>
      <c r="AF66" s="55">
        <v>2</v>
      </c>
      <c r="AG66" s="550" t="s">
        <v>5171</v>
      </c>
      <c r="AH66" s="355" t="s">
        <v>2785</v>
      </c>
      <c r="AI66" s="550">
        <v>1</v>
      </c>
      <c r="AJ66" s="550">
        <v>1</v>
      </c>
      <c r="AK66" s="590" t="s">
        <v>145</v>
      </c>
      <c r="AL66" s="387" t="s">
        <v>5433</v>
      </c>
      <c r="AM66" s="361" t="s">
        <v>2750</v>
      </c>
      <c r="AN66" s="528" t="s">
        <v>145</v>
      </c>
      <c r="AO66" s="170">
        <v>1</v>
      </c>
      <c r="AP66" s="172">
        <v>1</v>
      </c>
      <c r="AQ66" s="282" t="s">
        <v>5228</v>
      </c>
      <c r="AR66" s="378" t="s">
        <v>2798</v>
      </c>
      <c r="AS66" s="55">
        <v>2</v>
      </c>
      <c r="AT66" s="370">
        <v>2</v>
      </c>
      <c r="AU66" s="371">
        <v>2005</v>
      </c>
      <c r="AV66" s="370">
        <v>10</v>
      </c>
      <c r="AW66" s="589">
        <v>15500</v>
      </c>
      <c r="AX66" s="687">
        <v>1</v>
      </c>
      <c r="AY66" s="174" t="s">
        <v>2164</v>
      </c>
      <c r="AZ66" s="55">
        <v>2007</v>
      </c>
      <c r="BA66" s="55">
        <v>1</v>
      </c>
      <c r="BB66" s="55">
        <v>2</v>
      </c>
      <c r="BC66" s="174" t="s">
        <v>4410</v>
      </c>
      <c r="BD66" s="55">
        <v>2007</v>
      </c>
      <c r="BE66" s="55">
        <v>2</v>
      </c>
      <c r="BF66" s="367" t="s">
        <v>3238</v>
      </c>
      <c r="BG66" s="367">
        <v>0</v>
      </c>
      <c r="BH66" s="56" t="s">
        <v>145</v>
      </c>
      <c r="BI66" s="367">
        <v>3</v>
      </c>
      <c r="BJ66" s="367">
        <v>1</v>
      </c>
      <c r="BK66" s="888">
        <v>80688.544999999998</v>
      </c>
      <c r="BL66" s="925">
        <f t="shared" si="46"/>
        <v>50.857059078212409</v>
      </c>
      <c r="BM66" s="888">
        <v>39652.724000000002</v>
      </c>
      <c r="BN66" s="920">
        <v>41035.821000000004</v>
      </c>
      <c r="BO66" s="888">
        <v>3384.4549999999999</v>
      </c>
      <c r="BP66" s="1158">
        <f t="shared" si="17"/>
        <v>48.620028926370715</v>
      </c>
      <c r="BQ66" s="917">
        <v>1738.932</v>
      </c>
      <c r="BR66" s="920">
        <v>1645.5229999999999</v>
      </c>
      <c r="BS66" s="888">
        <v>3392.547</v>
      </c>
      <c r="BT66" s="1158">
        <f t="shared" si="18"/>
        <v>48.674609371660878</v>
      </c>
      <c r="BU66" s="917">
        <v>1741.2380000000001</v>
      </c>
      <c r="BV66" s="920">
        <v>1651.309</v>
      </c>
      <c r="BW66" s="888">
        <v>3620.3820000000001</v>
      </c>
      <c r="BX66" s="1158">
        <f t="shared" si="19"/>
        <v>48.70295455009996</v>
      </c>
      <c r="BY66" s="917">
        <v>1857.1489999999999</v>
      </c>
      <c r="BZ66" s="920">
        <v>1763.2329999999999</v>
      </c>
      <c r="CA66" s="888">
        <f t="shared" si="20"/>
        <v>70291.160999999993</v>
      </c>
      <c r="CB66" s="1158">
        <f t="shared" si="21"/>
        <v>51.18105247969941</v>
      </c>
      <c r="CC66" s="917">
        <f t="shared" si="22"/>
        <v>34315.405000000006</v>
      </c>
      <c r="CD66" s="920">
        <f t="shared" si="23"/>
        <v>35975.756000000001</v>
      </c>
      <c r="CE66" s="914">
        <v>2015</v>
      </c>
      <c r="CF66" s="910" t="s">
        <v>5630</v>
      </c>
      <c r="CG66" s="930">
        <v>100</v>
      </c>
      <c r="CH66" s="1005">
        <v>100</v>
      </c>
      <c r="CI66" s="1006">
        <v>100</v>
      </c>
      <c r="CJ66" s="904" t="s">
        <v>1621</v>
      </c>
      <c r="CK66" s="904" t="s">
        <v>1621</v>
      </c>
      <c r="CL66" s="904">
        <v>2011</v>
      </c>
      <c r="CM66" s="905" t="s">
        <v>5576</v>
      </c>
      <c r="CN66" s="1044">
        <v>73570.200000000012</v>
      </c>
      <c r="CO66" s="1045">
        <f t="shared" si="47"/>
        <v>91.177998066516153</v>
      </c>
      <c r="CP66" s="1049">
        <v>35919.4</v>
      </c>
      <c r="CQ66" s="1050">
        <v>37650.800000000003</v>
      </c>
      <c r="CR66" s="1046">
        <v>2015</v>
      </c>
      <c r="CS66" s="1047" t="s">
        <v>5645</v>
      </c>
      <c r="CT66" s="1068">
        <f t="shared" si="48"/>
        <v>16</v>
      </c>
      <c r="CU66" s="1071">
        <v>18</v>
      </c>
      <c r="CV66" s="1068" t="s">
        <v>5781</v>
      </c>
      <c r="CW66" s="1113">
        <v>61946.9</v>
      </c>
      <c r="CX66" s="1113">
        <v>67068.214000000007</v>
      </c>
      <c r="CY66" s="1113">
        <v>81147.264999999999</v>
      </c>
      <c r="CZ66" s="1048">
        <v>20</v>
      </c>
      <c r="DA66" s="1104">
        <v>5</v>
      </c>
      <c r="DB66" s="1050" t="s">
        <v>647</v>
      </c>
      <c r="DC66" s="1145" t="s">
        <v>323</v>
      </c>
      <c r="DD66" s="1131">
        <f t="shared" si="34"/>
        <v>7118.3449999999866</v>
      </c>
      <c r="DE66" s="1132">
        <f t="shared" si="49"/>
        <v>8.8220019334838504</v>
      </c>
      <c r="DF66" s="1132">
        <f t="shared" si="35"/>
        <v>47.553483288601598</v>
      </c>
      <c r="DG66" s="1133">
        <f t="shared" si="36"/>
        <v>3733.3240000000005</v>
      </c>
      <c r="DH66" s="1133">
        <f t="shared" si="37"/>
        <v>3385.0210000000006</v>
      </c>
      <c r="DI66" s="1132">
        <f t="shared" si="50"/>
        <v>9.4150505271718554</v>
      </c>
      <c r="DJ66" s="1134">
        <f t="shared" si="51"/>
        <v>8.2489418208545171</v>
      </c>
      <c r="DK66" s="1135">
        <f t="shared" si="52"/>
        <v>7118.3449999999866</v>
      </c>
      <c r="DL66" s="1132">
        <f t="shared" si="38"/>
        <v>47.553483288601598</v>
      </c>
      <c r="DM66" s="1133">
        <f t="shared" si="53"/>
        <v>3733.3240000000005</v>
      </c>
      <c r="DN66" s="1136">
        <f t="shared" si="54"/>
        <v>3385.0210000000006</v>
      </c>
      <c r="DO66" s="1135">
        <f t="shared" si="55"/>
        <v>0</v>
      </c>
      <c r="DP66" s="1132">
        <f t="shared" si="39"/>
        <v>0</v>
      </c>
      <c r="DQ66" s="1133">
        <f t="shared" si="28"/>
        <v>0</v>
      </c>
      <c r="DR66" s="1136">
        <f t="shared" si="29"/>
        <v>0</v>
      </c>
      <c r="DS66" s="1135">
        <f t="shared" si="56"/>
        <v>0</v>
      </c>
      <c r="DT66" s="1137">
        <f t="shared" si="40"/>
        <v>0</v>
      </c>
      <c r="DU66" s="1133">
        <f t="shared" si="30"/>
        <v>0</v>
      </c>
      <c r="DV66" s="1136">
        <f t="shared" si="31"/>
        <v>0</v>
      </c>
      <c r="DW66" s="1132">
        <f t="shared" si="32"/>
        <v>0</v>
      </c>
      <c r="DX66" s="1134">
        <f t="shared" si="33"/>
        <v>0</v>
      </c>
      <c r="DY66" s="414" t="s">
        <v>145</v>
      </c>
      <c r="DZ66" s="111" t="s">
        <v>145</v>
      </c>
      <c r="EA66" s="118"/>
      <c r="EB66" s="123" t="s">
        <v>145</v>
      </c>
      <c r="EC66" s="113" t="s">
        <v>145</v>
      </c>
      <c r="ED66" s="20"/>
      <c r="EE66" s="414">
        <v>15.5</v>
      </c>
      <c r="EF66" s="111">
        <v>2010</v>
      </c>
      <c r="EG66" s="380" t="s">
        <v>145</v>
      </c>
      <c r="EH66" s="24" t="s">
        <v>376</v>
      </c>
      <c r="EI66" s="287">
        <v>0</v>
      </c>
      <c r="EJ66" s="40" t="s">
        <v>145</v>
      </c>
      <c r="EK66" s="35" t="s">
        <v>145</v>
      </c>
      <c r="EL66" s="95" t="s">
        <v>145</v>
      </c>
      <c r="EM66" s="95" t="s">
        <v>145</v>
      </c>
      <c r="EN66" s="35" t="s">
        <v>145</v>
      </c>
      <c r="EO66" s="95" t="s">
        <v>145</v>
      </c>
      <c r="EP66" s="205" t="s">
        <v>145</v>
      </c>
      <c r="EQ66" s="207" t="s">
        <v>145</v>
      </c>
      <c r="ER66" s="517" t="s">
        <v>145</v>
      </c>
      <c r="ES66" s="183"/>
      <c r="ET66" s="183"/>
      <c r="EU66" s="82"/>
      <c r="EV66" s="82"/>
      <c r="EW66" s="82"/>
      <c r="EX66" s="90"/>
      <c r="EY66" s="159"/>
      <c r="EZ66" s="156"/>
      <c r="FA66" s="323"/>
      <c r="FB66" s="323"/>
      <c r="FC66" s="323"/>
      <c r="FD66" s="160"/>
      <c r="FE66" s="156"/>
      <c r="FF66" s="156"/>
      <c r="FG66" s="156"/>
      <c r="FH66" s="157"/>
      <c r="FI66" s="242"/>
      <c r="FJ66" s="240"/>
      <c r="FK66" s="179"/>
      <c r="FL66" s="179"/>
      <c r="FM66" s="179"/>
      <c r="FN66" s="369"/>
      <c r="FO66" s="164"/>
      <c r="FP66" s="255">
        <v>2</v>
      </c>
      <c r="FQ66" s="183"/>
      <c r="FR66" s="257"/>
      <c r="FS66" s="82"/>
      <c r="FT66" s="259"/>
      <c r="FU66" s="82"/>
      <c r="FV66" s="259"/>
      <c r="FW66" s="82"/>
      <c r="FX66" s="259"/>
      <c r="FY66" s="82"/>
      <c r="FZ66" s="259"/>
      <c r="GA66" s="82"/>
      <c r="GB66" s="261"/>
      <c r="GC66" s="90"/>
      <c r="GD66" s="76">
        <v>1</v>
      </c>
      <c r="GE66" s="445" t="s">
        <v>3424</v>
      </c>
      <c r="GF66" s="447" t="s">
        <v>10</v>
      </c>
      <c r="GG66" s="448">
        <v>1</v>
      </c>
      <c r="GH66" s="449">
        <v>1</v>
      </c>
      <c r="GI66" s="447" t="s">
        <v>10</v>
      </c>
      <c r="GJ66" s="449">
        <v>17</v>
      </c>
      <c r="GK66" s="447">
        <v>4</v>
      </c>
      <c r="GL66" s="448">
        <v>4</v>
      </c>
      <c r="GM66" s="449">
        <v>9</v>
      </c>
      <c r="GN66" s="447" t="s">
        <v>10</v>
      </c>
      <c r="GO66" s="449">
        <v>17</v>
      </c>
      <c r="GP66" s="447">
        <v>6</v>
      </c>
      <c r="GQ66" s="448">
        <v>7</v>
      </c>
      <c r="GR66" s="449">
        <v>4</v>
      </c>
      <c r="GS66" s="446">
        <v>10</v>
      </c>
      <c r="GT66" s="461">
        <v>1.4077863693237305</v>
      </c>
      <c r="GU66" s="462">
        <v>0.92707729339599609</v>
      </c>
      <c r="GV66" s="462">
        <v>1.5184236764907837</v>
      </c>
      <c r="GW66" s="462">
        <v>1.5509365797042847</v>
      </c>
      <c r="GX66" s="462">
        <v>1.6154125928878784</v>
      </c>
      <c r="GY66" s="463">
        <v>1.777997612953186</v>
      </c>
      <c r="GZ66" s="10">
        <v>21</v>
      </c>
      <c r="HA66" s="536">
        <v>0.78639999999999999</v>
      </c>
      <c r="HB66" s="536">
        <v>0.70587999999999995</v>
      </c>
      <c r="HC66" s="525">
        <v>0.66929000000000005</v>
      </c>
      <c r="HD66" s="526">
        <v>0.80376999999999998</v>
      </c>
      <c r="HE66" s="527">
        <v>0.88619999999999999</v>
      </c>
      <c r="HF66" s="10">
        <v>17</v>
      </c>
      <c r="HG66" s="532">
        <v>7.9</v>
      </c>
      <c r="HH66" s="545">
        <v>9.19</v>
      </c>
      <c r="HI66" s="546">
        <v>6.21</v>
      </c>
      <c r="HJ66" s="547">
        <v>8.68</v>
      </c>
      <c r="HK66" s="379" t="s">
        <v>4051</v>
      </c>
      <c r="HL66" s="23" t="s">
        <v>4720</v>
      </c>
      <c r="HM66" s="557">
        <v>1977</v>
      </c>
      <c r="HN66" s="557">
        <v>2009</v>
      </c>
      <c r="HO66" s="557" t="s">
        <v>3985</v>
      </c>
      <c r="HP66" s="562" t="s">
        <v>4052</v>
      </c>
      <c r="HQ66" s="639" t="s">
        <v>4721</v>
      </c>
      <c r="HR66" s="563" t="s">
        <v>4042</v>
      </c>
      <c r="HS66" s="545">
        <v>97</v>
      </c>
      <c r="HT66" s="557">
        <v>52</v>
      </c>
      <c r="HU66" s="557">
        <v>2005</v>
      </c>
      <c r="HV66" s="583" t="s">
        <v>4195</v>
      </c>
      <c r="HW66" s="557">
        <v>0</v>
      </c>
      <c r="HX66" s="557">
        <v>19</v>
      </c>
      <c r="HY66" s="557">
        <v>7</v>
      </c>
      <c r="HZ66" s="557">
        <v>11</v>
      </c>
      <c r="IA66" s="557">
        <v>15</v>
      </c>
      <c r="IB66" s="557">
        <v>0</v>
      </c>
      <c r="IC66" s="547">
        <v>0</v>
      </c>
      <c r="ID66" s="40" t="s">
        <v>5199</v>
      </c>
      <c r="IE66" s="355" t="s">
        <v>5200</v>
      </c>
      <c r="IF66" s="355"/>
      <c r="IG66" s="553"/>
      <c r="IH66" s="339"/>
      <c r="II66" s="553" t="s">
        <v>4920</v>
      </c>
      <c r="IJ66" s="424" t="s">
        <v>4925</v>
      </c>
      <c r="IK66" s="24">
        <v>0</v>
      </c>
      <c r="IL66" s="749">
        <f t="shared" si="57"/>
        <v>22</v>
      </c>
      <c r="IM66" s="747">
        <f t="shared" si="58"/>
        <v>88</v>
      </c>
      <c r="IN66" s="750" t="str">
        <f t="shared" si="59"/>
        <v>A</v>
      </c>
      <c r="IO66" s="446"/>
      <c r="IP66" s="902">
        <v>5</v>
      </c>
      <c r="IQ66" s="903">
        <v>2</v>
      </c>
      <c r="IR66" s="993">
        <v>0</v>
      </c>
      <c r="IT66" s="435"/>
      <c r="IU66" s="435"/>
      <c r="IV66" s="435"/>
    </row>
    <row r="67" spans="1:256">
      <c r="A67" s="71">
        <v>65</v>
      </c>
      <c r="B67" s="9"/>
      <c r="C67" s="430" t="s">
        <v>105</v>
      </c>
      <c r="D67" s="423" t="s">
        <v>406</v>
      </c>
      <c r="E67" s="24" t="s">
        <v>20</v>
      </c>
      <c r="F67" s="76" t="s">
        <v>804</v>
      </c>
      <c r="G67" s="102" t="s">
        <v>510</v>
      </c>
      <c r="H67" s="375" t="s">
        <v>2259</v>
      </c>
      <c r="I67" s="364" t="s">
        <v>2329</v>
      </c>
      <c r="J67" s="370">
        <v>6</v>
      </c>
      <c r="K67" s="88">
        <v>1912</v>
      </c>
      <c r="L67" s="371">
        <v>2</v>
      </c>
      <c r="M67" s="373" t="s">
        <v>1835</v>
      </c>
      <c r="N67" s="369" t="s">
        <v>1822</v>
      </c>
      <c r="O67" s="365" t="s">
        <v>2934</v>
      </c>
      <c r="P67" s="362" t="s">
        <v>2933</v>
      </c>
      <c r="Q67" s="370">
        <v>6</v>
      </c>
      <c r="R67" s="370">
        <v>2003</v>
      </c>
      <c r="S67" s="372" t="s">
        <v>2930</v>
      </c>
      <c r="T67" s="370">
        <v>1</v>
      </c>
      <c r="U67" s="370">
        <v>2</v>
      </c>
      <c r="V67" s="370">
        <v>15</v>
      </c>
      <c r="W67" s="369" t="s">
        <v>1822</v>
      </c>
      <c r="X67" s="170">
        <v>1</v>
      </c>
      <c r="Y67" s="369">
        <v>1</v>
      </c>
      <c r="Z67" s="273" t="s">
        <v>2054</v>
      </c>
      <c r="AA67" s="169">
        <v>1</v>
      </c>
      <c r="AB67" s="177">
        <v>1</v>
      </c>
      <c r="AC67" s="171"/>
      <c r="AD67" s="365" t="s">
        <v>2934</v>
      </c>
      <c r="AE67" s="357">
        <v>2010</v>
      </c>
      <c r="AF67" s="804">
        <v>2</v>
      </c>
      <c r="AG67" s="550" t="s">
        <v>5171</v>
      </c>
      <c r="AH67" s="355" t="s">
        <v>2935</v>
      </c>
      <c r="AI67" s="55">
        <v>0</v>
      </c>
      <c r="AJ67" s="55">
        <v>0</v>
      </c>
      <c r="AK67" s="590" t="s">
        <v>145</v>
      </c>
      <c r="AL67" s="386">
        <v>9</v>
      </c>
      <c r="AM67" s="361" t="s">
        <v>2879</v>
      </c>
      <c r="AN67" s="344">
        <v>6</v>
      </c>
      <c r="AO67" s="170">
        <v>1</v>
      </c>
      <c r="AP67" s="369">
        <v>1</v>
      </c>
      <c r="AQ67" s="365" t="s">
        <v>5229</v>
      </c>
      <c r="AR67" s="378" t="s">
        <v>5230</v>
      </c>
      <c r="AS67" s="55">
        <v>2</v>
      </c>
      <c r="AT67" s="370">
        <v>2</v>
      </c>
      <c r="AU67" s="371">
        <v>2010</v>
      </c>
      <c r="AV67" s="370">
        <v>5</v>
      </c>
      <c r="AW67" s="589">
        <v>240</v>
      </c>
      <c r="AX67" s="687">
        <v>0</v>
      </c>
      <c r="AY67" s="174" t="s">
        <v>4413</v>
      </c>
      <c r="AZ67" s="550">
        <v>2004</v>
      </c>
      <c r="BA67" s="55">
        <v>1</v>
      </c>
      <c r="BB67" s="55">
        <v>1</v>
      </c>
      <c r="BC67" s="174" t="s">
        <v>4598</v>
      </c>
      <c r="BD67" s="55">
        <v>2002</v>
      </c>
      <c r="BE67" s="55">
        <v>0</v>
      </c>
      <c r="BF67" s="371" t="s">
        <v>145</v>
      </c>
      <c r="BG67" s="367">
        <v>0</v>
      </c>
      <c r="BH67" s="56" t="s">
        <v>145</v>
      </c>
      <c r="BI67" s="367">
        <v>3</v>
      </c>
      <c r="BJ67" s="367">
        <v>1</v>
      </c>
      <c r="BK67" s="888">
        <v>27409.893</v>
      </c>
      <c r="BL67" s="925">
        <f t="shared" ref="BL67:BL98" si="62">BN67/BK67*100</f>
        <v>50.253705842631348</v>
      </c>
      <c r="BM67" s="888">
        <v>13635.406000000001</v>
      </c>
      <c r="BN67" s="920">
        <v>13774.486999999999</v>
      </c>
      <c r="BO67" s="888">
        <v>4055.9850000000001</v>
      </c>
      <c r="BP67" s="1158">
        <f t="shared" si="17"/>
        <v>48.923997499990755</v>
      </c>
      <c r="BQ67" s="917">
        <v>2071.6350000000002</v>
      </c>
      <c r="BR67" s="920">
        <v>1984.35</v>
      </c>
      <c r="BS67" s="888">
        <v>3494.337</v>
      </c>
      <c r="BT67" s="1158">
        <f t="shared" si="18"/>
        <v>48.969575630513027</v>
      </c>
      <c r="BU67" s="917">
        <v>1783.175</v>
      </c>
      <c r="BV67" s="920">
        <v>1711.162</v>
      </c>
      <c r="BW67" s="888">
        <v>3089.4140000000002</v>
      </c>
      <c r="BX67" s="1158">
        <f t="shared" si="19"/>
        <v>48.912253262269154</v>
      </c>
      <c r="BY67" s="917">
        <v>1578.3119999999999</v>
      </c>
      <c r="BZ67" s="920">
        <v>1511.1020000000001</v>
      </c>
      <c r="CA67" s="888">
        <f t="shared" si="20"/>
        <v>16770.156999999999</v>
      </c>
      <c r="CB67" s="1158">
        <f t="shared" si="21"/>
        <v>51.089998740023709</v>
      </c>
      <c r="CC67" s="917">
        <f t="shared" si="22"/>
        <v>8202.2840000000015</v>
      </c>
      <c r="CD67" s="920">
        <f t="shared" si="23"/>
        <v>8567.8729999999978</v>
      </c>
      <c r="CE67" s="914">
        <v>2015</v>
      </c>
      <c r="CF67" s="910" t="s">
        <v>5630</v>
      </c>
      <c r="CG67" s="1026">
        <v>62.5</v>
      </c>
      <c r="CH67" s="495">
        <v>62.8</v>
      </c>
      <c r="CI67" s="497">
        <v>62.2</v>
      </c>
      <c r="CJ67" s="904">
        <v>72</v>
      </c>
      <c r="CK67" s="904">
        <v>55.2</v>
      </c>
      <c r="CL67" s="904">
        <v>2011</v>
      </c>
      <c r="CM67" s="905" t="s">
        <v>5573</v>
      </c>
      <c r="CN67" s="1044">
        <v>14031.793</v>
      </c>
      <c r="CO67" s="1045">
        <f t="shared" ref="CO67:CO98" si="63">CN67/BK67*100</f>
        <v>51.192439897521666</v>
      </c>
      <c r="CP67" s="1040">
        <f t="shared" ref="CP67:CP75" si="64">IF(OR(CZ67=1,CZ67=10),CN67*(1-BL67/100),IF(DA67=6,CN67*(1-BL67/100),CN67*(1-CB67/100)))</f>
        <v>6980.2970213330636</v>
      </c>
      <c r="CQ67" s="1041">
        <f t="shared" ref="CQ67:CQ75" si="65">IF(OR(CZ67=1,CZ67=10),CN67*BL67/100,IF(DA67=6,CN67*BL67/100,CN67*CB67/100))</f>
        <v>7051.495978666936</v>
      </c>
      <c r="CR67" s="1046">
        <v>2012</v>
      </c>
      <c r="CS67" s="1047" t="s">
        <v>5744</v>
      </c>
      <c r="CT67" s="1068">
        <f t="shared" ref="CT67:CT98" si="66">V67</f>
        <v>15</v>
      </c>
      <c r="CU67" s="1071">
        <v>18</v>
      </c>
      <c r="CV67" s="1068" t="s">
        <v>5905</v>
      </c>
      <c r="CW67" s="1113">
        <v>14031.793</v>
      </c>
      <c r="CX67" s="1113">
        <v>13682.083000000001</v>
      </c>
      <c r="CY67" s="1113">
        <v>24652.401999999998</v>
      </c>
      <c r="CZ67" s="494">
        <v>1</v>
      </c>
      <c r="DA67" s="1104">
        <v>4</v>
      </c>
      <c r="DB67" s="1050" t="s">
        <v>647</v>
      </c>
      <c r="DC67" s="1143" t="s">
        <v>320</v>
      </c>
      <c r="DD67" s="978">
        <f t="shared" si="34"/>
        <v>6728.2649999999994</v>
      </c>
      <c r="DE67" s="979">
        <f t="shared" ref="DE67:DE98" si="67">DD67/BK67*100</f>
        <v>24.546848833010763</v>
      </c>
      <c r="DF67" s="979">
        <f t="shared" si="35"/>
        <v>51.788642589628409</v>
      </c>
      <c r="DG67" s="980">
        <f t="shared" si="36"/>
        <v>3243.1083626669379</v>
      </c>
      <c r="DH67" s="980">
        <f t="shared" si="37"/>
        <v>3484.4771133330619</v>
      </c>
      <c r="DI67" s="979">
        <f t="shared" ref="DI67:DI98" si="68">DG67/BM67*100</f>
        <v>23.784464963250361</v>
      </c>
      <c r="DJ67" s="981">
        <f t="shared" ref="DJ67:DJ98" si="69">DH67/BN67*100</f>
        <v>25.296601705261779</v>
      </c>
      <c r="DK67" s="984">
        <f t="shared" ref="DK67:DK98" si="70">IF(OR($CZ67=1,$CZ67=10),CA67-CN67,BK67-CN67-DO67-DS67)</f>
        <v>2738.3639999999996</v>
      </c>
      <c r="DL67" s="979">
        <f t="shared" si="38"/>
        <v>55.375290550601086</v>
      </c>
      <c r="DM67" s="980">
        <f t="shared" ref="DM67:DM98" si="71">IF(OR($CZ67=1,$CZ67=10),CC67-CP67,BM67-CP67-DQ67-DU67)</f>
        <v>1221.9869786669378</v>
      </c>
      <c r="DN67" s="985">
        <f t="shared" ref="DN67:DN98" si="72">IF(OR($CZ67=1,$CZ67=10),CD67-CQ67,BN67-CQ67-DR67-DV67)</f>
        <v>1516.3770213330617</v>
      </c>
      <c r="DO67" s="984">
        <f t="shared" ref="DO67:DO98" si="73">BS67*(1-$CG67/100)+BW67*(1-$CG67/100)</f>
        <v>2468.9066250000001</v>
      </c>
      <c r="DP67" s="979">
        <f t="shared" si="39"/>
        <v>49.334218624003249</v>
      </c>
      <c r="DQ67" s="980">
        <f t="shared" si="28"/>
        <v>1250.473164</v>
      </c>
      <c r="DR67" s="985">
        <f t="shared" si="29"/>
        <v>1218.0157920000001</v>
      </c>
      <c r="DS67" s="984">
        <f t="shared" ref="DS67:DS98" si="74">BO67*(1-$CG67/100)</f>
        <v>1520.994375</v>
      </c>
      <c r="DT67" s="339">
        <f t="shared" si="40"/>
        <v>49.315389479990678</v>
      </c>
      <c r="DU67" s="980">
        <f t="shared" si="30"/>
        <v>770.64822000000004</v>
      </c>
      <c r="DV67" s="985">
        <f t="shared" si="31"/>
        <v>750.08429999999998</v>
      </c>
      <c r="DW67" s="979">
        <f t="shared" si="32"/>
        <v>37.200000000000003</v>
      </c>
      <c r="DX67" s="981">
        <f t="shared" si="33"/>
        <v>37.799999999999997</v>
      </c>
      <c r="DY67" s="414">
        <v>28.59</v>
      </c>
      <c r="DZ67" s="111">
        <v>2006</v>
      </c>
      <c r="EA67" s="118">
        <v>7140.2233759999999</v>
      </c>
      <c r="EB67" s="123">
        <v>28.5</v>
      </c>
      <c r="EC67" s="113">
        <v>2006</v>
      </c>
      <c r="ED67" s="20">
        <v>7115.2575599999991</v>
      </c>
      <c r="EE67" s="414">
        <v>28.5</v>
      </c>
      <c r="EF67" s="111">
        <v>2007</v>
      </c>
      <c r="EG67" s="380">
        <v>71.497077941894503</v>
      </c>
      <c r="EH67" s="24" t="s">
        <v>335</v>
      </c>
      <c r="EI67" s="287">
        <v>2</v>
      </c>
      <c r="EJ67" s="40">
        <v>2</v>
      </c>
      <c r="EK67" s="35" t="s">
        <v>145</v>
      </c>
      <c r="EL67" s="95" t="s">
        <v>1645</v>
      </c>
      <c r="EM67" s="95" t="s">
        <v>145</v>
      </c>
      <c r="EN67" s="35" t="s">
        <v>145</v>
      </c>
      <c r="EO67" s="95" t="s">
        <v>1646</v>
      </c>
      <c r="EP67" s="205">
        <v>0.71</v>
      </c>
      <c r="EQ67" s="207" t="s">
        <v>145</v>
      </c>
      <c r="ER67" s="517">
        <v>3</v>
      </c>
      <c r="ES67" s="183" t="s">
        <v>3759</v>
      </c>
      <c r="ET67" s="183" t="s">
        <v>3758</v>
      </c>
      <c r="EU67" s="82" t="s">
        <v>3840</v>
      </c>
      <c r="EV67" s="82" t="s">
        <v>145</v>
      </c>
      <c r="EW67" s="82" t="s">
        <v>3840</v>
      </c>
      <c r="EX67" s="360" t="s">
        <v>145</v>
      </c>
      <c r="EY67" s="159"/>
      <c r="EZ67" s="156"/>
      <c r="FA67" s="323"/>
      <c r="FB67" s="323"/>
      <c r="FC67" s="323"/>
      <c r="FD67" s="160"/>
      <c r="FE67" s="156"/>
      <c r="FF67" s="156"/>
      <c r="FG67" s="156"/>
      <c r="FH67" s="157"/>
      <c r="FI67" s="242"/>
      <c r="FJ67" s="373"/>
      <c r="FK67" s="179"/>
      <c r="FL67" s="179"/>
      <c r="FM67" s="179"/>
      <c r="FN67" s="369"/>
      <c r="FO67" s="164"/>
      <c r="FP67" s="255">
        <v>1</v>
      </c>
      <c r="FQ67" s="183" t="s">
        <v>1883</v>
      </c>
      <c r="FR67" s="257">
        <v>1</v>
      </c>
      <c r="FS67" s="82" t="s">
        <v>1702</v>
      </c>
      <c r="FT67" s="259"/>
      <c r="FU67" s="82"/>
      <c r="FV67" s="259"/>
      <c r="FW67" s="82"/>
      <c r="FX67" s="259"/>
      <c r="FY67" s="82"/>
      <c r="FZ67" s="259">
        <v>1</v>
      </c>
      <c r="GA67" s="82" t="s">
        <v>1930</v>
      </c>
      <c r="GB67" s="261"/>
      <c r="GC67" s="90"/>
      <c r="GD67" s="76">
        <v>2</v>
      </c>
      <c r="GE67" s="445" t="s">
        <v>3425</v>
      </c>
      <c r="GF67" s="447" t="s">
        <v>10</v>
      </c>
      <c r="GG67" s="448">
        <v>1</v>
      </c>
      <c r="GH67" s="449">
        <v>2</v>
      </c>
      <c r="GI67" s="447" t="s">
        <v>145</v>
      </c>
      <c r="GJ67" s="449" t="s">
        <v>145</v>
      </c>
      <c r="GK67" s="447" t="s">
        <v>145</v>
      </c>
      <c r="GL67" s="448" t="s">
        <v>145</v>
      </c>
      <c r="GM67" s="449" t="s">
        <v>145</v>
      </c>
      <c r="GN67" s="447" t="s">
        <v>10</v>
      </c>
      <c r="GO67" s="449">
        <v>28</v>
      </c>
      <c r="GP67" s="447">
        <v>8</v>
      </c>
      <c r="GQ67" s="448">
        <v>10</v>
      </c>
      <c r="GR67" s="449">
        <v>10</v>
      </c>
      <c r="GS67" s="446">
        <v>8</v>
      </c>
      <c r="GT67" s="461">
        <v>0.4106585681438446</v>
      </c>
      <c r="GU67" s="462">
        <v>2.0406404510140419E-2</v>
      </c>
      <c r="GV67" s="462">
        <v>-8.6076162755489349E-2</v>
      </c>
      <c r="GW67" s="462">
        <v>7.7964797616004944E-2</v>
      </c>
      <c r="GX67" s="462">
        <v>0.10850994288921356</v>
      </c>
      <c r="GY67" s="463">
        <v>-7.4241228401660919E-2</v>
      </c>
      <c r="GZ67" s="10">
        <v>123</v>
      </c>
      <c r="HA67" s="536">
        <v>0.37353999999999998</v>
      </c>
      <c r="HB67" s="536">
        <v>0.39215</v>
      </c>
      <c r="HC67" s="525">
        <v>0.31496000000000002</v>
      </c>
      <c r="HD67" s="526">
        <v>0.24437999999999999</v>
      </c>
      <c r="HE67" s="527">
        <v>0.56130000000000002</v>
      </c>
      <c r="HF67" s="10">
        <v>113</v>
      </c>
      <c r="HG67" s="532">
        <v>3.46</v>
      </c>
      <c r="HH67" s="545">
        <v>4.47</v>
      </c>
      <c r="HI67" s="546">
        <v>1.76</v>
      </c>
      <c r="HJ67" s="547">
        <v>4.82</v>
      </c>
      <c r="HK67" s="379" t="s">
        <v>3991</v>
      </c>
      <c r="HL67" s="23" t="s">
        <v>4722</v>
      </c>
      <c r="HM67" s="557">
        <v>2012</v>
      </c>
      <c r="HN67" s="557" t="s">
        <v>145</v>
      </c>
      <c r="HO67" s="557" t="s">
        <v>3985</v>
      </c>
      <c r="HP67" s="562" t="s">
        <v>4053</v>
      </c>
      <c r="HQ67" s="639" t="s">
        <v>4723</v>
      </c>
      <c r="HR67" s="563" t="s">
        <v>145</v>
      </c>
      <c r="HS67" s="545" t="s">
        <v>145</v>
      </c>
      <c r="HT67" s="557" t="s">
        <v>145</v>
      </c>
      <c r="HU67" s="809">
        <v>1960</v>
      </c>
      <c r="HV67" s="583" t="s">
        <v>4880</v>
      </c>
      <c r="HW67" s="557" t="s">
        <v>145</v>
      </c>
      <c r="HX67" s="557" t="s">
        <v>145</v>
      </c>
      <c r="HY67" s="557" t="s">
        <v>145</v>
      </c>
      <c r="HZ67" s="557" t="s">
        <v>145</v>
      </c>
      <c r="IA67" s="557" t="s">
        <v>145</v>
      </c>
      <c r="IB67" s="557" t="s">
        <v>145</v>
      </c>
      <c r="IC67" s="547" t="s">
        <v>145</v>
      </c>
      <c r="ID67" s="40"/>
      <c r="IE67" s="550"/>
      <c r="IF67" s="550"/>
      <c r="IG67" s="553"/>
      <c r="IH67" s="115"/>
      <c r="II67" s="647" t="s">
        <v>4921</v>
      </c>
      <c r="IJ67" s="423" t="s">
        <v>4918</v>
      </c>
      <c r="IK67" s="10">
        <v>0</v>
      </c>
      <c r="IL67" s="749">
        <f t="shared" ref="IL67:IL98" si="75">L67+T67+U67+AF67+(IF(AG67="2B",2,IF(AG67="3B",3,IF(AG67="4B",4,AG67))))+AS67+BA67+BB67+BE67+BG67+BI67+BJ67</f>
        <v>19</v>
      </c>
      <c r="IM67" s="747">
        <f t="shared" ref="IM67:IM98" si="76">IL67/25*100</f>
        <v>76</v>
      </c>
      <c r="IN67" s="750" t="str">
        <f t="shared" ref="IN67:IN98" si="77">IF(IM67&lt;25,"D",IF(IM67&lt;50,"C",IF(IM67&lt;75,"B","A")))</f>
        <v>A</v>
      </c>
      <c r="IO67" s="446">
        <v>1</v>
      </c>
      <c r="IP67" s="902">
        <v>5</v>
      </c>
      <c r="IQ67" s="903">
        <v>0</v>
      </c>
      <c r="IR67" s="993">
        <v>0</v>
      </c>
      <c r="IT67" s="435"/>
      <c r="IU67" s="435"/>
      <c r="IV67" s="435"/>
    </row>
    <row r="68" spans="1:256">
      <c r="A68" s="21">
        <v>66</v>
      </c>
      <c r="B68" s="9"/>
      <c r="C68" s="430" t="s">
        <v>107</v>
      </c>
      <c r="D68" s="424"/>
      <c r="E68" s="24" t="s">
        <v>17</v>
      </c>
      <c r="F68" s="76" t="s">
        <v>805</v>
      </c>
      <c r="G68" s="102" t="s">
        <v>517</v>
      </c>
      <c r="H68" s="375" t="s">
        <v>2264</v>
      </c>
      <c r="I68" s="95" t="s">
        <v>2109</v>
      </c>
      <c r="J68" s="176">
        <v>5</v>
      </c>
      <c r="K68" s="88">
        <v>1856</v>
      </c>
      <c r="L68" s="371">
        <v>2</v>
      </c>
      <c r="M68" s="240" t="s">
        <v>1847</v>
      </c>
      <c r="N68" s="369" t="s">
        <v>1822</v>
      </c>
      <c r="O68" s="365" t="s">
        <v>3193</v>
      </c>
      <c r="P68" s="362" t="s">
        <v>3194</v>
      </c>
      <c r="Q68" s="176">
        <v>2</v>
      </c>
      <c r="R68" s="370">
        <v>2005</v>
      </c>
      <c r="S68" s="234" t="s">
        <v>3195</v>
      </c>
      <c r="T68" s="176">
        <v>1</v>
      </c>
      <c r="U68" s="370">
        <v>2</v>
      </c>
      <c r="V68" s="176">
        <v>12</v>
      </c>
      <c r="W68" s="369" t="s">
        <v>2100</v>
      </c>
      <c r="X68" s="170">
        <v>1</v>
      </c>
      <c r="Y68" s="369">
        <v>1</v>
      </c>
      <c r="Z68" s="273" t="s">
        <v>2019</v>
      </c>
      <c r="AA68" s="169"/>
      <c r="AB68" s="177">
        <v>1</v>
      </c>
      <c r="AC68" s="171"/>
      <c r="AD68" s="376" t="s">
        <v>145</v>
      </c>
      <c r="AE68" s="355" t="s">
        <v>145</v>
      </c>
      <c r="AF68" s="357">
        <v>0</v>
      </c>
      <c r="AG68" s="550">
        <v>1</v>
      </c>
      <c r="AH68" s="355" t="s">
        <v>145</v>
      </c>
      <c r="AI68" s="550" t="s">
        <v>145</v>
      </c>
      <c r="AJ68" s="550" t="s">
        <v>145</v>
      </c>
      <c r="AK68" s="590" t="s">
        <v>145</v>
      </c>
      <c r="AL68" s="55">
        <v>0</v>
      </c>
      <c r="AM68" s="361" t="s">
        <v>145</v>
      </c>
      <c r="AN68" s="344" t="s">
        <v>145</v>
      </c>
      <c r="AO68" s="170">
        <v>0</v>
      </c>
      <c r="AP68" s="369">
        <v>0</v>
      </c>
      <c r="AQ68" s="365" t="s">
        <v>5231</v>
      </c>
      <c r="AR68" s="378" t="s">
        <v>5232</v>
      </c>
      <c r="AS68" s="55">
        <v>2</v>
      </c>
      <c r="AT68" s="370">
        <v>2</v>
      </c>
      <c r="AU68" s="371">
        <v>2006</v>
      </c>
      <c r="AV68" s="370">
        <v>5</v>
      </c>
      <c r="AW68" s="589">
        <v>4000</v>
      </c>
      <c r="AX68" s="687">
        <v>1</v>
      </c>
      <c r="AY68" s="174" t="s">
        <v>2165</v>
      </c>
      <c r="AZ68" s="55">
        <v>1992</v>
      </c>
      <c r="BA68" s="55">
        <v>1</v>
      </c>
      <c r="BB68" s="55">
        <v>0</v>
      </c>
      <c r="BC68" s="174" t="s">
        <v>145</v>
      </c>
      <c r="BD68" s="55" t="s">
        <v>145</v>
      </c>
      <c r="BE68" s="55">
        <v>0</v>
      </c>
      <c r="BF68" s="371" t="s">
        <v>145</v>
      </c>
      <c r="BG68" s="367">
        <v>0</v>
      </c>
      <c r="BH68" s="56" t="s">
        <v>145</v>
      </c>
      <c r="BI68" s="367">
        <v>3</v>
      </c>
      <c r="BJ68" s="367">
        <v>1</v>
      </c>
      <c r="BK68" s="888">
        <v>10954.617</v>
      </c>
      <c r="BL68" s="925">
        <f t="shared" si="62"/>
        <v>51.206244818965374</v>
      </c>
      <c r="BM68" s="888">
        <v>5345.1689999999999</v>
      </c>
      <c r="BN68" s="920">
        <v>5609.4480000000003</v>
      </c>
      <c r="BO68" s="888">
        <v>533.09699999999998</v>
      </c>
      <c r="BP68" s="1158">
        <f t="shared" ref="BP68:BP131" si="78">BR68/BO68*100</f>
        <v>48.625859834139007</v>
      </c>
      <c r="BQ68" s="917">
        <v>273.87400000000002</v>
      </c>
      <c r="BR68" s="920">
        <v>259.22300000000001</v>
      </c>
      <c r="BS68" s="888">
        <v>537.298</v>
      </c>
      <c r="BT68" s="1158">
        <f t="shared" ref="BT68:BT131" si="79">BV68/BS68*100</f>
        <v>48.713190817758488</v>
      </c>
      <c r="BU68" s="917">
        <v>275.56299999999999</v>
      </c>
      <c r="BV68" s="920">
        <v>261.73500000000001</v>
      </c>
      <c r="BW68" s="888">
        <v>529.23400000000004</v>
      </c>
      <c r="BX68" s="1158">
        <f t="shared" ref="BX68:BX131" si="80">BZ68/BW68*100</f>
        <v>48.702842221021328</v>
      </c>
      <c r="BY68" s="917">
        <v>271.48200000000003</v>
      </c>
      <c r="BZ68" s="920">
        <v>257.75200000000001</v>
      </c>
      <c r="CA68" s="888">
        <f t="shared" ref="CA68:CA131" si="81">BK68-BO68-BS68-BW68</f>
        <v>9354.9879999999994</v>
      </c>
      <c r="CB68" s="1158">
        <f t="shared" ref="CB68:CB131" si="82">CD68/CA68*100</f>
        <v>51.638099375434798</v>
      </c>
      <c r="CC68" s="917">
        <f t="shared" ref="CC68:CC131" si="83">BM68-BQ68-BU68-BY68</f>
        <v>4524.25</v>
      </c>
      <c r="CD68" s="920">
        <f t="shared" ref="CD68:CD131" si="84">BN68-BR68-BV68-BZ68</f>
        <v>4830.7380000000003</v>
      </c>
      <c r="CE68" s="914">
        <v>2015</v>
      </c>
      <c r="CF68" s="910" t="s">
        <v>5630</v>
      </c>
      <c r="CG68" s="930">
        <v>100</v>
      </c>
      <c r="CH68" s="1005">
        <v>100</v>
      </c>
      <c r="CI68" s="1006">
        <v>100</v>
      </c>
      <c r="CJ68" s="904" t="s">
        <v>1621</v>
      </c>
      <c r="CK68" s="904" t="s">
        <v>1621</v>
      </c>
      <c r="CL68" s="904">
        <v>2010</v>
      </c>
      <c r="CM68" s="905" t="s">
        <v>5578</v>
      </c>
      <c r="CN68" s="1125">
        <v>8960.6110000000008</v>
      </c>
      <c r="CO68" s="1045">
        <f t="shared" si="63"/>
        <v>81.79757448389114</v>
      </c>
      <c r="CP68" s="1040">
        <f t="shared" si="64"/>
        <v>4372.2185940648587</v>
      </c>
      <c r="CQ68" s="1041">
        <f t="shared" si="65"/>
        <v>4588.3924059351421</v>
      </c>
      <c r="CR68" s="1046">
        <v>2015</v>
      </c>
      <c r="CS68" s="1047" t="s">
        <v>5845</v>
      </c>
      <c r="CT68" s="1068">
        <f t="shared" si="66"/>
        <v>12</v>
      </c>
      <c r="CU68" s="1071">
        <v>18</v>
      </c>
      <c r="CV68" s="1068" t="s">
        <v>5906</v>
      </c>
      <c r="CW68" s="1113">
        <v>9949.6839999999993</v>
      </c>
      <c r="CX68" s="1113">
        <v>8960.6110000000008</v>
      </c>
      <c r="CY68" s="1113">
        <v>10775.557000000001</v>
      </c>
      <c r="CZ68" s="494">
        <v>1</v>
      </c>
      <c r="DA68" s="1104">
        <v>4</v>
      </c>
      <c r="DB68" s="1050" t="s">
        <v>647</v>
      </c>
      <c r="DC68" s="1145" t="s">
        <v>323</v>
      </c>
      <c r="DD68" s="1131">
        <f t="shared" si="34"/>
        <v>394.37699999999859</v>
      </c>
      <c r="DE68" s="1132">
        <f t="shared" si="67"/>
        <v>3.600098479024858</v>
      </c>
      <c r="DF68" s="1132">
        <f t="shared" si="35"/>
        <v>61.45023519750368</v>
      </c>
      <c r="DG68" s="1133">
        <f t="shared" si="36"/>
        <v>152.03140593514127</v>
      </c>
      <c r="DH68" s="1133">
        <f t="shared" si="37"/>
        <v>242.34559406485823</v>
      </c>
      <c r="DI68" s="1132">
        <f t="shared" si="68"/>
        <v>2.8442768775906107</v>
      </c>
      <c r="DJ68" s="1134">
        <f t="shared" si="69"/>
        <v>4.3203109123189698</v>
      </c>
      <c r="DK68" s="1135">
        <f t="shared" si="70"/>
        <v>394.37699999999859</v>
      </c>
      <c r="DL68" s="1132">
        <f t="shared" si="38"/>
        <v>61.45023519750368</v>
      </c>
      <c r="DM68" s="1133">
        <f t="shared" si="71"/>
        <v>152.03140593514127</v>
      </c>
      <c r="DN68" s="1136">
        <f t="shared" si="72"/>
        <v>242.34559406485823</v>
      </c>
      <c r="DO68" s="1135">
        <f t="shared" si="73"/>
        <v>0</v>
      </c>
      <c r="DP68" s="1132">
        <f t="shared" si="39"/>
        <v>0</v>
      </c>
      <c r="DQ68" s="1133">
        <f t="shared" ref="DQ68:DQ131" si="85">BU68*(1-$CH68/100)+BY68*(1-$CH68/100)</f>
        <v>0</v>
      </c>
      <c r="DR68" s="1136">
        <f t="shared" ref="DR68:DR131" si="86">BV68*(1-$CI68/100)+BZ68*(1-$CI68/100)</f>
        <v>0</v>
      </c>
      <c r="DS68" s="1135">
        <f t="shared" si="74"/>
        <v>0</v>
      </c>
      <c r="DT68" s="1137">
        <f t="shared" si="40"/>
        <v>0</v>
      </c>
      <c r="DU68" s="1133">
        <f t="shared" ref="DU68:DU131" si="87">BQ68*(1-$CH68/100)</f>
        <v>0</v>
      </c>
      <c r="DV68" s="1136">
        <f t="shared" ref="DV68:DV131" si="88">BR68*(1-$CI68/100)</f>
        <v>0</v>
      </c>
      <c r="DW68" s="1132">
        <f t="shared" ref="DW68:DW131" si="89">DU68/BQ68*100</f>
        <v>0</v>
      </c>
      <c r="DX68" s="1134">
        <f t="shared" ref="DX68:DX131" si="90">DV68/BR68*100</f>
        <v>0</v>
      </c>
      <c r="DY68" s="414" t="s">
        <v>145</v>
      </c>
      <c r="DZ68" s="111" t="s">
        <v>145</v>
      </c>
      <c r="EA68" s="118"/>
      <c r="EB68" s="123" t="s">
        <v>145</v>
      </c>
      <c r="EC68" s="113" t="s">
        <v>145</v>
      </c>
      <c r="ED68" s="20"/>
      <c r="EE68" s="414">
        <v>20</v>
      </c>
      <c r="EF68" s="111">
        <v>2009</v>
      </c>
      <c r="EG68" s="380">
        <v>97.36376953125</v>
      </c>
      <c r="EH68" s="24" t="s">
        <v>379</v>
      </c>
      <c r="EI68" s="287">
        <v>0</v>
      </c>
      <c r="EJ68" s="40" t="s">
        <v>145</v>
      </c>
      <c r="EK68" s="35" t="s">
        <v>145</v>
      </c>
      <c r="EL68" s="95" t="s">
        <v>145</v>
      </c>
      <c r="EM68" s="95" t="s">
        <v>145</v>
      </c>
      <c r="EN68" s="35" t="s">
        <v>145</v>
      </c>
      <c r="EO68" s="95" t="s">
        <v>145</v>
      </c>
      <c r="EP68" s="205" t="s">
        <v>145</v>
      </c>
      <c r="EQ68" s="207" t="s">
        <v>145</v>
      </c>
      <c r="ER68" s="517" t="s">
        <v>145</v>
      </c>
      <c r="ES68" s="183"/>
      <c r="ET68" s="183"/>
      <c r="EU68" s="82"/>
      <c r="EV68" s="82"/>
      <c r="EW68" s="82"/>
      <c r="EX68" s="90"/>
      <c r="EY68" s="159"/>
      <c r="EZ68" s="156"/>
      <c r="FA68" s="323"/>
      <c r="FB68" s="323"/>
      <c r="FC68" s="323"/>
      <c r="FD68" s="160"/>
      <c r="FE68" s="156"/>
      <c r="FF68" s="156"/>
      <c r="FG68" s="156"/>
      <c r="FH68" s="157"/>
      <c r="FI68" s="242"/>
      <c r="FJ68" s="240"/>
      <c r="FK68" s="179"/>
      <c r="FL68" s="179"/>
      <c r="FM68" s="179"/>
      <c r="FN68" s="369"/>
      <c r="FO68" s="164"/>
      <c r="FP68" s="255"/>
      <c r="FQ68" s="183"/>
      <c r="FR68" s="257"/>
      <c r="FS68" s="82"/>
      <c r="FT68" s="259"/>
      <c r="FU68" s="82"/>
      <c r="FV68" s="259"/>
      <c r="FW68" s="82"/>
      <c r="FX68" s="259"/>
      <c r="FY68" s="82"/>
      <c r="FZ68" s="259"/>
      <c r="GA68" s="82"/>
      <c r="GB68" s="261"/>
      <c r="GC68" s="90"/>
      <c r="GD68" s="76">
        <v>1</v>
      </c>
      <c r="GE68" s="445" t="s">
        <v>3424</v>
      </c>
      <c r="GF68" s="447" t="s">
        <v>10</v>
      </c>
      <c r="GG68" s="448">
        <v>2</v>
      </c>
      <c r="GH68" s="449">
        <v>2</v>
      </c>
      <c r="GI68" s="447" t="s">
        <v>145</v>
      </c>
      <c r="GJ68" s="449" t="s">
        <v>145</v>
      </c>
      <c r="GK68" s="447" t="s">
        <v>145</v>
      </c>
      <c r="GL68" s="448" t="s">
        <v>145</v>
      </c>
      <c r="GM68" s="449" t="s">
        <v>145</v>
      </c>
      <c r="GN68" s="447" t="s">
        <v>590</v>
      </c>
      <c r="GO68" s="449">
        <v>46</v>
      </c>
      <c r="GP68" s="447">
        <v>14</v>
      </c>
      <c r="GQ68" s="448">
        <v>20</v>
      </c>
      <c r="GR68" s="449">
        <v>12</v>
      </c>
      <c r="GS68" s="446">
        <v>10</v>
      </c>
      <c r="GT68" s="461">
        <v>0.65381836891174316</v>
      </c>
      <c r="GU68" s="462">
        <v>-0.19750493764877319</v>
      </c>
      <c r="GV68" s="462">
        <v>0.44898754358291626</v>
      </c>
      <c r="GW68" s="462">
        <v>0.61688339710235596</v>
      </c>
      <c r="GX68" s="462">
        <v>0.43818497657775879</v>
      </c>
      <c r="GY68" s="463">
        <v>-0.10656367987394333</v>
      </c>
      <c r="GZ68" s="10">
        <v>34</v>
      </c>
      <c r="HA68" s="536">
        <v>0.71175999999999995</v>
      </c>
      <c r="HB68" s="536">
        <v>0.80391999999999997</v>
      </c>
      <c r="HC68" s="525">
        <v>0.60629</v>
      </c>
      <c r="HD68" s="526">
        <v>0.65486999999999995</v>
      </c>
      <c r="HE68" s="527">
        <v>0.87409999999999999</v>
      </c>
      <c r="HF68" s="10">
        <v>39</v>
      </c>
      <c r="HG68" s="532">
        <v>6.85</v>
      </c>
      <c r="HH68" s="545">
        <v>7.53</v>
      </c>
      <c r="HI68" s="546">
        <v>4.6500000000000004</v>
      </c>
      <c r="HJ68" s="547">
        <v>9.9</v>
      </c>
      <c r="HK68" s="379" t="s">
        <v>4054</v>
      </c>
      <c r="HL68" s="23" t="s">
        <v>4724</v>
      </c>
      <c r="HM68" s="557">
        <v>1997</v>
      </c>
      <c r="HN68" s="557">
        <v>1997</v>
      </c>
      <c r="HO68" s="557" t="s">
        <v>3985</v>
      </c>
      <c r="HP68" s="562" t="s">
        <v>4055</v>
      </c>
      <c r="HQ68" s="639" t="s">
        <v>4725</v>
      </c>
      <c r="HR68" s="563" t="s">
        <v>4056</v>
      </c>
      <c r="HS68" s="545">
        <v>83</v>
      </c>
      <c r="HT68" s="557">
        <v>65</v>
      </c>
      <c r="HU68" s="557">
        <v>1986</v>
      </c>
      <c r="HV68" s="583" t="s">
        <v>4196</v>
      </c>
      <c r="HW68" s="557">
        <v>4</v>
      </c>
      <c r="HX68" s="557">
        <v>12</v>
      </c>
      <c r="HY68" s="557">
        <v>16</v>
      </c>
      <c r="HZ68" s="557">
        <v>13</v>
      </c>
      <c r="IA68" s="557">
        <v>17</v>
      </c>
      <c r="IB68" s="557">
        <v>0</v>
      </c>
      <c r="IC68" s="547">
        <v>3</v>
      </c>
      <c r="ID68" s="40" t="s">
        <v>5199</v>
      </c>
      <c r="IE68" s="355" t="s">
        <v>5200</v>
      </c>
      <c r="IF68" s="355"/>
      <c r="IG68" s="553"/>
      <c r="IH68" s="339"/>
      <c r="II68" s="553" t="s">
        <v>4920</v>
      </c>
      <c r="IJ68" s="424" t="s">
        <v>4925</v>
      </c>
      <c r="IK68" s="24">
        <v>0</v>
      </c>
      <c r="IL68" s="749">
        <f t="shared" si="75"/>
        <v>13</v>
      </c>
      <c r="IM68" s="747">
        <f t="shared" si="76"/>
        <v>52</v>
      </c>
      <c r="IN68" s="750" t="str">
        <f t="shared" si="77"/>
        <v>B</v>
      </c>
      <c r="IO68" s="446"/>
      <c r="IP68" s="902">
        <v>4</v>
      </c>
      <c r="IQ68" s="903">
        <v>0</v>
      </c>
      <c r="IR68" s="993">
        <v>0</v>
      </c>
      <c r="IT68" s="435"/>
      <c r="IU68" s="435"/>
      <c r="IV68" s="435"/>
    </row>
    <row r="69" spans="1:256">
      <c r="A69" s="21">
        <v>67</v>
      </c>
      <c r="B69" s="9"/>
      <c r="C69" s="430" t="s">
        <v>108</v>
      </c>
      <c r="D69" s="424" t="s">
        <v>409</v>
      </c>
      <c r="E69" s="24" t="s">
        <v>12</v>
      </c>
      <c r="F69" s="76" t="s">
        <v>806</v>
      </c>
      <c r="G69" s="102" t="s">
        <v>507</v>
      </c>
      <c r="H69" s="251" t="s">
        <v>2263</v>
      </c>
      <c r="I69" s="95" t="s">
        <v>2262</v>
      </c>
      <c r="J69" s="370">
        <v>3</v>
      </c>
      <c r="K69" s="88">
        <v>1974</v>
      </c>
      <c r="L69" s="371">
        <v>2</v>
      </c>
      <c r="M69" s="373" t="s">
        <v>2280</v>
      </c>
      <c r="N69" s="369" t="s">
        <v>1822</v>
      </c>
      <c r="O69" s="365" t="s">
        <v>3199</v>
      </c>
      <c r="P69" s="378" t="s">
        <v>3200</v>
      </c>
      <c r="Q69" s="370">
        <v>6</v>
      </c>
      <c r="R69" s="370">
        <v>2013</v>
      </c>
      <c r="S69" s="372" t="s">
        <v>3196</v>
      </c>
      <c r="T69" s="370">
        <v>1</v>
      </c>
      <c r="U69" s="370">
        <v>2</v>
      </c>
      <c r="V69" s="370">
        <v>18</v>
      </c>
      <c r="W69" s="369" t="s">
        <v>1822</v>
      </c>
      <c r="X69" s="170">
        <v>1</v>
      </c>
      <c r="Y69" s="369">
        <v>1</v>
      </c>
      <c r="Z69" s="271"/>
      <c r="AA69" s="169">
        <v>1</v>
      </c>
      <c r="AB69" s="177"/>
      <c r="AC69" s="171"/>
      <c r="AD69" s="366" t="s">
        <v>3198</v>
      </c>
      <c r="AE69" s="355">
        <v>2015</v>
      </c>
      <c r="AF69" s="357">
        <v>2</v>
      </c>
      <c r="AG69" s="550" t="s">
        <v>5171</v>
      </c>
      <c r="AH69" s="355" t="s">
        <v>2746</v>
      </c>
      <c r="AI69" s="55">
        <v>0</v>
      </c>
      <c r="AJ69" s="550">
        <v>0</v>
      </c>
      <c r="AK69" s="590" t="s">
        <v>145</v>
      </c>
      <c r="AL69" s="391">
        <v>10</v>
      </c>
      <c r="AM69" s="361" t="s">
        <v>3197</v>
      </c>
      <c r="AN69" s="397">
        <v>3</v>
      </c>
      <c r="AO69" s="170">
        <v>0</v>
      </c>
      <c r="AP69" s="369">
        <v>0</v>
      </c>
      <c r="AQ69" s="365" t="s">
        <v>5367</v>
      </c>
      <c r="AR69" s="378" t="s">
        <v>5368</v>
      </c>
      <c r="AS69" s="55">
        <v>1</v>
      </c>
      <c r="AT69" s="370">
        <v>3</v>
      </c>
      <c r="AU69" s="371">
        <v>2007</v>
      </c>
      <c r="AV69" s="370">
        <v>5</v>
      </c>
      <c r="AW69" s="589" t="s">
        <v>145</v>
      </c>
      <c r="AX69" s="687">
        <v>0</v>
      </c>
      <c r="AY69" s="174" t="s">
        <v>4412</v>
      </c>
      <c r="AZ69" s="550">
        <v>1994</v>
      </c>
      <c r="BA69" s="55">
        <v>0</v>
      </c>
      <c r="BB69" s="55">
        <v>0</v>
      </c>
      <c r="BC69" s="174" t="s">
        <v>145</v>
      </c>
      <c r="BD69" s="55" t="s">
        <v>145</v>
      </c>
      <c r="BE69" s="55">
        <v>0</v>
      </c>
      <c r="BF69" s="371" t="s">
        <v>145</v>
      </c>
      <c r="BG69" s="367">
        <v>0</v>
      </c>
      <c r="BH69" s="56" t="s">
        <v>145</v>
      </c>
      <c r="BI69" s="367">
        <v>1</v>
      </c>
      <c r="BJ69" s="367">
        <v>1</v>
      </c>
      <c r="BK69" s="888">
        <v>106.825</v>
      </c>
      <c r="BL69" s="925">
        <f t="shared" si="62"/>
        <v>49.839457055932598</v>
      </c>
      <c r="BM69" s="888">
        <v>53.584000000000003</v>
      </c>
      <c r="BN69" s="920">
        <v>53.241</v>
      </c>
      <c r="BO69" s="888">
        <v>9.9350000000000005</v>
      </c>
      <c r="BP69" s="1158">
        <f t="shared" si="78"/>
        <v>48.777050830397584</v>
      </c>
      <c r="BQ69" s="917">
        <v>5.0890000000000004</v>
      </c>
      <c r="BR69" s="920">
        <v>4.8460000000000001</v>
      </c>
      <c r="BS69" s="888">
        <v>9.4589999999999996</v>
      </c>
      <c r="BT69" s="1158">
        <f t="shared" si="79"/>
        <v>48.747224865207741</v>
      </c>
      <c r="BU69" s="917">
        <v>4.8479999999999999</v>
      </c>
      <c r="BV69" s="920">
        <v>4.6109999999999998</v>
      </c>
      <c r="BW69" s="888">
        <v>8.8970000000000002</v>
      </c>
      <c r="BX69" s="1158">
        <f t="shared" si="80"/>
        <v>48.73552882994268</v>
      </c>
      <c r="BY69" s="917">
        <v>4.5609999999999999</v>
      </c>
      <c r="BZ69" s="920">
        <v>4.3360000000000003</v>
      </c>
      <c r="CA69" s="888">
        <f t="shared" si="81"/>
        <v>78.533999999999992</v>
      </c>
      <c r="CB69" s="1158">
        <f t="shared" si="82"/>
        <v>50.230473425522717</v>
      </c>
      <c r="CC69" s="917">
        <f t="shared" si="83"/>
        <v>39.086000000000006</v>
      </c>
      <c r="CD69" s="920">
        <f t="shared" si="84"/>
        <v>39.448</v>
      </c>
      <c r="CE69" s="914">
        <v>2015</v>
      </c>
      <c r="CF69" s="910" t="s">
        <v>5630</v>
      </c>
      <c r="CG69" s="931">
        <v>95</v>
      </c>
      <c r="CH69" s="504">
        <v>95</v>
      </c>
      <c r="CI69" s="1008">
        <v>95</v>
      </c>
      <c r="CJ69" s="904" t="s">
        <v>1621</v>
      </c>
      <c r="CK69" s="904" t="s">
        <v>1621</v>
      </c>
      <c r="CL69" s="906">
        <v>2013</v>
      </c>
      <c r="CM69" s="1002" t="s">
        <v>5707</v>
      </c>
      <c r="CN69" s="1044">
        <v>62.146999999999998</v>
      </c>
      <c r="CO69" s="1045">
        <f t="shared" si="63"/>
        <v>58.176456821904985</v>
      </c>
      <c r="CP69" s="1040">
        <f t="shared" si="64"/>
        <v>31.173272623449567</v>
      </c>
      <c r="CQ69" s="1041">
        <f t="shared" si="65"/>
        <v>30.973727376550432</v>
      </c>
      <c r="CR69" s="1046">
        <v>2013</v>
      </c>
      <c r="CS69" s="1047" t="s">
        <v>5849</v>
      </c>
      <c r="CT69" s="1068">
        <f t="shared" si="66"/>
        <v>18</v>
      </c>
      <c r="CU69" s="1071">
        <v>18</v>
      </c>
      <c r="CV69" s="1068" t="s">
        <v>5907</v>
      </c>
      <c r="CW69" s="1113">
        <v>62.146999999999998</v>
      </c>
      <c r="CX69" s="1113">
        <v>64.128</v>
      </c>
      <c r="CY69" s="1113">
        <v>109.59</v>
      </c>
      <c r="CZ69" s="494">
        <v>1</v>
      </c>
      <c r="DA69" s="1104">
        <v>4</v>
      </c>
      <c r="DB69" s="1050" t="s">
        <v>647</v>
      </c>
      <c r="DC69" s="1146" t="s">
        <v>322</v>
      </c>
      <c r="DD69" s="978">
        <f t="shared" si="34"/>
        <v>17.801549999999992</v>
      </c>
      <c r="DE69" s="979">
        <f t="shared" si="67"/>
        <v>16.664217177626952</v>
      </c>
      <c r="DF69" s="979">
        <f t="shared" si="35"/>
        <v>51.478228712946752</v>
      </c>
      <c r="DG69" s="980">
        <f t="shared" si="36"/>
        <v>8.637627376550439</v>
      </c>
      <c r="DH69" s="980">
        <f t="shared" si="37"/>
        <v>9.1639226234495688</v>
      </c>
      <c r="DI69" s="979">
        <f t="shared" si="68"/>
        <v>16.119788325900341</v>
      </c>
      <c r="DJ69" s="981">
        <f t="shared" si="69"/>
        <v>17.212153459644952</v>
      </c>
      <c r="DK69" s="984">
        <f t="shared" si="70"/>
        <v>16.386999999999993</v>
      </c>
      <c r="DL69" s="979">
        <f t="shared" si="38"/>
        <v>51.713386363883394</v>
      </c>
      <c r="DM69" s="980">
        <f t="shared" si="71"/>
        <v>7.9127273765504391</v>
      </c>
      <c r="DN69" s="985">
        <f t="shared" si="72"/>
        <v>8.4742726234495684</v>
      </c>
      <c r="DO69" s="984">
        <f t="shared" si="73"/>
        <v>0.91780000000000084</v>
      </c>
      <c r="DP69" s="979">
        <f t="shared" si="39"/>
        <v>48.7415558945304</v>
      </c>
      <c r="DQ69" s="980">
        <f t="shared" si="85"/>
        <v>0.47045000000000037</v>
      </c>
      <c r="DR69" s="985">
        <f t="shared" si="86"/>
        <v>0.44735000000000041</v>
      </c>
      <c r="DS69" s="984">
        <f t="shared" si="74"/>
        <v>0.49675000000000047</v>
      </c>
      <c r="DT69" s="339">
        <f t="shared" si="40"/>
        <v>48.777050830397577</v>
      </c>
      <c r="DU69" s="980">
        <f t="shared" si="87"/>
        <v>0.25445000000000023</v>
      </c>
      <c r="DV69" s="985">
        <f t="shared" si="88"/>
        <v>0.24230000000000021</v>
      </c>
      <c r="DW69" s="979">
        <f t="shared" si="89"/>
        <v>5.0000000000000044</v>
      </c>
      <c r="DX69" s="981">
        <f t="shared" si="90"/>
        <v>5.0000000000000044</v>
      </c>
      <c r="DY69" s="414">
        <v>32</v>
      </c>
      <c r="DZ69" s="111">
        <v>2012</v>
      </c>
      <c r="EA69" s="118" t="e">
        <f>#REF!*DY69/100</f>
        <v>#REF!</v>
      </c>
      <c r="EB69" s="123" t="s">
        <v>145</v>
      </c>
      <c r="EC69" s="113" t="s">
        <v>145</v>
      </c>
      <c r="ED69" s="20"/>
      <c r="EE69" s="414">
        <v>38</v>
      </c>
      <c r="EF69" s="121">
        <v>2008</v>
      </c>
      <c r="EG69" s="380" t="s">
        <v>145</v>
      </c>
      <c r="EH69" s="24" t="s">
        <v>335</v>
      </c>
      <c r="EI69" s="288">
        <v>3</v>
      </c>
      <c r="EJ69" s="40" t="s">
        <v>145</v>
      </c>
      <c r="EK69" s="35" t="s">
        <v>145</v>
      </c>
      <c r="EL69" s="95" t="s">
        <v>145</v>
      </c>
      <c r="EM69" s="95" t="s">
        <v>145</v>
      </c>
      <c r="EN69" s="35" t="s">
        <v>145</v>
      </c>
      <c r="EO69" s="95" t="s">
        <v>145</v>
      </c>
      <c r="EP69" s="205" t="s">
        <v>145</v>
      </c>
      <c r="EQ69" s="207" t="s">
        <v>145</v>
      </c>
      <c r="ER69" s="517" t="s">
        <v>145</v>
      </c>
      <c r="ES69" s="183"/>
      <c r="ET69" s="183"/>
      <c r="EU69" s="82"/>
      <c r="EV69" s="82"/>
      <c r="EW69" s="82"/>
      <c r="EX69" s="90"/>
      <c r="EY69" s="159"/>
      <c r="EZ69" s="156"/>
      <c r="FA69" s="323"/>
      <c r="FB69" s="323"/>
      <c r="FC69" s="323"/>
      <c r="FD69" s="160"/>
      <c r="FE69" s="156"/>
      <c r="FF69" s="156"/>
      <c r="FG69" s="156"/>
      <c r="FH69" s="157"/>
      <c r="FI69" s="242"/>
      <c r="FJ69" s="373"/>
      <c r="FK69" s="179"/>
      <c r="FL69" s="179"/>
      <c r="FM69" s="179"/>
      <c r="FN69" s="369"/>
      <c r="FO69" s="164"/>
      <c r="FP69" s="255"/>
      <c r="FQ69" s="183"/>
      <c r="FR69" s="257"/>
      <c r="FS69" s="82"/>
      <c r="FT69" s="259"/>
      <c r="FU69" s="82"/>
      <c r="FV69" s="259"/>
      <c r="FW69" s="82"/>
      <c r="FX69" s="259"/>
      <c r="FY69" s="82"/>
      <c r="FZ69" s="259"/>
      <c r="GA69" s="82"/>
      <c r="GB69" s="261"/>
      <c r="GC69" s="90"/>
      <c r="GD69" s="76">
        <v>2</v>
      </c>
      <c r="GE69" s="445" t="s">
        <v>3425</v>
      </c>
      <c r="GF69" s="447" t="s">
        <v>10</v>
      </c>
      <c r="GG69" s="448">
        <v>1</v>
      </c>
      <c r="GH69" s="449">
        <v>2</v>
      </c>
      <c r="GI69" s="447" t="s">
        <v>145</v>
      </c>
      <c r="GJ69" s="449" t="s">
        <v>145</v>
      </c>
      <c r="GK69" s="447" t="s">
        <v>145</v>
      </c>
      <c r="GL69" s="448" t="s">
        <v>145</v>
      </c>
      <c r="GM69" s="449" t="s">
        <v>145</v>
      </c>
      <c r="GN69" s="447" t="s">
        <v>10</v>
      </c>
      <c r="GO69" s="449">
        <v>24</v>
      </c>
      <c r="GP69" s="447">
        <v>8</v>
      </c>
      <c r="GQ69" s="448">
        <v>11</v>
      </c>
      <c r="GR69" s="449">
        <v>5</v>
      </c>
      <c r="GS69" s="446"/>
      <c r="GT69" s="461">
        <v>0.81935238838195801</v>
      </c>
      <c r="GU69" s="462">
        <v>0.41846951842308044</v>
      </c>
      <c r="GV69" s="462">
        <v>0.26945886015892029</v>
      </c>
      <c r="GW69" s="462">
        <v>0.35477730631828308</v>
      </c>
      <c r="GX69" s="462">
        <v>0.15664847195148468</v>
      </c>
      <c r="GY69" s="463">
        <v>0.41117992997169495</v>
      </c>
      <c r="GZ69" s="10">
        <v>78</v>
      </c>
      <c r="HA69" s="536">
        <v>0.52197000000000005</v>
      </c>
      <c r="HB69" s="536">
        <v>0.39215</v>
      </c>
      <c r="HC69" s="525">
        <v>0.34644999999999998</v>
      </c>
      <c r="HD69" s="526">
        <v>0.40289000000000003</v>
      </c>
      <c r="HE69" s="527">
        <v>0.81659999999999999</v>
      </c>
      <c r="HF69" s="10">
        <v>76</v>
      </c>
      <c r="HG69" s="532">
        <v>4.96</v>
      </c>
      <c r="HH69" s="545">
        <v>6.07</v>
      </c>
      <c r="HI69" s="546">
        <v>2.14</v>
      </c>
      <c r="HJ69" s="547">
        <v>8.3800000000000008</v>
      </c>
      <c r="HK69" s="379" t="s">
        <v>4039</v>
      </c>
      <c r="HL69" s="23" t="s">
        <v>4881</v>
      </c>
      <c r="HM69" s="696">
        <v>2012</v>
      </c>
      <c r="HN69" s="809" t="s">
        <v>145</v>
      </c>
      <c r="HO69" s="557" t="s">
        <v>3985</v>
      </c>
      <c r="HP69" s="562" t="s">
        <v>145</v>
      </c>
      <c r="HQ69" s="562" t="s">
        <v>145</v>
      </c>
      <c r="HR69" s="563" t="s">
        <v>145</v>
      </c>
      <c r="HS69" s="545" t="s">
        <v>145</v>
      </c>
      <c r="HT69" s="557" t="s">
        <v>145</v>
      </c>
      <c r="HU69" s="809">
        <v>1984</v>
      </c>
      <c r="HV69" s="583" t="s">
        <v>4874</v>
      </c>
      <c r="HW69" s="448" t="s">
        <v>145</v>
      </c>
      <c r="HX69" s="448" t="s">
        <v>145</v>
      </c>
      <c r="HY69" s="448" t="s">
        <v>145</v>
      </c>
      <c r="HZ69" s="448" t="s">
        <v>145</v>
      </c>
      <c r="IA69" s="448" t="s">
        <v>145</v>
      </c>
      <c r="IB69" s="448" t="s">
        <v>145</v>
      </c>
      <c r="IC69" s="449" t="s">
        <v>145</v>
      </c>
      <c r="ID69" s="660"/>
      <c r="IE69" s="550"/>
      <c r="IF69" s="550"/>
      <c r="IG69" s="553"/>
      <c r="IH69" s="339"/>
      <c r="II69" s="553" t="s">
        <v>4923</v>
      </c>
      <c r="IJ69" s="424" t="s">
        <v>4926</v>
      </c>
      <c r="IK69" s="24">
        <v>1</v>
      </c>
      <c r="IL69" s="749">
        <f t="shared" si="75"/>
        <v>14</v>
      </c>
      <c r="IM69" s="747">
        <f t="shared" si="76"/>
        <v>56.000000000000007</v>
      </c>
      <c r="IN69" s="750" t="str">
        <f t="shared" si="77"/>
        <v>B</v>
      </c>
      <c r="IO69" s="446"/>
      <c r="IP69" s="902">
        <v>4</v>
      </c>
      <c r="IQ69" s="903">
        <v>0</v>
      </c>
      <c r="IR69" s="993">
        <v>0</v>
      </c>
      <c r="IT69" s="435"/>
      <c r="IU69" s="435"/>
      <c r="IV69" s="435"/>
    </row>
    <row r="70" spans="1:256">
      <c r="A70" s="21">
        <v>68</v>
      </c>
      <c r="B70" s="9"/>
      <c r="C70" s="430" t="s">
        <v>109</v>
      </c>
      <c r="D70" s="424" t="s">
        <v>409</v>
      </c>
      <c r="E70" s="24" t="s">
        <v>20</v>
      </c>
      <c r="F70" s="76" t="s">
        <v>807</v>
      </c>
      <c r="G70" s="102" t="s">
        <v>519</v>
      </c>
      <c r="H70" s="375" t="s">
        <v>1766</v>
      </c>
      <c r="I70" s="95" t="s">
        <v>2266</v>
      </c>
      <c r="J70" s="370">
        <v>2</v>
      </c>
      <c r="K70" s="88">
        <v>1877</v>
      </c>
      <c r="L70" s="371">
        <v>2</v>
      </c>
      <c r="M70" s="373" t="s">
        <v>1816</v>
      </c>
      <c r="N70" s="369" t="s">
        <v>1829</v>
      </c>
      <c r="O70" s="365" t="s">
        <v>1766</v>
      </c>
      <c r="P70" s="362" t="s">
        <v>2797</v>
      </c>
      <c r="Q70" s="370">
        <v>2</v>
      </c>
      <c r="R70" s="370">
        <v>2009</v>
      </c>
      <c r="S70" s="372" t="s">
        <v>2727</v>
      </c>
      <c r="T70" s="370">
        <v>1</v>
      </c>
      <c r="U70" s="370">
        <v>2</v>
      </c>
      <c r="V70" s="370">
        <v>18</v>
      </c>
      <c r="W70" s="369" t="s">
        <v>3201</v>
      </c>
      <c r="X70" s="170">
        <v>1</v>
      </c>
      <c r="Y70" s="369">
        <v>1</v>
      </c>
      <c r="Z70" s="273" t="s">
        <v>2061</v>
      </c>
      <c r="AA70" s="169">
        <v>1</v>
      </c>
      <c r="AB70" s="177">
        <v>1</v>
      </c>
      <c r="AC70" s="171"/>
      <c r="AD70" s="365" t="s">
        <v>1766</v>
      </c>
      <c r="AE70" s="357">
        <v>2009</v>
      </c>
      <c r="AF70" s="357">
        <v>2</v>
      </c>
      <c r="AG70" s="550" t="s">
        <v>5171</v>
      </c>
      <c r="AH70" s="355" t="s">
        <v>2802</v>
      </c>
      <c r="AI70" s="55">
        <v>0</v>
      </c>
      <c r="AJ70" s="55">
        <v>0</v>
      </c>
      <c r="AK70" s="590" t="s">
        <v>145</v>
      </c>
      <c r="AL70" s="391">
        <v>2</v>
      </c>
      <c r="AM70" s="361" t="s">
        <v>2801</v>
      </c>
      <c r="AN70" s="344" t="s">
        <v>145</v>
      </c>
      <c r="AO70" s="170">
        <v>1</v>
      </c>
      <c r="AP70" s="369">
        <v>1</v>
      </c>
      <c r="AQ70" s="365" t="s">
        <v>5369</v>
      </c>
      <c r="AR70" s="362" t="s">
        <v>2798</v>
      </c>
      <c r="AS70" s="55">
        <v>1</v>
      </c>
      <c r="AT70" s="370">
        <v>3</v>
      </c>
      <c r="AU70" s="371">
        <v>2005</v>
      </c>
      <c r="AV70" s="370">
        <v>5</v>
      </c>
      <c r="AW70" s="589" t="s">
        <v>145</v>
      </c>
      <c r="AX70" s="687">
        <v>0</v>
      </c>
      <c r="AY70" s="174" t="s">
        <v>4473</v>
      </c>
      <c r="AZ70" s="55">
        <v>2013</v>
      </c>
      <c r="BA70" s="55">
        <v>1</v>
      </c>
      <c r="BB70" s="55">
        <v>1</v>
      </c>
      <c r="BC70" s="174" t="s">
        <v>4474</v>
      </c>
      <c r="BD70" s="55">
        <v>1992</v>
      </c>
      <c r="BE70" s="55">
        <v>0</v>
      </c>
      <c r="BF70" s="371" t="s">
        <v>145</v>
      </c>
      <c r="BG70" s="367">
        <v>0</v>
      </c>
      <c r="BH70" s="56" t="s">
        <v>145</v>
      </c>
      <c r="BI70" s="367">
        <v>0</v>
      </c>
      <c r="BJ70" s="367">
        <v>1</v>
      </c>
      <c r="BK70" s="888">
        <v>16342.897000000001</v>
      </c>
      <c r="BL70" s="925">
        <f t="shared" si="62"/>
        <v>51.090262638258075</v>
      </c>
      <c r="BM70" s="888">
        <v>7993.268</v>
      </c>
      <c r="BN70" s="920">
        <v>8349.6290000000008</v>
      </c>
      <c r="BO70" s="888">
        <v>2089.433</v>
      </c>
      <c r="BP70" s="1158">
        <f t="shared" si="78"/>
        <v>49.028899227685216</v>
      </c>
      <c r="BQ70" s="917">
        <v>1065.0070000000001</v>
      </c>
      <c r="BR70" s="920">
        <v>1024.4259999999999</v>
      </c>
      <c r="BS70" s="888">
        <v>1972.2619999999999</v>
      </c>
      <c r="BT70" s="1158">
        <f t="shared" si="79"/>
        <v>49.083387501254904</v>
      </c>
      <c r="BU70" s="917">
        <v>1004.2089999999999</v>
      </c>
      <c r="BV70" s="920">
        <v>968.053</v>
      </c>
      <c r="BW70" s="888">
        <v>1923.5350000000001</v>
      </c>
      <c r="BX70" s="1158">
        <f t="shared" si="80"/>
        <v>49.199312723709212</v>
      </c>
      <c r="BY70" s="917">
        <v>977.16899999999998</v>
      </c>
      <c r="BZ70" s="920">
        <v>946.36599999999999</v>
      </c>
      <c r="CA70" s="888">
        <f t="shared" si="81"/>
        <v>10357.666999999999</v>
      </c>
      <c r="CB70" s="1158">
        <f t="shared" si="82"/>
        <v>52.239408739439121</v>
      </c>
      <c r="CC70" s="917">
        <f t="shared" si="83"/>
        <v>4946.8830000000007</v>
      </c>
      <c r="CD70" s="920">
        <f t="shared" si="84"/>
        <v>5410.7840000000015</v>
      </c>
      <c r="CE70" s="914">
        <v>2015</v>
      </c>
      <c r="CF70" s="910" t="s">
        <v>5630</v>
      </c>
      <c r="CG70" s="930">
        <v>96.7</v>
      </c>
      <c r="CH70" s="504">
        <v>96.7</v>
      </c>
      <c r="CI70" s="1008">
        <v>96.7</v>
      </c>
      <c r="CJ70" s="904">
        <v>96.2</v>
      </c>
      <c r="CK70" s="904">
        <v>96.9</v>
      </c>
      <c r="CL70" s="904" t="s">
        <v>5574</v>
      </c>
      <c r="CM70" s="905" t="s">
        <v>5593</v>
      </c>
      <c r="CN70" s="1044">
        <v>11453.173000000001</v>
      </c>
      <c r="CO70" s="1045">
        <f t="shared" si="63"/>
        <v>70.08043310803464</v>
      </c>
      <c r="CP70" s="1040">
        <f t="shared" si="64"/>
        <v>5470.1031428949191</v>
      </c>
      <c r="CQ70" s="1041">
        <f t="shared" si="65"/>
        <v>5983.0698571050816</v>
      </c>
      <c r="CR70" s="1046">
        <v>2015</v>
      </c>
      <c r="CS70" s="1047" t="s">
        <v>5782</v>
      </c>
      <c r="CT70" s="1068">
        <f t="shared" si="66"/>
        <v>18</v>
      </c>
      <c r="CU70" s="1071">
        <v>18</v>
      </c>
      <c r="CV70" s="1068" t="s">
        <v>5908</v>
      </c>
      <c r="CW70" s="1113">
        <v>7556.8729999999996</v>
      </c>
      <c r="CX70" s="1113">
        <v>8586.2379999999994</v>
      </c>
      <c r="CY70" s="1113">
        <v>14918.999</v>
      </c>
      <c r="CZ70" s="494">
        <v>2</v>
      </c>
      <c r="DA70" s="1104">
        <v>5</v>
      </c>
      <c r="DB70" s="1050" t="s">
        <v>647</v>
      </c>
      <c r="DC70" s="1146" t="s">
        <v>322</v>
      </c>
      <c r="DD70" s="978">
        <f t="shared" ref="DD70:DD133" si="91">DK70+DO70+DS70</f>
        <v>4889.7240000000002</v>
      </c>
      <c r="DE70" s="979">
        <f t="shared" si="67"/>
        <v>29.91956689196536</v>
      </c>
      <c r="DF70" s="979">
        <f t="shared" ref="DF70:DF133" si="92">IF(DD70=0,0,DH70/DD70*100)</f>
        <v>48.398624194226898</v>
      </c>
      <c r="DG70" s="980">
        <f t="shared" ref="DG70:DG133" si="93">DM70+DQ70+DU70</f>
        <v>2523.164857105081</v>
      </c>
      <c r="DH70" s="980">
        <f t="shared" ref="DH70:DH133" si="94">DN70+DR70+DV70</f>
        <v>2366.5591428949192</v>
      </c>
      <c r="DI70" s="979">
        <f t="shared" si="68"/>
        <v>31.566123606828654</v>
      </c>
      <c r="DJ70" s="981">
        <f t="shared" si="69"/>
        <v>28.343284987811064</v>
      </c>
      <c r="DK70" s="984">
        <f t="shared" si="70"/>
        <v>4692.2114100000008</v>
      </c>
      <c r="DL70" s="979">
        <f t="shared" ref="DL70:DL133" si="95">IF(DN70=0,0,DN70/DK70*100)</f>
        <v>48.369032415249144</v>
      </c>
      <c r="DM70" s="980">
        <f t="shared" si="71"/>
        <v>2422.6341521050813</v>
      </c>
      <c r="DN70" s="985">
        <f t="shared" si="72"/>
        <v>2269.5772578949191</v>
      </c>
      <c r="DO70" s="984">
        <f t="shared" si="73"/>
        <v>128.56130099999967</v>
      </c>
      <c r="DP70" s="979">
        <f t="shared" ref="DP70:DP133" si="96">IF(DR70=0,0,DR70/DO70*100)</f>
        <v>49.14062514037564</v>
      </c>
      <c r="DQ70" s="980">
        <f t="shared" si="85"/>
        <v>65.385473999999832</v>
      </c>
      <c r="DR70" s="985">
        <f t="shared" si="86"/>
        <v>63.175826999999842</v>
      </c>
      <c r="DS70" s="984">
        <f t="shared" si="74"/>
        <v>68.951288999999832</v>
      </c>
      <c r="DT70" s="339">
        <f t="shared" ref="DT70:DT133" si="97">IF(DV70=0,0,DV70/DS70*100)</f>
        <v>49.028899227685208</v>
      </c>
      <c r="DU70" s="980">
        <f t="shared" si="87"/>
        <v>35.145230999999917</v>
      </c>
      <c r="DV70" s="985">
        <f t="shared" si="88"/>
        <v>33.806057999999915</v>
      </c>
      <c r="DW70" s="979">
        <f t="shared" si="89"/>
        <v>3.2999999999999918</v>
      </c>
      <c r="DX70" s="981">
        <f t="shared" si="90"/>
        <v>3.2999999999999918</v>
      </c>
      <c r="DY70" s="414">
        <v>13.53</v>
      </c>
      <c r="DZ70" s="111">
        <v>2006</v>
      </c>
      <c r="EA70" s="118">
        <v>1992.23766</v>
      </c>
      <c r="EB70" s="123">
        <v>53.7</v>
      </c>
      <c r="EC70" s="113">
        <v>2011</v>
      </c>
      <c r="ED70" s="20">
        <v>7924.6786920000004</v>
      </c>
      <c r="EE70" s="414">
        <v>54</v>
      </c>
      <c r="EF70" s="111">
        <v>2011</v>
      </c>
      <c r="EG70" s="380">
        <v>78.264854431152301</v>
      </c>
      <c r="EH70" s="24" t="s">
        <v>358</v>
      </c>
      <c r="EI70" s="287">
        <v>3</v>
      </c>
      <c r="EJ70" s="40">
        <v>3</v>
      </c>
      <c r="EK70" s="35" t="s">
        <v>145</v>
      </c>
      <c r="EL70" s="95" t="s">
        <v>145</v>
      </c>
      <c r="EM70" s="95" t="s">
        <v>145</v>
      </c>
      <c r="EN70" s="35" t="s">
        <v>145</v>
      </c>
      <c r="EO70" s="95" t="s">
        <v>1644</v>
      </c>
      <c r="EP70" s="205">
        <v>0.97</v>
      </c>
      <c r="EQ70" s="207">
        <v>0.88</v>
      </c>
      <c r="ER70" s="517">
        <v>1</v>
      </c>
      <c r="ES70" s="183" t="s">
        <v>145</v>
      </c>
      <c r="ET70" s="183" t="s">
        <v>145</v>
      </c>
      <c r="EU70" s="82" t="s">
        <v>145</v>
      </c>
      <c r="EV70" s="82" t="s">
        <v>145</v>
      </c>
      <c r="EW70" s="82" t="s">
        <v>3872</v>
      </c>
      <c r="EX70" s="360" t="s">
        <v>145</v>
      </c>
      <c r="EY70" s="159">
        <v>11237196</v>
      </c>
      <c r="EZ70" s="156">
        <v>2002</v>
      </c>
      <c r="FA70" s="323">
        <v>49</v>
      </c>
      <c r="FB70" s="323">
        <v>51</v>
      </c>
      <c r="FC70" s="323">
        <v>56</v>
      </c>
      <c r="FD70" s="231" t="s">
        <v>1764</v>
      </c>
      <c r="FE70" s="156">
        <v>56</v>
      </c>
      <c r="FF70" s="156" t="s">
        <v>1673</v>
      </c>
      <c r="FG70" s="156" t="s">
        <v>1765</v>
      </c>
      <c r="FH70" s="157" t="s">
        <v>318</v>
      </c>
      <c r="FI70" s="242">
        <v>3</v>
      </c>
      <c r="FJ70" s="373" t="s">
        <v>1816</v>
      </c>
      <c r="FK70" s="179" t="s">
        <v>1829</v>
      </c>
      <c r="FL70" s="236" t="s">
        <v>1830</v>
      </c>
      <c r="FM70" s="179" t="s">
        <v>145</v>
      </c>
      <c r="FN70" s="351" t="s">
        <v>1831</v>
      </c>
      <c r="FO70" s="366" t="s">
        <v>1767</v>
      </c>
      <c r="FP70" s="255">
        <v>1</v>
      </c>
      <c r="FQ70" s="183" t="s">
        <v>1884</v>
      </c>
      <c r="FR70" s="257"/>
      <c r="FS70" s="82"/>
      <c r="FT70" s="259"/>
      <c r="FU70" s="82"/>
      <c r="FV70" s="259"/>
      <c r="FW70" s="82"/>
      <c r="FX70" s="259"/>
      <c r="FY70" s="82"/>
      <c r="FZ70" s="259"/>
      <c r="GA70" s="82"/>
      <c r="GB70" s="261"/>
      <c r="GC70" s="90"/>
      <c r="GD70" s="76">
        <v>1</v>
      </c>
      <c r="GE70" s="445" t="s">
        <v>3424</v>
      </c>
      <c r="GF70" s="447" t="s">
        <v>590</v>
      </c>
      <c r="GG70" s="448">
        <v>3</v>
      </c>
      <c r="GH70" s="449">
        <v>4</v>
      </c>
      <c r="GI70" s="447" t="s">
        <v>145</v>
      </c>
      <c r="GJ70" s="449" t="s">
        <v>145</v>
      </c>
      <c r="GK70" s="447" t="s">
        <v>145</v>
      </c>
      <c r="GL70" s="448" t="s">
        <v>145</v>
      </c>
      <c r="GM70" s="449" t="s">
        <v>145</v>
      </c>
      <c r="GN70" s="447" t="s">
        <v>590</v>
      </c>
      <c r="GO70" s="449">
        <v>60</v>
      </c>
      <c r="GP70" s="447">
        <v>17</v>
      </c>
      <c r="GQ70" s="448">
        <v>25</v>
      </c>
      <c r="GR70" s="449">
        <v>18</v>
      </c>
      <c r="GS70" s="446">
        <v>8</v>
      </c>
      <c r="GT70" s="461">
        <v>-0.40357473492622375</v>
      </c>
      <c r="GU70" s="462">
        <v>-0.69491678476333618</v>
      </c>
      <c r="GV70" s="462">
        <v>-0.71231389045715332</v>
      </c>
      <c r="GW70" s="462">
        <v>-0.2120913565158844</v>
      </c>
      <c r="GX70" s="462">
        <v>-1.1117172241210937</v>
      </c>
      <c r="GY70" s="463">
        <v>-0.5769960880279541</v>
      </c>
      <c r="GZ70" s="10">
        <v>133</v>
      </c>
      <c r="HA70" s="536">
        <v>0.31602999999999998</v>
      </c>
      <c r="HB70" s="536">
        <v>0.19606999999999999</v>
      </c>
      <c r="HC70" s="525">
        <v>0.14960000000000001</v>
      </c>
      <c r="HD70" s="526">
        <v>0.27124999999999999</v>
      </c>
      <c r="HE70" s="527">
        <v>0.5272</v>
      </c>
      <c r="HF70" s="10">
        <v>118</v>
      </c>
      <c r="HG70" s="532">
        <v>3.2</v>
      </c>
      <c r="HH70" s="545">
        <v>4.3499999999999996</v>
      </c>
      <c r="HI70" s="546">
        <v>0.96</v>
      </c>
      <c r="HJ70" s="547">
        <v>5.37</v>
      </c>
      <c r="HK70" s="379" t="s">
        <v>145</v>
      </c>
      <c r="HL70" s="362" t="s">
        <v>145</v>
      </c>
      <c r="HM70" s="557" t="s">
        <v>145</v>
      </c>
      <c r="HN70" s="557" t="s">
        <v>145</v>
      </c>
      <c r="HO70" s="557" t="s">
        <v>145</v>
      </c>
      <c r="HP70" s="562" t="s">
        <v>145</v>
      </c>
      <c r="HQ70" s="562" t="s">
        <v>145</v>
      </c>
      <c r="HR70" s="563" t="s">
        <v>145</v>
      </c>
      <c r="HS70" s="545">
        <v>35</v>
      </c>
      <c r="HT70" s="557">
        <v>94</v>
      </c>
      <c r="HU70" s="557">
        <v>2008</v>
      </c>
      <c r="HV70" s="583" t="s">
        <v>4197</v>
      </c>
      <c r="HW70" s="557">
        <v>6</v>
      </c>
      <c r="HX70" s="557">
        <v>29</v>
      </c>
      <c r="HY70" s="557">
        <v>16</v>
      </c>
      <c r="HZ70" s="557">
        <v>21</v>
      </c>
      <c r="IA70" s="557">
        <v>5</v>
      </c>
      <c r="IB70" s="557">
        <v>3</v>
      </c>
      <c r="IC70" s="547">
        <v>14</v>
      </c>
      <c r="ID70" s="660"/>
      <c r="IE70" s="550"/>
      <c r="IF70" s="550"/>
      <c r="IG70" s="553"/>
      <c r="IH70" s="339"/>
      <c r="II70" s="553" t="s">
        <v>4922</v>
      </c>
      <c r="IJ70" s="424" t="s">
        <v>4926</v>
      </c>
      <c r="IK70" s="24">
        <v>0</v>
      </c>
      <c r="IL70" s="749">
        <f t="shared" si="75"/>
        <v>15</v>
      </c>
      <c r="IM70" s="747">
        <f t="shared" si="76"/>
        <v>60</v>
      </c>
      <c r="IN70" s="750" t="str">
        <f t="shared" si="77"/>
        <v>B</v>
      </c>
      <c r="IO70" s="446"/>
      <c r="IP70" s="902">
        <v>5</v>
      </c>
      <c r="IQ70" s="903">
        <v>0</v>
      </c>
      <c r="IR70" s="993">
        <v>0</v>
      </c>
      <c r="IT70" s="435"/>
      <c r="IU70" s="435"/>
      <c r="IV70" s="435"/>
    </row>
    <row r="71" spans="1:256">
      <c r="A71" s="71">
        <v>69</v>
      </c>
      <c r="B71" s="9"/>
      <c r="C71" s="430" t="s">
        <v>111</v>
      </c>
      <c r="D71" s="423" t="s">
        <v>406</v>
      </c>
      <c r="E71" s="24" t="s">
        <v>9</v>
      </c>
      <c r="F71" s="76" t="s">
        <v>808</v>
      </c>
      <c r="G71" s="102" t="s">
        <v>514</v>
      </c>
      <c r="H71" s="251" t="s">
        <v>2267</v>
      </c>
      <c r="I71" s="95" t="s">
        <v>2269</v>
      </c>
      <c r="J71" s="176">
        <v>5</v>
      </c>
      <c r="K71" s="88">
        <v>1983</v>
      </c>
      <c r="L71" s="371">
        <v>2</v>
      </c>
      <c r="M71" s="240" t="s">
        <v>2268</v>
      </c>
      <c r="N71" s="369" t="s">
        <v>1822</v>
      </c>
      <c r="O71" s="365" t="s">
        <v>2953</v>
      </c>
      <c r="P71" s="362" t="s">
        <v>2954</v>
      </c>
      <c r="Q71" s="176">
        <v>2</v>
      </c>
      <c r="R71" s="370">
        <v>2014</v>
      </c>
      <c r="S71" s="372" t="s">
        <v>2892</v>
      </c>
      <c r="T71" s="176">
        <v>1</v>
      </c>
      <c r="U71" s="176">
        <v>2</v>
      </c>
      <c r="V71" s="176">
        <v>16</v>
      </c>
      <c r="W71" s="369" t="s">
        <v>2036</v>
      </c>
      <c r="X71" s="170">
        <v>0</v>
      </c>
      <c r="Y71" s="369">
        <v>0</v>
      </c>
      <c r="Z71" s="271"/>
      <c r="AA71" s="169"/>
      <c r="AB71" s="177"/>
      <c r="AC71" s="171"/>
      <c r="AD71" s="366" t="s">
        <v>2952</v>
      </c>
      <c r="AE71" s="355">
        <v>2014</v>
      </c>
      <c r="AF71" s="55">
        <v>1</v>
      </c>
      <c r="AG71" s="550" t="s">
        <v>5171</v>
      </c>
      <c r="AH71" s="355" t="s">
        <v>323</v>
      </c>
      <c r="AI71" s="550">
        <v>0</v>
      </c>
      <c r="AJ71" s="550">
        <v>0</v>
      </c>
      <c r="AK71" s="590" t="s">
        <v>145</v>
      </c>
      <c r="AL71" s="395">
        <v>15</v>
      </c>
      <c r="AM71" s="361" t="s">
        <v>2951</v>
      </c>
      <c r="AN71" s="344" t="s">
        <v>145</v>
      </c>
      <c r="AO71" s="170">
        <v>0</v>
      </c>
      <c r="AP71" s="172">
        <v>0</v>
      </c>
      <c r="AQ71" s="365" t="s">
        <v>2953</v>
      </c>
      <c r="AR71" s="378" t="s">
        <v>5233</v>
      </c>
      <c r="AS71" s="55">
        <v>2</v>
      </c>
      <c r="AT71" s="370">
        <v>2</v>
      </c>
      <c r="AU71" s="371">
        <v>2014</v>
      </c>
      <c r="AV71" s="370">
        <v>5</v>
      </c>
      <c r="AW71" s="589" t="s">
        <v>145</v>
      </c>
      <c r="AX71" s="687">
        <v>0</v>
      </c>
      <c r="AY71" s="174" t="s">
        <v>4475</v>
      </c>
      <c r="AZ71" s="55">
        <v>2012</v>
      </c>
      <c r="BA71" s="55">
        <v>1</v>
      </c>
      <c r="BB71" s="55">
        <v>1</v>
      </c>
      <c r="BC71" s="174" t="s">
        <v>4476</v>
      </c>
      <c r="BD71" s="55">
        <v>2010</v>
      </c>
      <c r="BE71" s="55">
        <v>0</v>
      </c>
      <c r="BF71" s="371" t="s">
        <v>145</v>
      </c>
      <c r="BG71" s="367">
        <v>0</v>
      </c>
      <c r="BH71" s="56" t="s">
        <v>145</v>
      </c>
      <c r="BI71" s="367">
        <v>0</v>
      </c>
      <c r="BJ71" s="367">
        <v>1</v>
      </c>
      <c r="BK71" s="888">
        <v>12608.59</v>
      </c>
      <c r="BL71" s="925">
        <f t="shared" si="62"/>
        <v>49.85770018693605</v>
      </c>
      <c r="BM71" s="888">
        <v>6322.2370000000001</v>
      </c>
      <c r="BN71" s="920">
        <v>6286.3530000000001</v>
      </c>
      <c r="BO71" s="888">
        <v>2045.6420000000001</v>
      </c>
      <c r="BP71" s="1158">
        <f t="shared" si="78"/>
        <v>49.560773585994028</v>
      </c>
      <c r="BQ71" s="917">
        <v>1031.806</v>
      </c>
      <c r="BR71" s="920">
        <v>1013.836</v>
      </c>
      <c r="BS71" s="888">
        <v>1767.7149999999999</v>
      </c>
      <c r="BT71" s="1158">
        <f t="shared" si="79"/>
        <v>49.72967927522253</v>
      </c>
      <c r="BU71" s="917">
        <v>888.63599999999997</v>
      </c>
      <c r="BV71" s="920">
        <v>879.07899999999995</v>
      </c>
      <c r="BW71" s="888">
        <v>1549.328</v>
      </c>
      <c r="BX71" s="1158">
        <f t="shared" si="80"/>
        <v>49.481000795183469</v>
      </c>
      <c r="BY71" s="917">
        <v>782.70500000000004</v>
      </c>
      <c r="BZ71" s="920">
        <v>766.62300000000005</v>
      </c>
      <c r="CA71" s="888">
        <f t="shared" si="81"/>
        <v>7245.9050000000007</v>
      </c>
      <c r="CB71" s="1158">
        <f t="shared" si="82"/>
        <v>50.053305970751751</v>
      </c>
      <c r="CC71" s="917">
        <f t="shared" si="83"/>
        <v>3619.09</v>
      </c>
      <c r="CD71" s="920">
        <f t="shared" si="84"/>
        <v>3626.8150000000001</v>
      </c>
      <c r="CE71" s="914">
        <v>2015</v>
      </c>
      <c r="CF71" s="910" t="s">
        <v>5630</v>
      </c>
      <c r="CG71" s="1026">
        <v>57.9</v>
      </c>
      <c r="CH71" s="495">
        <v>58.4</v>
      </c>
      <c r="CI71" s="497">
        <v>57.4</v>
      </c>
      <c r="CJ71" s="904">
        <v>82.6</v>
      </c>
      <c r="CK71" s="904">
        <v>48.8</v>
      </c>
      <c r="CL71" s="904">
        <v>2012</v>
      </c>
      <c r="CM71" s="905" t="s">
        <v>5575</v>
      </c>
      <c r="CN71" s="1110">
        <v>6042.634</v>
      </c>
      <c r="CO71" s="1045">
        <f t="shared" si="63"/>
        <v>47.924740196960954</v>
      </c>
      <c r="CP71" s="1040">
        <f t="shared" si="64"/>
        <v>3029.9156568861385</v>
      </c>
      <c r="CQ71" s="1041">
        <f t="shared" si="65"/>
        <v>3012.718343113861</v>
      </c>
      <c r="CR71" s="1046">
        <v>2015</v>
      </c>
      <c r="CS71" s="1047" t="s">
        <v>5806</v>
      </c>
      <c r="CT71" s="1068">
        <f t="shared" si="66"/>
        <v>16</v>
      </c>
      <c r="CU71" s="1071">
        <v>18</v>
      </c>
      <c r="CV71" s="1068" t="s">
        <v>5909</v>
      </c>
      <c r="CW71" s="1113">
        <v>6042.634</v>
      </c>
      <c r="CX71" s="1113">
        <v>6072.5709999999999</v>
      </c>
      <c r="CY71" s="1113">
        <v>11780.162</v>
      </c>
      <c r="CZ71" s="494">
        <v>1</v>
      </c>
      <c r="DA71" s="1104">
        <v>5</v>
      </c>
      <c r="DB71" s="1050" t="s">
        <v>5753</v>
      </c>
      <c r="DC71" s="1143" t="s">
        <v>320</v>
      </c>
      <c r="DD71" s="978">
        <f t="shared" si="91"/>
        <v>3460.961385000001</v>
      </c>
      <c r="DE71" s="979">
        <f t="shared" si="67"/>
        <v>27.449234093582241</v>
      </c>
      <c r="DF71" s="979">
        <f t="shared" si="92"/>
        <v>50.479033151250796</v>
      </c>
      <c r="DG71" s="980">
        <f t="shared" si="93"/>
        <v>1713.6834951138617</v>
      </c>
      <c r="DH71" s="980">
        <f t="shared" si="94"/>
        <v>1747.0598448861392</v>
      </c>
      <c r="DI71" s="979">
        <f t="shared" si="68"/>
        <v>27.105650976289908</v>
      </c>
      <c r="DJ71" s="981">
        <f t="shared" si="69"/>
        <v>27.791309919855582</v>
      </c>
      <c r="DK71" s="984">
        <f t="shared" si="70"/>
        <v>1203.2710000000006</v>
      </c>
      <c r="DL71" s="979">
        <f t="shared" si="95"/>
        <v>51.035606848842754</v>
      </c>
      <c r="DM71" s="980">
        <f t="shared" si="71"/>
        <v>589.1743431138616</v>
      </c>
      <c r="DN71" s="985">
        <f t="shared" si="72"/>
        <v>614.09665688613904</v>
      </c>
      <c r="DO71" s="984">
        <f t="shared" si="73"/>
        <v>1396.4751030000002</v>
      </c>
      <c r="DP71" s="979">
        <f t="shared" si="96"/>
        <v>50.202760542878075</v>
      </c>
      <c r="DQ71" s="980">
        <f t="shared" si="85"/>
        <v>695.27785600000004</v>
      </c>
      <c r="DR71" s="985">
        <f t="shared" si="86"/>
        <v>701.06905200000006</v>
      </c>
      <c r="DS71" s="984">
        <f t="shared" si="74"/>
        <v>861.21528200000012</v>
      </c>
      <c r="DT71" s="339">
        <f t="shared" si="97"/>
        <v>50.149381348297993</v>
      </c>
      <c r="DU71" s="980">
        <f t="shared" si="87"/>
        <v>429.23129600000004</v>
      </c>
      <c r="DV71" s="985">
        <f t="shared" si="88"/>
        <v>431.89413600000006</v>
      </c>
      <c r="DW71" s="979">
        <f t="shared" si="89"/>
        <v>41.6</v>
      </c>
      <c r="DX71" s="981">
        <f t="shared" si="90"/>
        <v>42.6</v>
      </c>
      <c r="DY71" s="414">
        <v>43.34</v>
      </c>
      <c r="DZ71" s="111">
        <v>2007</v>
      </c>
      <c r="EA71" s="118">
        <v>4426.042864</v>
      </c>
      <c r="EB71" s="123">
        <v>55.2</v>
      </c>
      <c r="EC71" s="113">
        <v>2012</v>
      </c>
      <c r="ED71" s="20">
        <v>5642.438016000001</v>
      </c>
      <c r="EE71" s="414">
        <v>47</v>
      </c>
      <c r="EF71" s="111">
        <v>2006</v>
      </c>
      <c r="EG71" s="380">
        <v>25.307744979858398</v>
      </c>
      <c r="EH71" s="24" t="s">
        <v>372</v>
      </c>
      <c r="EI71" s="287">
        <v>1</v>
      </c>
      <c r="EJ71" s="40">
        <v>3</v>
      </c>
      <c r="EK71" s="35" t="s">
        <v>145</v>
      </c>
      <c r="EL71" s="95" t="s">
        <v>145</v>
      </c>
      <c r="EM71" s="95" t="s">
        <v>145</v>
      </c>
      <c r="EN71" s="35" t="s">
        <v>145</v>
      </c>
      <c r="EO71" s="95" t="s">
        <v>1646</v>
      </c>
      <c r="EP71" s="205">
        <v>0.43</v>
      </c>
      <c r="EQ71" s="207" t="s">
        <v>145</v>
      </c>
      <c r="ER71" s="517">
        <v>2</v>
      </c>
      <c r="ES71" s="183" t="s">
        <v>145</v>
      </c>
      <c r="ET71" s="183" t="s">
        <v>3761</v>
      </c>
      <c r="EU71" s="82" t="s">
        <v>145</v>
      </c>
      <c r="EV71" s="82" t="s">
        <v>145</v>
      </c>
      <c r="EW71" s="82" t="s">
        <v>3760</v>
      </c>
      <c r="EX71" s="360" t="s">
        <v>145</v>
      </c>
      <c r="EY71" s="159"/>
      <c r="EZ71" s="156"/>
      <c r="FA71" s="323"/>
      <c r="FB71" s="323"/>
      <c r="FC71" s="323"/>
      <c r="FD71" s="160"/>
      <c r="FE71" s="156"/>
      <c r="FF71" s="156"/>
      <c r="FG71" s="156"/>
      <c r="FH71" s="157"/>
      <c r="FI71" s="242"/>
      <c r="FJ71" s="240"/>
      <c r="FK71" s="179"/>
      <c r="FL71" s="179"/>
      <c r="FM71" s="179"/>
      <c r="FN71" s="172"/>
      <c r="FO71" s="164"/>
      <c r="FP71" s="255"/>
      <c r="FQ71" s="183"/>
      <c r="FR71" s="257">
        <v>1</v>
      </c>
      <c r="FS71" s="82" t="s">
        <v>1702</v>
      </c>
      <c r="FT71" s="259"/>
      <c r="FU71" s="82"/>
      <c r="FV71" s="259"/>
      <c r="FW71" s="82"/>
      <c r="FX71" s="259"/>
      <c r="FY71" s="82"/>
      <c r="FZ71" s="259"/>
      <c r="GA71" s="82"/>
      <c r="GB71" s="261"/>
      <c r="GC71" s="90"/>
      <c r="GD71" s="76">
        <v>1</v>
      </c>
      <c r="GE71" s="445" t="s">
        <v>3424</v>
      </c>
      <c r="GF71" s="447" t="s">
        <v>590</v>
      </c>
      <c r="GG71" s="448">
        <v>5</v>
      </c>
      <c r="GH71" s="449">
        <v>5</v>
      </c>
      <c r="GI71" s="447" t="s">
        <v>145</v>
      </c>
      <c r="GJ71" s="449" t="s">
        <v>145</v>
      </c>
      <c r="GK71" s="447" t="s">
        <v>145</v>
      </c>
      <c r="GL71" s="448" t="s">
        <v>145</v>
      </c>
      <c r="GM71" s="449" t="s">
        <v>145</v>
      </c>
      <c r="GN71" s="447" t="s">
        <v>580</v>
      </c>
      <c r="GO71" s="449">
        <v>64</v>
      </c>
      <c r="GP71" s="447">
        <v>19</v>
      </c>
      <c r="GQ71" s="448">
        <v>28</v>
      </c>
      <c r="GR71" s="449">
        <v>17</v>
      </c>
      <c r="GS71" s="446">
        <v>4</v>
      </c>
      <c r="GT71" s="461">
        <v>-1.0647956132888794</v>
      </c>
      <c r="GU71" s="462">
        <v>-1.2257566452026367</v>
      </c>
      <c r="GV71" s="462">
        <v>-1.3200429677963257</v>
      </c>
      <c r="GW71" s="462">
        <v>-1.0078763961791992</v>
      </c>
      <c r="GX71" s="462">
        <v>-1.4214503765106201</v>
      </c>
      <c r="GY71" s="463">
        <v>-1.0600458383560181</v>
      </c>
      <c r="GZ71" s="10">
        <v>190</v>
      </c>
      <c r="HA71" s="536">
        <v>9.5430000000000001E-2</v>
      </c>
      <c r="HB71" s="536">
        <v>1.9599999999999999E-2</v>
      </c>
      <c r="HC71" s="525">
        <v>0</v>
      </c>
      <c r="HD71" s="526">
        <v>5.0439999999999999E-2</v>
      </c>
      <c r="HE71" s="527">
        <v>0.2359</v>
      </c>
      <c r="HF71" s="10">
        <v>161</v>
      </c>
      <c r="HG71" s="532">
        <v>1.42</v>
      </c>
      <c r="HH71" s="545">
        <v>2.2799999999999998</v>
      </c>
      <c r="HI71" s="546">
        <v>0.05</v>
      </c>
      <c r="HJ71" s="547">
        <v>2.44</v>
      </c>
      <c r="HK71" s="379" t="s">
        <v>145</v>
      </c>
      <c r="HL71" s="362" t="s">
        <v>145</v>
      </c>
      <c r="HM71" s="557" t="s">
        <v>145</v>
      </c>
      <c r="HN71" s="557" t="s">
        <v>145</v>
      </c>
      <c r="HO71" s="557" t="s">
        <v>145</v>
      </c>
      <c r="HP71" s="562" t="s">
        <v>145</v>
      </c>
      <c r="HQ71" s="562" t="s">
        <v>145</v>
      </c>
      <c r="HR71" s="563" t="s">
        <v>145</v>
      </c>
      <c r="HS71" s="545">
        <v>85</v>
      </c>
      <c r="HT71" s="557">
        <v>64</v>
      </c>
      <c r="HU71" s="557">
        <v>2010</v>
      </c>
      <c r="HV71" s="583" t="s">
        <v>4198</v>
      </c>
      <c r="HW71" s="557">
        <v>2</v>
      </c>
      <c r="HX71" s="557">
        <v>27</v>
      </c>
      <c r="HY71" s="557">
        <v>14</v>
      </c>
      <c r="HZ71" s="557">
        <v>9</v>
      </c>
      <c r="IA71" s="557">
        <v>4</v>
      </c>
      <c r="IB71" s="557">
        <v>2</v>
      </c>
      <c r="IC71" s="547">
        <v>6</v>
      </c>
      <c r="ID71" s="40"/>
      <c r="IE71" s="550"/>
      <c r="IF71" s="550"/>
      <c r="IG71" s="785" t="s">
        <v>3422</v>
      </c>
      <c r="IH71" s="115"/>
      <c r="II71" s="647" t="s">
        <v>4921</v>
      </c>
      <c r="IJ71" s="423" t="s">
        <v>4918</v>
      </c>
      <c r="IK71" s="10">
        <v>0</v>
      </c>
      <c r="IL71" s="749">
        <f t="shared" si="75"/>
        <v>15</v>
      </c>
      <c r="IM71" s="747">
        <f t="shared" si="76"/>
        <v>60</v>
      </c>
      <c r="IN71" s="750" t="str">
        <f t="shared" si="77"/>
        <v>B</v>
      </c>
      <c r="IO71" s="446">
        <v>1</v>
      </c>
      <c r="IP71" s="902">
        <v>5</v>
      </c>
      <c r="IQ71" s="903">
        <v>0</v>
      </c>
      <c r="IR71" s="993">
        <v>0</v>
      </c>
      <c r="IT71" s="435"/>
      <c r="IU71" s="435"/>
      <c r="IV71" s="435"/>
    </row>
    <row r="72" spans="1:256">
      <c r="A72" s="71">
        <v>70</v>
      </c>
      <c r="B72" s="9"/>
      <c r="C72" s="430" t="s">
        <v>112</v>
      </c>
      <c r="D72" s="423" t="s">
        <v>406</v>
      </c>
      <c r="E72" s="24" t="s">
        <v>9</v>
      </c>
      <c r="F72" s="76" t="s">
        <v>809</v>
      </c>
      <c r="G72" s="102" t="s">
        <v>521</v>
      </c>
      <c r="H72" s="375" t="s">
        <v>2271</v>
      </c>
      <c r="I72" s="364" t="s">
        <v>2124</v>
      </c>
      <c r="J72" s="370">
        <v>1</v>
      </c>
      <c r="K72" s="359">
        <v>1976</v>
      </c>
      <c r="L72" s="371">
        <v>1</v>
      </c>
      <c r="M72" s="373" t="s">
        <v>2270</v>
      </c>
      <c r="N72" s="369" t="s">
        <v>1822</v>
      </c>
      <c r="O72" s="365" t="s">
        <v>1589</v>
      </c>
      <c r="P72" s="364" t="s">
        <v>3204</v>
      </c>
      <c r="Q72" s="370">
        <v>1</v>
      </c>
      <c r="R72" s="370">
        <v>2013</v>
      </c>
      <c r="S72" s="372" t="s">
        <v>1961</v>
      </c>
      <c r="T72" s="370">
        <v>1</v>
      </c>
      <c r="U72" s="370">
        <v>2</v>
      </c>
      <c r="V72" s="370">
        <v>18</v>
      </c>
      <c r="W72" s="369" t="s">
        <v>1822</v>
      </c>
      <c r="X72" s="170">
        <v>0</v>
      </c>
      <c r="Y72" s="369">
        <v>0</v>
      </c>
      <c r="Z72" s="271"/>
      <c r="AA72" s="169"/>
      <c r="AB72" s="177"/>
      <c r="AC72" s="171"/>
      <c r="AD72" s="366" t="s">
        <v>3203</v>
      </c>
      <c r="AE72" s="357">
        <v>2015</v>
      </c>
      <c r="AF72" s="357">
        <v>2</v>
      </c>
      <c r="AG72" s="550" t="s">
        <v>4273</v>
      </c>
      <c r="AH72" s="355" t="s">
        <v>3202</v>
      </c>
      <c r="AI72" s="55">
        <v>0</v>
      </c>
      <c r="AJ72" s="55">
        <v>0</v>
      </c>
      <c r="AK72" s="590" t="s">
        <v>145</v>
      </c>
      <c r="AL72" s="386">
        <v>18</v>
      </c>
      <c r="AM72" s="361" t="s">
        <v>2803</v>
      </c>
      <c r="AN72" s="344" t="s">
        <v>145</v>
      </c>
      <c r="AO72" s="170">
        <v>0</v>
      </c>
      <c r="AP72" s="369">
        <v>0</v>
      </c>
      <c r="AQ72" s="365" t="s">
        <v>5411</v>
      </c>
      <c r="AR72" s="362" t="s">
        <v>4934</v>
      </c>
      <c r="AS72" s="55">
        <v>1</v>
      </c>
      <c r="AT72" s="370">
        <v>3</v>
      </c>
      <c r="AU72" s="371">
        <v>2009</v>
      </c>
      <c r="AV72" s="370">
        <v>5</v>
      </c>
      <c r="AW72" s="589" t="s">
        <v>145</v>
      </c>
      <c r="AX72" s="687">
        <v>0</v>
      </c>
      <c r="AY72" s="174" t="s">
        <v>4477</v>
      </c>
      <c r="AZ72" s="55">
        <v>2011</v>
      </c>
      <c r="BA72" s="55">
        <v>1</v>
      </c>
      <c r="BB72" s="55">
        <v>1</v>
      </c>
      <c r="BC72" s="174" t="s">
        <v>4478</v>
      </c>
      <c r="BD72" s="55">
        <v>1974</v>
      </c>
      <c r="BE72" s="55">
        <v>0</v>
      </c>
      <c r="BF72" s="371" t="s">
        <v>145</v>
      </c>
      <c r="BG72" s="367">
        <v>0</v>
      </c>
      <c r="BH72" s="56" t="s">
        <v>145</v>
      </c>
      <c r="BI72" s="367">
        <v>0</v>
      </c>
      <c r="BJ72" s="367">
        <v>0</v>
      </c>
      <c r="BK72" s="888">
        <v>1844.325</v>
      </c>
      <c r="BL72" s="925">
        <f t="shared" si="62"/>
        <v>50.361243273284259</v>
      </c>
      <c r="BM72" s="888">
        <v>915.5</v>
      </c>
      <c r="BN72" s="920">
        <v>928.82500000000005</v>
      </c>
      <c r="BO72" s="888">
        <v>288.79500000000002</v>
      </c>
      <c r="BP72" s="1158">
        <f t="shared" si="78"/>
        <v>49.882096296681027</v>
      </c>
      <c r="BQ72" s="917">
        <v>144.738</v>
      </c>
      <c r="BR72" s="920">
        <v>144.05699999999999</v>
      </c>
      <c r="BS72" s="888">
        <v>246.715</v>
      </c>
      <c r="BT72" s="1158">
        <f t="shared" si="79"/>
        <v>50.098291550979866</v>
      </c>
      <c r="BU72" s="917">
        <v>123.11499999999999</v>
      </c>
      <c r="BV72" s="920">
        <v>123.6</v>
      </c>
      <c r="BW72" s="888">
        <v>216.84399999999999</v>
      </c>
      <c r="BX72" s="1158">
        <f t="shared" si="80"/>
        <v>50.060412093486562</v>
      </c>
      <c r="BY72" s="917">
        <v>108.291</v>
      </c>
      <c r="BZ72" s="920">
        <v>108.553</v>
      </c>
      <c r="CA72" s="888">
        <f t="shared" si="81"/>
        <v>1091.971</v>
      </c>
      <c r="CB72" s="1158">
        <f t="shared" si="82"/>
        <v>50.607113192566466</v>
      </c>
      <c r="CC72" s="917">
        <f t="shared" si="83"/>
        <v>539.35599999999999</v>
      </c>
      <c r="CD72" s="920">
        <f t="shared" si="84"/>
        <v>552.61500000000001</v>
      </c>
      <c r="CE72" s="914">
        <v>2015</v>
      </c>
      <c r="CF72" s="910" t="s">
        <v>5630</v>
      </c>
      <c r="CG72" s="1026">
        <v>24.1</v>
      </c>
      <c r="CH72" s="495">
        <v>24.6</v>
      </c>
      <c r="CI72" s="497">
        <v>23.7</v>
      </c>
      <c r="CJ72" s="904">
        <v>29.9</v>
      </c>
      <c r="CK72" s="904">
        <v>21.1</v>
      </c>
      <c r="CL72" s="904">
        <v>2010</v>
      </c>
      <c r="CM72" s="1128" t="s">
        <v>5594</v>
      </c>
      <c r="CN72" s="1044">
        <v>775.50800000000004</v>
      </c>
      <c r="CO72" s="1045">
        <f t="shared" si="63"/>
        <v>42.048337467637218</v>
      </c>
      <c r="CP72" s="1040">
        <f t="shared" si="64"/>
        <v>384.9525295162187</v>
      </c>
      <c r="CQ72" s="1041">
        <f t="shared" si="65"/>
        <v>390.55547048378133</v>
      </c>
      <c r="CR72" s="1046">
        <v>2014</v>
      </c>
      <c r="CS72" s="1047" t="s">
        <v>5807</v>
      </c>
      <c r="CT72" s="1068">
        <f t="shared" si="66"/>
        <v>18</v>
      </c>
      <c r="CU72" s="1071">
        <v>18</v>
      </c>
      <c r="CV72" s="1068" t="s">
        <v>5910</v>
      </c>
      <c r="CW72" s="1113">
        <v>775.50800000000004</v>
      </c>
      <c r="CX72" s="1113">
        <v>868.71299999999997</v>
      </c>
      <c r="CY72" s="1113">
        <v>1693.3979999999999</v>
      </c>
      <c r="CZ72" s="494">
        <v>1</v>
      </c>
      <c r="DA72" s="1104">
        <v>4</v>
      </c>
      <c r="DB72" s="1050" t="s">
        <v>5753</v>
      </c>
      <c r="DC72" s="1143" t="s">
        <v>320</v>
      </c>
      <c r="DD72" s="978">
        <f t="shared" si="91"/>
        <v>887.499686</v>
      </c>
      <c r="DE72" s="979">
        <f t="shared" si="67"/>
        <v>48.120569097095142</v>
      </c>
      <c r="DF72" s="979">
        <f t="shared" si="92"/>
        <v>50.60370911682989</v>
      </c>
      <c r="DG72" s="980">
        <f t="shared" si="93"/>
        <v>438.01604648378128</v>
      </c>
      <c r="DH72" s="980">
        <f t="shared" si="94"/>
        <v>449.10775951621866</v>
      </c>
      <c r="DI72" s="979">
        <f t="shared" si="68"/>
        <v>47.84446165852335</v>
      </c>
      <c r="DJ72" s="981">
        <f t="shared" si="69"/>
        <v>48.352247141950166</v>
      </c>
      <c r="DK72" s="984">
        <f t="shared" si="70"/>
        <v>316.46299999999997</v>
      </c>
      <c r="DL72" s="979">
        <f t="shared" si="95"/>
        <v>51.209629408878357</v>
      </c>
      <c r="DM72" s="980">
        <f t="shared" si="71"/>
        <v>154.40347048378129</v>
      </c>
      <c r="DN72" s="985">
        <f t="shared" si="72"/>
        <v>162.05952951621867</v>
      </c>
      <c r="DO72" s="984">
        <f t="shared" si="73"/>
        <v>351.84128099999998</v>
      </c>
      <c r="DP72" s="979">
        <f t="shared" si="96"/>
        <v>50.344501502653415</v>
      </c>
      <c r="DQ72" s="980">
        <f t="shared" si="85"/>
        <v>174.48012399999999</v>
      </c>
      <c r="DR72" s="985">
        <f t="shared" si="86"/>
        <v>177.13273900000002</v>
      </c>
      <c r="DS72" s="984">
        <f t="shared" si="74"/>
        <v>219.19540500000002</v>
      </c>
      <c r="DT72" s="339">
        <f t="shared" si="97"/>
        <v>50.144979544621371</v>
      </c>
      <c r="DU72" s="980">
        <f t="shared" si="87"/>
        <v>109.132452</v>
      </c>
      <c r="DV72" s="985">
        <f t="shared" si="88"/>
        <v>109.91549099999999</v>
      </c>
      <c r="DW72" s="979">
        <f t="shared" si="89"/>
        <v>75.400000000000006</v>
      </c>
      <c r="DX72" s="981">
        <f t="shared" si="90"/>
        <v>76.3</v>
      </c>
      <c r="DY72" s="414">
        <v>48.9</v>
      </c>
      <c r="DZ72" s="111">
        <v>2002</v>
      </c>
      <c r="EA72" s="368">
        <v>756.5128289999999</v>
      </c>
      <c r="EB72" s="123">
        <v>69.3</v>
      </c>
      <c r="EC72" s="113">
        <v>2010</v>
      </c>
      <c r="ED72" s="20">
        <v>1072.1132729999999</v>
      </c>
      <c r="EE72" s="414" t="s">
        <v>145</v>
      </c>
      <c r="EF72" s="111" t="s">
        <v>145</v>
      </c>
      <c r="EG72" s="380">
        <v>56.735130310058601</v>
      </c>
      <c r="EH72" s="24" t="s">
        <v>354</v>
      </c>
      <c r="EI72" s="287">
        <v>1</v>
      </c>
      <c r="EJ72" s="40">
        <v>3</v>
      </c>
      <c r="EK72" s="355" t="s">
        <v>728</v>
      </c>
      <c r="EL72" s="364" t="s">
        <v>145</v>
      </c>
      <c r="EM72" s="364" t="s">
        <v>145</v>
      </c>
      <c r="EN72" s="355" t="s">
        <v>145</v>
      </c>
      <c r="EO72" s="364" t="s">
        <v>1646</v>
      </c>
      <c r="EP72" s="205">
        <v>0.24</v>
      </c>
      <c r="EQ72" s="207" t="s">
        <v>145</v>
      </c>
      <c r="ER72" s="517" t="s">
        <v>145</v>
      </c>
      <c r="ES72" s="183"/>
      <c r="ET72" s="183"/>
      <c r="EU72" s="82"/>
      <c r="EV72" s="82"/>
      <c r="EW72" s="82"/>
      <c r="EX72" s="360"/>
      <c r="EY72" s="159"/>
      <c r="EZ72" s="156"/>
      <c r="FA72" s="323"/>
      <c r="FB72" s="323"/>
      <c r="FC72" s="323"/>
      <c r="FD72" s="160"/>
      <c r="FE72" s="156"/>
      <c r="FF72" s="156"/>
      <c r="FG72" s="156"/>
      <c r="FH72" s="157"/>
      <c r="FI72" s="242"/>
      <c r="FJ72" s="373"/>
      <c r="FK72" s="179"/>
      <c r="FL72" s="179"/>
      <c r="FM72" s="179"/>
      <c r="FN72" s="369"/>
      <c r="FO72" s="164"/>
      <c r="FP72" s="255"/>
      <c r="FQ72" s="183"/>
      <c r="FR72" s="257"/>
      <c r="FS72" s="82"/>
      <c r="FT72" s="259"/>
      <c r="FU72" s="82"/>
      <c r="FV72" s="259">
        <v>1</v>
      </c>
      <c r="FW72" s="82" t="s">
        <v>1885</v>
      </c>
      <c r="FX72" s="259"/>
      <c r="FY72" s="82"/>
      <c r="FZ72" s="259"/>
      <c r="GA72" s="82"/>
      <c r="GB72" s="261"/>
      <c r="GC72" s="360"/>
      <c r="GD72" s="76">
        <v>1</v>
      </c>
      <c r="GE72" s="445" t="s">
        <v>3424</v>
      </c>
      <c r="GF72" s="447" t="s">
        <v>580</v>
      </c>
      <c r="GG72" s="448">
        <v>6</v>
      </c>
      <c r="GH72" s="449">
        <v>5</v>
      </c>
      <c r="GI72" s="447" t="s">
        <v>145</v>
      </c>
      <c r="GJ72" s="449" t="s">
        <v>145</v>
      </c>
      <c r="GK72" s="447" t="s">
        <v>145</v>
      </c>
      <c r="GL72" s="448" t="s">
        <v>145</v>
      </c>
      <c r="GM72" s="449" t="s">
        <v>145</v>
      </c>
      <c r="GN72" s="447" t="s">
        <v>580</v>
      </c>
      <c r="GO72" s="449">
        <v>67</v>
      </c>
      <c r="GP72" s="447">
        <v>19</v>
      </c>
      <c r="GQ72" s="448">
        <v>29</v>
      </c>
      <c r="GR72" s="449">
        <v>19</v>
      </c>
      <c r="GS72" s="446">
        <v>6</v>
      </c>
      <c r="GT72" s="461">
        <v>-1.4141944646835327</v>
      </c>
      <c r="GU72" s="462">
        <v>-0.93212801218032837</v>
      </c>
      <c r="GV72" s="462">
        <v>-1.4385969638824463</v>
      </c>
      <c r="GW72" s="462">
        <v>-1.3012367486953735</v>
      </c>
      <c r="GX72" s="462">
        <v>-1.6227242946624756</v>
      </c>
      <c r="GY72" s="463">
        <v>-1.3298572301864624</v>
      </c>
      <c r="GZ72" s="10">
        <v>182</v>
      </c>
      <c r="HA72" s="536">
        <v>0.16084999999999999</v>
      </c>
      <c r="HB72" s="536">
        <v>1.9599999999999999E-2</v>
      </c>
      <c r="HC72" s="525">
        <v>7.8700000000000003E-3</v>
      </c>
      <c r="HD72" s="526">
        <v>8.7760000000000005E-2</v>
      </c>
      <c r="HE72" s="527">
        <v>0.38690000000000002</v>
      </c>
      <c r="HF72" s="10">
        <v>154</v>
      </c>
      <c r="HG72" s="532">
        <v>1.67</v>
      </c>
      <c r="HH72" s="545">
        <v>2.5</v>
      </c>
      <c r="HI72" s="546">
        <v>0.1</v>
      </c>
      <c r="HJ72" s="547">
        <v>3.12</v>
      </c>
      <c r="HK72" s="379" t="s">
        <v>145</v>
      </c>
      <c r="HL72" s="362" t="s">
        <v>145</v>
      </c>
      <c r="HM72" s="557" t="s">
        <v>145</v>
      </c>
      <c r="HN72" s="557" t="s">
        <v>145</v>
      </c>
      <c r="HO72" s="557" t="s">
        <v>145</v>
      </c>
      <c r="HP72" s="562" t="s">
        <v>145</v>
      </c>
      <c r="HQ72" s="562" t="s">
        <v>145</v>
      </c>
      <c r="HR72" s="563" t="s">
        <v>145</v>
      </c>
      <c r="HS72" s="545" t="s">
        <v>145</v>
      </c>
      <c r="HT72" s="557" t="s">
        <v>145</v>
      </c>
      <c r="HU72" s="557" t="s">
        <v>145</v>
      </c>
      <c r="HV72" s="581" t="s">
        <v>145</v>
      </c>
      <c r="HW72" s="557" t="s">
        <v>145</v>
      </c>
      <c r="HX72" s="557" t="s">
        <v>145</v>
      </c>
      <c r="HY72" s="557" t="s">
        <v>145</v>
      </c>
      <c r="HZ72" s="557" t="s">
        <v>145</v>
      </c>
      <c r="IA72" s="557" t="s">
        <v>145</v>
      </c>
      <c r="IB72" s="557" t="s">
        <v>145</v>
      </c>
      <c r="IC72" s="547" t="s">
        <v>145</v>
      </c>
      <c r="ID72" s="40"/>
      <c r="IE72" s="550"/>
      <c r="IF72" s="550"/>
      <c r="IG72" s="553">
        <v>1</v>
      </c>
      <c r="IH72" s="115"/>
      <c r="II72" s="647" t="s">
        <v>4921</v>
      </c>
      <c r="IJ72" s="423" t="s">
        <v>4918</v>
      </c>
      <c r="IK72" s="10">
        <v>0</v>
      </c>
      <c r="IL72" s="749">
        <f t="shared" si="75"/>
        <v>12</v>
      </c>
      <c r="IM72" s="747">
        <f t="shared" si="76"/>
        <v>48</v>
      </c>
      <c r="IN72" s="750" t="str">
        <f t="shared" si="77"/>
        <v>C</v>
      </c>
      <c r="IO72" s="446">
        <v>1</v>
      </c>
      <c r="IP72" s="902">
        <v>4</v>
      </c>
      <c r="IQ72" s="903">
        <v>0</v>
      </c>
      <c r="IR72" s="993">
        <v>0</v>
      </c>
      <c r="IT72" s="435"/>
      <c r="IU72" s="435"/>
      <c r="IV72" s="435"/>
    </row>
    <row r="73" spans="1:256">
      <c r="A73" s="21">
        <v>71</v>
      </c>
      <c r="B73" s="9"/>
      <c r="C73" s="430" t="s">
        <v>113</v>
      </c>
      <c r="D73" s="424" t="s">
        <v>409</v>
      </c>
      <c r="E73" s="24" t="s">
        <v>20</v>
      </c>
      <c r="F73" s="76" t="s">
        <v>810</v>
      </c>
      <c r="G73" s="102" t="s">
        <v>522</v>
      </c>
      <c r="H73" s="375" t="s">
        <v>1768</v>
      </c>
      <c r="I73" s="95" t="s">
        <v>2094</v>
      </c>
      <c r="J73" s="176">
        <v>2</v>
      </c>
      <c r="K73" s="88">
        <v>1801</v>
      </c>
      <c r="L73" s="371">
        <v>2</v>
      </c>
      <c r="M73" s="240" t="s">
        <v>1834</v>
      </c>
      <c r="N73" s="369" t="s">
        <v>1822</v>
      </c>
      <c r="O73" s="365" t="s">
        <v>3205</v>
      </c>
      <c r="P73" s="362" t="s">
        <v>3206</v>
      </c>
      <c r="Q73" s="176">
        <v>4</v>
      </c>
      <c r="R73" s="370">
        <v>2009</v>
      </c>
      <c r="S73" s="372" t="s">
        <v>1961</v>
      </c>
      <c r="T73" s="176">
        <v>1</v>
      </c>
      <c r="U73" s="370">
        <v>2</v>
      </c>
      <c r="V73" s="176">
        <v>14</v>
      </c>
      <c r="W73" s="369" t="s">
        <v>1822</v>
      </c>
      <c r="X73" s="170">
        <v>1</v>
      </c>
      <c r="Y73" s="369">
        <v>1</v>
      </c>
      <c r="Z73" s="271"/>
      <c r="AA73" s="169">
        <v>1</v>
      </c>
      <c r="AB73" s="177"/>
      <c r="AC73" s="171"/>
      <c r="AD73" s="376" t="s">
        <v>145</v>
      </c>
      <c r="AE73" s="355" t="s">
        <v>145</v>
      </c>
      <c r="AF73" s="357">
        <v>0</v>
      </c>
      <c r="AG73" s="550">
        <v>1</v>
      </c>
      <c r="AH73" s="355" t="s">
        <v>145</v>
      </c>
      <c r="AI73" s="550" t="s">
        <v>145</v>
      </c>
      <c r="AJ73" s="550" t="s">
        <v>145</v>
      </c>
      <c r="AK73" s="590" t="s">
        <v>145</v>
      </c>
      <c r="AL73" s="355">
        <v>0</v>
      </c>
      <c r="AM73" s="360" t="s">
        <v>145</v>
      </c>
      <c r="AN73" s="397" t="s">
        <v>145</v>
      </c>
      <c r="AO73" s="170">
        <v>0</v>
      </c>
      <c r="AP73" s="369">
        <v>0</v>
      </c>
      <c r="AQ73" s="365" t="s">
        <v>5412</v>
      </c>
      <c r="AR73" s="362" t="s">
        <v>5267</v>
      </c>
      <c r="AS73" s="55">
        <v>1</v>
      </c>
      <c r="AT73" s="370">
        <v>2</v>
      </c>
      <c r="AU73" s="371">
        <v>2009</v>
      </c>
      <c r="AV73" s="370">
        <v>5</v>
      </c>
      <c r="AW73" s="589" t="s">
        <v>145</v>
      </c>
      <c r="AX73" s="687">
        <v>0</v>
      </c>
      <c r="AY73" s="174" t="s">
        <v>4479</v>
      </c>
      <c r="AZ73" s="55">
        <v>1989</v>
      </c>
      <c r="BA73" s="55">
        <v>0</v>
      </c>
      <c r="BB73" s="55">
        <v>1</v>
      </c>
      <c r="BC73" s="174" t="s">
        <v>4480</v>
      </c>
      <c r="BD73" s="55">
        <v>2008</v>
      </c>
      <c r="BE73" s="55">
        <v>0</v>
      </c>
      <c r="BF73" s="371" t="s">
        <v>145</v>
      </c>
      <c r="BG73" s="367">
        <v>0</v>
      </c>
      <c r="BH73" s="56" t="s">
        <v>145</v>
      </c>
      <c r="BI73" s="367">
        <v>0</v>
      </c>
      <c r="BJ73" s="367">
        <v>1</v>
      </c>
      <c r="BK73" s="888">
        <v>767.08500000000004</v>
      </c>
      <c r="BL73" s="925">
        <f t="shared" si="62"/>
        <v>49.744943519948897</v>
      </c>
      <c r="BM73" s="888">
        <v>385.49900000000002</v>
      </c>
      <c r="BN73" s="920">
        <v>381.58600000000001</v>
      </c>
      <c r="BO73" s="888">
        <v>67.137</v>
      </c>
      <c r="BP73" s="1158">
        <f t="shared" si="78"/>
        <v>48.742124312971981</v>
      </c>
      <c r="BQ73" s="917">
        <v>34.412999999999997</v>
      </c>
      <c r="BR73" s="920">
        <v>32.723999999999997</v>
      </c>
      <c r="BS73" s="888">
        <v>64.159000000000006</v>
      </c>
      <c r="BT73" s="1158">
        <f t="shared" si="79"/>
        <v>49.208996399569813</v>
      </c>
      <c r="BU73" s="917">
        <v>32.587000000000003</v>
      </c>
      <c r="BV73" s="920">
        <v>31.571999999999999</v>
      </c>
      <c r="BW73" s="888">
        <v>89.677999999999997</v>
      </c>
      <c r="BX73" s="1158">
        <f t="shared" si="80"/>
        <v>50.07694194785789</v>
      </c>
      <c r="BY73" s="917">
        <v>44.77</v>
      </c>
      <c r="BZ73" s="920">
        <v>44.908000000000001</v>
      </c>
      <c r="CA73" s="888">
        <f t="shared" si="81"/>
        <v>546.1110000000001</v>
      </c>
      <c r="CB73" s="1158">
        <f t="shared" si="82"/>
        <v>49.876673423534768</v>
      </c>
      <c r="CC73" s="917">
        <f t="shared" si="83"/>
        <v>273.72900000000004</v>
      </c>
      <c r="CD73" s="920">
        <f t="shared" si="84"/>
        <v>272.38200000000001</v>
      </c>
      <c r="CE73" s="914">
        <v>2015</v>
      </c>
      <c r="CF73" s="910" t="s">
        <v>5630</v>
      </c>
      <c r="CG73" s="930">
        <v>87.9</v>
      </c>
      <c r="CH73" s="495">
        <v>88.2</v>
      </c>
      <c r="CI73" s="497">
        <v>87.6</v>
      </c>
      <c r="CJ73" s="904">
        <v>91.1</v>
      </c>
      <c r="CK73" s="904">
        <v>87</v>
      </c>
      <c r="CL73" s="904">
        <v>2009</v>
      </c>
      <c r="CM73" s="905" t="s">
        <v>5575</v>
      </c>
      <c r="CN73" s="1125">
        <v>477.59399999999999</v>
      </c>
      <c r="CO73" s="1045">
        <f t="shared" si="63"/>
        <v>62.260896771544218</v>
      </c>
      <c r="CP73" s="1040">
        <f t="shared" si="64"/>
        <v>240.01513444533529</v>
      </c>
      <c r="CQ73" s="1041">
        <f t="shared" si="65"/>
        <v>237.57886555466473</v>
      </c>
      <c r="CR73" s="1046">
        <v>2015</v>
      </c>
      <c r="CS73" s="1047" t="s">
        <v>5810</v>
      </c>
      <c r="CT73" s="1068">
        <f t="shared" si="66"/>
        <v>14</v>
      </c>
      <c r="CU73" s="1071">
        <v>18</v>
      </c>
      <c r="CV73" s="1068" t="s">
        <v>5911</v>
      </c>
      <c r="CW73" s="1113">
        <v>570.70799999999997</v>
      </c>
      <c r="CX73" s="1113">
        <v>477.59399999999999</v>
      </c>
      <c r="CY73" s="1113">
        <v>735.22199999999998</v>
      </c>
      <c r="CZ73" s="494">
        <v>1</v>
      </c>
      <c r="DA73" s="1104">
        <v>4</v>
      </c>
      <c r="DB73" s="1050" t="s">
        <v>647</v>
      </c>
      <c r="DC73" s="1146" t="s">
        <v>322</v>
      </c>
      <c r="DD73" s="978">
        <f t="shared" si="91"/>
        <v>95.254854000000108</v>
      </c>
      <c r="DE73" s="979">
        <f t="shared" si="67"/>
        <v>12.417770390504325</v>
      </c>
      <c r="DF73" s="979">
        <f t="shared" si="92"/>
        <v>50.752721163517023</v>
      </c>
      <c r="DG73" s="980">
        <f t="shared" si="93"/>
        <v>46.902725554664748</v>
      </c>
      <c r="DH73" s="980">
        <f t="shared" si="94"/>
        <v>48.344430445335291</v>
      </c>
      <c r="DI73" s="979">
        <f t="shared" si="68"/>
        <v>12.166756737284597</v>
      </c>
      <c r="DJ73" s="981">
        <f t="shared" si="69"/>
        <v>12.669340710963004</v>
      </c>
      <c r="DK73" s="984">
        <f t="shared" si="70"/>
        <v>68.51700000000011</v>
      </c>
      <c r="DL73" s="979">
        <f t="shared" si="95"/>
        <v>50.794889509662156</v>
      </c>
      <c r="DM73" s="980">
        <f t="shared" si="71"/>
        <v>33.71386555466475</v>
      </c>
      <c r="DN73" s="985">
        <f t="shared" si="72"/>
        <v>34.803134445335274</v>
      </c>
      <c r="DO73" s="984">
        <f t="shared" si="73"/>
        <v>18.614277000000001</v>
      </c>
      <c r="DP73" s="979">
        <f t="shared" si="96"/>
        <v>50.947560305458047</v>
      </c>
      <c r="DQ73" s="980">
        <f t="shared" si="85"/>
        <v>9.128126</v>
      </c>
      <c r="DR73" s="985">
        <f t="shared" si="86"/>
        <v>9.4835200000000093</v>
      </c>
      <c r="DS73" s="984">
        <f t="shared" si="74"/>
        <v>8.1235769999999992</v>
      </c>
      <c r="DT73" s="339">
        <f t="shared" si="97"/>
        <v>49.950606733954807</v>
      </c>
      <c r="DU73" s="980">
        <f t="shared" si="87"/>
        <v>4.0607339999999992</v>
      </c>
      <c r="DV73" s="985">
        <f t="shared" si="88"/>
        <v>4.0577760000000032</v>
      </c>
      <c r="DW73" s="979">
        <f t="shared" si="89"/>
        <v>11.799999999999999</v>
      </c>
      <c r="DX73" s="981">
        <f t="shared" si="90"/>
        <v>12.400000000000011</v>
      </c>
      <c r="DY73" s="414">
        <v>8.6999999999999993</v>
      </c>
      <c r="DZ73" s="111">
        <v>1998</v>
      </c>
      <c r="EA73" s="118">
        <v>65.775479999999988</v>
      </c>
      <c r="EB73" s="123" t="s">
        <v>145</v>
      </c>
      <c r="EC73" s="113" t="s">
        <v>145</v>
      </c>
      <c r="ED73" s="20"/>
      <c r="EE73" s="414">
        <v>35</v>
      </c>
      <c r="EF73" s="121">
        <v>2006</v>
      </c>
      <c r="EG73" s="380">
        <v>84.994010925292997</v>
      </c>
      <c r="EH73" s="24" t="s">
        <v>335</v>
      </c>
      <c r="EI73" s="288">
        <v>3</v>
      </c>
      <c r="EJ73" s="40" t="s">
        <v>145</v>
      </c>
      <c r="EK73" s="35" t="s">
        <v>145</v>
      </c>
      <c r="EL73" s="95" t="s">
        <v>145</v>
      </c>
      <c r="EM73" s="95" t="s">
        <v>145</v>
      </c>
      <c r="EN73" s="35" t="s">
        <v>145</v>
      </c>
      <c r="EO73" s="95" t="s">
        <v>145</v>
      </c>
      <c r="EP73" s="205" t="s">
        <v>145</v>
      </c>
      <c r="EQ73" s="207" t="s">
        <v>145</v>
      </c>
      <c r="ER73" s="517" t="s">
        <v>145</v>
      </c>
      <c r="ES73" s="183"/>
      <c r="ET73" s="183"/>
      <c r="EU73" s="82"/>
      <c r="EV73" s="82"/>
      <c r="EW73" s="82"/>
      <c r="EX73" s="90"/>
      <c r="EY73" s="159">
        <v>761400</v>
      </c>
      <c r="EZ73" s="156">
        <v>2010</v>
      </c>
      <c r="FA73" s="323">
        <v>29</v>
      </c>
      <c r="FB73" s="323">
        <v>71</v>
      </c>
      <c r="FC73" s="323" t="s">
        <v>318</v>
      </c>
      <c r="FD73" s="160" t="s">
        <v>318</v>
      </c>
      <c r="FE73" s="156" t="s">
        <v>318</v>
      </c>
      <c r="FF73" s="156" t="s">
        <v>335</v>
      </c>
      <c r="FG73" s="156">
        <v>7</v>
      </c>
      <c r="FH73" s="157" t="s">
        <v>318</v>
      </c>
      <c r="FI73" s="242">
        <v>4</v>
      </c>
      <c r="FJ73" s="240" t="s">
        <v>1834</v>
      </c>
      <c r="FK73" s="179" t="s">
        <v>145</v>
      </c>
      <c r="FL73" s="179" t="s">
        <v>145</v>
      </c>
      <c r="FM73" s="179" t="s">
        <v>145</v>
      </c>
      <c r="FN73" s="369" t="s">
        <v>145</v>
      </c>
      <c r="FO73" s="164" t="s">
        <v>145</v>
      </c>
      <c r="FP73" s="255"/>
      <c r="FQ73" s="183"/>
      <c r="FR73" s="257">
        <v>1</v>
      </c>
      <c r="FS73" s="82" t="s">
        <v>1702</v>
      </c>
      <c r="FT73" s="259"/>
      <c r="FU73" s="82"/>
      <c r="FV73" s="259"/>
      <c r="FW73" s="82"/>
      <c r="FX73" s="259"/>
      <c r="FY73" s="82"/>
      <c r="FZ73" s="259"/>
      <c r="GA73" s="82"/>
      <c r="GB73" s="261"/>
      <c r="GC73" s="90"/>
      <c r="GD73" s="76">
        <v>2</v>
      </c>
      <c r="GE73" s="445" t="s">
        <v>3431</v>
      </c>
      <c r="GF73" s="447" t="s">
        <v>10</v>
      </c>
      <c r="GG73" s="448">
        <v>2</v>
      </c>
      <c r="GH73" s="449">
        <v>3</v>
      </c>
      <c r="GI73" s="447" t="s">
        <v>145</v>
      </c>
      <c r="GJ73" s="449" t="s">
        <v>145</v>
      </c>
      <c r="GK73" s="447" t="s">
        <v>145</v>
      </c>
      <c r="GL73" s="448" t="s">
        <v>145</v>
      </c>
      <c r="GM73" s="449" t="s">
        <v>145</v>
      </c>
      <c r="GN73" s="447" t="s">
        <v>590</v>
      </c>
      <c r="GO73" s="449">
        <v>34</v>
      </c>
      <c r="GP73" s="447">
        <v>10</v>
      </c>
      <c r="GQ73" s="448">
        <v>13</v>
      </c>
      <c r="GR73" s="449">
        <v>11</v>
      </c>
      <c r="GS73" s="446">
        <v>6</v>
      </c>
      <c r="GT73" s="461">
        <v>-8.7470840662717819E-3</v>
      </c>
      <c r="GU73" s="462">
        <v>-0.44166657328605652</v>
      </c>
      <c r="GV73" s="462">
        <v>-0.16344861686229706</v>
      </c>
      <c r="GW73" s="462">
        <v>-0.61500352621078491</v>
      </c>
      <c r="GX73" s="462">
        <v>-0.52498370409011841</v>
      </c>
      <c r="GY73" s="463">
        <v>-0.64495724439620972</v>
      </c>
      <c r="GZ73" s="10">
        <v>124</v>
      </c>
      <c r="HA73" s="536">
        <v>0.36952000000000002</v>
      </c>
      <c r="HB73" s="536">
        <v>0.33333000000000002</v>
      </c>
      <c r="HC73" s="525">
        <v>0.24409</v>
      </c>
      <c r="HD73" s="526">
        <v>0.23436999999999999</v>
      </c>
      <c r="HE73" s="527">
        <v>0.63009999999999999</v>
      </c>
      <c r="HF73" s="10">
        <v>111</v>
      </c>
      <c r="HG73" s="532">
        <v>3.48</v>
      </c>
      <c r="HH73" s="545">
        <v>4.04</v>
      </c>
      <c r="HI73" s="546">
        <v>1.36</v>
      </c>
      <c r="HJ73" s="547">
        <v>6.59</v>
      </c>
      <c r="HK73" s="379" t="s">
        <v>145</v>
      </c>
      <c r="HL73" s="362" t="s">
        <v>145</v>
      </c>
      <c r="HM73" s="557" t="s">
        <v>145</v>
      </c>
      <c r="HN73" s="557" t="s">
        <v>145</v>
      </c>
      <c r="HO73" s="557" t="s">
        <v>145</v>
      </c>
      <c r="HP73" s="562" t="s">
        <v>145</v>
      </c>
      <c r="HQ73" s="562" t="s">
        <v>145</v>
      </c>
      <c r="HR73" s="563" t="s">
        <v>145</v>
      </c>
      <c r="HS73" s="545">
        <v>77</v>
      </c>
      <c r="HT73" s="557">
        <v>69</v>
      </c>
      <c r="HU73" s="557">
        <v>2013</v>
      </c>
      <c r="HV73" s="583" t="s">
        <v>4199</v>
      </c>
      <c r="HW73" s="557">
        <v>4</v>
      </c>
      <c r="HX73" s="557">
        <v>15</v>
      </c>
      <c r="HY73" s="557">
        <v>16</v>
      </c>
      <c r="HZ73" s="557">
        <v>10</v>
      </c>
      <c r="IA73" s="557">
        <v>9</v>
      </c>
      <c r="IB73" s="557">
        <v>4</v>
      </c>
      <c r="IC73" s="547">
        <v>11</v>
      </c>
      <c r="ID73" s="660"/>
      <c r="IE73" s="550"/>
      <c r="IF73" s="550"/>
      <c r="IG73" s="553"/>
      <c r="IH73" s="339"/>
      <c r="II73" s="553" t="s">
        <v>4921</v>
      </c>
      <c r="IJ73" s="424" t="s">
        <v>4918</v>
      </c>
      <c r="IK73" s="24">
        <v>0</v>
      </c>
      <c r="IL73" s="749">
        <f t="shared" si="75"/>
        <v>9</v>
      </c>
      <c r="IM73" s="747">
        <f t="shared" si="76"/>
        <v>36</v>
      </c>
      <c r="IN73" s="750" t="str">
        <f t="shared" si="77"/>
        <v>C</v>
      </c>
      <c r="IO73" s="446"/>
      <c r="IP73" s="902">
        <v>4</v>
      </c>
      <c r="IQ73" s="903">
        <v>0</v>
      </c>
      <c r="IR73" s="993">
        <v>1</v>
      </c>
      <c r="IT73" s="435"/>
      <c r="IU73" s="435"/>
      <c r="IV73" s="435"/>
    </row>
    <row r="74" spans="1:256">
      <c r="A74" s="21">
        <v>72</v>
      </c>
      <c r="B74" s="9"/>
      <c r="C74" s="430" t="s">
        <v>115</v>
      </c>
      <c r="D74" s="424" t="s">
        <v>409</v>
      </c>
      <c r="E74" s="24" t="s">
        <v>9</v>
      </c>
      <c r="F74" s="76" t="s">
        <v>811</v>
      </c>
      <c r="G74" s="102" t="s">
        <v>527</v>
      </c>
      <c r="H74" s="375" t="s">
        <v>2275</v>
      </c>
      <c r="I74" s="364" t="s">
        <v>2274</v>
      </c>
      <c r="J74" s="370">
        <v>1</v>
      </c>
      <c r="K74" s="359">
        <v>1988</v>
      </c>
      <c r="L74" s="371">
        <v>2</v>
      </c>
      <c r="M74" s="373" t="s">
        <v>2276</v>
      </c>
      <c r="N74" s="369" t="s">
        <v>1822</v>
      </c>
      <c r="O74" s="365" t="s">
        <v>1769</v>
      </c>
      <c r="P74" s="362" t="s">
        <v>3208</v>
      </c>
      <c r="Q74" s="370">
        <v>1</v>
      </c>
      <c r="R74" s="370">
        <v>2005</v>
      </c>
      <c r="S74" s="372" t="s">
        <v>3207</v>
      </c>
      <c r="T74" s="370">
        <v>1</v>
      </c>
      <c r="U74" s="370">
        <v>2</v>
      </c>
      <c r="V74" s="370">
        <v>18</v>
      </c>
      <c r="W74" s="369" t="s">
        <v>1822</v>
      </c>
      <c r="X74" s="170">
        <v>1</v>
      </c>
      <c r="Y74" s="369">
        <v>1</v>
      </c>
      <c r="Z74" s="271"/>
      <c r="AA74" s="169"/>
      <c r="AB74" s="177"/>
      <c r="AC74" s="171"/>
      <c r="AD74" s="366" t="s">
        <v>3209</v>
      </c>
      <c r="AE74" s="357">
        <v>2010</v>
      </c>
      <c r="AF74" s="357">
        <v>2</v>
      </c>
      <c r="AG74" s="550">
        <v>2</v>
      </c>
      <c r="AH74" s="355" t="s">
        <v>3210</v>
      </c>
      <c r="AI74" s="55">
        <v>0</v>
      </c>
      <c r="AJ74" s="55">
        <v>0</v>
      </c>
      <c r="AK74" s="590" t="s">
        <v>145</v>
      </c>
      <c r="AL74" s="386">
        <v>9</v>
      </c>
      <c r="AM74" s="361" t="s">
        <v>3211</v>
      </c>
      <c r="AN74" s="397" t="s">
        <v>145</v>
      </c>
      <c r="AO74" s="170">
        <v>0</v>
      </c>
      <c r="AP74" s="369">
        <v>0</v>
      </c>
      <c r="AQ74" s="365" t="s">
        <v>5234</v>
      </c>
      <c r="AR74" s="378" t="s">
        <v>5235</v>
      </c>
      <c r="AS74" s="55">
        <v>2</v>
      </c>
      <c r="AT74" s="370">
        <v>2</v>
      </c>
      <c r="AU74" s="371">
        <v>2015</v>
      </c>
      <c r="AV74" s="370">
        <v>5</v>
      </c>
      <c r="AW74" s="589" t="s">
        <v>145</v>
      </c>
      <c r="AX74" s="687">
        <v>0</v>
      </c>
      <c r="AY74" s="174" t="s">
        <v>4481</v>
      </c>
      <c r="AZ74" s="55">
        <v>2014</v>
      </c>
      <c r="BA74" s="55">
        <v>1</v>
      </c>
      <c r="BB74" s="55">
        <v>1</v>
      </c>
      <c r="BC74" s="174" t="s">
        <v>4482</v>
      </c>
      <c r="BD74" s="55">
        <v>1987</v>
      </c>
      <c r="BE74" s="55">
        <v>0</v>
      </c>
      <c r="BF74" s="371" t="s">
        <v>145</v>
      </c>
      <c r="BG74" s="367">
        <v>0</v>
      </c>
      <c r="BH74" s="56" t="s">
        <v>145</v>
      </c>
      <c r="BI74" s="367">
        <v>0</v>
      </c>
      <c r="BJ74" s="367">
        <v>0</v>
      </c>
      <c r="BK74" s="888">
        <v>10711.066999999999</v>
      </c>
      <c r="BL74" s="925">
        <f t="shared" si="62"/>
        <v>50.542536985344235</v>
      </c>
      <c r="BM74" s="888">
        <v>5297.4219999999996</v>
      </c>
      <c r="BN74" s="920">
        <v>5413.6450000000004</v>
      </c>
      <c r="BO74" s="888">
        <v>1237.5429999999999</v>
      </c>
      <c r="BP74" s="1158">
        <f t="shared" si="78"/>
        <v>49.025043978269849</v>
      </c>
      <c r="BQ74" s="917">
        <v>630.83699999999999</v>
      </c>
      <c r="BR74" s="920">
        <v>606.70600000000002</v>
      </c>
      <c r="BS74" s="888">
        <v>1212.462</v>
      </c>
      <c r="BT74" s="1158">
        <f t="shared" si="79"/>
        <v>49.132426418312491</v>
      </c>
      <c r="BU74" s="917">
        <v>616.75</v>
      </c>
      <c r="BV74" s="920">
        <v>595.71199999999999</v>
      </c>
      <c r="BW74" s="888">
        <v>1164.056</v>
      </c>
      <c r="BX74" s="1158">
        <f t="shared" si="80"/>
        <v>49.27039592596919</v>
      </c>
      <c r="BY74" s="917">
        <v>590.52099999999996</v>
      </c>
      <c r="BZ74" s="920">
        <v>573.53499999999997</v>
      </c>
      <c r="CA74" s="888">
        <f t="shared" si="81"/>
        <v>7097.0059999999994</v>
      </c>
      <c r="CB74" s="1158">
        <f t="shared" si="82"/>
        <v>51.256713042091285</v>
      </c>
      <c r="CC74" s="917">
        <f t="shared" si="83"/>
        <v>3459.3139999999994</v>
      </c>
      <c r="CD74" s="920">
        <f t="shared" si="84"/>
        <v>3637.6920000000009</v>
      </c>
      <c r="CE74" s="914">
        <v>2015</v>
      </c>
      <c r="CF74" s="910" t="s">
        <v>5630</v>
      </c>
      <c r="CG74" s="930">
        <v>79.7</v>
      </c>
      <c r="CH74" s="495">
        <v>79.8</v>
      </c>
      <c r="CI74" s="497">
        <v>79.7</v>
      </c>
      <c r="CJ74" s="904">
        <v>85</v>
      </c>
      <c r="CK74" s="904">
        <v>77.099999999999994</v>
      </c>
      <c r="CL74" s="904">
        <v>2012</v>
      </c>
      <c r="CM74" s="905" t="s">
        <v>5575</v>
      </c>
      <c r="CN74" s="1044">
        <v>5871.45</v>
      </c>
      <c r="CO74" s="1045">
        <f t="shared" si="63"/>
        <v>54.816667657853323</v>
      </c>
      <c r="CP74" s="1040">
        <f t="shared" si="64"/>
        <v>2903.8702121740062</v>
      </c>
      <c r="CQ74" s="1041">
        <f t="shared" si="65"/>
        <v>2967.5797878259937</v>
      </c>
      <c r="CR74" s="1046">
        <v>2015</v>
      </c>
      <c r="CS74" s="1047" t="s">
        <v>5808</v>
      </c>
      <c r="CT74" s="1068">
        <f t="shared" si="66"/>
        <v>18</v>
      </c>
      <c r="CU74" s="1071">
        <v>18</v>
      </c>
      <c r="CV74" s="1068" t="s">
        <v>5912</v>
      </c>
      <c r="CW74" s="1113">
        <v>5871.45</v>
      </c>
      <c r="CX74" s="1113">
        <v>6053.2089999999998</v>
      </c>
      <c r="CY74" s="1113">
        <v>10110.019</v>
      </c>
      <c r="CZ74" s="494">
        <v>1</v>
      </c>
      <c r="DA74" s="1104">
        <v>4</v>
      </c>
      <c r="DB74" s="1050" t="s">
        <v>5753</v>
      </c>
      <c r="DC74" s="1143" t="s">
        <v>320</v>
      </c>
      <c r="DD74" s="978">
        <f t="shared" si="91"/>
        <v>1959.2103829999994</v>
      </c>
      <c r="DE74" s="979">
        <f t="shared" si="67"/>
        <v>18.29145857270802</v>
      </c>
      <c r="DF74" s="979">
        <f t="shared" si="92"/>
        <v>52.604390019405457</v>
      </c>
      <c r="DG74" s="980">
        <f t="shared" si="93"/>
        <v>926.74160382599337</v>
      </c>
      <c r="DH74" s="980">
        <f t="shared" si="94"/>
        <v>1030.6306711740071</v>
      </c>
      <c r="DI74" s="979">
        <f t="shared" si="68"/>
        <v>17.494200081209186</v>
      </c>
      <c r="DJ74" s="981">
        <f t="shared" si="69"/>
        <v>19.037647854153846</v>
      </c>
      <c r="DK74" s="984">
        <f t="shared" si="70"/>
        <v>1225.5559999999996</v>
      </c>
      <c r="DL74" s="979">
        <f t="shared" si="95"/>
        <v>54.678220511670418</v>
      </c>
      <c r="DM74" s="980">
        <f t="shared" si="71"/>
        <v>555.44378782599324</v>
      </c>
      <c r="DN74" s="985">
        <f t="shared" si="72"/>
        <v>670.11221217400725</v>
      </c>
      <c r="DO74" s="984">
        <f t="shared" si="73"/>
        <v>482.43315399999989</v>
      </c>
      <c r="DP74" s="979">
        <f t="shared" si="96"/>
        <v>49.200006059285059</v>
      </c>
      <c r="DQ74" s="980">
        <f t="shared" si="85"/>
        <v>243.86874200000005</v>
      </c>
      <c r="DR74" s="985">
        <f t="shared" si="86"/>
        <v>237.35714099999996</v>
      </c>
      <c r="DS74" s="984">
        <f t="shared" si="74"/>
        <v>251.22122899999994</v>
      </c>
      <c r="DT74" s="339">
        <f t="shared" si="97"/>
        <v>49.025043978269849</v>
      </c>
      <c r="DU74" s="980">
        <f t="shared" si="87"/>
        <v>127.42907400000004</v>
      </c>
      <c r="DV74" s="985">
        <f t="shared" si="88"/>
        <v>123.16131799999998</v>
      </c>
      <c r="DW74" s="979">
        <f t="shared" si="89"/>
        <v>20.200000000000006</v>
      </c>
      <c r="DX74" s="981">
        <f t="shared" si="90"/>
        <v>20.299999999999997</v>
      </c>
      <c r="DY74" s="414">
        <v>61.7</v>
      </c>
      <c r="DZ74" s="111">
        <v>2001</v>
      </c>
      <c r="EA74" s="368">
        <v>6246.3765789999998</v>
      </c>
      <c r="EB74" s="123">
        <v>77</v>
      </c>
      <c r="EC74" s="113">
        <v>2001</v>
      </c>
      <c r="ED74" s="20">
        <v>7795.3159900000001</v>
      </c>
      <c r="EE74" s="414">
        <v>80</v>
      </c>
      <c r="EF74" s="111">
        <v>2003</v>
      </c>
      <c r="EG74" s="380">
        <v>48.685020446777301</v>
      </c>
      <c r="EH74" s="24" t="s">
        <v>372</v>
      </c>
      <c r="EI74" s="287">
        <v>1</v>
      </c>
      <c r="EJ74" s="40">
        <v>3</v>
      </c>
      <c r="EK74" s="355" t="s">
        <v>145</v>
      </c>
      <c r="EL74" s="364" t="s">
        <v>145</v>
      </c>
      <c r="EM74" s="364" t="s">
        <v>145</v>
      </c>
      <c r="EN74" s="355" t="s">
        <v>145</v>
      </c>
      <c r="EO74" s="364" t="s">
        <v>1657</v>
      </c>
      <c r="EP74" s="205">
        <v>0.81</v>
      </c>
      <c r="EQ74" s="207" t="s">
        <v>145</v>
      </c>
      <c r="ER74" s="517" t="s">
        <v>145</v>
      </c>
      <c r="ES74" s="183"/>
      <c r="ET74" s="183"/>
      <c r="EU74" s="82"/>
      <c r="EV74" s="82"/>
      <c r="EW74" s="82"/>
      <c r="EX74" s="360"/>
      <c r="EY74" s="159">
        <v>10188200</v>
      </c>
      <c r="EZ74" s="156">
        <v>2010</v>
      </c>
      <c r="FA74" s="323">
        <v>52</v>
      </c>
      <c r="FB74" s="323">
        <v>48</v>
      </c>
      <c r="FC74" s="323" t="s">
        <v>318</v>
      </c>
      <c r="FD74" s="160" t="s">
        <v>318</v>
      </c>
      <c r="FE74" s="156" t="s">
        <v>318</v>
      </c>
      <c r="FF74" s="156" t="s">
        <v>372</v>
      </c>
      <c r="FG74" s="156">
        <v>19</v>
      </c>
      <c r="FH74" s="157" t="s">
        <v>318</v>
      </c>
      <c r="FI74" s="242">
        <v>1</v>
      </c>
      <c r="FJ74" s="373" t="s">
        <v>145</v>
      </c>
      <c r="FK74" s="179" t="s">
        <v>145</v>
      </c>
      <c r="FL74" s="179" t="s">
        <v>145</v>
      </c>
      <c r="FM74" s="179" t="s">
        <v>145</v>
      </c>
      <c r="FN74" s="369" t="s">
        <v>145</v>
      </c>
      <c r="FO74" s="165" t="s">
        <v>1770</v>
      </c>
      <c r="FP74" s="255">
        <v>1</v>
      </c>
      <c r="FQ74" s="183" t="s">
        <v>1886</v>
      </c>
      <c r="FR74" s="257">
        <v>1</v>
      </c>
      <c r="FS74" s="183" t="s">
        <v>1886</v>
      </c>
      <c r="FT74" s="259"/>
      <c r="FU74" s="82"/>
      <c r="FV74" s="259"/>
      <c r="FW74" s="82"/>
      <c r="FX74" s="259"/>
      <c r="FY74" s="82"/>
      <c r="FZ74" s="259"/>
      <c r="GA74" s="82"/>
      <c r="GB74" s="261"/>
      <c r="GC74" s="360"/>
      <c r="GD74" s="76">
        <v>1</v>
      </c>
      <c r="GE74" s="445" t="s">
        <v>3424</v>
      </c>
      <c r="GF74" s="447" t="s">
        <v>590</v>
      </c>
      <c r="GG74" s="448">
        <v>4</v>
      </c>
      <c r="GH74" s="449">
        <v>5</v>
      </c>
      <c r="GI74" s="447" t="s">
        <v>145</v>
      </c>
      <c r="GJ74" s="449" t="s">
        <v>145</v>
      </c>
      <c r="GK74" s="447" t="s">
        <v>145</v>
      </c>
      <c r="GL74" s="448" t="s">
        <v>145</v>
      </c>
      <c r="GM74" s="449" t="s">
        <v>145</v>
      </c>
      <c r="GN74" s="447" t="s">
        <v>590</v>
      </c>
      <c r="GO74" s="449">
        <v>50</v>
      </c>
      <c r="GP74" s="447">
        <v>14</v>
      </c>
      <c r="GQ74" s="448">
        <v>18</v>
      </c>
      <c r="GR74" s="449">
        <v>18</v>
      </c>
      <c r="GS74" s="446">
        <v>7</v>
      </c>
      <c r="GT74" s="461">
        <v>-0.78955459594726563</v>
      </c>
      <c r="GU74" s="462">
        <v>-0.66289222240447998</v>
      </c>
      <c r="GV74" s="462">
        <v>-1.5304287672042847</v>
      </c>
      <c r="GW74" s="462">
        <v>-0.94587862491607666</v>
      </c>
      <c r="GX74" s="462">
        <v>-1.2992122173309326</v>
      </c>
      <c r="GY74" s="463">
        <v>-1.1548581123352051</v>
      </c>
      <c r="GZ74" s="10">
        <v>176</v>
      </c>
      <c r="HA74" s="536">
        <v>0.18085999999999999</v>
      </c>
      <c r="HB74" s="536">
        <v>0.17646999999999999</v>
      </c>
      <c r="HC74" s="525">
        <v>0.11022999999999999</v>
      </c>
      <c r="HD74" s="526">
        <v>9.5210000000000003E-2</v>
      </c>
      <c r="HE74" s="527">
        <v>0.3372</v>
      </c>
      <c r="HF74" s="10" t="s">
        <v>145</v>
      </c>
      <c r="HG74" s="532" t="s">
        <v>145</v>
      </c>
      <c r="HH74" s="524" t="s">
        <v>145</v>
      </c>
      <c r="HI74" s="525" t="s">
        <v>145</v>
      </c>
      <c r="HJ74" s="527" t="s">
        <v>145</v>
      </c>
      <c r="HK74" s="379" t="s">
        <v>145</v>
      </c>
      <c r="HL74" s="362" t="s">
        <v>145</v>
      </c>
      <c r="HM74" s="557" t="s">
        <v>145</v>
      </c>
      <c r="HN74" s="557" t="s">
        <v>145</v>
      </c>
      <c r="HO74" s="526" t="s">
        <v>145</v>
      </c>
      <c r="HP74" s="564" t="s">
        <v>145</v>
      </c>
      <c r="HQ74" s="564" t="s">
        <v>145</v>
      </c>
      <c r="HR74" s="565" t="s">
        <v>145</v>
      </c>
      <c r="HS74" s="524" t="s">
        <v>145</v>
      </c>
      <c r="HT74" s="526" t="s">
        <v>145</v>
      </c>
      <c r="HU74" s="526" t="s">
        <v>145</v>
      </c>
      <c r="HV74" s="582" t="s">
        <v>145</v>
      </c>
      <c r="HW74" s="526" t="s">
        <v>145</v>
      </c>
      <c r="HX74" s="526" t="s">
        <v>145</v>
      </c>
      <c r="HY74" s="526" t="s">
        <v>145</v>
      </c>
      <c r="HZ74" s="526" t="s">
        <v>145</v>
      </c>
      <c r="IA74" s="526" t="s">
        <v>145</v>
      </c>
      <c r="IB74" s="526" t="s">
        <v>145</v>
      </c>
      <c r="IC74" s="527" t="s">
        <v>145</v>
      </c>
      <c r="ID74" s="660"/>
      <c r="IE74" s="550"/>
      <c r="IF74" s="550"/>
      <c r="IG74" s="553">
        <v>1</v>
      </c>
      <c r="IH74" s="339"/>
      <c r="II74" s="553" t="s">
        <v>4921</v>
      </c>
      <c r="IJ74" s="424" t="s">
        <v>4918</v>
      </c>
      <c r="IK74" s="24">
        <v>0</v>
      </c>
      <c r="IL74" s="749">
        <f t="shared" si="75"/>
        <v>13</v>
      </c>
      <c r="IM74" s="747">
        <f t="shared" si="76"/>
        <v>52</v>
      </c>
      <c r="IN74" s="750" t="str">
        <f t="shared" si="77"/>
        <v>B</v>
      </c>
      <c r="IO74" s="446"/>
      <c r="IP74" s="902">
        <v>4</v>
      </c>
      <c r="IQ74" s="903">
        <v>0</v>
      </c>
      <c r="IR74" s="993">
        <v>0</v>
      </c>
      <c r="IT74" s="435"/>
      <c r="IU74" s="435"/>
      <c r="IV74" s="435"/>
    </row>
    <row r="75" spans="1:256">
      <c r="A75" s="21">
        <v>73</v>
      </c>
      <c r="B75" s="9"/>
      <c r="C75" s="430" t="s">
        <v>116</v>
      </c>
      <c r="D75" s="424" t="s">
        <v>409</v>
      </c>
      <c r="E75" s="24" t="s">
        <v>20</v>
      </c>
      <c r="F75" s="76" t="s">
        <v>812</v>
      </c>
      <c r="G75" s="102" t="s">
        <v>525</v>
      </c>
      <c r="H75" s="32" t="s">
        <v>1771</v>
      </c>
      <c r="I75" s="364" t="s">
        <v>2277</v>
      </c>
      <c r="J75" s="370">
        <v>6</v>
      </c>
      <c r="K75" s="88">
        <v>1881</v>
      </c>
      <c r="L75" s="371">
        <v>2</v>
      </c>
      <c r="M75" s="373" t="s">
        <v>1835</v>
      </c>
      <c r="N75" s="369" t="s">
        <v>1822</v>
      </c>
      <c r="O75" s="365" t="s">
        <v>1771</v>
      </c>
      <c r="P75" s="378" t="s">
        <v>3212</v>
      </c>
      <c r="Q75" s="370">
        <v>6</v>
      </c>
      <c r="R75" s="370">
        <v>1983</v>
      </c>
      <c r="S75" s="372" t="s">
        <v>2728</v>
      </c>
      <c r="T75" s="370">
        <v>1</v>
      </c>
      <c r="U75" s="370">
        <v>2</v>
      </c>
      <c r="V75" s="370">
        <v>18</v>
      </c>
      <c r="W75" s="369" t="s">
        <v>1822</v>
      </c>
      <c r="X75" s="170">
        <v>1</v>
      </c>
      <c r="Y75" s="369">
        <v>1</v>
      </c>
      <c r="Z75" s="271"/>
      <c r="AA75" s="169">
        <v>1</v>
      </c>
      <c r="AB75" s="177">
        <v>1</v>
      </c>
      <c r="AC75" s="171"/>
      <c r="AD75" s="365" t="s">
        <v>1771</v>
      </c>
      <c r="AE75" s="357">
        <v>2011</v>
      </c>
      <c r="AF75" s="357">
        <v>2</v>
      </c>
      <c r="AG75" s="55">
        <v>4</v>
      </c>
      <c r="AH75" s="355" t="s">
        <v>2746</v>
      </c>
      <c r="AI75" s="55">
        <v>0</v>
      </c>
      <c r="AJ75" s="55">
        <v>0</v>
      </c>
      <c r="AK75" s="590" t="s">
        <v>145</v>
      </c>
      <c r="AL75" s="386">
        <v>9</v>
      </c>
      <c r="AM75" s="361" t="s">
        <v>3213</v>
      </c>
      <c r="AN75" s="397" t="s">
        <v>145</v>
      </c>
      <c r="AO75" s="170">
        <v>1</v>
      </c>
      <c r="AP75" s="172">
        <v>1</v>
      </c>
      <c r="AQ75" s="365" t="s">
        <v>5413</v>
      </c>
      <c r="AR75" s="362" t="s">
        <v>4934</v>
      </c>
      <c r="AS75" s="55">
        <v>1</v>
      </c>
      <c r="AT75" s="370">
        <v>3</v>
      </c>
      <c r="AU75" s="371">
        <v>2006</v>
      </c>
      <c r="AV75" s="370">
        <v>5</v>
      </c>
      <c r="AW75" s="589" t="s">
        <v>145</v>
      </c>
      <c r="AX75" s="687">
        <v>0</v>
      </c>
      <c r="AY75" s="174" t="s">
        <v>4483</v>
      </c>
      <c r="AZ75" s="55">
        <v>2007</v>
      </c>
      <c r="BA75" s="55">
        <v>1</v>
      </c>
      <c r="BB75" s="55">
        <v>1</v>
      </c>
      <c r="BC75" s="174" t="s">
        <v>4484</v>
      </c>
      <c r="BD75" s="55">
        <v>2003</v>
      </c>
      <c r="BE75" s="55">
        <v>0</v>
      </c>
      <c r="BF75" s="371" t="s">
        <v>145</v>
      </c>
      <c r="BG75" s="367">
        <v>0</v>
      </c>
      <c r="BH75" s="56" t="s">
        <v>145</v>
      </c>
      <c r="BI75" s="367">
        <v>0</v>
      </c>
      <c r="BJ75" s="367">
        <v>1</v>
      </c>
      <c r="BK75" s="888">
        <v>8075.06</v>
      </c>
      <c r="BL75" s="925">
        <f t="shared" si="62"/>
        <v>50.019417812375387</v>
      </c>
      <c r="BM75" s="888">
        <v>4035.962</v>
      </c>
      <c r="BN75" s="920">
        <v>4039.098</v>
      </c>
      <c r="BO75" s="888">
        <v>815.92899999999997</v>
      </c>
      <c r="BP75" s="1158">
        <f t="shared" si="78"/>
        <v>49.000219381833467</v>
      </c>
      <c r="BQ75" s="917">
        <v>416.12200000000001</v>
      </c>
      <c r="BR75" s="920">
        <v>399.80700000000002</v>
      </c>
      <c r="BS75" s="888">
        <v>857.17100000000005</v>
      </c>
      <c r="BT75" s="1158">
        <f t="shared" si="79"/>
        <v>49.071655480645049</v>
      </c>
      <c r="BU75" s="917">
        <v>436.54300000000001</v>
      </c>
      <c r="BV75" s="920">
        <v>420.62799999999999</v>
      </c>
      <c r="BW75" s="888">
        <v>891.76499999999999</v>
      </c>
      <c r="BX75" s="1158">
        <f t="shared" si="80"/>
        <v>49.158242362057265</v>
      </c>
      <c r="BY75" s="917">
        <v>453.38900000000001</v>
      </c>
      <c r="BZ75" s="920">
        <v>438.37599999999998</v>
      </c>
      <c r="CA75" s="888">
        <f t="shared" si="81"/>
        <v>5510.1949999999997</v>
      </c>
      <c r="CB75" s="1158">
        <f t="shared" si="82"/>
        <v>50.457143531218051</v>
      </c>
      <c r="CC75" s="917">
        <f t="shared" si="83"/>
        <v>2729.9079999999999</v>
      </c>
      <c r="CD75" s="920">
        <f t="shared" si="84"/>
        <v>2780.2870000000003</v>
      </c>
      <c r="CE75" s="914">
        <v>2015</v>
      </c>
      <c r="CF75" s="910" t="s">
        <v>5630</v>
      </c>
      <c r="CG75" s="930">
        <v>93.6</v>
      </c>
      <c r="CH75" s="495">
        <v>93.6</v>
      </c>
      <c r="CI75" s="497">
        <v>93.5</v>
      </c>
      <c r="CJ75" s="904">
        <v>94.6</v>
      </c>
      <c r="CK75" s="904">
        <v>92.7</v>
      </c>
      <c r="CL75" s="904" t="s">
        <v>5577</v>
      </c>
      <c r="CM75" s="905" t="s">
        <v>5575</v>
      </c>
      <c r="CN75" s="1044">
        <v>5355.1120000000001</v>
      </c>
      <c r="CO75" s="1045">
        <f t="shared" si="63"/>
        <v>66.316683715043595</v>
      </c>
      <c r="CP75" s="1040">
        <f t="shared" si="64"/>
        <v>2676.5161543993481</v>
      </c>
      <c r="CQ75" s="1041">
        <f t="shared" si="65"/>
        <v>2678.595845600652</v>
      </c>
      <c r="CR75" s="1046">
        <v>2013</v>
      </c>
      <c r="CS75" s="1047" t="s">
        <v>5809</v>
      </c>
      <c r="CT75" s="1068">
        <f t="shared" si="66"/>
        <v>18</v>
      </c>
      <c r="CU75" s="1071">
        <v>18</v>
      </c>
      <c r="CV75" s="1068" t="s">
        <v>5913</v>
      </c>
      <c r="CW75" s="1113">
        <v>5355.1120000000001</v>
      </c>
      <c r="CX75" s="1113">
        <v>4735.0810000000001</v>
      </c>
      <c r="CY75" s="1113">
        <v>8448.4650000000001</v>
      </c>
      <c r="CZ75" s="494">
        <v>1</v>
      </c>
      <c r="DA75" s="1104">
        <v>4</v>
      </c>
      <c r="DB75" s="1050" t="s">
        <v>5753</v>
      </c>
      <c r="DC75" s="1146" t="s">
        <v>322</v>
      </c>
      <c r="DD75" s="978">
        <f t="shared" si="91"/>
        <v>319.23435999999975</v>
      </c>
      <c r="DE75" s="979">
        <f t="shared" si="67"/>
        <v>3.9533373126639271</v>
      </c>
      <c r="DF75" s="979">
        <f t="shared" si="92"/>
        <v>57.485625732564749</v>
      </c>
      <c r="DG75" s="980">
        <f t="shared" si="93"/>
        <v>136.97930160065187</v>
      </c>
      <c r="DH75" s="980">
        <f t="shared" si="94"/>
        <v>183.51386939934824</v>
      </c>
      <c r="DI75" s="979">
        <f t="shared" si="68"/>
        <v>3.3939690611718318</v>
      </c>
      <c r="DJ75" s="981">
        <f t="shared" si="69"/>
        <v>4.5434369108981318</v>
      </c>
      <c r="DK75" s="984">
        <f t="shared" si="70"/>
        <v>155.08299999999963</v>
      </c>
      <c r="DL75" s="979">
        <f t="shared" si="95"/>
        <v>65.572083593526401</v>
      </c>
      <c r="DM75" s="980">
        <f t="shared" si="71"/>
        <v>53.391845600651777</v>
      </c>
      <c r="DN75" s="985">
        <f t="shared" si="72"/>
        <v>101.69115439934831</v>
      </c>
      <c r="DO75" s="984">
        <f t="shared" si="73"/>
        <v>111.9319040000001</v>
      </c>
      <c r="DP75" s="979">
        <f t="shared" si="96"/>
        <v>49.883239724037836</v>
      </c>
      <c r="DQ75" s="980">
        <f t="shared" si="85"/>
        <v>56.955648000000053</v>
      </c>
      <c r="DR75" s="985">
        <f t="shared" si="86"/>
        <v>55.835259999999948</v>
      </c>
      <c r="DS75" s="984">
        <f t="shared" si="74"/>
        <v>52.219456000000044</v>
      </c>
      <c r="DT75" s="339">
        <f t="shared" si="97"/>
        <v>49.765847809674533</v>
      </c>
      <c r="DU75" s="980">
        <f t="shared" si="87"/>
        <v>26.631808000000024</v>
      </c>
      <c r="DV75" s="985">
        <f t="shared" si="88"/>
        <v>25.987454999999979</v>
      </c>
      <c r="DW75" s="979">
        <f t="shared" si="89"/>
        <v>6.4000000000000057</v>
      </c>
      <c r="DX75" s="981">
        <f t="shared" si="90"/>
        <v>6.4999999999999947</v>
      </c>
      <c r="DY75" s="414">
        <v>17.920000000000002</v>
      </c>
      <c r="DZ75" s="111">
        <v>2009</v>
      </c>
      <c r="EA75" s="118">
        <v>1388.0889729999999</v>
      </c>
      <c r="EB75" s="123">
        <v>66.2</v>
      </c>
      <c r="EC75" s="113">
        <v>2010</v>
      </c>
      <c r="ED75" s="20">
        <v>5133.6027940000004</v>
      </c>
      <c r="EE75" s="414">
        <v>60</v>
      </c>
      <c r="EF75" s="111">
        <v>2010</v>
      </c>
      <c r="EG75" s="380">
        <v>85.355552673339801</v>
      </c>
      <c r="EH75" s="24" t="s">
        <v>358</v>
      </c>
      <c r="EI75" s="287">
        <v>2</v>
      </c>
      <c r="EJ75" s="40" t="s">
        <v>145</v>
      </c>
      <c r="EK75" s="35" t="s">
        <v>145</v>
      </c>
      <c r="EL75" s="95" t="s">
        <v>145</v>
      </c>
      <c r="EM75" s="95" t="s">
        <v>145</v>
      </c>
      <c r="EN75" s="35" t="s">
        <v>145</v>
      </c>
      <c r="EO75" s="95" t="s">
        <v>145</v>
      </c>
      <c r="EP75" s="205" t="s">
        <v>145</v>
      </c>
      <c r="EQ75" s="207" t="s">
        <v>145</v>
      </c>
      <c r="ER75" s="517">
        <v>1</v>
      </c>
      <c r="ES75" s="183" t="s">
        <v>145</v>
      </c>
      <c r="ET75" s="183" t="s">
        <v>145</v>
      </c>
      <c r="EU75" s="82" t="s">
        <v>145</v>
      </c>
      <c r="EV75" s="82" t="s">
        <v>145</v>
      </c>
      <c r="EW75" s="82" t="s">
        <v>3873</v>
      </c>
      <c r="EX75" s="360" t="s">
        <v>145</v>
      </c>
      <c r="EY75" s="159">
        <v>8045990</v>
      </c>
      <c r="EZ75" s="156">
        <v>2010</v>
      </c>
      <c r="FA75" s="323">
        <v>52</v>
      </c>
      <c r="FB75" s="323">
        <v>48</v>
      </c>
      <c r="FC75" s="323">
        <v>64.5</v>
      </c>
      <c r="FD75" s="160" t="s">
        <v>318</v>
      </c>
      <c r="FE75" s="156">
        <v>82.5</v>
      </c>
      <c r="FF75" s="156" t="s">
        <v>1673</v>
      </c>
      <c r="FG75" s="156">
        <v>10</v>
      </c>
      <c r="FH75" s="157" t="s">
        <v>318</v>
      </c>
      <c r="FI75" s="242">
        <v>3</v>
      </c>
      <c r="FJ75" s="373" t="s">
        <v>1835</v>
      </c>
      <c r="FK75" s="236" t="s">
        <v>1836</v>
      </c>
      <c r="FL75" s="236" t="s">
        <v>1837</v>
      </c>
      <c r="FM75" s="179" t="s">
        <v>1822</v>
      </c>
      <c r="FN75" s="351" t="s">
        <v>1838</v>
      </c>
      <c r="FO75" s="165" t="s">
        <v>1752</v>
      </c>
      <c r="FP75" s="255">
        <v>1</v>
      </c>
      <c r="FQ75" s="183" t="s">
        <v>1612</v>
      </c>
      <c r="FR75" s="257"/>
      <c r="FS75" s="82"/>
      <c r="FT75" s="259"/>
      <c r="FU75" s="82"/>
      <c r="FV75" s="259"/>
      <c r="FW75" s="82"/>
      <c r="FX75" s="259"/>
      <c r="FY75" s="82"/>
      <c r="FZ75" s="259"/>
      <c r="GA75" s="82"/>
      <c r="GB75" s="261"/>
      <c r="GC75" s="90"/>
      <c r="GD75" s="76">
        <v>1</v>
      </c>
      <c r="GE75" s="445" t="s">
        <v>3424</v>
      </c>
      <c r="GF75" s="447" t="s">
        <v>590</v>
      </c>
      <c r="GG75" s="448">
        <v>4</v>
      </c>
      <c r="GH75" s="449">
        <v>4</v>
      </c>
      <c r="GI75" s="447" t="s">
        <v>145</v>
      </c>
      <c r="GJ75" s="449" t="s">
        <v>145</v>
      </c>
      <c r="GK75" s="447" t="s">
        <v>145</v>
      </c>
      <c r="GL75" s="448" t="s">
        <v>145</v>
      </c>
      <c r="GM75" s="449" t="s">
        <v>145</v>
      </c>
      <c r="GN75" s="447" t="s">
        <v>580</v>
      </c>
      <c r="GO75" s="449">
        <v>64</v>
      </c>
      <c r="GP75" s="447">
        <v>18</v>
      </c>
      <c r="GQ75" s="448">
        <v>31</v>
      </c>
      <c r="GR75" s="449">
        <v>15</v>
      </c>
      <c r="GS75" s="446">
        <v>7</v>
      </c>
      <c r="GT75" s="461">
        <v>-0.50730293989181519</v>
      </c>
      <c r="GU75" s="462">
        <v>-0.46607121825218201</v>
      </c>
      <c r="GV75" s="462">
        <v>-0.74367678165435791</v>
      </c>
      <c r="GW75" s="462">
        <v>-0.19942346215248108</v>
      </c>
      <c r="GX75" s="462">
        <v>-1.2284866571426392</v>
      </c>
      <c r="GY75" s="463">
        <v>-0.95028030872344971</v>
      </c>
      <c r="GZ75" s="10">
        <v>114</v>
      </c>
      <c r="HA75" s="536">
        <v>0.40826000000000001</v>
      </c>
      <c r="HB75" s="536">
        <v>0.33333000000000002</v>
      </c>
      <c r="HC75" s="525">
        <v>0.40156999999999998</v>
      </c>
      <c r="HD75" s="526">
        <v>0.19514000000000001</v>
      </c>
      <c r="HE75" s="527">
        <v>0.62809999999999999</v>
      </c>
      <c r="HF75" s="10">
        <v>119</v>
      </c>
      <c r="HG75" s="532">
        <v>3.18</v>
      </c>
      <c r="HH75" s="545">
        <v>3.94</v>
      </c>
      <c r="HI75" s="546">
        <v>1.03</v>
      </c>
      <c r="HJ75" s="547">
        <v>5.96</v>
      </c>
      <c r="HK75" s="379" t="s">
        <v>145</v>
      </c>
      <c r="HL75" s="362" t="s">
        <v>145</v>
      </c>
      <c r="HM75" s="557" t="s">
        <v>145</v>
      </c>
      <c r="HN75" s="557" t="s">
        <v>145</v>
      </c>
      <c r="HO75" s="557" t="s">
        <v>145</v>
      </c>
      <c r="HP75" s="562" t="s">
        <v>145</v>
      </c>
      <c r="HQ75" s="562" t="s">
        <v>145</v>
      </c>
      <c r="HR75" s="563" t="s">
        <v>145</v>
      </c>
      <c r="HS75" s="545">
        <v>52</v>
      </c>
      <c r="HT75" s="557">
        <v>83</v>
      </c>
      <c r="HU75" s="557">
        <v>2006</v>
      </c>
      <c r="HV75" s="583" t="s">
        <v>4200</v>
      </c>
      <c r="HW75" s="557">
        <v>2</v>
      </c>
      <c r="HX75" s="557">
        <v>23</v>
      </c>
      <c r="HY75" s="557">
        <v>13</v>
      </c>
      <c r="HZ75" s="557">
        <v>12</v>
      </c>
      <c r="IA75" s="557">
        <v>18</v>
      </c>
      <c r="IB75" s="557">
        <v>2</v>
      </c>
      <c r="IC75" s="547">
        <v>13</v>
      </c>
      <c r="ID75" s="660"/>
      <c r="IE75" s="550"/>
      <c r="IF75" s="550"/>
      <c r="IG75" s="553"/>
      <c r="IH75" s="339"/>
      <c r="II75" s="553" t="s">
        <v>4921</v>
      </c>
      <c r="IJ75" s="424" t="s">
        <v>4918</v>
      </c>
      <c r="IK75" s="24">
        <v>0</v>
      </c>
      <c r="IL75" s="749">
        <f t="shared" si="75"/>
        <v>15</v>
      </c>
      <c r="IM75" s="747">
        <f t="shared" si="76"/>
        <v>60</v>
      </c>
      <c r="IN75" s="750" t="str">
        <f t="shared" si="77"/>
        <v>B</v>
      </c>
      <c r="IO75" s="446"/>
      <c r="IP75" s="902">
        <v>4</v>
      </c>
      <c r="IQ75" s="903">
        <v>0</v>
      </c>
      <c r="IR75" s="993">
        <v>0</v>
      </c>
      <c r="IT75" s="435"/>
      <c r="IU75" s="435"/>
      <c r="IV75" s="435"/>
    </row>
    <row r="76" spans="1:256">
      <c r="A76" s="21">
        <v>74</v>
      </c>
      <c r="B76" s="9"/>
      <c r="C76" s="433" t="s">
        <v>118</v>
      </c>
      <c r="D76" s="424" t="s">
        <v>407</v>
      </c>
      <c r="E76" s="24" t="s">
        <v>17</v>
      </c>
      <c r="F76" s="76" t="s">
        <v>813</v>
      </c>
      <c r="G76" s="102" t="s">
        <v>523</v>
      </c>
      <c r="H76" s="375" t="s">
        <v>2278</v>
      </c>
      <c r="I76" s="364" t="s">
        <v>2273</v>
      </c>
      <c r="J76" s="176">
        <v>5</v>
      </c>
      <c r="K76" s="88">
        <v>1949</v>
      </c>
      <c r="L76" s="371">
        <v>2</v>
      </c>
      <c r="M76" s="240" t="s">
        <v>2272</v>
      </c>
      <c r="N76" s="369" t="s">
        <v>1822</v>
      </c>
      <c r="O76" s="365" t="s">
        <v>3215</v>
      </c>
      <c r="P76" s="377" t="s">
        <v>3216</v>
      </c>
      <c r="Q76" s="176">
        <v>5</v>
      </c>
      <c r="R76" s="370">
        <v>1997</v>
      </c>
      <c r="S76" s="234" t="s">
        <v>1965</v>
      </c>
      <c r="T76" s="176">
        <v>1</v>
      </c>
      <c r="U76" s="370">
        <v>2</v>
      </c>
      <c r="V76" s="176">
        <v>11</v>
      </c>
      <c r="W76" s="369" t="s">
        <v>1822</v>
      </c>
      <c r="X76" s="170">
        <v>1</v>
      </c>
      <c r="Y76" s="369">
        <v>1</v>
      </c>
      <c r="Z76" s="273" t="s">
        <v>1988</v>
      </c>
      <c r="AA76" s="169">
        <v>1</v>
      </c>
      <c r="AB76" s="177">
        <v>1</v>
      </c>
      <c r="AC76" s="171"/>
      <c r="AD76" s="366" t="s">
        <v>3214</v>
      </c>
      <c r="AE76" s="357">
        <v>2007</v>
      </c>
      <c r="AF76" s="357">
        <v>2</v>
      </c>
      <c r="AG76" s="550" t="s">
        <v>5171</v>
      </c>
      <c r="AH76" s="355" t="s">
        <v>2757</v>
      </c>
      <c r="AI76" s="550">
        <v>1</v>
      </c>
      <c r="AJ76" s="550">
        <v>1</v>
      </c>
      <c r="AK76" s="590" t="s">
        <v>145</v>
      </c>
      <c r="AL76" s="387" t="s">
        <v>5432</v>
      </c>
      <c r="AM76" s="361" t="s">
        <v>2773</v>
      </c>
      <c r="AN76" s="344" t="s">
        <v>145</v>
      </c>
      <c r="AO76" s="170">
        <v>1</v>
      </c>
      <c r="AP76" s="369">
        <v>1</v>
      </c>
      <c r="AQ76" s="365" t="s">
        <v>5236</v>
      </c>
      <c r="AR76" s="377" t="s">
        <v>5237</v>
      </c>
      <c r="AS76" s="55">
        <v>2</v>
      </c>
      <c r="AT76" s="370">
        <v>2</v>
      </c>
      <c r="AU76" s="371">
        <v>2007</v>
      </c>
      <c r="AV76" s="370">
        <v>10</v>
      </c>
      <c r="AW76" s="589">
        <v>1500</v>
      </c>
      <c r="AX76" s="687">
        <v>0</v>
      </c>
      <c r="AY76" s="174" t="s">
        <v>2166</v>
      </c>
      <c r="AZ76" s="55">
        <v>2011</v>
      </c>
      <c r="BA76" s="55">
        <v>1</v>
      </c>
      <c r="BB76" s="55">
        <v>2</v>
      </c>
      <c r="BC76" s="174" t="s">
        <v>4485</v>
      </c>
      <c r="BD76" s="55">
        <v>1993</v>
      </c>
      <c r="BE76" s="55">
        <v>1</v>
      </c>
      <c r="BF76" s="367" t="s">
        <v>323</v>
      </c>
      <c r="BG76" s="367">
        <v>1</v>
      </c>
      <c r="BH76" s="1" t="s">
        <v>4486</v>
      </c>
      <c r="BI76" s="367">
        <v>3</v>
      </c>
      <c r="BJ76" s="367">
        <f>-BJ760</f>
        <v>0</v>
      </c>
      <c r="BK76" s="888">
        <v>7287.9830000000002</v>
      </c>
      <c r="BL76" s="925">
        <f t="shared" si="62"/>
        <v>53.050919575416131</v>
      </c>
      <c r="BM76" s="888">
        <v>3421.6410000000001</v>
      </c>
      <c r="BN76" s="920">
        <v>3866.3420000000001</v>
      </c>
      <c r="BO76" s="888">
        <v>367.577</v>
      </c>
      <c r="BP76" s="1158">
        <f t="shared" si="78"/>
        <v>48.430941000116981</v>
      </c>
      <c r="BQ76" s="917">
        <v>189.55600000000001</v>
      </c>
      <c r="BR76" s="920">
        <v>178.02099999999999</v>
      </c>
      <c r="BS76" s="888">
        <v>245.28299999999999</v>
      </c>
      <c r="BT76" s="1158">
        <f t="shared" si="79"/>
        <v>48.077526775194372</v>
      </c>
      <c r="BU76" s="917">
        <v>127.357</v>
      </c>
      <c r="BV76" s="920">
        <v>117.926</v>
      </c>
      <c r="BW76" s="888">
        <v>258.83199999999999</v>
      </c>
      <c r="BX76" s="1158">
        <f t="shared" si="80"/>
        <v>48.312032515299499</v>
      </c>
      <c r="BY76" s="917">
        <v>133.785</v>
      </c>
      <c r="BZ76" s="920">
        <v>125.047</v>
      </c>
      <c r="CA76" s="888">
        <f t="shared" si="81"/>
        <v>6416.2909999999993</v>
      </c>
      <c r="CB76" s="1158">
        <f t="shared" si="82"/>
        <v>53.696878773110512</v>
      </c>
      <c r="CC76" s="917">
        <f t="shared" si="83"/>
        <v>2970.9430000000002</v>
      </c>
      <c r="CD76" s="920">
        <f t="shared" si="84"/>
        <v>3445.348</v>
      </c>
      <c r="CE76" s="914">
        <v>2015</v>
      </c>
      <c r="CF76" s="910" t="s">
        <v>5630</v>
      </c>
      <c r="CG76" s="931">
        <v>95</v>
      </c>
      <c r="CH76" s="504">
        <v>95</v>
      </c>
      <c r="CI76" s="1008">
        <v>95</v>
      </c>
      <c r="CJ76" s="906"/>
      <c r="CK76" s="906"/>
      <c r="CL76" s="906">
        <v>2015</v>
      </c>
      <c r="CM76" s="1002" t="s">
        <v>5708</v>
      </c>
      <c r="CN76" s="1044">
        <v>7071.576</v>
      </c>
      <c r="CO76" s="1045">
        <f t="shared" si="63"/>
        <v>97.030632480893544</v>
      </c>
      <c r="CP76" s="1049">
        <v>3303.0149999999999</v>
      </c>
      <c r="CQ76" s="1050">
        <v>3768.5610000000001</v>
      </c>
      <c r="CR76" s="1046">
        <v>2011</v>
      </c>
      <c r="CS76" s="1047" t="s">
        <v>5708</v>
      </c>
      <c r="CT76" s="1068">
        <f t="shared" si="66"/>
        <v>11</v>
      </c>
      <c r="CU76" s="1071">
        <v>18</v>
      </c>
      <c r="CV76" s="1117" t="s">
        <v>5783</v>
      </c>
      <c r="CW76" s="1113">
        <v>3693.942</v>
      </c>
      <c r="CX76" s="1113" t="s">
        <v>145</v>
      </c>
      <c r="CY76" s="1113" t="s">
        <v>145</v>
      </c>
      <c r="CZ76" s="1048">
        <v>20</v>
      </c>
      <c r="DA76" s="1104">
        <v>5</v>
      </c>
      <c r="DB76" s="1050" t="s">
        <v>647</v>
      </c>
      <c r="DC76" s="1146" t="s">
        <v>322</v>
      </c>
      <c r="DD76" s="978">
        <f t="shared" si="91"/>
        <v>216.40700000000015</v>
      </c>
      <c r="DE76" s="979">
        <f t="shared" si="67"/>
        <v>2.9693675191064544</v>
      </c>
      <c r="DF76" s="979">
        <f t="shared" si="92"/>
        <v>45.183843406174432</v>
      </c>
      <c r="DG76" s="980">
        <f t="shared" si="93"/>
        <v>118.6260000000002</v>
      </c>
      <c r="DH76" s="980">
        <f t="shared" si="94"/>
        <v>97.780999999999963</v>
      </c>
      <c r="DI76" s="979">
        <f t="shared" si="68"/>
        <v>3.4669329716355461</v>
      </c>
      <c r="DJ76" s="981">
        <f t="shared" si="69"/>
        <v>2.529031316939887</v>
      </c>
      <c r="DK76" s="984">
        <f t="shared" si="70"/>
        <v>172.8224000000001</v>
      </c>
      <c r="DL76" s="979">
        <f t="shared" si="95"/>
        <v>44.398932082878076</v>
      </c>
      <c r="DM76" s="980">
        <f t="shared" si="71"/>
        <v>96.091100000000182</v>
      </c>
      <c r="DN76" s="985">
        <f t="shared" si="72"/>
        <v>76.731299999999933</v>
      </c>
      <c r="DO76" s="984">
        <f t="shared" si="73"/>
        <v>25.205750000000023</v>
      </c>
      <c r="DP76" s="979">
        <f t="shared" si="96"/>
        <v>48.197931027642497</v>
      </c>
      <c r="DQ76" s="980">
        <f t="shared" si="85"/>
        <v>13.057100000000013</v>
      </c>
      <c r="DR76" s="985">
        <f t="shared" si="86"/>
        <v>12.148650000000011</v>
      </c>
      <c r="DS76" s="984">
        <f t="shared" si="74"/>
        <v>18.378850000000018</v>
      </c>
      <c r="DT76" s="339">
        <f t="shared" si="97"/>
        <v>48.430941000116974</v>
      </c>
      <c r="DU76" s="980">
        <f t="shared" si="87"/>
        <v>9.4778000000000091</v>
      </c>
      <c r="DV76" s="985">
        <f t="shared" si="88"/>
        <v>8.9010500000000068</v>
      </c>
      <c r="DW76" s="979">
        <f t="shared" si="89"/>
        <v>5.0000000000000044</v>
      </c>
      <c r="DX76" s="981">
        <f t="shared" si="90"/>
        <v>5.0000000000000044</v>
      </c>
      <c r="DY76" s="414" t="s">
        <v>145</v>
      </c>
      <c r="DZ76" s="111" t="s">
        <v>145</v>
      </c>
      <c r="EA76" s="118"/>
      <c r="EB76" s="123" t="s">
        <v>145</v>
      </c>
      <c r="EC76" s="113" t="s">
        <v>145</v>
      </c>
      <c r="ED76" s="20"/>
      <c r="EE76" s="414">
        <v>19.600000000000001</v>
      </c>
      <c r="EF76" s="121">
        <v>2012</v>
      </c>
      <c r="EG76" s="380" t="s">
        <v>145</v>
      </c>
      <c r="EH76" s="24" t="s">
        <v>378</v>
      </c>
      <c r="EI76" s="288">
        <v>0</v>
      </c>
      <c r="EJ76" s="40" t="s">
        <v>145</v>
      </c>
      <c r="EK76" s="35" t="s">
        <v>145</v>
      </c>
      <c r="EL76" s="364" t="s">
        <v>145</v>
      </c>
      <c r="EM76" s="364" t="s">
        <v>145</v>
      </c>
      <c r="EN76" s="35" t="s">
        <v>145</v>
      </c>
      <c r="EO76" s="364" t="s">
        <v>145</v>
      </c>
      <c r="EP76" s="205" t="s">
        <v>145</v>
      </c>
      <c r="EQ76" s="207" t="s">
        <v>145</v>
      </c>
      <c r="ER76" s="517" t="s">
        <v>145</v>
      </c>
      <c r="ES76" s="183"/>
      <c r="ET76" s="183"/>
      <c r="EU76" s="82"/>
      <c r="EV76" s="82"/>
      <c r="EW76" s="82"/>
      <c r="EX76" s="90"/>
      <c r="EY76" s="159"/>
      <c r="EZ76" s="156"/>
      <c r="FA76" s="323"/>
      <c r="FB76" s="323"/>
      <c r="FC76" s="323"/>
      <c r="FD76" s="160"/>
      <c r="FE76" s="156"/>
      <c r="FF76" s="156"/>
      <c r="FG76" s="156"/>
      <c r="FH76" s="157"/>
      <c r="FI76" s="242"/>
      <c r="FJ76" s="240"/>
      <c r="FK76" s="179"/>
      <c r="FL76" s="179"/>
      <c r="FM76" s="179"/>
      <c r="FN76" s="172"/>
      <c r="FO76" s="164"/>
      <c r="FP76" s="255">
        <v>2</v>
      </c>
      <c r="FQ76" s="183"/>
      <c r="FR76" s="257"/>
      <c r="FS76" s="82"/>
      <c r="FT76" s="259"/>
      <c r="FU76" s="82"/>
      <c r="FV76" s="259"/>
      <c r="FW76" s="82"/>
      <c r="FX76" s="259"/>
      <c r="FY76" s="82"/>
      <c r="FZ76" s="259"/>
      <c r="GA76" s="82"/>
      <c r="GB76" s="261"/>
      <c r="GC76" s="90"/>
      <c r="GD76" s="76">
        <v>2</v>
      </c>
      <c r="GE76" s="445" t="s">
        <v>3425</v>
      </c>
      <c r="GF76" s="447" t="s">
        <v>590</v>
      </c>
      <c r="GG76" s="448">
        <v>5</v>
      </c>
      <c r="GH76" s="449">
        <v>2</v>
      </c>
      <c r="GI76" s="447" t="s">
        <v>145</v>
      </c>
      <c r="GJ76" s="449" t="s">
        <v>145</v>
      </c>
      <c r="GK76" s="447" t="s">
        <v>145</v>
      </c>
      <c r="GL76" s="448" t="s">
        <v>145</v>
      </c>
      <c r="GM76" s="449" t="s">
        <v>145</v>
      </c>
      <c r="GN76" s="447" t="s">
        <v>590</v>
      </c>
      <c r="GO76" s="449">
        <v>37</v>
      </c>
      <c r="GP76" s="447">
        <v>12</v>
      </c>
      <c r="GQ76" s="448">
        <v>16</v>
      </c>
      <c r="GR76" s="449">
        <v>9</v>
      </c>
      <c r="GS76" s="446"/>
      <c r="GT76" s="461">
        <v>0.70412832498550415</v>
      </c>
      <c r="GU76" s="462">
        <v>0.88330894708633423</v>
      </c>
      <c r="GV76" s="462">
        <v>1.7334518432617187</v>
      </c>
      <c r="GW76" s="462">
        <v>1.925817608833313</v>
      </c>
      <c r="GX76" s="462">
        <v>1.5434002876281738</v>
      </c>
      <c r="GY76" s="463">
        <v>1.631432056427002</v>
      </c>
      <c r="GZ76" s="10" t="s">
        <v>145</v>
      </c>
      <c r="HA76" s="536" t="s">
        <v>145</v>
      </c>
      <c r="HB76" s="536" t="s">
        <v>145</v>
      </c>
      <c r="HC76" s="525" t="s">
        <v>145</v>
      </c>
      <c r="HD76" s="526" t="s">
        <v>145</v>
      </c>
      <c r="HE76" s="527" t="s">
        <v>145</v>
      </c>
      <c r="HF76" s="10">
        <v>9</v>
      </c>
      <c r="HG76" s="532">
        <v>8.2799999999999994</v>
      </c>
      <c r="HH76" s="545">
        <v>9.24</v>
      </c>
      <c r="HI76" s="546">
        <v>7.36</v>
      </c>
      <c r="HJ76" s="547">
        <v>8.24</v>
      </c>
      <c r="HK76" s="379" t="s">
        <v>4057</v>
      </c>
      <c r="HL76" s="23" t="s">
        <v>4726</v>
      </c>
      <c r="HM76" s="557">
        <v>1995</v>
      </c>
      <c r="HN76" s="557">
        <v>1995</v>
      </c>
      <c r="HO76" s="557" t="s">
        <v>3985</v>
      </c>
      <c r="HP76" s="562" t="s">
        <v>4058</v>
      </c>
      <c r="HQ76" s="639" t="s">
        <v>4727</v>
      </c>
      <c r="HR76" s="563" t="s">
        <v>4059</v>
      </c>
      <c r="HS76" s="545" t="s">
        <v>145</v>
      </c>
      <c r="HT76" s="557" t="s">
        <v>145</v>
      </c>
      <c r="HU76" s="557" t="s">
        <v>145</v>
      </c>
      <c r="HV76" s="581" t="s">
        <v>145</v>
      </c>
      <c r="HW76" s="557" t="s">
        <v>145</v>
      </c>
      <c r="HX76" s="557" t="s">
        <v>145</v>
      </c>
      <c r="HY76" s="557" t="s">
        <v>145</v>
      </c>
      <c r="HZ76" s="557" t="s">
        <v>145</v>
      </c>
      <c r="IA76" s="557" t="s">
        <v>145</v>
      </c>
      <c r="IB76" s="557" t="s">
        <v>145</v>
      </c>
      <c r="IC76" s="547" t="s">
        <v>145</v>
      </c>
      <c r="ID76" s="660"/>
      <c r="IE76" s="550"/>
      <c r="IF76" s="355" t="s">
        <v>5202</v>
      </c>
      <c r="IG76" s="553"/>
      <c r="IH76" s="339"/>
      <c r="II76" s="553" t="s">
        <v>4920</v>
      </c>
      <c r="IJ76" s="424" t="s">
        <v>4926</v>
      </c>
      <c r="IK76" s="24">
        <v>0</v>
      </c>
      <c r="IL76" s="749">
        <f t="shared" si="75"/>
        <v>21</v>
      </c>
      <c r="IM76" s="747">
        <f t="shared" si="76"/>
        <v>84</v>
      </c>
      <c r="IN76" s="750" t="str">
        <f t="shared" si="77"/>
        <v>A</v>
      </c>
      <c r="IO76" s="446"/>
      <c r="IP76" s="902">
        <v>5</v>
      </c>
      <c r="IQ76" s="903">
        <v>0</v>
      </c>
      <c r="IR76" s="993">
        <v>0</v>
      </c>
      <c r="IT76" s="435"/>
      <c r="IU76" s="435"/>
      <c r="IV76" s="435"/>
    </row>
    <row r="77" spans="1:256">
      <c r="A77" s="21">
        <v>75</v>
      </c>
      <c r="B77" s="9"/>
      <c r="C77" s="430" t="s">
        <v>119</v>
      </c>
      <c r="D77" s="423" t="s">
        <v>408</v>
      </c>
      <c r="E77" s="697" t="s">
        <v>12</v>
      </c>
      <c r="F77" s="76" t="s">
        <v>814</v>
      </c>
      <c r="G77" s="102" t="s">
        <v>528</v>
      </c>
      <c r="H77" s="375" t="s">
        <v>2281</v>
      </c>
      <c r="I77" s="95" t="s">
        <v>2279</v>
      </c>
      <c r="J77" s="370">
        <v>5</v>
      </c>
      <c r="K77" s="88">
        <v>1895</v>
      </c>
      <c r="L77" s="371">
        <v>2</v>
      </c>
      <c r="M77" s="373" t="s">
        <v>2280</v>
      </c>
      <c r="N77" s="369" t="s">
        <v>1822</v>
      </c>
      <c r="O77" s="365" t="s">
        <v>3218</v>
      </c>
      <c r="P77" s="362" t="s">
        <v>3217</v>
      </c>
      <c r="Q77" s="370">
        <v>2</v>
      </c>
      <c r="R77" s="370">
        <v>2001</v>
      </c>
      <c r="S77" s="372" t="s">
        <v>2067</v>
      </c>
      <c r="T77" s="370">
        <v>1</v>
      </c>
      <c r="U77" s="370">
        <v>2</v>
      </c>
      <c r="V77" s="370">
        <v>14</v>
      </c>
      <c r="W77" s="369" t="s">
        <v>1822</v>
      </c>
      <c r="X77" s="170">
        <v>1</v>
      </c>
      <c r="Y77" s="369">
        <v>1</v>
      </c>
      <c r="Z77" s="273" t="s">
        <v>2020</v>
      </c>
      <c r="AA77" s="169">
        <v>1</v>
      </c>
      <c r="AB77" s="177">
        <v>1</v>
      </c>
      <c r="AC77" s="171"/>
      <c r="AD77" s="366" t="s">
        <v>3219</v>
      </c>
      <c r="AE77" s="55">
        <v>2001</v>
      </c>
      <c r="AF77" s="55">
        <v>2</v>
      </c>
      <c r="AG77" s="550" t="s">
        <v>5171</v>
      </c>
      <c r="AH77" s="550" t="s">
        <v>2757</v>
      </c>
      <c r="AI77" s="55">
        <v>0</v>
      </c>
      <c r="AJ77" s="55">
        <v>0</v>
      </c>
      <c r="AK77" s="590" t="s">
        <v>145</v>
      </c>
      <c r="AL77" s="386">
        <v>9</v>
      </c>
      <c r="AM77" s="361" t="s">
        <v>3036</v>
      </c>
      <c r="AN77" s="397" t="s">
        <v>145</v>
      </c>
      <c r="AO77" s="170">
        <v>0</v>
      </c>
      <c r="AP77" s="172">
        <v>0</v>
      </c>
      <c r="AQ77" s="365" t="s">
        <v>5238</v>
      </c>
      <c r="AR77" s="378" t="s">
        <v>4934</v>
      </c>
      <c r="AS77" s="55">
        <v>2</v>
      </c>
      <c r="AT77" s="370">
        <v>3</v>
      </c>
      <c r="AU77" s="371">
        <v>2006</v>
      </c>
      <c r="AV77" s="370">
        <v>10</v>
      </c>
      <c r="AW77" s="589">
        <v>3500</v>
      </c>
      <c r="AX77" s="687">
        <v>0</v>
      </c>
      <c r="AY77" s="174" t="s">
        <v>4487</v>
      </c>
      <c r="AZ77" s="55">
        <v>2009</v>
      </c>
      <c r="BA77" s="55">
        <v>1</v>
      </c>
      <c r="BB77" s="55">
        <v>0</v>
      </c>
      <c r="BC77" s="174" t="s">
        <v>145</v>
      </c>
      <c r="BD77" s="55" t="s">
        <v>145</v>
      </c>
      <c r="BE77" s="55">
        <v>0</v>
      </c>
      <c r="BF77" s="371" t="s">
        <v>145</v>
      </c>
      <c r="BG77" s="367">
        <v>0</v>
      </c>
      <c r="BH77" s="56" t="s">
        <v>145</v>
      </c>
      <c r="BI77" s="367">
        <v>3</v>
      </c>
      <c r="BJ77" s="367">
        <v>1</v>
      </c>
      <c r="BK77" s="888">
        <v>9855.5709999999999</v>
      </c>
      <c r="BL77" s="925">
        <f t="shared" si="62"/>
        <v>52.354064518433283</v>
      </c>
      <c r="BM77" s="888">
        <v>4695.7790000000005</v>
      </c>
      <c r="BN77" s="920">
        <v>5159.7920000000004</v>
      </c>
      <c r="BO77" s="888">
        <v>463.33199999999999</v>
      </c>
      <c r="BP77" s="1158">
        <f t="shared" si="78"/>
        <v>48.560643339980835</v>
      </c>
      <c r="BQ77" s="917">
        <v>238.33500000000001</v>
      </c>
      <c r="BR77" s="920">
        <v>224.99700000000001</v>
      </c>
      <c r="BS77" s="888">
        <v>490.65</v>
      </c>
      <c r="BT77" s="1158">
        <f t="shared" si="79"/>
        <v>48.696830734739635</v>
      </c>
      <c r="BU77" s="917">
        <v>251.71899999999999</v>
      </c>
      <c r="BV77" s="920">
        <v>238.93100000000001</v>
      </c>
      <c r="BW77" s="888">
        <v>480.78199999999998</v>
      </c>
      <c r="BX77" s="1158">
        <f t="shared" si="80"/>
        <v>48.685890902737626</v>
      </c>
      <c r="BY77" s="917">
        <v>246.709</v>
      </c>
      <c r="BZ77" s="920">
        <v>234.07300000000001</v>
      </c>
      <c r="CA77" s="888">
        <f t="shared" si="81"/>
        <v>8420.8070000000007</v>
      </c>
      <c r="CB77" s="1158">
        <f t="shared" si="82"/>
        <v>52.985313640367252</v>
      </c>
      <c r="CC77" s="917">
        <f t="shared" si="83"/>
        <v>3959.0160000000005</v>
      </c>
      <c r="CD77" s="920">
        <f t="shared" si="84"/>
        <v>4461.7910000000002</v>
      </c>
      <c r="CE77" s="914">
        <v>2015</v>
      </c>
      <c r="CF77" s="910" t="s">
        <v>5630</v>
      </c>
      <c r="CG77" s="930">
        <v>100</v>
      </c>
      <c r="CH77" s="1005">
        <v>100</v>
      </c>
      <c r="CI77" s="1006">
        <v>100</v>
      </c>
      <c r="CJ77" s="904" t="s">
        <v>1621</v>
      </c>
      <c r="CK77" s="904" t="s">
        <v>1621</v>
      </c>
      <c r="CL77" s="904">
        <v>2011</v>
      </c>
      <c r="CM77" s="905" t="s">
        <v>5576</v>
      </c>
      <c r="CN77" s="1044">
        <v>9855.5709999999999</v>
      </c>
      <c r="CO77" s="1045">
        <f t="shared" si="63"/>
        <v>100</v>
      </c>
      <c r="CP77" s="1049">
        <v>4695.7790000000005</v>
      </c>
      <c r="CQ77" s="1050">
        <v>5159.7920000000004</v>
      </c>
      <c r="CR77" s="1046">
        <v>2015</v>
      </c>
      <c r="CS77" s="1047" t="s">
        <v>5784</v>
      </c>
      <c r="CT77" s="1068">
        <f t="shared" si="66"/>
        <v>14</v>
      </c>
      <c r="CU77" s="1071">
        <v>18</v>
      </c>
      <c r="CV77" s="1117" t="s">
        <v>5785</v>
      </c>
      <c r="CW77" s="1113">
        <v>8241.4879999999994</v>
      </c>
      <c r="CX77" s="1113">
        <v>8043.8180000000002</v>
      </c>
      <c r="CY77" s="1113">
        <v>9919.1280000000006</v>
      </c>
      <c r="CZ77" s="1048">
        <v>20</v>
      </c>
      <c r="DA77" s="1104">
        <v>5</v>
      </c>
      <c r="DB77" s="1050" t="s">
        <v>647</v>
      </c>
      <c r="DC77" s="1146" t="s">
        <v>322</v>
      </c>
      <c r="DD77" s="978">
        <f t="shared" si="91"/>
        <v>0</v>
      </c>
      <c r="DE77" s="979">
        <f t="shared" si="67"/>
        <v>0</v>
      </c>
      <c r="DF77" s="979">
        <f t="shared" si="92"/>
        <v>0</v>
      </c>
      <c r="DG77" s="980">
        <f t="shared" si="93"/>
        <v>0</v>
      </c>
      <c r="DH77" s="980">
        <f t="shared" si="94"/>
        <v>0</v>
      </c>
      <c r="DI77" s="979">
        <f t="shared" si="68"/>
        <v>0</v>
      </c>
      <c r="DJ77" s="981">
        <f t="shared" si="69"/>
        <v>0</v>
      </c>
      <c r="DK77" s="984">
        <f t="shared" si="70"/>
        <v>0</v>
      </c>
      <c r="DL77" s="979">
        <f t="shared" si="95"/>
        <v>0</v>
      </c>
      <c r="DM77" s="980">
        <f t="shared" si="71"/>
        <v>0</v>
      </c>
      <c r="DN77" s="985">
        <f t="shared" si="72"/>
        <v>0</v>
      </c>
      <c r="DO77" s="984">
        <f t="shared" si="73"/>
        <v>0</v>
      </c>
      <c r="DP77" s="979">
        <f t="shared" si="96"/>
        <v>0</v>
      </c>
      <c r="DQ77" s="980">
        <f t="shared" si="85"/>
        <v>0</v>
      </c>
      <c r="DR77" s="985">
        <f t="shared" si="86"/>
        <v>0</v>
      </c>
      <c r="DS77" s="984">
        <f t="shared" si="74"/>
        <v>0</v>
      </c>
      <c r="DT77" s="339">
        <f t="shared" si="97"/>
        <v>0</v>
      </c>
      <c r="DU77" s="980">
        <f t="shared" si="87"/>
        <v>0</v>
      </c>
      <c r="DV77" s="985">
        <f t="shared" si="88"/>
        <v>0</v>
      </c>
      <c r="DW77" s="979">
        <f t="shared" si="89"/>
        <v>0</v>
      </c>
      <c r="DX77" s="981">
        <f t="shared" si="90"/>
        <v>0</v>
      </c>
      <c r="DY77" s="414">
        <v>0.17</v>
      </c>
      <c r="DZ77" s="111">
        <v>2007</v>
      </c>
      <c r="EA77" s="118">
        <v>17</v>
      </c>
      <c r="EB77" s="123" t="s">
        <v>145</v>
      </c>
      <c r="EC77" s="113" t="s">
        <v>145</v>
      </c>
      <c r="ED77" s="20"/>
      <c r="EE77" s="414">
        <v>14</v>
      </c>
      <c r="EF77" s="121">
        <v>2012</v>
      </c>
      <c r="EG77" s="380">
        <v>99.373558044433594</v>
      </c>
      <c r="EH77" s="24" t="s">
        <v>341</v>
      </c>
      <c r="EI77" s="288">
        <v>0</v>
      </c>
      <c r="EJ77" s="40" t="s">
        <v>145</v>
      </c>
      <c r="EK77" s="35" t="s">
        <v>145</v>
      </c>
      <c r="EL77" s="95" t="s">
        <v>145</v>
      </c>
      <c r="EM77" s="95" t="s">
        <v>145</v>
      </c>
      <c r="EN77" s="35" t="s">
        <v>145</v>
      </c>
      <c r="EO77" s="95" t="s">
        <v>145</v>
      </c>
      <c r="EP77" s="205" t="s">
        <v>145</v>
      </c>
      <c r="EQ77" s="207" t="s">
        <v>145</v>
      </c>
      <c r="ER77" s="517" t="s">
        <v>145</v>
      </c>
      <c r="ES77" s="183"/>
      <c r="ET77" s="183"/>
      <c r="EU77" s="82"/>
      <c r="EV77" s="82"/>
      <c r="EW77" s="82"/>
      <c r="EX77" s="90"/>
      <c r="EY77" s="159"/>
      <c r="EZ77" s="156"/>
      <c r="FA77" s="323"/>
      <c r="FB77" s="323"/>
      <c r="FC77" s="323"/>
      <c r="FD77" s="160"/>
      <c r="FE77" s="156"/>
      <c r="FF77" s="156"/>
      <c r="FG77" s="156"/>
      <c r="FH77" s="157"/>
      <c r="FI77" s="242"/>
      <c r="FJ77" s="373"/>
      <c r="FK77" s="179"/>
      <c r="FL77" s="179"/>
      <c r="FM77" s="179"/>
      <c r="FN77" s="369"/>
      <c r="FO77" s="164"/>
      <c r="FP77" s="255"/>
      <c r="FQ77" s="183"/>
      <c r="FR77" s="257"/>
      <c r="FS77" s="82"/>
      <c r="FT77" s="259"/>
      <c r="FU77" s="82"/>
      <c r="FV77" s="259"/>
      <c r="FW77" s="82"/>
      <c r="FX77" s="259"/>
      <c r="FY77" s="82"/>
      <c r="FZ77" s="259"/>
      <c r="GA77" s="82"/>
      <c r="GB77" s="261"/>
      <c r="GC77" s="90"/>
      <c r="GD77" s="76">
        <v>1</v>
      </c>
      <c r="GE77" s="445" t="s">
        <v>3424</v>
      </c>
      <c r="GF77" s="447" t="s">
        <v>10</v>
      </c>
      <c r="GG77" s="448">
        <v>1</v>
      </c>
      <c r="GH77" s="449">
        <v>2</v>
      </c>
      <c r="GI77" s="447" t="s">
        <v>10</v>
      </c>
      <c r="GJ77" s="449">
        <v>24</v>
      </c>
      <c r="GK77" s="447">
        <v>5</v>
      </c>
      <c r="GL77" s="448">
        <v>8</v>
      </c>
      <c r="GM77" s="449">
        <v>11</v>
      </c>
      <c r="GN77" s="447" t="s">
        <v>590</v>
      </c>
      <c r="GO77" s="449">
        <v>35</v>
      </c>
      <c r="GP77" s="447">
        <v>11</v>
      </c>
      <c r="GQ77" s="448">
        <v>13</v>
      </c>
      <c r="GR77" s="449">
        <v>11</v>
      </c>
      <c r="GS77" s="446">
        <v>10</v>
      </c>
      <c r="GT77" s="461">
        <v>0.73213499784469604</v>
      </c>
      <c r="GU77" s="462">
        <v>0.77946370840072632</v>
      </c>
      <c r="GV77" s="462">
        <v>0.64429080486297607</v>
      </c>
      <c r="GW77" s="462">
        <v>0.88760280609130859</v>
      </c>
      <c r="GX77" s="462">
        <v>0.56341630220413208</v>
      </c>
      <c r="GY77" s="463">
        <v>0.28822383284568787</v>
      </c>
      <c r="GZ77" s="10">
        <v>39</v>
      </c>
      <c r="HA77" s="536">
        <v>0.66374</v>
      </c>
      <c r="HB77" s="536">
        <v>0.45097999999999999</v>
      </c>
      <c r="HC77" s="525">
        <v>0.55905000000000005</v>
      </c>
      <c r="HD77" s="526">
        <v>0.56535999999999997</v>
      </c>
      <c r="HE77" s="527">
        <v>0.86680000000000001</v>
      </c>
      <c r="HF77" s="10">
        <v>46</v>
      </c>
      <c r="HG77" s="532">
        <v>6.52</v>
      </c>
      <c r="HH77" s="545">
        <v>7.32</v>
      </c>
      <c r="HI77" s="546">
        <v>4.67</v>
      </c>
      <c r="HJ77" s="547">
        <v>8.6199999999999992</v>
      </c>
      <c r="HK77" s="379" t="s">
        <v>4060</v>
      </c>
      <c r="HL77" s="23" t="s">
        <v>4728</v>
      </c>
      <c r="HM77" s="557">
        <v>1992</v>
      </c>
      <c r="HN77" s="557">
        <v>2011</v>
      </c>
      <c r="HO77" s="557" t="s">
        <v>3985</v>
      </c>
      <c r="HP77" s="562" t="s">
        <v>4061</v>
      </c>
      <c r="HQ77" s="639" t="s">
        <v>4729</v>
      </c>
      <c r="HR77" s="563" t="s">
        <v>4031</v>
      </c>
      <c r="HS77" s="545">
        <v>49</v>
      </c>
      <c r="HT77" s="557">
        <v>87</v>
      </c>
      <c r="HU77" s="557">
        <v>1992</v>
      </c>
      <c r="HV77" s="583" t="s">
        <v>4201</v>
      </c>
      <c r="HW77" s="557">
        <v>2</v>
      </c>
      <c r="HX77" s="557">
        <v>29</v>
      </c>
      <c r="HY77" s="557">
        <v>15</v>
      </c>
      <c r="HZ77" s="557">
        <v>12</v>
      </c>
      <c r="IA77" s="557">
        <v>20</v>
      </c>
      <c r="IB77" s="557">
        <v>0</v>
      </c>
      <c r="IC77" s="547">
        <v>9</v>
      </c>
      <c r="ID77" s="40" t="s">
        <v>5199</v>
      </c>
      <c r="IE77" s="355" t="s">
        <v>5200</v>
      </c>
      <c r="IF77" s="355"/>
      <c r="IG77" s="553"/>
      <c r="IH77" s="115"/>
      <c r="II77" s="647" t="s">
        <v>4920</v>
      </c>
      <c r="IJ77" s="423" t="s">
        <v>4926</v>
      </c>
      <c r="IK77" s="10">
        <v>0</v>
      </c>
      <c r="IL77" s="749">
        <f t="shared" si="75"/>
        <v>18</v>
      </c>
      <c r="IM77" s="747">
        <f t="shared" si="76"/>
        <v>72</v>
      </c>
      <c r="IN77" s="750" t="str">
        <f t="shared" si="77"/>
        <v>B</v>
      </c>
      <c r="IO77" s="446"/>
      <c r="IP77" s="902">
        <v>5</v>
      </c>
      <c r="IQ77" s="903">
        <v>0</v>
      </c>
      <c r="IR77" s="993">
        <v>0</v>
      </c>
      <c r="IT77" s="435"/>
      <c r="IU77" s="435"/>
      <c r="IV77" s="435"/>
    </row>
    <row r="78" spans="1:256">
      <c r="A78" s="21">
        <v>76</v>
      </c>
      <c r="B78" s="9"/>
      <c r="C78" s="430" t="s">
        <v>120</v>
      </c>
      <c r="D78" s="424"/>
      <c r="E78" s="24" t="s">
        <v>17</v>
      </c>
      <c r="F78" s="76" t="s">
        <v>815</v>
      </c>
      <c r="G78" s="102" t="s">
        <v>535</v>
      </c>
      <c r="H78" s="375" t="s">
        <v>1630</v>
      </c>
      <c r="I78" s="364" t="s">
        <v>2283</v>
      </c>
      <c r="J78" s="176">
        <v>2</v>
      </c>
      <c r="K78" s="88">
        <v>1953</v>
      </c>
      <c r="L78" s="371">
        <v>2</v>
      </c>
      <c r="M78" s="240" t="s">
        <v>1841</v>
      </c>
      <c r="N78" s="369" t="s">
        <v>2282</v>
      </c>
      <c r="O78" s="365" t="s">
        <v>3037</v>
      </c>
      <c r="P78" s="362" t="s">
        <v>3038</v>
      </c>
      <c r="Q78" s="176">
        <v>2</v>
      </c>
      <c r="R78" s="370">
        <v>1962</v>
      </c>
      <c r="S78" s="234" t="s">
        <v>3188</v>
      </c>
      <c r="T78" s="176">
        <v>1</v>
      </c>
      <c r="U78" s="370">
        <v>1</v>
      </c>
      <c r="V78" s="176">
        <v>14</v>
      </c>
      <c r="W78" s="369" t="s">
        <v>1822</v>
      </c>
      <c r="X78" s="170">
        <v>0</v>
      </c>
      <c r="Y78" s="369">
        <v>0</v>
      </c>
      <c r="Z78" s="273" t="s">
        <v>2050</v>
      </c>
      <c r="AA78" s="169">
        <v>1</v>
      </c>
      <c r="AB78" s="177">
        <v>1</v>
      </c>
      <c r="AC78" s="171"/>
      <c r="AD78" s="366" t="s">
        <v>145</v>
      </c>
      <c r="AE78" s="355" t="s">
        <v>145</v>
      </c>
      <c r="AF78" s="357">
        <v>0</v>
      </c>
      <c r="AG78" s="550">
        <v>1</v>
      </c>
      <c r="AH78" s="355" t="s">
        <v>145</v>
      </c>
      <c r="AI78" s="550" t="s">
        <v>145</v>
      </c>
      <c r="AJ78" s="550" t="s">
        <v>145</v>
      </c>
      <c r="AK78" s="590" t="s">
        <v>145</v>
      </c>
      <c r="AL78" s="357">
        <v>0</v>
      </c>
      <c r="AM78" s="360" t="s">
        <v>145</v>
      </c>
      <c r="AN78" s="397" t="s">
        <v>145</v>
      </c>
      <c r="AO78" s="170">
        <v>0</v>
      </c>
      <c r="AP78" s="369">
        <v>0</v>
      </c>
      <c r="AQ78" s="365" t="s">
        <v>5239</v>
      </c>
      <c r="AR78" s="378" t="s">
        <v>4934</v>
      </c>
      <c r="AS78" s="55">
        <v>2</v>
      </c>
      <c r="AT78" s="370">
        <v>3</v>
      </c>
      <c r="AU78" s="371">
        <v>2006</v>
      </c>
      <c r="AV78" s="370">
        <v>5</v>
      </c>
      <c r="AW78" s="589">
        <v>200</v>
      </c>
      <c r="AX78" s="687">
        <v>0</v>
      </c>
      <c r="AY78" s="174" t="s">
        <v>4488</v>
      </c>
      <c r="AZ78" s="55">
        <v>1989</v>
      </c>
      <c r="BA78" s="55">
        <v>1</v>
      </c>
      <c r="BB78" s="55">
        <v>1</v>
      </c>
      <c r="BC78" s="174" t="s">
        <v>4489</v>
      </c>
      <c r="BD78" s="55">
        <v>1988</v>
      </c>
      <c r="BE78" s="55">
        <v>0</v>
      </c>
      <c r="BF78" s="371" t="s">
        <v>145</v>
      </c>
      <c r="BG78" s="367">
        <v>0</v>
      </c>
      <c r="BH78" s="56" t="s">
        <v>145</v>
      </c>
      <c r="BI78" s="367">
        <v>3</v>
      </c>
      <c r="BJ78" s="367">
        <v>1</v>
      </c>
      <c r="BK78" s="888">
        <v>329.42500000000001</v>
      </c>
      <c r="BL78" s="925">
        <f t="shared" si="62"/>
        <v>49.906655536161495</v>
      </c>
      <c r="BM78" s="888">
        <v>165.02</v>
      </c>
      <c r="BN78" s="920">
        <v>164.405</v>
      </c>
      <c r="BO78" s="888">
        <v>23.010999999999999</v>
      </c>
      <c r="BP78" s="1158">
        <f t="shared" si="78"/>
        <v>49.250358524184094</v>
      </c>
      <c r="BQ78" s="917">
        <v>11.678000000000001</v>
      </c>
      <c r="BR78" s="920">
        <v>11.333</v>
      </c>
      <c r="BS78" s="888">
        <v>23.015000000000001</v>
      </c>
      <c r="BT78" s="1158">
        <f t="shared" si="79"/>
        <v>48.346730393221819</v>
      </c>
      <c r="BU78" s="917">
        <v>11.888</v>
      </c>
      <c r="BV78" s="920">
        <v>11.127000000000001</v>
      </c>
      <c r="BW78" s="888">
        <v>20.911999999999999</v>
      </c>
      <c r="BX78" s="1158">
        <f t="shared" si="80"/>
        <v>49.837413925019128</v>
      </c>
      <c r="BY78" s="917">
        <v>10.49</v>
      </c>
      <c r="BZ78" s="920">
        <v>10.422000000000001</v>
      </c>
      <c r="CA78" s="888">
        <f t="shared" si="81"/>
        <v>262.48700000000002</v>
      </c>
      <c r="CB78" s="1158">
        <f t="shared" si="82"/>
        <v>50.10648146384392</v>
      </c>
      <c r="CC78" s="917">
        <f t="shared" si="83"/>
        <v>130.964</v>
      </c>
      <c r="CD78" s="920">
        <f t="shared" si="84"/>
        <v>131.523</v>
      </c>
      <c r="CE78" s="914">
        <v>2015</v>
      </c>
      <c r="CF78" s="910" t="s">
        <v>5630</v>
      </c>
      <c r="CG78" s="930">
        <v>100</v>
      </c>
      <c r="CH78" s="1005">
        <v>100</v>
      </c>
      <c r="CI78" s="1006">
        <v>100</v>
      </c>
      <c r="CJ78" s="904" t="s">
        <v>1621</v>
      </c>
      <c r="CK78" s="904" t="s">
        <v>1621</v>
      </c>
      <c r="CL78" s="904">
        <v>2010</v>
      </c>
      <c r="CM78" s="905" t="s">
        <v>5576</v>
      </c>
      <c r="CN78" s="1044">
        <f t="shared" ref="CN78" si="98">CP78+CQ78</f>
        <v>239.73400000000001</v>
      </c>
      <c r="CO78" s="1045">
        <f t="shared" si="63"/>
        <v>72.77346892312363</v>
      </c>
      <c r="CP78" s="1049">
        <v>119.373</v>
      </c>
      <c r="CQ78" s="1050">
        <v>120.361</v>
      </c>
      <c r="CR78" s="1046">
        <v>2014</v>
      </c>
      <c r="CS78" s="1047" t="s">
        <v>5646</v>
      </c>
      <c r="CT78" s="1068">
        <f t="shared" si="66"/>
        <v>14</v>
      </c>
      <c r="CU78" s="1071">
        <v>18</v>
      </c>
      <c r="CV78" s="1117" t="s">
        <v>5786</v>
      </c>
      <c r="CW78" s="1113">
        <v>237.95699999999999</v>
      </c>
      <c r="CX78" s="1113">
        <v>242.209</v>
      </c>
      <c r="CY78" s="1113">
        <v>321.85700000000003</v>
      </c>
      <c r="CZ78" s="1048">
        <v>10</v>
      </c>
      <c r="DA78" s="1104">
        <v>5</v>
      </c>
      <c r="DB78" s="1050" t="s">
        <v>647</v>
      </c>
      <c r="DC78" s="1145" t="s">
        <v>323</v>
      </c>
      <c r="DD78" s="1131">
        <f t="shared" si="91"/>
        <v>22.753000000000014</v>
      </c>
      <c r="DE78" s="1132">
        <f t="shared" si="67"/>
        <v>6.9068832055854941</v>
      </c>
      <c r="DF78" s="1132">
        <f t="shared" si="92"/>
        <v>49.057267173559467</v>
      </c>
      <c r="DG78" s="1133">
        <f t="shared" si="93"/>
        <v>11.590999999999994</v>
      </c>
      <c r="DH78" s="1133">
        <f t="shared" si="94"/>
        <v>11.161999999999992</v>
      </c>
      <c r="DI78" s="1132">
        <f t="shared" si="68"/>
        <v>7.0239970912616609</v>
      </c>
      <c r="DJ78" s="1134">
        <f t="shared" si="69"/>
        <v>6.7893312247194375</v>
      </c>
      <c r="DK78" s="1135">
        <f t="shared" si="70"/>
        <v>22.753000000000014</v>
      </c>
      <c r="DL78" s="1132">
        <f t="shared" si="95"/>
        <v>49.057267173559467</v>
      </c>
      <c r="DM78" s="1133">
        <f t="shared" si="71"/>
        <v>11.590999999999994</v>
      </c>
      <c r="DN78" s="1136">
        <f t="shared" si="72"/>
        <v>11.161999999999992</v>
      </c>
      <c r="DO78" s="1135">
        <f t="shared" si="73"/>
        <v>0</v>
      </c>
      <c r="DP78" s="1132">
        <f t="shared" si="96"/>
        <v>0</v>
      </c>
      <c r="DQ78" s="1133">
        <f t="shared" si="85"/>
        <v>0</v>
      </c>
      <c r="DR78" s="1136">
        <f t="shared" si="86"/>
        <v>0</v>
      </c>
      <c r="DS78" s="1135">
        <f t="shared" si="74"/>
        <v>0</v>
      </c>
      <c r="DT78" s="1137">
        <f t="shared" si="97"/>
        <v>0</v>
      </c>
      <c r="DU78" s="1133">
        <f t="shared" si="87"/>
        <v>0</v>
      </c>
      <c r="DV78" s="1136">
        <f t="shared" si="88"/>
        <v>0</v>
      </c>
      <c r="DW78" s="1132">
        <f t="shared" si="89"/>
        <v>0</v>
      </c>
      <c r="DX78" s="1134">
        <f t="shared" si="90"/>
        <v>0</v>
      </c>
      <c r="DY78" s="414" t="s">
        <v>145</v>
      </c>
      <c r="DZ78" s="111" t="s">
        <v>145</v>
      </c>
      <c r="EA78" s="118"/>
      <c r="EB78" s="123" t="s">
        <v>145</v>
      </c>
      <c r="EC78" s="113" t="s">
        <v>145</v>
      </c>
      <c r="ED78" s="20"/>
      <c r="EE78" s="414" t="s">
        <v>145</v>
      </c>
      <c r="EF78" s="111" t="s">
        <v>145</v>
      </c>
      <c r="EG78" s="380" t="s">
        <v>145</v>
      </c>
      <c r="EH78" s="24" t="s">
        <v>381</v>
      </c>
      <c r="EI78" s="287">
        <v>0</v>
      </c>
      <c r="EJ78" s="40" t="s">
        <v>145</v>
      </c>
      <c r="EK78" s="35" t="s">
        <v>145</v>
      </c>
      <c r="EL78" s="364" t="s">
        <v>145</v>
      </c>
      <c r="EM78" s="364" t="s">
        <v>145</v>
      </c>
      <c r="EN78" s="35" t="s">
        <v>145</v>
      </c>
      <c r="EO78" s="364" t="s">
        <v>145</v>
      </c>
      <c r="EP78" s="205" t="s">
        <v>145</v>
      </c>
      <c r="EQ78" s="207" t="s">
        <v>145</v>
      </c>
      <c r="ER78" s="517" t="s">
        <v>145</v>
      </c>
      <c r="ES78" s="183"/>
      <c r="ET78" s="183"/>
      <c r="EU78" s="82"/>
      <c r="EV78" s="82"/>
      <c r="EW78" s="82"/>
      <c r="EX78" s="90"/>
      <c r="EY78" s="159"/>
      <c r="EZ78" s="156"/>
      <c r="FA78" s="323"/>
      <c r="FB78" s="323"/>
      <c r="FC78" s="323"/>
      <c r="FD78" s="160"/>
      <c r="FE78" s="156"/>
      <c r="FF78" s="156"/>
      <c r="FG78" s="156"/>
      <c r="FH78" s="157"/>
      <c r="FI78" s="242"/>
      <c r="FJ78" s="240"/>
      <c r="FK78" s="179"/>
      <c r="FL78" s="179"/>
      <c r="FM78" s="179"/>
      <c r="FN78" s="369"/>
      <c r="FO78" s="164"/>
      <c r="FP78" s="255"/>
      <c r="FQ78" s="183"/>
      <c r="FR78" s="257"/>
      <c r="FS78" s="82"/>
      <c r="FT78" s="259"/>
      <c r="FU78" s="82"/>
      <c r="FV78" s="259"/>
      <c r="FW78" s="82"/>
      <c r="FX78" s="259"/>
      <c r="FY78" s="82"/>
      <c r="FZ78" s="259"/>
      <c r="GA78" s="82"/>
      <c r="GB78" s="261"/>
      <c r="GC78" s="90"/>
      <c r="GD78" s="76">
        <v>1</v>
      </c>
      <c r="GE78" s="445" t="s">
        <v>3424</v>
      </c>
      <c r="GF78" s="447" t="s">
        <v>10</v>
      </c>
      <c r="GG78" s="448">
        <v>1</v>
      </c>
      <c r="GH78" s="449">
        <v>1</v>
      </c>
      <c r="GI78" s="447" t="s">
        <v>10</v>
      </c>
      <c r="GJ78" s="449">
        <v>6</v>
      </c>
      <c r="GK78" s="447">
        <v>1</v>
      </c>
      <c r="GL78" s="448">
        <v>1</v>
      </c>
      <c r="GM78" s="449">
        <v>4</v>
      </c>
      <c r="GN78" s="447" t="s">
        <v>10</v>
      </c>
      <c r="GO78" s="449">
        <v>12</v>
      </c>
      <c r="GP78" s="447">
        <v>3</v>
      </c>
      <c r="GQ78" s="448">
        <v>4</v>
      </c>
      <c r="GR78" s="449">
        <v>5</v>
      </c>
      <c r="GS78" s="446"/>
      <c r="GT78" s="461">
        <v>1.4578932523727417</v>
      </c>
      <c r="GU78" s="462">
        <v>1.260259747505188</v>
      </c>
      <c r="GV78" s="462">
        <v>1.4831475019454956</v>
      </c>
      <c r="GW78" s="462">
        <v>1.0913155078887939</v>
      </c>
      <c r="GX78" s="462">
        <v>1.6451395750045776</v>
      </c>
      <c r="GY78" s="463">
        <v>1.8996330499649048</v>
      </c>
      <c r="GZ78" s="10">
        <v>19</v>
      </c>
      <c r="HA78" s="536">
        <v>0.79700000000000004</v>
      </c>
      <c r="HB78" s="536">
        <v>0.49019000000000001</v>
      </c>
      <c r="HC78" s="525">
        <v>0.61416999999999999</v>
      </c>
      <c r="HD78" s="526">
        <v>0.85906000000000005</v>
      </c>
      <c r="HE78" s="527">
        <v>0.91779999999999995</v>
      </c>
      <c r="HF78" s="10">
        <v>4</v>
      </c>
      <c r="HG78" s="532">
        <v>8.64</v>
      </c>
      <c r="HH78" s="545">
        <v>9.2799999999999994</v>
      </c>
      <c r="HI78" s="546">
        <v>7.65</v>
      </c>
      <c r="HJ78" s="547">
        <v>9.32</v>
      </c>
      <c r="HK78" s="379" t="s">
        <v>4062</v>
      </c>
      <c r="HL78" s="23" t="s">
        <v>4730</v>
      </c>
      <c r="HM78" s="557">
        <v>1989</v>
      </c>
      <c r="HN78" s="557">
        <v>2000</v>
      </c>
      <c r="HO78" s="557" t="s">
        <v>3985</v>
      </c>
      <c r="HP78" s="562" t="s">
        <v>3988</v>
      </c>
      <c r="HQ78" s="639" t="s">
        <v>4731</v>
      </c>
      <c r="HR78" s="563" t="s">
        <v>4063</v>
      </c>
      <c r="HS78" s="545">
        <v>87</v>
      </c>
      <c r="HT78" s="557">
        <v>64</v>
      </c>
      <c r="HU78" s="557">
        <v>1996</v>
      </c>
      <c r="HV78" s="583" t="s">
        <v>4202</v>
      </c>
      <c r="HW78" s="557">
        <v>0</v>
      </c>
      <c r="HX78" s="557">
        <v>10</v>
      </c>
      <c r="HY78" s="557">
        <v>21</v>
      </c>
      <c r="HZ78" s="557">
        <v>17</v>
      </c>
      <c r="IA78" s="557">
        <v>12</v>
      </c>
      <c r="IB78" s="557">
        <v>0</v>
      </c>
      <c r="IC78" s="547">
        <v>4</v>
      </c>
      <c r="ID78" s="660" t="s">
        <v>5020</v>
      </c>
      <c r="IE78" s="355" t="s">
        <v>5200</v>
      </c>
      <c r="IF78" s="355"/>
      <c r="IG78" s="553"/>
      <c r="IH78" s="339"/>
      <c r="II78" s="553" t="s">
        <v>4920</v>
      </c>
      <c r="IJ78" s="424" t="s">
        <v>4926</v>
      </c>
      <c r="IK78" s="24">
        <v>1</v>
      </c>
      <c r="IL78" s="749">
        <f t="shared" si="75"/>
        <v>13</v>
      </c>
      <c r="IM78" s="747">
        <f t="shared" si="76"/>
        <v>52</v>
      </c>
      <c r="IN78" s="750" t="str">
        <f t="shared" si="77"/>
        <v>B</v>
      </c>
      <c r="IO78" s="446"/>
      <c r="IP78" s="902">
        <v>5</v>
      </c>
      <c r="IQ78" s="903">
        <v>0</v>
      </c>
      <c r="IR78" s="993">
        <v>0</v>
      </c>
      <c r="IT78" s="435"/>
      <c r="IU78" s="435"/>
      <c r="IV78" s="435"/>
    </row>
    <row r="79" spans="1:256">
      <c r="A79" s="21">
        <v>77</v>
      </c>
      <c r="B79" s="9"/>
      <c r="C79" s="430" t="s">
        <v>122</v>
      </c>
      <c r="D79" s="423" t="s">
        <v>411</v>
      </c>
      <c r="E79" s="24" t="s">
        <v>20</v>
      </c>
      <c r="F79" s="76" t="s">
        <v>816</v>
      </c>
      <c r="G79" s="102" t="s">
        <v>532</v>
      </c>
      <c r="H79" s="375" t="s">
        <v>2285</v>
      </c>
      <c r="I79" s="364" t="s">
        <v>2284</v>
      </c>
      <c r="J79" s="370">
        <v>5</v>
      </c>
      <c r="K79" s="359">
        <v>1950</v>
      </c>
      <c r="L79" s="371">
        <v>2</v>
      </c>
      <c r="M79" s="373" t="s">
        <v>1809</v>
      </c>
      <c r="N79" s="369" t="s">
        <v>1822</v>
      </c>
      <c r="O79" s="365" t="s">
        <v>1966</v>
      </c>
      <c r="P79" s="377" t="s">
        <v>2732</v>
      </c>
      <c r="Q79" s="370">
        <v>6</v>
      </c>
      <c r="R79" s="370">
        <v>2007</v>
      </c>
      <c r="S79" s="372" t="s">
        <v>3189</v>
      </c>
      <c r="T79" s="370">
        <v>2</v>
      </c>
      <c r="U79" s="370">
        <v>2</v>
      </c>
      <c r="V79" s="370">
        <v>0</v>
      </c>
      <c r="W79" s="369" t="s">
        <v>1822</v>
      </c>
      <c r="X79" s="170">
        <v>1</v>
      </c>
      <c r="Y79" s="369">
        <v>0</v>
      </c>
      <c r="Z79" s="273" t="s">
        <v>2055</v>
      </c>
      <c r="AA79" s="169">
        <v>1</v>
      </c>
      <c r="AB79" s="177">
        <v>1</v>
      </c>
      <c r="AC79" s="171"/>
      <c r="AD79" s="365" t="s">
        <v>1966</v>
      </c>
      <c r="AE79" s="357">
        <v>2010</v>
      </c>
      <c r="AF79" s="804">
        <v>3</v>
      </c>
      <c r="AG79" s="550" t="s">
        <v>5171</v>
      </c>
      <c r="AH79" s="355" t="s">
        <v>2786</v>
      </c>
      <c r="AI79" s="550">
        <v>1</v>
      </c>
      <c r="AJ79" s="550">
        <v>1</v>
      </c>
      <c r="AK79" s="590">
        <v>1200000</v>
      </c>
      <c r="AL79" s="387" t="s">
        <v>3023</v>
      </c>
      <c r="AM79" s="361" t="s">
        <v>2759</v>
      </c>
      <c r="AN79" s="344" t="s">
        <v>145</v>
      </c>
      <c r="AO79" s="170">
        <v>1</v>
      </c>
      <c r="AP79" s="369">
        <v>1</v>
      </c>
      <c r="AQ79" s="365" t="s">
        <v>5240</v>
      </c>
      <c r="AR79" s="377" t="s">
        <v>4993</v>
      </c>
      <c r="AS79" s="55">
        <v>2</v>
      </c>
      <c r="AT79" s="370">
        <v>3</v>
      </c>
      <c r="AU79" s="371">
        <v>2008</v>
      </c>
      <c r="AV79" s="370">
        <v>5</v>
      </c>
      <c r="AW79" s="589">
        <v>20000</v>
      </c>
      <c r="AX79" s="687">
        <v>0</v>
      </c>
      <c r="AY79" s="174" t="s">
        <v>2168</v>
      </c>
      <c r="AZ79" s="55">
        <v>2013</v>
      </c>
      <c r="BA79" s="55">
        <v>1</v>
      </c>
      <c r="BB79" s="55">
        <v>2</v>
      </c>
      <c r="BC79" s="174" t="s">
        <v>4490</v>
      </c>
      <c r="BD79" s="55">
        <v>1956</v>
      </c>
      <c r="BE79" s="55">
        <v>1</v>
      </c>
      <c r="BF79" s="367" t="s">
        <v>323</v>
      </c>
      <c r="BG79" s="367">
        <v>0</v>
      </c>
      <c r="BH79" s="56" t="s">
        <v>145</v>
      </c>
      <c r="BI79" s="367">
        <v>2</v>
      </c>
      <c r="BJ79" s="367">
        <v>1</v>
      </c>
      <c r="BK79" s="888">
        <v>1311050.527</v>
      </c>
      <c r="BL79" s="925">
        <f t="shared" si="62"/>
        <v>48.16764159692832</v>
      </c>
      <c r="BM79" s="888">
        <v>679548.40800000005</v>
      </c>
      <c r="BN79" s="920">
        <v>631502.11899999995</v>
      </c>
      <c r="BO79" s="888">
        <v>123711.48699999999</v>
      </c>
      <c r="BP79" s="1158">
        <f t="shared" si="78"/>
        <v>47.365351772063015</v>
      </c>
      <c r="BQ79" s="917">
        <v>65115.106</v>
      </c>
      <c r="BR79" s="920">
        <v>58596.381000000001</v>
      </c>
      <c r="BS79" s="888">
        <v>126965.226</v>
      </c>
      <c r="BT79" s="1158">
        <f t="shared" si="79"/>
        <v>47.272121580754721</v>
      </c>
      <c r="BU79" s="917">
        <v>66946.070000000007</v>
      </c>
      <c r="BV79" s="920">
        <v>60019.156000000003</v>
      </c>
      <c r="BW79" s="888">
        <v>126750.182</v>
      </c>
      <c r="BX79" s="1158">
        <f t="shared" si="80"/>
        <v>47.231387012919633</v>
      </c>
      <c r="BY79" s="917">
        <v>66884.312999999995</v>
      </c>
      <c r="BZ79" s="920">
        <v>59865.868999999999</v>
      </c>
      <c r="CA79" s="888">
        <f t="shared" si="81"/>
        <v>933623.63199999998</v>
      </c>
      <c r="CB79" s="1158">
        <f t="shared" si="82"/>
        <v>48.522841268439514</v>
      </c>
      <c r="CC79" s="917">
        <f t="shared" si="83"/>
        <v>480602.91900000011</v>
      </c>
      <c r="CD79" s="920">
        <f t="shared" si="84"/>
        <v>453020.71299999987</v>
      </c>
      <c r="CE79" s="914">
        <v>2015</v>
      </c>
      <c r="CF79" s="910" t="s">
        <v>5630</v>
      </c>
      <c r="CG79" s="930">
        <v>83.6</v>
      </c>
      <c r="CH79" s="504">
        <v>83.6</v>
      </c>
      <c r="CI79" s="1008">
        <v>83.6</v>
      </c>
      <c r="CJ79" s="904" t="s">
        <v>1621</v>
      </c>
      <c r="CK79" s="904" t="s">
        <v>1621</v>
      </c>
      <c r="CL79" s="904">
        <v>2011</v>
      </c>
      <c r="CM79" s="1128" t="s">
        <v>5584</v>
      </c>
      <c r="CN79" s="1053">
        <v>834082.81400000001</v>
      </c>
      <c r="CO79" s="1045">
        <f t="shared" si="63"/>
        <v>63.61942555399316</v>
      </c>
      <c r="CP79" s="1054">
        <v>437063.89899999998</v>
      </c>
      <c r="CQ79" s="1055">
        <v>397018.91499999998</v>
      </c>
      <c r="CR79" s="1046">
        <v>2014</v>
      </c>
      <c r="CS79" s="1013" t="s">
        <v>5788</v>
      </c>
      <c r="CT79" s="1068">
        <f t="shared" si="66"/>
        <v>0</v>
      </c>
      <c r="CU79" s="1073">
        <v>18</v>
      </c>
      <c r="CV79" s="1068" t="s">
        <v>5787</v>
      </c>
      <c r="CW79" s="1113">
        <v>834101.47900000005</v>
      </c>
      <c r="CX79" s="1113">
        <v>787860.32799999998</v>
      </c>
      <c r="CY79" s="1113">
        <v>1236344.6310000001</v>
      </c>
      <c r="CZ79" s="1048">
        <v>20</v>
      </c>
      <c r="DA79" s="1104">
        <v>6</v>
      </c>
      <c r="DB79" s="1050" t="s">
        <v>647</v>
      </c>
      <c r="DC79" s="1143" t="s">
        <v>320</v>
      </c>
      <c r="DD79" s="978">
        <f t="shared" si="91"/>
        <v>476967.71299999999</v>
      </c>
      <c r="DE79" s="979">
        <f t="shared" si="67"/>
        <v>36.380574446006833</v>
      </c>
      <c r="DF79" s="979">
        <f t="shared" si="92"/>
        <v>49.161232009848845</v>
      </c>
      <c r="DG79" s="980">
        <f t="shared" si="93"/>
        <v>242484.50900000008</v>
      </c>
      <c r="DH79" s="980">
        <f t="shared" si="94"/>
        <v>234483.20399999997</v>
      </c>
      <c r="DI79" s="979">
        <f t="shared" si="68"/>
        <v>35.683184030062513</v>
      </c>
      <c r="DJ79" s="981">
        <f t="shared" si="69"/>
        <v>37.131024100332432</v>
      </c>
      <c r="DK79" s="984">
        <f t="shared" si="70"/>
        <v>415069.70221999998</v>
      </c>
      <c r="DL79" s="979">
        <f t="shared" si="95"/>
        <v>49.440431888529176</v>
      </c>
      <c r="DM79" s="980">
        <f t="shared" si="71"/>
        <v>209857.44880400007</v>
      </c>
      <c r="DN79" s="985">
        <f t="shared" si="72"/>
        <v>205212.25341599996</v>
      </c>
      <c r="DO79" s="984">
        <f t="shared" si="73"/>
        <v>41609.326912000004</v>
      </c>
      <c r="DP79" s="979">
        <f t="shared" si="96"/>
        <v>47.251771559731218</v>
      </c>
      <c r="DQ79" s="980">
        <f t="shared" si="85"/>
        <v>21948.182812000006</v>
      </c>
      <c r="DR79" s="985">
        <f t="shared" si="86"/>
        <v>19661.144100000005</v>
      </c>
      <c r="DS79" s="984">
        <f t="shared" si="74"/>
        <v>20288.683868000004</v>
      </c>
      <c r="DT79" s="339">
        <f t="shared" si="97"/>
        <v>47.365351772063015</v>
      </c>
      <c r="DU79" s="980">
        <f t="shared" si="87"/>
        <v>10678.877384000003</v>
      </c>
      <c r="DV79" s="985">
        <f t="shared" si="88"/>
        <v>9609.8064840000025</v>
      </c>
      <c r="DW79" s="979">
        <f t="shared" si="89"/>
        <v>16.400000000000002</v>
      </c>
      <c r="DX79" s="981">
        <f t="shared" si="90"/>
        <v>16.400000000000002</v>
      </c>
      <c r="DY79" s="414">
        <v>32.68</v>
      </c>
      <c r="DZ79" s="111">
        <v>2010</v>
      </c>
      <c r="EA79" s="368">
        <v>405967.87092000002</v>
      </c>
      <c r="EB79" s="123">
        <v>29.8</v>
      </c>
      <c r="EC79" s="113">
        <v>2010</v>
      </c>
      <c r="ED79" s="20">
        <v>369964.60408000002</v>
      </c>
      <c r="EE79" s="414">
        <v>29.8</v>
      </c>
      <c r="EF79" s="111">
        <v>2010</v>
      </c>
      <c r="EG79" s="380">
        <v>62.754474639892599</v>
      </c>
      <c r="EH79" s="24" t="s">
        <v>339</v>
      </c>
      <c r="EI79" s="287">
        <v>1</v>
      </c>
      <c r="EJ79" s="40">
        <v>2</v>
      </c>
      <c r="EK79" s="355" t="s">
        <v>728</v>
      </c>
      <c r="EL79" s="364" t="s">
        <v>145</v>
      </c>
      <c r="EM79" s="364" t="s">
        <v>145</v>
      </c>
      <c r="EN79" s="355" t="s">
        <v>145</v>
      </c>
      <c r="EO79" s="364" t="s">
        <v>1726</v>
      </c>
      <c r="EP79" s="205">
        <v>0</v>
      </c>
      <c r="EQ79" s="207" t="s">
        <v>145</v>
      </c>
      <c r="ER79" s="517">
        <v>6</v>
      </c>
      <c r="ES79" s="183" t="s">
        <v>145</v>
      </c>
      <c r="ET79" s="183" t="s">
        <v>3912</v>
      </c>
      <c r="EU79" s="82">
        <v>0</v>
      </c>
      <c r="EV79" s="82" t="s">
        <v>3883</v>
      </c>
      <c r="EW79" s="82" t="s">
        <v>3913</v>
      </c>
      <c r="EX79" s="360" t="s">
        <v>145</v>
      </c>
      <c r="EY79" s="159"/>
      <c r="EZ79" s="156"/>
      <c r="FA79" s="323"/>
      <c r="FB79" s="323"/>
      <c r="FC79" s="323"/>
      <c r="FD79" s="160"/>
      <c r="FE79" s="156"/>
      <c r="FF79" s="156"/>
      <c r="FG79" s="156"/>
      <c r="FH79" s="157"/>
      <c r="FI79" s="242"/>
      <c r="FJ79" s="373"/>
      <c r="FK79" s="179"/>
      <c r="FL79" s="179"/>
      <c r="FM79" s="179"/>
      <c r="FN79" s="369"/>
      <c r="FO79" s="232"/>
      <c r="FP79" s="255">
        <v>1</v>
      </c>
      <c r="FQ79" s="183" t="s">
        <v>1887</v>
      </c>
      <c r="FR79" s="257"/>
      <c r="FS79" s="82"/>
      <c r="FT79" s="259">
        <v>1</v>
      </c>
      <c r="FU79" s="82" t="s">
        <v>1888</v>
      </c>
      <c r="FV79" s="259">
        <v>1</v>
      </c>
      <c r="FW79" s="82" t="s">
        <v>1889</v>
      </c>
      <c r="FX79" s="259">
        <v>1</v>
      </c>
      <c r="FY79" s="82" t="s">
        <v>1890</v>
      </c>
      <c r="FZ79" s="259">
        <v>1</v>
      </c>
      <c r="GA79" s="82" t="s">
        <v>1891</v>
      </c>
      <c r="GB79" s="261">
        <v>1</v>
      </c>
      <c r="GC79" s="360" t="s">
        <v>1892</v>
      </c>
      <c r="GD79" s="76">
        <v>2</v>
      </c>
      <c r="GE79" s="445" t="s">
        <v>3425</v>
      </c>
      <c r="GF79" s="447" t="s">
        <v>10</v>
      </c>
      <c r="GG79" s="448">
        <v>2</v>
      </c>
      <c r="GH79" s="449">
        <v>3</v>
      </c>
      <c r="GI79" s="447" t="s">
        <v>590</v>
      </c>
      <c r="GJ79" s="449">
        <v>42</v>
      </c>
      <c r="GK79" s="447">
        <v>13</v>
      </c>
      <c r="GL79" s="448">
        <v>10</v>
      </c>
      <c r="GM79" s="449">
        <v>19</v>
      </c>
      <c r="GN79" s="447" t="s">
        <v>590</v>
      </c>
      <c r="GO79" s="449">
        <v>39</v>
      </c>
      <c r="GP79" s="447">
        <v>10</v>
      </c>
      <c r="GQ79" s="448">
        <v>20</v>
      </c>
      <c r="GR79" s="449">
        <v>9</v>
      </c>
      <c r="GS79" s="446">
        <v>9</v>
      </c>
      <c r="GT79" s="461">
        <v>0.41172811388969421</v>
      </c>
      <c r="GU79" s="462">
        <v>-1.1874749660491943</v>
      </c>
      <c r="GV79" s="462">
        <v>-0.18987399339675903</v>
      </c>
      <c r="GW79" s="462">
        <v>-0.47332155704498291</v>
      </c>
      <c r="GX79" s="462">
        <v>-9.8995424807071686E-2</v>
      </c>
      <c r="GY79" s="463">
        <v>-0.55983805656433105</v>
      </c>
      <c r="GZ79" s="10">
        <v>118</v>
      </c>
      <c r="HA79" s="536">
        <v>0.38342999999999999</v>
      </c>
      <c r="HB79" s="536">
        <v>0.62744999999999995</v>
      </c>
      <c r="HC79" s="525">
        <v>0.54330000000000001</v>
      </c>
      <c r="HD79" s="526">
        <v>0.13722999999999999</v>
      </c>
      <c r="HE79" s="527">
        <v>0.4698</v>
      </c>
      <c r="HF79" s="10">
        <v>129</v>
      </c>
      <c r="HG79" s="532">
        <v>2.5299999999999998</v>
      </c>
      <c r="HH79" s="545">
        <v>3.05</v>
      </c>
      <c r="HI79" s="546">
        <v>0.68</v>
      </c>
      <c r="HJ79" s="547">
        <v>5.2</v>
      </c>
      <c r="HK79" s="379" t="s">
        <v>4064</v>
      </c>
      <c r="HL79" s="23" t="s">
        <v>4732</v>
      </c>
      <c r="HM79" s="557">
        <v>2011</v>
      </c>
      <c r="HN79" s="557">
        <v>2011</v>
      </c>
      <c r="HO79" s="557" t="s">
        <v>4065</v>
      </c>
      <c r="HP79" s="562" t="s">
        <v>145</v>
      </c>
      <c r="HQ79" s="562" t="s">
        <v>145</v>
      </c>
      <c r="HR79" s="563" t="s">
        <v>145</v>
      </c>
      <c r="HS79" s="545">
        <v>3</v>
      </c>
      <c r="HT79" s="557">
        <v>128</v>
      </c>
      <c r="HU79" s="557">
        <v>2005</v>
      </c>
      <c r="HV79" s="583" t="s">
        <v>4203</v>
      </c>
      <c r="HW79" s="557">
        <v>5</v>
      </c>
      <c r="HX79" s="557">
        <v>25</v>
      </c>
      <c r="HY79" s="557">
        <v>25</v>
      </c>
      <c r="HZ79" s="557">
        <v>26</v>
      </c>
      <c r="IA79" s="557">
        <v>29</v>
      </c>
      <c r="IB79" s="557">
        <v>5</v>
      </c>
      <c r="IC79" s="547">
        <v>13</v>
      </c>
      <c r="ID79" s="40"/>
      <c r="IE79" s="550"/>
      <c r="IF79" s="550"/>
      <c r="IG79" s="553"/>
      <c r="IH79" s="115"/>
      <c r="II79" s="647" t="s">
        <v>4922</v>
      </c>
      <c r="IJ79" s="423" t="s">
        <v>4926</v>
      </c>
      <c r="IK79" s="10">
        <v>0</v>
      </c>
      <c r="IL79" s="749">
        <f t="shared" si="75"/>
        <v>22</v>
      </c>
      <c r="IM79" s="747">
        <f t="shared" si="76"/>
        <v>88</v>
      </c>
      <c r="IN79" s="750" t="str">
        <f t="shared" si="77"/>
        <v>A</v>
      </c>
      <c r="IO79" s="446"/>
      <c r="IP79" s="902">
        <v>6</v>
      </c>
      <c r="IQ79" s="903">
        <v>1</v>
      </c>
      <c r="IR79" s="993">
        <v>0</v>
      </c>
      <c r="IT79" s="435"/>
      <c r="IU79" s="435"/>
      <c r="IV79" s="435"/>
    </row>
    <row r="80" spans="1:256">
      <c r="A80" s="21">
        <v>78</v>
      </c>
      <c r="B80" s="9"/>
      <c r="C80" s="430" t="s">
        <v>123</v>
      </c>
      <c r="D80" s="424" t="s">
        <v>407</v>
      </c>
      <c r="E80" s="24" t="s">
        <v>20</v>
      </c>
      <c r="F80" s="76" t="s">
        <v>817</v>
      </c>
      <c r="G80" s="102" t="s">
        <v>529</v>
      </c>
      <c r="H80" s="375" t="s">
        <v>2287</v>
      </c>
      <c r="I80" s="364" t="s">
        <v>2286</v>
      </c>
      <c r="J80" s="370">
        <v>6</v>
      </c>
      <c r="K80" s="359">
        <v>1958</v>
      </c>
      <c r="L80" s="371">
        <v>2</v>
      </c>
      <c r="M80" s="373" t="s">
        <v>1816</v>
      </c>
      <c r="N80" s="369" t="s">
        <v>1822</v>
      </c>
      <c r="O80" s="365" t="s">
        <v>3221</v>
      </c>
      <c r="P80" s="362" t="s">
        <v>3220</v>
      </c>
      <c r="Q80" s="370">
        <v>2</v>
      </c>
      <c r="R80" s="370">
        <v>2011</v>
      </c>
      <c r="S80" s="372" t="s">
        <v>1991</v>
      </c>
      <c r="T80" s="370">
        <v>1</v>
      </c>
      <c r="U80" s="370">
        <v>2</v>
      </c>
      <c r="V80" s="370">
        <v>17</v>
      </c>
      <c r="W80" s="369" t="s">
        <v>1822</v>
      </c>
      <c r="X80" s="170">
        <v>1</v>
      </c>
      <c r="Y80" s="369">
        <v>1</v>
      </c>
      <c r="Z80" s="273" t="s">
        <v>1984</v>
      </c>
      <c r="AA80" s="169">
        <v>1</v>
      </c>
      <c r="AB80" s="177">
        <v>1</v>
      </c>
      <c r="AC80" s="171"/>
      <c r="AD80" s="365" t="s">
        <v>3221</v>
      </c>
      <c r="AE80" s="357">
        <v>2015</v>
      </c>
      <c r="AF80" s="357">
        <v>2</v>
      </c>
      <c r="AG80" s="550" t="s">
        <v>5171</v>
      </c>
      <c r="AH80" s="355" t="s">
        <v>3191</v>
      </c>
      <c r="AI80" s="55">
        <v>0</v>
      </c>
      <c r="AJ80" s="55">
        <v>0</v>
      </c>
      <c r="AK80" s="589">
        <v>172000</v>
      </c>
      <c r="AL80" s="386">
        <v>10</v>
      </c>
      <c r="AM80" s="361" t="s">
        <v>2809</v>
      </c>
      <c r="AN80" s="344">
        <v>4</v>
      </c>
      <c r="AO80" s="170">
        <v>1</v>
      </c>
      <c r="AP80" s="369">
        <v>1</v>
      </c>
      <c r="AQ80" s="365" t="s">
        <v>5241</v>
      </c>
      <c r="AR80" s="378" t="s">
        <v>5242</v>
      </c>
      <c r="AS80" s="55">
        <v>2</v>
      </c>
      <c r="AT80" s="370">
        <v>2</v>
      </c>
      <c r="AU80" s="371">
        <v>2010</v>
      </c>
      <c r="AV80" s="370">
        <v>5</v>
      </c>
      <c r="AW80" s="589">
        <v>2500</v>
      </c>
      <c r="AX80" s="687">
        <v>0</v>
      </c>
      <c r="AY80" s="174" t="s">
        <v>4491</v>
      </c>
      <c r="AZ80" s="55">
        <v>1977</v>
      </c>
      <c r="BA80" s="55">
        <v>0</v>
      </c>
      <c r="BB80" s="55">
        <v>1</v>
      </c>
      <c r="BC80" s="174" t="s">
        <v>4492</v>
      </c>
      <c r="BD80" s="55">
        <v>2008</v>
      </c>
      <c r="BE80" s="55">
        <v>0</v>
      </c>
      <c r="BF80" s="371" t="s">
        <v>145</v>
      </c>
      <c r="BG80" s="367">
        <v>0</v>
      </c>
      <c r="BH80" s="56" t="s">
        <v>145</v>
      </c>
      <c r="BI80" s="367">
        <v>0</v>
      </c>
      <c r="BJ80" s="367">
        <v>1</v>
      </c>
      <c r="BK80" s="888">
        <v>257563.815</v>
      </c>
      <c r="BL80" s="925">
        <f t="shared" si="62"/>
        <v>49.648253579409044</v>
      </c>
      <c r="BM80" s="888">
        <v>129687.879</v>
      </c>
      <c r="BN80" s="920">
        <v>127875.936</v>
      </c>
      <c r="BO80" s="888">
        <v>24863.562000000002</v>
      </c>
      <c r="BP80" s="1158">
        <f t="shared" si="78"/>
        <v>48.937859346138737</v>
      </c>
      <c r="BQ80" s="917">
        <v>12695.867</v>
      </c>
      <c r="BR80" s="920">
        <v>12167.695</v>
      </c>
      <c r="BS80" s="888">
        <v>22923.743999999999</v>
      </c>
      <c r="BT80" s="1158">
        <f t="shared" si="79"/>
        <v>48.597153239889614</v>
      </c>
      <c r="BU80" s="917">
        <v>11783.457</v>
      </c>
      <c r="BV80" s="920">
        <v>11140.287</v>
      </c>
      <c r="BW80" s="888">
        <v>23538.262999999999</v>
      </c>
      <c r="BX80" s="1158">
        <f t="shared" si="80"/>
        <v>48.51173172803788</v>
      </c>
      <c r="BY80" s="917">
        <v>12119.444</v>
      </c>
      <c r="BZ80" s="920">
        <v>11418.819</v>
      </c>
      <c r="CA80" s="888">
        <f t="shared" si="81"/>
        <v>186238.24599999998</v>
      </c>
      <c r="CB80" s="1158">
        <f t="shared" si="82"/>
        <v>50.016114842490524</v>
      </c>
      <c r="CC80" s="917">
        <f t="shared" si="83"/>
        <v>93089.111000000004</v>
      </c>
      <c r="CD80" s="920">
        <f t="shared" si="84"/>
        <v>93149.135000000009</v>
      </c>
      <c r="CE80" s="914">
        <v>2015</v>
      </c>
      <c r="CF80" s="910" t="s">
        <v>5630</v>
      </c>
      <c r="CG80" s="1026">
        <v>66.599999999999994</v>
      </c>
      <c r="CH80" s="495">
        <v>66.3</v>
      </c>
      <c r="CI80" s="497">
        <v>67</v>
      </c>
      <c r="CJ80" s="904">
        <v>75.7</v>
      </c>
      <c r="CK80" s="904">
        <v>57.9</v>
      </c>
      <c r="CL80" s="904">
        <v>2012</v>
      </c>
      <c r="CM80" s="905" t="s">
        <v>5575</v>
      </c>
      <c r="CN80" s="1125">
        <v>168300.87299999999</v>
      </c>
      <c r="CO80" s="1045">
        <f t="shared" si="63"/>
        <v>65.343368593915258</v>
      </c>
      <c r="CP80" s="1040">
        <f>IF(OR(CZ80=1,CZ80=10),CN80*(1-BL80/100),IF(DA80=6,CN80*(1-BL80/100),CN80*(1-CB80/100)))</f>
        <v>84742.428796600812</v>
      </c>
      <c r="CQ80" s="1041">
        <f>IF(OR(CZ80=1,CZ80=10),CN80*BL80/100,IF(DA80=6,CN80*BL80/100,CN80*CB80/100))</f>
        <v>83558.444203399165</v>
      </c>
      <c r="CR80" s="1046">
        <v>2014</v>
      </c>
      <c r="CS80" s="1047" t="s">
        <v>5789</v>
      </c>
      <c r="CT80" s="1068">
        <f t="shared" si="66"/>
        <v>17</v>
      </c>
      <c r="CU80" s="1071">
        <v>17</v>
      </c>
      <c r="CV80" s="1068" t="s">
        <v>5914</v>
      </c>
      <c r="CW80" s="1113">
        <v>193944.15</v>
      </c>
      <c r="CX80" s="1113">
        <v>168300.87299999999</v>
      </c>
      <c r="CY80" s="1113">
        <v>253609.64300000001</v>
      </c>
      <c r="CZ80" s="494">
        <v>1</v>
      </c>
      <c r="DA80" s="1104">
        <v>4</v>
      </c>
      <c r="DB80" s="1050" t="s">
        <v>647</v>
      </c>
      <c r="DC80" s="1143" t="s">
        <v>320</v>
      </c>
      <c r="DD80" s="978">
        <f t="shared" si="91"/>
        <v>41760.113045999999</v>
      </c>
      <c r="DE80" s="979">
        <f t="shared" si="67"/>
        <v>16.213501514566399</v>
      </c>
      <c r="DF80" s="979">
        <f t="shared" si="92"/>
        <v>50.408233098921585</v>
      </c>
      <c r="DG80" s="980">
        <f t="shared" si="93"/>
        <v>20680.467019399191</v>
      </c>
      <c r="DH80" s="980">
        <f t="shared" si="94"/>
        <v>21050.53512660084</v>
      </c>
      <c r="DI80" s="979">
        <f t="shared" si="68"/>
        <v>15.946337605998778</v>
      </c>
      <c r="DJ80" s="981">
        <f t="shared" si="69"/>
        <v>16.461686056867524</v>
      </c>
      <c r="DK80" s="984">
        <f t="shared" si="70"/>
        <v>17937.372999999992</v>
      </c>
      <c r="DL80" s="979">
        <f t="shared" si="95"/>
        <v>53.467644323395888</v>
      </c>
      <c r="DM80" s="980">
        <f t="shared" si="71"/>
        <v>8346.6822033991921</v>
      </c>
      <c r="DN80" s="985">
        <f t="shared" si="72"/>
        <v>9590.6907966008439</v>
      </c>
      <c r="DO80" s="984">
        <f t="shared" si="73"/>
        <v>15518.310338000003</v>
      </c>
      <c r="DP80" s="979">
        <f t="shared" si="96"/>
        <v>47.972394016186726</v>
      </c>
      <c r="DQ80" s="980">
        <f t="shared" si="85"/>
        <v>8055.2776370000011</v>
      </c>
      <c r="DR80" s="985">
        <f t="shared" si="86"/>
        <v>7444.5049799999997</v>
      </c>
      <c r="DS80" s="984">
        <f t="shared" si="74"/>
        <v>8304.4297080000033</v>
      </c>
      <c r="DT80" s="339">
        <f t="shared" si="97"/>
        <v>48.351777198280757</v>
      </c>
      <c r="DU80" s="980">
        <f t="shared" si="87"/>
        <v>4278.5071790000011</v>
      </c>
      <c r="DV80" s="985">
        <f t="shared" si="88"/>
        <v>4015.3393499999993</v>
      </c>
      <c r="DW80" s="979">
        <f t="shared" si="89"/>
        <v>33.70000000000001</v>
      </c>
      <c r="DX80" s="981">
        <f t="shared" si="90"/>
        <v>32.999999999999993</v>
      </c>
      <c r="DY80" s="414">
        <v>16.2</v>
      </c>
      <c r="DZ80" s="111">
        <v>2011</v>
      </c>
      <c r="EA80" s="368">
        <v>43860.940478000004</v>
      </c>
      <c r="EB80" s="123">
        <v>12</v>
      </c>
      <c r="EC80" s="113">
        <v>2012</v>
      </c>
      <c r="ED80" s="20">
        <v>29079.076560000001</v>
      </c>
      <c r="EE80" s="414">
        <v>11.7</v>
      </c>
      <c r="EF80" s="111">
        <v>2012</v>
      </c>
      <c r="EG80" s="380">
        <v>92.811904907226605</v>
      </c>
      <c r="EH80" s="24" t="s">
        <v>342</v>
      </c>
      <c r="EI80" s="287">
        <v>3</v>
      </c>
      <c r="EJ80" s="40">
        <v>1</v>
      </c>
      <c r="EK80" s="355" t="s">
        <v>728</v>
      </c>
      <c r="EL80" s="364" t="s">
        <v>1651</v>
      </c>
      <c r="EM80" s="364" t="s">
        <v>1652</v>
      </c>
      <c r="EN80" s="355" t="s">
        <v>145</v>
      </c>
      <c r="EO80" s="364" t="s">
        <v>1725</v>
      </c>
      <c r="EP80" s="205">
        <v>0.53</v>
      </c>
      <c r="EQ80" s="207" t="s">
        <v>145</v>
      </c>
      <c r="ER80" s="517" t="s">
        <v>145</v>
      </c>
      <c r="ES80" s="183"/>
      <c r="ET80" s="183"/>
      <c r="EU80" s="82"/>
      <c r="EV80" s="82"/>
      <c r="EW80" s="82"/>
      <c r="EX80" s="360"/>
      <c r="EY80" s="159"/>
      <c r="EZ80" s="156"/>
      <c r="FA80" s="323"/>
      <c r="FB80" s="323"/>
      <c r="FC80" s="323"/>
      <c r="FD80" s="160"/>
      <c r="FE80" s="156"/>
      <c r="FF80" s="156"/>
      <c r="FG80" s="156"/>
      <c r="FH80" s="157"/>
      <c r="FI80" s="242"/>
      <c r="FJ80" s="373"/>
      <c r="FK80" s="179"/>
      <c r="FL80" s="179"/>
      <c r="FM80" s="179"/>
      <c r="FN80" s="369"/>
      <c r="FO80" s="164"/>
      <c r="FP80" s="255">
        <v>1</v>
      </c>
      <c r="FQ80" s="183" t="s">
        <v>1893</v>
      </c>
      <c r="FR80" s="257"/>
      <c r="FS80" s="82"/>
      <c r="FT80" s="259">
        <v>1</v>
      </c>
      <c r="FU80" s="82" t="s">
        <v>1894</v>
      </c>
      <c r="FV80" s="259"/>
      <c r="FW80" s="82"/>
      <c r="FX80" s="259"/>
      <c r="FY80" s="82"/>
      <c r="FZ80" s="259">
        <v>1</v>
      </c>
      <c r="GA80" s="82" t="s">
        <v>1895</v>
      </c>
      <c r="GB80" s="261"/>
      <c r="GC80" s="360"/>
      <c r="GD80" s="76">
        <v>1</v>
      </c>
      <c r="GE80" s="445" t="s">
        <v>3424</v>
      </c>
      <c r="GF80" s="447" t="s">
        <v>590</v>
      </c>
      <c r="GG80" s="448">
        <v>2</v>
      </c>
      <c r="GH80" s="449">
        <v>4</v>
      </c>
      <c r="GI80" s="447" t="s">
        <v>590</v>
      </c>
      <c r="GJ80" s="449">
        <v>42</v>
      </c>
      <c r="GK80" s="447">
        <v>11</v>
      </c>
      <c r="GL80" s="448">
        <v>12</v>
      </c>
      <c r="GM80" s="449">
        <v>19</v>
      </c>
      <c r="GN80" s="447" t="s">
        <v>590</v>
      </c>
      <c r="GO80" s="449">
        <v>49</v>
      </c>
      <c r="GP80" s="447">
        <v>16</v>
      </c>
      <c r="GQ80" s="448">
        <v>18</v>
      </c>
      <c r="GR80" s="449">
        <v>15</v>
      </c>
      <c r="GS80" s="446">
        <v>8</v>
      </c>
      <c r="GT80" s="461">
        <v>2.5164636317640543E-3</v>
      </c>
      <c r="GU80" s="462">
        <v>-0.50047028064727783</v>
      </c>
      <c r="GV80" s="462">
        <v>-0.23797361552715302</v>
      </c>
      <c r="GW80" s="462">
        <v>-0.19714158773422241</v>
      </c>
      <c r="GX80" s="462">
        <v>-0.55442750453948975</v>
      </c>
      <c r="GY80" s="463">
        <v>-0.62189257144927979</v>
      </c>
      <c r="GZ80" s="10">
        <v>106</v>
      </c>
      <c r="HA80" s="536">
        <v>0.44874000000000003</v>
      </c>
      <c r="HB80" s="536">
        <v>0.29410999999999998</v>
      </c>
      <c r="HC80" s="525">
        <v>0.36220000000000002</v>
      </c>
      <c r="HD80" s="526">
        <v>0.30543999999999999</v>
      </c>
      <c r="HE80" s="527">
        <v>0.67859999999999998</v>
      </c>
      <c r="HF80" s="10">
        <v>106</v>
      </c>
      <c r="HG80" s="532">
        <v>3.83</v>
      </c>
      <c r="HH80" s="545">
        <v>4.32</v>
      </c>
      <c r="HI80" s="546">
        <v>1.8</v>
      </c>
      <c r="HJ80" s="547">
        <v>6.89</v>
      </c>
      <c r="HK80" s="379" t="s">
        <v>145</v>
      </c>
      <c r="HL80" s="362" t="s">
        <v>145</v>
      </c>
      <c r="HM80" s="557" t="s">
        <v>145</v>
      </c>
      <c r="HN80" s="557" t="s">
        <v>145</v>
      </c>
      <c r="HO80" s="557" t="s">
        <v>145</v>
      </c>
      <c r="HP80" s="562" t="s">
        <v>145</v>
      </c>
      <c r="HQ80" s="562" t="s">
        <v>145</v>
      </c>
      <c r="HR80" s="563" t="s">
        <v>145</v>
      </c>
      <c r="HS80" s="545">
        <v>26</v>
      </c>
      <c r="HT80" s="557">
        <v>101</v>
      </c>
      <c r="HU80" s="557">
        <v>2008</v>
      </c>
      <c r="HV80" s="583" t="s">
        <v>4204</v>
      </c>
      <c r="HW80" s="557">
        <v>6</v>
      </c>
      <c r="HX80" s="557">
        <v>28</v>
      </c>
      <c r="HY80" s="557">
        <v>13</v>
      </c>
      <c r="HZ80" s="557">
        <v>16</v>
      </c>
      <c r="IA80" s="557">
        <v>25</v>
      </c>
      <c r="IB80" s="557">
        <v>3</v>
      </c>
      <c r="IC80" s="547">
        <v>10</v>
      </c>
      <c r="ID80" s="660"/>
      <c r="IE80" s="550"/>
      <c r="IF80" s="355" t="s">
        <v>5202</v>
      </c>
      <c r="IG80" s="553"/>
      <c r="IH80" s="339"/>
      <c r="II80" s="553" t="s">
        <v>4922</v>
      </c>
      <c r="IJ80" s="424" t="s">
        <v>4926</v>
      </c>
      <c r="IK80" s="24">
        <v>0</v>
      </c>
      <c r="IL80" s="749">
        <f t="shared" si="75"/>
        <v>15</v>
      </c>
      <c r="IM80" s="747">
        <f t="shared" si="76"/>
        <v>60</v>
      </c>
      <c r="IN80" s="750" t="str">
        <f t="shared" si="77"/>
        <v>B</v>
      </c>
      <c r="IO80" s="446"/>
      <c r="IP80" s="902">
        <v>3</v>
      </c>
      <c r="IQ80" s="903">
        <v>1</v>
      </c>
      <c r="IR80" s="993">
        <v>0</v>
      </c>
      <c r="IT80" s="435"/>
      <c r="IU80" s="435"/>
      <c r="IV80" s="435"/>
    </row>
    <row r="81" spans="1:256">
      <c r="A81" s="21">
        <v>79</v>
      </c>
      <c r="B81" s="9"/>
      <c r="C81" s="431" t="s">
        <v>125</v>
      </c>
      <c r="D81" s="423" t="s">
        <v>410</v>
      </c>
      <c r="E81" s="24" t="s">
        <v>12</v>
      </c>
      <c r="F81" s="76" t="s">
        <v>739</v>
      </c>
      <c r="G81" s="102" t="s">
        <v>534</v>
      </c>
      <c r="H81" s="375" t="s">
        <v>2290</v>
      </c>
      <c r="I81" s="364" t="s">
        <v>2288</v>
      </c>
      <c r="J81" s="370">
        <v>2</v>
      </c>
      <c r="K81" s="359">
        <v>1928</v>
      </c>
      <c r="L81" s="371">
        <v>2</v>
      </c>
      <c r="M81" s="373" t="s">
        <v>1813</v>
      </c>
      <c r="N81" s="369" t="s">
        <v>2289</v>
      </c>
      <c r="O81" s="365" t="s">
        <v>3222</v>
      </c>
      <c r="P81" s="362" t="s">
        <v>2798</v>
      </c>
      <c r="Q81" s="370">
        <v>2</v>
      </c>
      <c r="R81" s="370">
        <v>2008</v>
      </c>
      <c r="S81" s="372" t="s">
        <v>1992</v>
      </c>
      <c r="T81" s="370">
        <v>1</v>
      </c>
      <c r="U81" s="370">
        <v>2</v>
      </c>
      <c r="V81" s="370">
        <v>15</v>
      </c>
      <c r="W81" s="369" t="s">
        <v>1822</v>
      </c>
      <c r="X81" s="170">
        <v>1</v>
      </c>
      <c r="Y81" s="369">
        <v>0</v>
      </c>
      <c r="Z81" s="271"/>
      <c r="AA81" s="169"/>
      <c r="AB81" s="177"/>
      <c r="AC81" s="171"/>
      <c r="AD81" s="365" t="s">
        <v>3222</v>
      </c>
      <c r="AE81" s="357">
        <v>2008</v>
      </c>
      <c r="AF81" s="357">
        <v>2</v>
      </c>
      <c r="AG81" s="550" t="s">
        <v>5171</v>
      </c>
      <c r="AH81" s="355" t="s">
        <v>3168</v>
      </c>
      <c r="AI81" s="55">
        <v>1</v>
      </c>
      <c r="AJ81" s="55">
        <v>1</v>
      </c>
      <c r="AK81" s="590" t="s">
        <v>145</v>
      </c>
      <c r="AL81" s="386">
        <v>9</v>
      </c>
      <c r="AM81" s="361" t="s">
        <v>3223</v>
      </c>
      <c r="AN81" s="384">
        <v>3</v>
      </c>
      <c r="AO81" s="170">
        <v>0</v>
      </c>
      <c r="AP81" s="369">
        <v>0</v>
      </c>
      <c r="AQ81" s="365" t="s">
        <v>5241</v>
      </c>
      <c r="AR81" s="378" t="s">
        <v>4934</v>
      </c>
      <c r="AS81" s="55">
        <v>2</v>
      </c>
      <c r="AT81" s="370">
        <v>3</v>
      </c>
      <c r="AU81" s="371">
        <v>2007</v>
      </c>
      <c r="AV81" s="370">
        <v>5</v>
      </c>
      <c r="AW81" s="589">
        <v>1500</v>
      </c>
      <c r="AX81" s="687">
        <v>0</v>
      </c>
      <c r="AY81" s="174" t="s">
        <v>4493</v>
      </c>
      <c r="AZ81" s="55">
        <v>1969</v>
      </c>
      <c r="BA81" s="55">
        <v>0</v>
      </c>
      <c r="BB81" s="55">
        <v>0</v>
      </c>
      <c r="BC81" s="174" t="s">
        <v>145</v>
      </c>
      <c r="BD81" s="55" t="s">
        <v>145</v>
      </c>
      <c r="BE81" s="55">
        <v>0</v>
      </c>
      <c r="BF81" s="371" t="s">
        <v>145</v>
      </c>
      <c r="BG81" s="367">
        <v>0</v>
      </c>
      <c r="BH81" s="56" t="s">
        <v>145</v>
      </c>
      <c r="BI81" s="367">
        <v>0</v>
      </c>
      <c r="BJ81" s="367">
        <v>0</v>
      </c>
      <c r="BK81" s="888">
        <v>79109.271999999997</v>
      </c>
      <c r="BL81" s="925">
        <f t="shared" si="62"/>
        <v>49.645343721529891</v>
      </c>
      <c r="BM81" s="888">
        <v>39835.201999999997</v>
      </c>
      <c r="BN81" s="920">
        <v>39274.07</v>
      </c>
      <c r="BO81" s="888">
        <v>6855.3190000000004</v>
      </c>
      <c r="BP81" s="1158">
        <f t="shared" si="78"/>
        <v>49.052611556077842</v>
      </c>
      <c r="BQ81" s="917">
        <v>3492.6060000000002</v>
      </c>
      <c r="BR81" s="920">
        <v>3362.7130000000002</v>
      </c>
      <c r="BS81" s="888">
        <v>6395.3710000000001</v>
      </c>
      <c r="BT81" s="1158">
        <f t="shared" si="79"/>
        <v>49.341281373668551</v>
      </c>
      <c r="BU81" s="917">
        <v>3239.8130000000001</v>
      </c>
      <c r="BV81" s="920">
        <v>3155.558</v>
      </c>
      <c r="BW81" s="888">
        <v>5426.5910000000003</v>
      </c>
      <c r="BX81" s="1158">
        <f t="shared" si="80"/>
        <v>48.332645670182259</v>
      </c>
      <c r="BY81" s="917">
        <v>2803.7759999999998</v>
      </c>
      <c r="BZ81" s="920">
        <v>2622.8150000000001</v>
      </c>
      <c r="CA81" s="888">
        <f t="shared" si="81"/>
        <v>60431.990999999995</v>
      </c>
      <c r="CB81" s="1158">
        <f t="shared" si="82"/>
        <v>49.862636496619814</v>
      </c>
      <c r="CC81" s="917">
        <f t="shared" si="83"/>
        <v>30299.006999999998</v>
      </c>
      <c r="CD81" s="920">
        <f t="shared" si="84"/>
        <v>30132.983999999997</v>
      </c>
      <c r="CE81" s="914">
        <v>2015</v>
      </c>
      <c r="CF81" s="910" t="s">
        <v>5630</v>
      </c>
      <c r="CG81" s="930">
        <v>98.6</v>
      </c>
      <c r="CH81" s="495">
        <v>98.7</v>
      </c>
      <c r="CI81" s="497">
        <v>98.6</v>
      </c>
      <c r="CJ81" s="904">
        <v>98.9</v>
      </c>
      <c r="CK81" s="904">
        <v>98.1</v>
      </c>
      <c r="CL81" s="904">
        <v>2010</v>
      </c>
      <c r="CM81" s="905" t="s">
        <v>5595</v>
      </c>
      <c r="CN81" s="1044">
        <v>50483.192000000003</v>
      </c>
      <c r="CO81" s="1045">
        <f t="shared" si="63"/>
        <v>63.814507103541551</v>
      </c>
      <c r="CP81" s="1040">
        <f>IF(OR(CZ81=1,CZ81=10),CN81*(1-BL81/100),IF(DA81=6,CN81*(1-BL81/100),CN81*(1-CB81/100)))</f>
        <v>25420.637810000124</v>
      </c>
      <c r="CQ81" s="1041">
        <f>IF(OR(CZ81=1,CZ81=10),CN81*BL81/100,IF(DA81=6,CN81*BL81/100,CN81*CB81/100))</f>
        <v>25062.554189999883</v>
      </c>
      <c r="CR81" s="1046">
        <v>2013</v>
      </c>
      <c r="CS81" s="1047" t="s">
        <v>5850</v>
      </c>
      <c r="CT81" s="1068">
        <f t="shared" si="66"/>
        <v>15</v>
      </c>
      <c r="CU81" s="1071">
        <v>18</v>
      </c>
      <c r="CV81" s="1068" t="s">
        <v>5915</v>
      </c>
      <c r="CW81" s="1113">
        <v>50483.192000000003</v>
      </c>
      <c r="CX81" s="1113">
        <v>58940.163</v>
      </c>
      <c r="CY81" s="1113">
        <v>79853.899999999994</v>
      </c>
      <c r="CZ81" s="494">
        <v>1</v>
      </c>
      <c r="DA81" s="1104">
        <v>4</v>
      </c>
      <c r="DB81" s="1050" t="s">
        <v>647</v>
      </c>
      <c r="DC81" s="1146" t="s">
        <v>322</v>
      </c>
      <c r="DD81" s="978">
        <f t="shared" si="91"/>
        <v>10210.280933999991</v>
      </c>
      <c r="DE81" s="979">
        <f t="shared" si="67"/>
        <v>12.906554030733581</v>
      </c>
      <c r="DF81" s="979">
        <f t="shared" si="92"/>
        <v>50.913437618445442</v>
      </c>
      <c r="DG81" s="980">
        <f t="shared" si="93"/>
        <v>5002.3397249998743</v>
      </c>
      <c r="DH81" s="980">
        <f t="shared" si="94"/>
        <v>5198.4050140001145</v>
      </c>
      <c r="DI81" s="979">
        <f t="shared" si="68"/>
        <v>12.557585938687781</v>
      </c>
      <c r="DJ81" s="981">
        <f t="shared" si="69"/>
        <v>13.236226889650386</v>
      </c>
      <c r="DK81" s="984">
        <f t="shared" si="70"/>
        <v>9948.7989999999918</v>
      </c>
      <c r="DL81" s="979">
        <f t="shared" si="95"/>
        <v>50.965245252217059</v>
      </c>
      <c r="DM81" s="980">
        <f t="shared" si="71"/>
        <v>4878.3691899998739</v>
      </c>
      <c r="DN81" s="985">
        <f t="shared" si="72"/>
        <v>5070.4298100001142</v>
      </c>
      <c r="DO81" s="984">
        <f t="shared" si="73"/>
        <v>165.50746800000013</v>
      </c>
      <c r="DP81" s="979">
        <f t="shared" si="96"/>
        <v>48.87829109922702</v>
      </c>
      <c r="DQ81" s="980">
        <f t="shared" si="85"/>
        <v>78.566657000000077</v>
      </c>
      <c r="DR81" s="985">
        <f t="shared" si="86"/>
        <v>80.89722200000007</v>
      </c>
      <c r="DS81" s="984">
        <f t="shared" si="74"/>
        <v>95.974466000000092</v>
      </c>
      <c r="DT81" s="339">
        <f t="shared" si="97"/>
        <v>49.052611556077842</v>
      </c>
      <c r="DU81" s="980">
        <f t="shared" si="87"/>
        <v>45.403878000000041</v>
      </c>
      <c r="DV81" s="985">
        <f t="shared" si="88"/>
        <v>47.077982000000041</v>
      </c>
      <c r="DW81" s="979">
        <f t="shared" si="89"/>
        <v>1.3000000000000012</v>
      </c>
      <c r="DX81" s="981">
        <f t="shared" si="90"/>
        <v>1.400000000000001</v>
      </c>
      <c r="DY81" s="414">
        <v>1.45</v>
      </c>
      <c r="DZ81" s="111">
        <v>2005</v>
      </c>
      <c r="EA81" s="368">
        <v>1085</v>
      </c>
      <c r="EB81" s="123" t="s">
        <v>145</v>
      </c>
      <c r="EC81" s="113" t="s">
        <v>145</v>
      </c>
      <c r="ED81" s="20"/>
      <c r="EE81" s="414">
        <v>18.7</v>
      </c>
      <c r="EF81" s="111">
        <v>2007</v>
      </c>
      <c r="EG81" s="380">
        <v>84.279510498046903</v>
      </c>
      <c r="EH81" s="24" t="s">
        <v>374</v>
      </c>
      <c r="EI81" s="287">
        <v>0</v>
      </c>
      <c r="EJ81" s="40" t="s">
        <v>145</v>
      </c>
      <c r="EK81" s="355" t="s">
        <v>145</v>
      </c>
      <c r="EL81" s="364" t="s">
        <v>145</v>
      </c>
      <c r="EM81" s="364" t="s">
        <v>145</v>
      </c>
      <c r="EN81" s="355" t="s">
        <v>145</v>
      </c>
      <c r="EO81" s="364" t="s">
        <v>145</v>
      </c>
      <c r="EP81" s="205" t="s">
        <v>145</v>
      </c>
      <c r="EQ81" s="207" t="s">
        <v>145</v>
      </c>
      <c r="ER81" s="517" t="s">
        <v>145</v>
      </c>
      <c r="ES81" s="183"/>
      <c r="ET81" s="183"/>
      <c r="EU81" s="82"/>
      <c r="EV81" s="82"/>
      <c r="EW81" s="82"/>
      <c r="EX81" s="360"/>
      <c r="EY81" s="159"/>
      <c r="EZ81" s="156"/>
      <c r="FA81" s="323"/>
      <c r="FB81" s="323"/>
      <c r="FC81" s="323"/>
      <c r="FD81" s="160"/>
      <c r="FE81" s="156"/>
      <c r="FF81" s="156"/>
      <c r="FG81" s="156"/>
      <c r="FH81" s="157"/>
      <c r="FI81" s="242"/>
      <c r="FJ81" s="373"/>
      <c r="FK81" s="179"/>
      <c r="FL81" s="179"/>
      <c r="FM81" s="179"/>
      <c r="FN81" s="369"/>
      <c r="FO81" s="164"/>
      <c r="FP81" s="255"/>
      <c r="FQ81" s="183"/>
      <c r="FR81" s="257"/>
      <c r="FS81" s="82"/>
      <c r="FT81" s="259"/>
      <c r="FU81" s="82"/>
      <c r="FV81" s="259"/>
      <c r="FW81" s="82"/>
      <c r="FX81" s="259"/>
      <c r="FY81" s="82"/>
      <c r="FZ81" s="259"/>
      <c r="GA81" s="82"/>
      <c r="GB81" s="261"/>
      <c r="GC81" s="360"/>
      <c r="GD81" s="76">
        <v>3</v>
      </c>
      <c r="GE81" s="445" t="s">
        <v>3426</v>
      </c>
      <c r="GF81" s="447" t="s">
        <v>580</v>
      </c>
      <c r="GG81" s="448">
        <v>6</v>
      </c>
      <c r="GH81" s="449">
        <v>6</v>
      </c>
      <c r="GI81" s="447" t="s">
        <v>580</v>
      </c>
      <c r="GJ81" s="449">
        <v>89</v>
      </c>
      <c r="GK81" s="447">
        <v>22</v>
      </c>
      <c r="GL81" s="448">
        <v>31</v>
      </c>
      <c r="GM81" s="449">
        <v>36</v>
      </c>
      <c r="GN81" s="447" t="s">
        <v>580</v>
      </c>
      <c r="GO81" s="449">
        <v>90</v>
      </c>
      <c r="GP81" s="447">
        <v>30</v>
      </c>
      <c r="GQ81" s="448">
        <v>36</v>
      </c>
      <c r="GR81" s="449">
        <v>24</v>
      </c>
      <c r="GS81" s="446">
        <v>3</v>
      </c>
      <c r="GT81" s="461">
        <v>-1.6001113653182983</v>
      </c>
      <c r="GU81" s="462">
        <v>-1.269212007522583</v>
      </c>
      <c r="GV81" s="462">
        <v>-0.69653671979904175</v>
      </c>
      <c r="GW81" s="462">
        <v>-1.4989084005355835</v>
      </c>
      <c r="GX81" s="462">
        <v>-0.98273158073425293</v>
      </c>
      <c r="GY81" s="463">
        <v>-0.68019735813140869</v>
      </c>
      <c r="GZ81" s="10">
        <v>105</v>
      </c>
      <c r="HA81" s="536">
        <v>0.45074999999999998</v>
      </c>
      <c r="HB81" s="536">
        <v>0.29410999999999998</v>
      </c>
      <c r="HC81" s="525">
        <v>0.37007000000000001</v>
      </c>
      <c r="HD81" s="526">
        <v>0.29400999999999999</v>
      </c>
      <c r="HE81" s="527">
        <v>0.68820000000000003</v>
      </c>
      <c r="HF81" s="10">
        <v>94</v>
      </c>
      <c r="HG81" s="532">
        <v>4.29</v>
      </c>
      <c r="HH81" s="545">
        <v>5.53</v>
      </c>
      <c r="HI81" s="546">
        <v>1.44</v>
      </c>
      <c r="HJ81" s="547">
        <v>7.52</v>
      </c>
      <c r="HK81" s="379" t="s">
        <v>145</v>
      </c>
      <c r="HL81" s="362" t="s">
        <v>145</v>
      </c>
      <c r="HM81" s="557" t="s">
        <v>145</v>
      </c>
      <c r="HN81" s="557" t="s">
        <v>145</v>
      </c>
      <c r="HO81" s="557" t="s">
        <v>145</v>
      </c>
      <c r="HP81" s="562" t="s">
        <v>145</v>
      </c>
      <c r="HQ81" s="562" t="s">
        <v>145</v>
      </c>
      <c r="HR81" s="563" t="s">
        <v>145</v>
      </c>
      <c r="HS81" s="545" t="s">
        <v>145</v>
      </c>
      <c r="HT81" s="557" t="s">
        <v>145</v>
      </c>
      <c r="HU81" s="557" t="s">
        <v>145</v>
      </c>
      <c r="HV81" s="581" t="s">
        <v>145</v>
      </c>
      <c r="HW81" s="557" t="s">
        <v>145</v>
      </c>
      <c r="HX81" s="557" t="s">
        <v>145</v>
      </c>
      <c r="HY81" s="557" t="s">
        <v>145</v>
      </c>
      <c r="HZ81" s="557" t="s">
        <v>145</v>
      </c>
      <c r="IA81" s="557" t="s">
        <v>145</v>
      </c>
      <c r="IB81" s="557" t="s">
        <v>145</v>
      </c>
      <c r="IC81" s="547" t="s">
        <v>145</v>
      </c>
      <c r="ID81" s="40"/>
      <c r="IE81" s="550"/>
      <c r="IF81" s="550"/>
      <c r="IG81" s="553"/>
      <c r="IH81" s="115">
        <v>33.5</v>
      </c>
      <c r="II81" s="647" t="s">
        <v>4922</v>
      </c>
      <c r="IJ81" s="423" t="s">
        <v>4926</v>
      </c>
      <c r="IK81" s="10">
        <v>0</v>
      </c>
      <c r="IL81" s="749">
        <f t="shared" si="75"/>
        <v>13</v>
      </c>
      <c r="IM81" s="747">
        <f t="shared" si="76"/>
        <v>52</v>
      </c>
      <c r="IN81" s="750" t="str">
        <f t="shared" si="77"/>
        <v>B</v>
      </c>
      <c r="IO81" s="446"/>
      <c r="IP81" s="902">
        <v>4</v>
      </c>
      <c r="IQ81" s="903">
        <v>0</v>
      </c>
      <c r="IR81" s="993">
        <v>0</v>
      </c>
      <c r="IT81" s="435"/>
      <c r="IU81" s="435"/>
      <c r="IV81" s="435"/>
    </row>
    <row r="82" spans="1:256">
      <c r="A82" s="21">
        <v>80</v>
      </c>
      <c r="B82" s="9"/>
      <c r="C82" s="430" t="s">
        <v>127</v>
      </c>
      <c r="D82" s="423" t="s">
        <v>410</v>
      </c>
      <c r="E82" s="697" t="s">
        <v>12</v>
      </c>
      <c r="F82" s="76" t="s">
        <v>818</v>
      </c>
      <c r="G82" s="102" t="s">
        <v>533</v>
      </c>
      <c r="H82" s="375" t="s">
        <v>2291</v>
      </c>
      <c r="I82" s="95" t="s">
        <v>2128</v>
      </c>
      <c r="J82" s="176">
        <v>3</v>
      </c>
      <c r="K82" s="88">
        <v>1924</v>
      </c>
      <c r="L82" s="371">
        <v>2</v>
      </c>
      <c r="M82" s="240" t="s">
        <v>2292</v>
      </c>
      <c r="N82" s="172" t="s">
        <v>1822</v>
      </c>
      <c r="O82" s="365" t="s">
        <v>3225</v>
      </c>
      <c r="P82" s="362" t="s">
        <v>3224</v>
      </c>
      <c r="Q82" s="176">
        <v>2</v>
      </c>
      <c r="R82" s="370">
        <v>2003</v>
      </c>
      <c r="S82" s="372" t="s">
        <v>1992</v>
      </c>
      <c r="T82" s="176">
        <v>1</v>
      </c>
      <c r="U82" s="370">
        <v>2</v>
      </c>
      <c r="V82" s="176">
        <v>18</v>
      </c>
      <c r="W82" s="369" t="s">
        <v>1822</v>
      </c>
      <c r="X82" s="170">
        <v>1</v>
      </c>
      <c r="Y82" s="369">
        <v>1</v>
      </c>
      <c r="Z82" s="271"/>
      <c r="AA82" s="169"/>
      <c r="AB82" s="177"/>
      <c r="AC82" s="171"/>
      <c r="AD82" s="366" t="s">
        <v>3226</v>
      </c>
      <c r="AE82" s="357">
        <v>2015</v>
      </c>
      <c r="AF82" s="55">
        <v>2</v>
      </c>
      <c r="AG82" s="550" t="s">
        <v>5171</v>
      </c>
      <c r="AH82" s="355" t="s">
        <v>3141</v>
      </c>
      <c r="AI82" s="55">
        <v>0</v>
      </c>
      <c r="AJ82" s="55">
        <v>0</v>
      </c>
      <c r="AK82" s="590" t="s">
        <v>145</v>
      </c>
      <c r="AL82" s="386">
        <v>4</v>
      </c>
      <c r="AM82" s="361" t="s">
        <v>3227</v>
      </c>
      <c r="AN82" s="343">
        <v>3</v>
      </c>
      <c r="AO82" s="170">
        <v>0</v>
      </c>
      <c r="AP82" s="172">
        <v>0</v>
      </c>
      <c r="AQ82" s="365" t="s">
        <v>5243</v>
      </c>
      <c r="AR82" s="378" t="s">
        <v>2798</v>
      </c>
      <c r="AS82" s="55">
        <v>2</v>
      </c>
      <c r="AT82" s="370">
        <v>2</v>
      </c>
      <c r="AU82" s="371">
        <v>2009</v>
      </c>
      <c r="AV82" s="370">
        <v>5</v>
      </c>
      <c r="AW82" s="589" t="s">
        <v>145</v>
      </c>
      <c r="AX82" s="687">
        <v>0</v>
      </c>
      <c r="AY82" s="174" t="s">
        <v>4494</v>
      </c>
      <c r="AZ82" s="55">
        <v>2012</v>
      </c>
      <c r="BA82" s="55">
        <v>1</v>
      </c>
      <c r="BB82" s="55">
        <v>1</v>
      </c>
      <c r="BC82" s="174" t="s">
        <v>4495</v>
      </c>
      <c r="BD82" s="55">
        <v>1982</v>
      </c>
      <c r="BE82" s="55">
        <v>0</v>
      </c>
      <c r="BF82" s="371" t="s">
        <v>145</v>
      </c>
      <c r="BG82" s="367">
        <v>0</v>
      </c>
      <c r="BH82" s="56" t="s">
        <v>145</v>
      </c>
      <c r="BI82" s="367">
        <v>0</v>
      </c>
      <c r="BJ82" s="367">
        <v>0</v>
      </c>
      <c r="BK82" s="888">
        <v>36423.394999999997</v>
      </c>
      <c r="BL82" s="925">
        <f t="shared" si="62"/>
        <v>49.381497798324411</v>
      </c>
      <c r="BM82" s="888">
        <v>18436.976999999999</v>
      </c>
      <c r="BN82" s="920">
        <v>17986.418000000001</v>
      </c>
      <c r="BO82" s="888">
        <v>5727.4449999999997</v>
      </c>
      <c r="BP82" s="1158">
        <f t="shared" si="78"/>
        <v>48.595071624432883</v>
      </c>
      <c r="BQ82" s="917">
        <v>2944.1889999999999</v>
      </c>
      <c r="BR82" s="920">
        <v>2783.2559999999999</v>
      </c>
      <c r="BS82" s="888">
        <v>4974.4189999999999</v>
      </c>
      <c r="BT82" s="1158">
        <f t="shared" si="79"/>
        <v>48.54711675876117</v>
      </c>
      <c r="BU82" s="917">
        <v>2559.482</v>
      </c>
      <c r="BV82" s="920">
        <v>2414.9369999999999</v>
      </c>
      <c r="BW82" s="888">
        <v>4225.4480000000003</v>
      </c>
      <c r="BX82" s="1158">
        <f t="shared" si="80"/>
        <v>48.586729738479804</v>
      </c>
      <c r="BY82" s="917">
        <v>2172.4409999999998</v>
      </c>
      <c r="BZ82" s="920">
        <v>2053.0070000000001</v>
      </c>
      <c r="CA82" s="888">
        <f t="shared" si="81"/>
        <v>21496.082999999995</v>
      </c>
      <c r="CB82" s="1158">
        <f t="shared" si="82"/>
        <v>49.940344945635005</v>
      </c>
      <c r="CC82" s="917">
        <f t="shared" si="83"/>
        <v>10760.864999999998</v>
      </c>
      <c r="CD82" s="920">
        <f t="shared" si="84"/>
        <v>10735.218000000003</v>
      </c>
      <c r="CE82" s="914">
        <v>2015</v>
      </c>
      <c r="CF82" s="910" t="s">
        <v>5630</v>
      </c>
      <c r="CG82" s="930">
        <v>99.2</v>
      </c>
      <c r="CH82" s="495">
        <v>99.4</v>
      </c>
      <c r="CI82" s="497">
        <v>99</v>
      </c>
      <c r="CJ82" s="904">
        <v>99.4</v>
      </c>
      <c r="CK82" s="904">
        <v>98.9</v>
      </c>
      <c r="CL82" s="904">
        <v>2011</v>
      </c>
      <c r="CM82" s="905" t="s">
        <v>5573</v>
      </c>
      <c r="CN82" s="1125">
        <v>16942.233</v>
      </c>
      <c r="CO82" s="1045">
        <f t="shared" si="63"/>
        <v>46.514700235933532</v>
      </c>
      <c r="CP82" s="1040">
        <f>IF(OR(CZ82=1,CZ82=10),CN82*(1-BL82/100),IF(DA82=6,CN82*(1-BL82/100),CN82*(1-CB82/100)))</f>
        <v>8575.9045841180086</v>
      </c>
      <c r="CQ82" s="1041">
        <f>IF(OR(CZ82=1,CZ82=10),CN82*BL82/100,IF(DA82=6,CN82*BL82/100,CN82*CB82/100))</f>
        <v>8366.3284158819915</v>
      </c>
      <c r="CR82" s="1046">
        <v>2014</v>
      </c>
      <c r="CS82" s="1047" t="s">
        <v>5851</v>
      </c>
      <c r="CT82" s="1068">
        <f t="shared" si="66"/>
        <v>18</v>
      </c>
      <c r="CU82" s="1071">
        <v>18</v>
      </c>
      <c r="CV82" s="1068" t="s">
        <v>5916</v>
      </c>
      <c r="CW82" s="1113">
        <v>21500</v>
      </c>
      <c r="CX82" s="1113">
        <v>16942.233</v>
      </c>
      <c r="CY82" s="1113">
        <v>32585.691999999999</v>
      </c>
      <c r="CZ82" s="494">
        <v>1</v>
      </c>
      <c r="DA82" s="1104">
        <v>4</v>
      </c>
      <c r="DB82" s="1050" t="s">
        <v>647</v>
      </c>
      <c r="DC82" s="1146" t="s">
        <v>322</v>
      </c>
      <c r="DD82" s="978">
        <f t="shared" si="91"/>
        <v>4673.2684959999951</v>
      </c>
      <c r="DE82" s="979">
        <f t="shared" si="67"/>
        <v>12.830403360257867</v>
      </c>
      <c r="DF82" s="979">
        <f t="shared" si="92"/>
        <v>52.241842860252675</v>
      </c>
      <c r="DG82" s="980">
        <f t="shared" si="93"/>
        <v>2231.0170878819886</v>
      </c>
      <c r="DH82" s="980">
        <f t="shared" si="94"/>
        <v>2441.4015841180108</v>
      </c>
      <c r="DI82" s="979">
        <f t="shared" si="68"/>
        <v>12.100774914900574</v>
      </c>
      <c r="DJ82" s="981">
        <f t="shared" si="69"/>
        <v>13.573584157323657</v>
      </c>
      <c r="DK82" s="984">
        <f t="shared" si="70"/>
        <v>4553.8499999999949</v>
      </c>
      <c r="DL82" s="979">
        <f t="shared" si="95"/>
        <v>52.019490850994508</v>
      </c>
      <c r="DM82" s="980">
        <f t="shared" si="71"/>
        <v>2184.9604158819893</v>
      </c>
      <c r="DN82" s="985">
        <f t="shared" si="72"/>
        <v>2368.889584118011</v>
      </c>
      <c r="DO82" s="984">
        <f t="shared" si="73"/>
        <v>73.598936000000066</v>
      </c>
      <c r="DP82" s="979">
        <f t="shared" si="96"/>
        <v>60.706638476404059</v>
      </c>
      <c r="DQ82" s="980">
        <f t="shared" si="85"/>
        <v>28.3915379999995</v>
      </c>
      <c r="DR82" s="985">
        <f t="shared" si="86"/>
        <v>44.679440000000042</v>
      </c>
      <c r="DS82" s="984">
        <f t="shared" si="74"/>
        <v>45.819560000000038</v>
      </c>
      <c r="DT82" s="339">
        <f t="shared" si="97"/>
        <v>60.743839530541102</v>
      </c>
      <c r="DU82" s="980">
        <f t="shared" si="87"/>
        <v>17.665133999999689</v>
      </c>
      <c r="DV82" s="985">
        <f t="shared" si="88"/>
        <v>27.832560000000022</v>
      </c>
      <c r="DW82" s="979">
        <f t="shared" si="89"/>
        <v>0.59999999999998954</v>
      </c>
      <c r="DX82" s="981">
        <f t="shared" si="90"/>
        <v>1.0000000000000009</v>
      </c>
      <c r="DY82" s="414">
        <v>2.82</v>
      </c>
      <c r="DZ82" s="111">
        <v>2007</v>
      </c>
      <c r="EA82" s="118">
        <v>922.93485199999998</v>
      </c>
      <c r="EB82" s="123">
        <v>22.9</v>
      </c>
      <c r="EC82" s="113">
        <v>2007</v>
      </c>
      <c r="ED82" s="20">
        <v>7548.2886109999999</v>
      </c>
      <c r="EE82" s="414">
        <v>25</v>
      </c>
      <c r="EF82" s="111">
        <v>2008</v>
      </c>
      <c r="EG82" s="380">
        <v>79.001998901367202</v>
      </c>
      <c r="EH82" s="24" t="s">
        <v>328</v>
      </c>
      <c r="EI82" s="287">
        <v>3</v>
      </c>
      <c r="EJ82" s="40">
        <v>1</v>
      </c>
      <c r="EK82" s="35" t="s">
        <v>728</v>
      </c>
      <c r="EL82" s="95" t="s">
        <v>1638</v>
      </c>
      <c r="EM82" s="95" t="s">
        <v>1639</v>
      </c>
      <c r="EN82" s="35" t="s">
        <v>145</v>
      </c>
      <c r="EO82" s="95" t="s">
        <v>1650</v>
      </c>
      <c r="EP82" s="205">
        <v>0.95</v>
      </c>
      <c r="EQ82" s="207">
        <v>0.53</v>
      </c>
      <c r="ER82" s="517" t="s">
        <v>145</v>
      </c>
      <c r="ES82" s="183"/>
      <c r="ET82" s="183"/>
      <c r="EU82" s="82"/>
      <c r="EV82" s="82"/>
      <c r="EW82" s="82"/>
      <c r="EX82" s="90"/>
      <c r="EY82" s="159"/>
      <c r="EZ82" s="156"/>
      <c r="FA82" s="323"/>
      <c r="FB82" s="323"/>
      <c r="FC82" s="323"/>
      <c r="FD82" s="160"/>
      <c r="FE82" s="156"/>
      <c r="FF82" s="156"/>
      <c r="FG82" s="156"/>
      <c r="FH82" s="157"/>
      <c r="FI82" s="242"/>
      <c r="FJ82" s="240"/>
      <c r="FK82" s="179"/>
      <c r="FL82" s="179"/>
      <c r="FM82" s="179"/>
      <c r="FN82" s="369"/>
      <c r="FO82" s="164"/>
      <c r="FP82" s="255"/>
      <c r="FQ82" s="183"/>
      <c r="FR82" s="257"/>
      <c r="FS82" s="82"/>
      <c r="FT82" s="259"/>
      <c r="FU82" s="82"/>
      <c r="FV82" s="259">
        <v>1</v>
      </c>
      <c r="FW82" s="82" t="s">
        <v>1896</v>
      </c>
      <c r="FX82" s="259"/>
      <c r="FY82" s="82"/>
      <c r="FZ82" s="259"/>
      <c r="GA82" s="82"/>
      <c r="GB82" s="261"/>
      <c r="GC82" s="90"/>
      <c r="GD82" s="76">
        <v>3</v>
      </c>
      <c r="GE82" s="445" t="s">
        <v>3430</v>
      </c>
      <c r="GF82" s="447" t="s">
        <v>580</v>
      </c>
      <c r="GG82" s="448">
        <v>5</v>
      </c>
      <c r="GH82" s="449">
        <v>6</v>
      </c>
      <c r="GI82" s="447" t="s">
        <v>145</v>
      </c>
      <c r="GJ82" s="449" t="s">
        <v>145</v>
      </c>
      <c r="GK82" s="447" t="s">
        <v>145</v>
      </c>
      <c r="GL82" s="448" t="s">
        <v>145</v>
      </c>
      <c r="GM82" s="449" t="s">
        <v>145</v>
      </c>
      <c r="GN82" s="447" t="s">
        <v>580</v>
      </c>
      <c r="GO82" s="449">
        <v>69</v>
      </c>
      <c r="GP82" s="447">
        <v>23</v>
      </c>
      <c r="GQ82" s="448">
        <v>30</v>
      </c>
      <c r="GR82" s="449">
        <v>16</v>
      </c>
      <c r="GS82" s="446">
        <v>3</v>
      </c>
      <c r="GT82" s="461">
        <v>-1.0964865684509277</v>
      </c>
      <c r="GU82" s="462">
        <v>-1.9885441064834595</v>
      </c>
      <c r="GV82" s="462">
        <v>-1.07856285572052</v>
      </c>
      <c r="GW82" s="462">
        <v>-1.2580001354217529</v>
      </c>
      <c r="GX82" s="462">
        <v>-1.4714291095733643</v>
      </c>
      <c r="GY82" s="463">
        <v>-1.2459168434143066</v>
      </c>
      <c r="GZ82" s="10">
        <v>134</v>
      </c>
      <c r="HA82" s="536">
        <v>0.31413999999999997</v>
      </c>
      <c r="HB82" s="536">
        <v>0.13725000000000001</v>
      </c>
      <c r="HC82" s="525">
        <v>0.19685</v>
      </c>
      <c r="HD82" s="526">
        <v>0.21726999999999999</v>
      </c>
      <c r="HE82" s="527">
        <v>0.52829999999999999</v>
      </c>
      <c r="HF82" s="10" t="s">
        <v>145</v>
      </c>
      <c r="HG82" s="532" t="s">
        <v>145</v>
      </c>
      <c r="HH82" s="524" t="s">
        <v>145</v>
      </c>
      <c r="HI82" s="525" t="s">
        <v>145</v>
      </c>
      <c r="HJ82" s="527" t="s">
        <v>145</v>
      </c>
      <c r="HK82" s="379" t="s">
        <v>145</v>
      </c>
      <c r="HL82" s="362" t="s">
        <v>145</v>
      </c>
      <c r="HM82" s="557" t="s">
        <v>145</v>
      </c>
      <c r="HN82" s="557" t="s">
        <v>145</v>
      </c>
      <c r="HO82" s="526" t="s">
        <v>145</v>
      </c>
      <c r="HP82" s="564" t="s">
        <v>145</v>
      </c>
      <c r="HQ82" s="564" t="s">
        <v>145</v>
      </c>
      <c r="HR82" s="565" t="s">
        <v>145</v>
      </c>
      <c r="HS82" s="524" t="s">
        <v>145</v>
      </c>
      <c r="HT82" s="526" t="s">
        <v>145</v>
      </c>
      <c r="HU82" s="526" t="s">
        <v>145</v>
      </c>
      <c r="HV82" s="582" t="s">
        <v>145</v>
      </c>
      <c r="HW82" s="526" t="s">
        <v>145</v>
      </c>
      <c r="HX82" s="526" t="s">
        <v>145</v>
      </c>
      <c r="HY82" s="526" t="s">
        <v>145</v>
      </c>
      <c r="HZ82" s="526" t="s">
        <v>145</v>
      </c>
      <c r="IA82" s="526" t="s">
        <v>145</v>
      </c>
      <c r="IB82" s="526" t="s">
        <v>145</v>
      </c>
      <c r="IC82" s="527" t="s">
        <v>145</v>
      </c>
      <c r="ID82" s="40"/>
      <c r="IE82" s="550"/>
      <c r="IF82" s="550"/>
      <c r="IG82" s="553">
        <v>1</v>
      </c>
      <c r="IH82" s="115">
        <v>54.4</v>
      </c>
      <c r="II82" s="647" t="s">
        <v>4922</v>
      </c>
      <c r="IJ82" s="423" t="s">
        <v>4926</v>
      </c>
      <c r="IK82" s="10">
        <v>0</v>
      </c>
      <c r="IL82" s="749">
        <f t="shared" si="75"/>
        <v>15</v>
      </c>
      <c r="IM82" s="747">
        <f t="shared" si="76"/>
        <v>60</v>
      </c>
      <c r="IN82" s="750" t="str">
        <f t="shared" si="77"/>
        <v>B</v>
      </c>
      <c r="IO82" s="446"/>
      <c r="IP82" s="902">
        <v>4</v>
      </c>
      <c r="IQ82" s="903">
        <v>0</v>
      </c>
      <c r="IR82" s="993">
        <v>0</v>
      </c>
      <c r="IT82" s="435"/>
      <c r="IU82" s="435"/>
      <c r="IV82" s="435"/>
    </row>
    <row r="83" spans="1:256">
      <c r="A83" s="21">
        <v>81</v>
      </c>
      <c r="B83" s="9"/>
      <c r="C83" s="430" t="s">
        <v>129</v>
      </c>
      <c r="D83" s="424"/>
      <c r="E83" s="24" t="s">
        <v>17</v>
      </c>
      <c r="F83" s="76" t="s">
        <v>819</v>
      </c>
      <c r="G83" s="102" t="s">
        <v>530</v>
      </c>
      <c r="H83" s="251" t="s">
        <v>2293</v>
      </c>
      <c r="I83" s="364" t="s">
        <v>2294</v>
      </c>
      <c r="J83" s="370">
        <v>6</v>
      </c>
      <c r="K83" s="88">
        <v>1864</v>
      </c>
      <c r="L83" s="371">
        <v>2</v>
      </c>
      <c r="M83" s="373" t="s">
        <v>1810</v>
      </c>
      <c r="N83" s="280" t="s">
        <v>1822</v>
      </c>
      <c r="O83" s="379" t="s">
        <v>145</v>
      </c>
      <c r="P83" s="362" t="s">
        <v>145</v>
      </c>
      <c r="Q83" s="370">
        <v>0</v>
      </c>
      <c r="R83" s="370" t="s">
        <v>145</v>
      </c>
      <c r="S83" s="372" t="s">
        <v>145</v>
      </c>
      <c r="T83" s="370">
        <v>0</v>
      </c>
      <c r="U83" s="370">
        <v>0</v>
      </c>
      <c r="V83" s="370" t="s">
        <v>145</v>
      </c>
      <c r="W83" s="369" t="s">
        <v>145</v>
      </c>
      <c r="X83" s="170">
        <v>0</v>
      </c>
      <c r="Y83" s="369">
        <v>0</v>
      </c>
      <c r="Z83" s="273" t="s">
        <v>2056</v>
      </c>
      <c r="AA83" s="169">
        <v>1</v>
      </c>
      <c r="AB83" s="177">
        <v>1</v>
      </c>
      <c r="AC83" s="171"/>
      <c r="AD83" s="376" t="s">
        <v>145</v>
      </c>
      <c r="AE83" s="355" t="s">
        <v>145</v>
      </c>
      <c r="AF83" s="357">
        <v>0</v>
      </c>
      <c r="AG83" s="550">
        <v>0</v>
      </c>
      <c r="AH83" s="355" t="s">
        <v>145</v>
      </c>
      <c r="AI83" s="550" t="s">
        <v>145</v>
      </c>
      <c r="AJ83" s="550" t="s">
        <v>145</v>
      </c>
      <c r="AK83" s="590" t="s">
        <v>145</v>
      </c>
      <c r="AL83" s="355">
        <v>0</v>
      </c>
      <c r="AM83" s="361" t="s">
        <v>145</v>
      </c>
      <c r="AN83" s="342" t="s">
        <v>145</v>
      </c>
      <c r="AO83" s="170">
        <v>0</v>
      </c>
      <c r="AP83" s="369">
        <v>0</v>
      </c>
      <c r="AQ83" s="365" t="s">
        <v>5244</v>
      </c>
      <c r="AR83" s="378" t="s">
        <v>4993</v>
      </c>
      <c r="AS83" s="55">
        <v>2</v>
      </c>
      <c r="AT83" s="370">
        <v>3</v>
      </c>
      <c r="AU83" s="371">
        <v>2006</v>
      </c>
      <c r="AV83" s="370">
        <v>10</v>
      </c>
      <c r="AW83" s="589">
        <v>2800</v>
      </c>
      <c r="AX83" s="687">
        <v>1</v>
      </c>
      <c r="AY83" s="174" t="s">
        <v>2167</v>
      </c>
      <c r="AZ83" s="55">
        <v>2005</v>
      </c>
      <c r="BA83" s="55">
        <v>1</v>
      </c>
      <c r="BB83" s="55">
        <v>1</v>
      </c>
      <c r="BC83" s="174" t="s">
        <v>4496</v>
      </c>
      <c r="BD83" s="55">
        <v>2013</v>
      </c>
      <c r="BE83" s="55">
        <v>0</v>
      </c>
      <c r="BF83" s="371" t="s">
        <v>145</v>
      </c>
      <c r="BG83" s="367">
        <v>1</v>
      </c>
      <c r="BH83" s="1" t="s">
        <v>4497</v>
      </c>
      <c r="BI83" s="367">
        <v>3</v>
      </c>
      <c r="BJ83" s="367">
        <v>1</v>
      </c>
      <c r="BK83" s="888">
        <v>4688.4650000000001</v>
      </c>
      <c r="BL83" s="925">
        <f t="shared" si="62"/>
        <v>50.088205841357457</v>
      </c>
      <c r="BM83" s="888">
        <v>2340.0970000000002</v>
      </c>
      <c r="BN83" s="920">
        <v>2348.3679999999999</v>
      </c>
      <c r="BO83" s="888">
        <v>353.46800000000002</v>
      </c>
      <c r="BP83" s="1158">
        <f t="shared" si="78"/>
        <v>48.298572996706909</v>
      </c>
      <c r="BQ83" s="917">
        <v>182.74799999999999</v>
      </c>
      <c r="BR83" s="920">
        <v>170.72</v>
      </c>
      <c r="BS83" s="888">
        <v>355.21100000000001</v>
      </c>
      <c r="BT83" s="1158">
        <f t="shared" si="79"/>
        <v>48.332962661629281</v>
      </c>
      <c r="BU83" s="917">
        <v>183.52699999999999</v>
      </c>
      <c r="BV83" s="920">
        <v>171.684</v>
      </c>
      <c r="BW83" s="888">
        <v>312.495</v>
      </c>
      <c r="BX83" s="1158">
        <f t="shared" si="80"/>
        <v>48.621577945247125</v>
      </c>
      <c r="BY83" s="917">
        <v>160.55500000000001</v>
      </c>
      <c r="BZ83" s="920">
        <v>151.94</v>
      </c>
      <c r="CA83" s="888">
        <f t="shared" si="81"/>
        <v>3667.2910000000002</v>
      </c>
      <c r="CB83" s="1158">
        <f t="shared" si="82"/>
        <v>50.555682655126091</v>
      </c>
      <c r="CC83" s="917">
        <f t="shared" si="83"/>
        <v>1813.2670000000001</v>
      </c>
      <c r="CD83" s="920">
        <f t="shared" si="84"/>
        <v>1854.0240000000001</v>
      </c>
      <c r="CE83" s="914">
        <v>2015</v>
      </c>
      <c r="CF83" s="910" t="s">
        <v>5630</v>
      </c>
      <c r="CG83" s="930">
        <v>100</v>
      </c>
      <c r="CH83" s="1005">
        <v>100</v>
      </c>
      <c r="CI83" s="1006">
        <v>100</v>
      </c>
      <c r="CJ83" s="904" t="s">
        <v>1621</v>
      </c>
      <c r="CK83" s="904" t="s">
        <v>1621</v>
      </c>
      <c r="CL83" s="904">
        <v>2010</v>
      </c>
      <c r="CM83" s="905" t="s">
        <v>5576</v>
      </c>
      <c r="CN83" s="1044">
        <v>4581.2690000000002</v>
      </c>
      <c r="CO83" s="1045">
        <f t="shared" si="63"/>
        <v>97.713622688875788</v>
      </c>
      <c r="CP83" s="1049">
        <v>2268.6979999999999</v>
      </c>
      <c r="CQ83" s="1050">
        <v>2312.5709999999999</v>
      </c>
      <c r="CR83" s="1046">
        <v>2011</v>
      </c>
      <c r="CS83" s="1047" t="s">
        <v>5790</v>
      </c>
      <c r="CT83" s="1068" t="str">
        <f t="shared" si="66"/>
        <v>-</v>
      </c>
      <c r="CU83" s="1071">
        <v>18</v>
      </c>
      <c r="CV83" s="1068" t="s">
        <v>5917</v>
      </c>
      <c r="CW83" s="1113">
        <v>3202.442</v>
      </c>
      <c r="CX83" s="1113">
        <v>3516.7950000000001</v>
      </c>
      <c r="CY83" s="1113">
        <v>4670.9759999999997</v>
      </c>
      <c r="CZ83" s="1048">
        <v>20</v>
      </c>
      <c r="DA83" s="1104">
        <v>5</v>
      </c>
      <c r="DB83" s="1050" t="s">
        <v>647</v>
      </c>
      <c r="DC83" s="1145" t="s">
        <v>323</v>
      </c>
      <c r="DD83" s="1131">
        <f t="shared" si="91"/>
        <v>107.19599999999991</v>
      </c>
      <c r="DE83" s="1132">
        <f t="shared" si="67"/>
        <v>2.2863773111242147</v>
      </c>
      <c r="DF83" s="1132">
        <f t="shared" si="92"/>
        <v>33.393969924250953</v>
      </c>
      <c r="DG83" s="1133">
        <f t="shared" si="93"/>
        <v>71.399000000000342</v>
      </c>
      <c r="DH83" s="1133">
        <f t="shared" si="94"/>
        <v>35.797000000000025</v>
      </c>
      <c r="DI83" s="1132">
        <f t="shared" si="68"/>
        <v>3.0511128384849147</v>
      </c>
      <c r="DJ83" s="1134">
        <f t="shared" si="69"/>
        <v>1.5243351978906214</v>
      </c>
      <c r="DK83" s="1135">
        <f t="shared" si="70"/>
        <v>107.19599999999991</v>
      </c>
      <c r="DL83" s="1132">
        <f t="shared" si="95"/>
        <v>33.393969924250953</v>
      </c>
      <c r="DM83" s="1133">
        <f t="shared" si="71"/>
        <v>71.399000000000342</v>
      </c>
      <c r="DN83" s="1136">
        <f t="shared" si="72"/>
        <v>35.797000000000025</v>
      </c>
      <c r="DO83" s="1135">
        <f t="shared" si="73"/>
        <v>0</v>
      </c>
      <c r="DP83" s="1132">
        <f t="shared" si="96"/>
        <v>0</v>
      </c>
      <c r="DQ83" s="1133">
        <f t="shared" si="85"/>
        <v>0</v>
      </c>
      <c r="DR83" s="1136">
        <f t="shared" si="86"/>
        <v>0</v>
      </c>
      <c r="DS83" s="1135">
        <f t="shared" si="74"/>
        <v>0</v>
      </c>
      <c r="DT83" s="1137">
        <f t="shared" si="97"/>
        <v>0</v>
      </c>
      <c r="DU83" s="1133">
        <f t="shared" si="87"/>
        <v>0</v>
      </c>
      <c r="DV83" s="1136">
        <f t="shared" si="88"/>
        <v>0</v>
      </c>
      <c r="DW83" s="1132">
        <f t="shared" si="89"/>
        <v>0</v>
      </c>
      <c r="DX83" s="1134">
        <f t="shared" si="90"/>
        <v>0</v>
      </c>
      <c r="DY83" s="414" t="s">
        <v>145</v>
      </c>
      <c r="DZ83" s="111" t="s">
        <v>145</v>
      </c>
      <c r="EA83" s="118"/>
      <c r="EB83" s="123" t="s">
        <v>145</v>
      </c>
      <c r="EC83" s="113" t="s">
        <v>145</v>
      </c>
      <c r="ED83" s="20"/>
      <c r="EE83" s="414">
        <v>5.5</v>
      </c>
      <c r="EF83" s="121">
        <v>2009</v>
      </c>
      <c r="EG83" s="380" t="s">
        <v>145</v>
      </c>
      <c r="EH83" s="24" t="s">
        <v>335</v>
      </c>
      <c r="EI83" s="288">
        <v>0</v>
      </c>
      <c r="EJ83" s="40" t="s">
        <v>145</v>
      </c>
      <c r="EK83" s="35" t="s">
        <v>145</v>
      </c>
      <c r="EL83" s="95" t="s">
        <v>145</v>
      </c>
      <c r="EM83" s="95" t="s">
        <v>145</v>
      </c>
      <c r="EN83" s="35" t="s">
        <v>145</v>
      </c>
      <c r="EO83" s="95" t="s">
        <v>145</v>
      </c>
      <c r="EP83" s="205" t="s">
        <v>145</v>
      </c>
      <c r="EQ83" s="207" t="s">
        <v>145</v>
      </c>
      <c r="ER83" s="517" t="s">
        <v>145</v>
      </c>
      <c r="ES83" s="183"/>
      <c r="ET83" s="183"/>
      <c r="EU83" s="82"/>
      <c r="EV83" s="82"/>
      <c r="EW83" s="82"/>
      <c r="EX83" s="90"/>
      <c r="EY83" s="159"/>
      <c r="EZ83" s="156"/>
      <c r="FA83" s="323"/>
      <c r="FB83" s="323"/>
      <c r="FC83" s="323"/>
      <c r="FD83" s="160"/>
      <c r="FE83" s="156"/>
      <c r="FF83" s="156"/>
      <c r="FG83" s="156"/>
      <c r="FH83" s="157"/>
      <c r="FI83" s="242"/>
      <c r="FJ83" s="373"/>
      <c r="FK83" s="179"/>
      <c r="FL83" s="179"/>
      <c r="FM83" s="179"/>
      <c r="FN83" s="369"/>
      <c r="FO83" s="164"/>
      <c r="FP83" s="255"/>
      <c r="FQ83" s="183"/>
      <c r="FR83" s="257"/>
      <c r="FS83" s="82"/>
      <c r="FT83" s="259"/>
      <c r="FU83" s="82"/>
      <c r="FV83" s="259"/>
      <c r="FW83" s="82"/>
      <c r="FX83" s="259"/>
      <c r="FY83" s="82"/>
      <c r="FZ83" s="259"/>
      <c r="GA83" s="82"/>
      <c r="GB83" s="261"/>
      <c r="GC83" s="90"/>
      <c r="GD83" s="76">
        <v>2</v>
      </c>
      <c r="GE83" s="445" t="s">
        <v>3425</v>
      </c>
      <c r="GF83" s="447" t="s">
        <v>10</v>
      </c>
      <c r="GG83" s="448">
        <v>1</v>
      </c>
      <c r="GH83" s="449">
        <v>1</v>
      </c>
      <c r="GI83" s="447" t="s">
        <v>145</v>
      </c>
      <c r="GJ83" s="449" t="s">
        <v>145</v>
      </c>
      <c r="GK83" s="447" t="s">
        <v>145</v>
      </c>
      <c r="GL83" s="448" t="s">
        <v>145</v>
      </c>
      <c r="GM83" s="449" t="s">
        <v>145</v>
      </c>
      <c r="GN83" s="447" t="s">
        <v>10</v>
      </c>
      <c r="GO83" s="449">
        <v>16</v>
      </c>
      <c r="GP83" s="447">
        <v>5</v>
      </c>
      <c r="GQ83" s="448">
        <v>6</v>
      </c>
      <c r="GR83" s="449">
        <v>5</v>
      </c>
      <c r="GS83" s="446">
        <v>10</v>
      </c>
      <c r="GT83" s="461">
        <v>1.312080979347229</v>
      </c>
      <c r="GU83" s="462">
        <v>0.87775856256484985</v>
      </c>
      <c r="GV83" s="462">
        <v>1.4648195505142212</v>
      </c>
      <c r="GW83" s="462">
        <v>1.5793559551239014</v>
      </c>
      <c r="GX83" s="462">
        <v>1.7208665609359741</v>
      </c>
      <c r="GY83" s="463">
        <v>1.537993311882019</v>
      </c>
      <c r="GZ83" s="10">
        <v>22</v>
      </c>
      <c r="HA83" s="536">
        <v>0.78100000000000003</v>
      </c>
      <c r="HB83" s="536">
        <v>0.64705000000000001</v>
      </c>
      <c r="HC83" s="525">
        <v>0.67715999999999998</v>
      </c>
      <c r="HD83" s="526">
        <v>0.70391000000000004</v>
      </c>
      <c r="HE83" s="527">
        <v>0.96189999999999998</v>
      </c>
      <c r="HF83" s="10">
        <v>26</v>
      </c>
      <c r="HG83" s="532">
        <v>7.57</v>
      </c>
      <c r="HH83" s="545">
        <v>8.24</v>
      </c>
      <c r="HI83" s="546">
        <v>6.24</v>
      </c>
      <c r="HJ83" s="547">
        <v>8.92</v>
      </c>
      <c r="HK83" s="379" t="s">
        <v>3991</v>
      </c>
      <c r="HL83" s="23" t="s">
        <v>4733</v>
      </c>
      <c r="HM83" s="557">
        <v>1988</v>
      </c>
      <c r="HN83" s="557">
        <v>2003</v>
      </c>
      <c r="HO83" s="557" t="s">
        <v>3985</v>
      </c>
      <c r="HP83" s="562" t="s">
        <v>4000</v>
      </c>
      <c r="HQ83" s="639" t="s">
        <v>4734</v>
      </c>
      <c r="HR83" s="563" t="s">
        <v>4066</v>
      </c>
      <c r="HS83" s="545">
        <v>39</v>
      </c>
      <c r="HT83" s="557">
        <v>92</v>
      </c>
      <c r="HU83" s="557">
        <v>1997</v>
      </c>
      <c r="HV83" s="583" t="s">
        <v>4205</v>
      </c>
      <c r="HW83" s="557">
        <v>2</v>
      </c>
      <c r="HX83" s="557">
        <v>24</v>
      </c>
      <c r="HY83" s="557">
        <v>19</v>
      </c>
      <c r="HZ83" s="557">
        <v>7</v>
      </c>
      <c r="IA83" s="557">
        <v>23</v>
      </c>
      <c r="IB83" s="557">
        <v>3</v>
      </c>
      <c r="IC83" s="547">
        <v>14</v>
      </c>
      <c r="ID83" s="40" t="s">
        <v>5199</v>
      </c>
      <c r="IE83" s="355" t="s">
        <v>5200</v>
      </c>
      <c r="IF83" s="355"/>
      <c r="IG83" s="553"/>
      <c r="IH83" s="339"/>
      <c r="II83" s="553" t="s">
        <v>4920</v>
      </c>
      <c r="IJ83" s="424" t="s">
        <v>4925</v>
      </c>
      <c r="IK83" s="24">
        <v>0</v>
      </c>
      <c r="IL83" s="749">
        <f t="shared" si="75"/>
        <v>11</v>
      </c>
      <c r="IM83" s="747">
        <f t="shared" si="76"/>
        <v>44</v>
      </c>
      <c r="IN83" s="750" t="str">
        <f t="shared" si="77"/>
        <v>C</v>
      </c>
      <c r="IO83" s="446"/>
      <c r="IP83" s="902">
        <v>1</v>
      </c>
      <c r="IQ83" s="903">
        <v>0</v>
      </c>
      <c r="IR83" s="993">
        <v>0</v>
      </c>
      <c r="IT83" s="435"/>
      <c r="IU83" s="435"/>
      <c r="IV83" s="435"/>
    </row>
    <row r="84" spans="1:256">
      <c r="A84" s="21">
        <v>82</v>
      </c>
      <c r="B84" s="9"/>
      <c r="C84" s="430" t="s">
        <v>131</v>
      </c>
      <c r="D84" s="423" t="s">
        <v>410</v>
      </c>
      <c r="E84" s="24" t="s">
        <v>17</v>
      </c>
      <c r="F84" s="76" t="s">
        <v>820</v>
      </c>
      <c r="G84" s="102" t="s">
        <v>531</v>
      </c>
      <c r="H84" s="375" t="s">
        <v>2304</v>
      </c>
      <c r="I84" s="364" t="s">
        <v>2303</v>
      </c>
      <c r="J84" s="370">
        <v>6</v>
      </c>
      <c r="K84" s="88">
        <v>1953</v>
      </c>
      <c r="L84" s="371">
        <v>2</v>
      </c>
      <c r="M84" s="373" t="s">
        <v>2302</v>
      </c>
      <c r="N84" s="369" t="s">
        <v>1822</v>
      </c>
      <c r="O84" s="365" t="s">
        <v>3039</v>
      </c>
      <c r="P84" s="362" t="s">
        <v>2798</v>
      </c>
      <c r="Q84" s="370">
        <v>2</v>
      </c>
      <c r="R84" s="370">
        <v>1983</v>
      </c>
      <c r="S84" s="372" t="s">
        <v>2068</v>
      </c>
      <c r="T84" s="370">
        <v>1</v>
      </c>
      <c r="U84" s="370">
        <v>2</v>
      </c>
      <c r="V84" s="370">
        <v>16</v>
      </c>
      <c r="W84" s="369" t="s">
        <v>2845</v>
      </c>
      <c r="X84" s="170">
        <v>1</v>
      </c>
      <c r="Y84" s="369">
        <v>1</v>
      </c>
      <c r="Z84" s="273" t="s">
        <v>1998</v>
      </c>
      <c r="AA84" s="169"/>
      <c r="AB84" s="177">
        <v>1</v>
      </c>
      <c r="AC84" s="171"/>
      <c r="AD84" s="366" t="s">
        <v>3228</v>
      </c>
      <c r="AE84" s="357">
        <v>2013</v>
      </c>
      <c r="AF84" s="357">
        <v>2</v>
      </c>
      <c r="AG84" s="550" t="s">
        <v>5171</v>
      </c>
      <c r="AH84" s="355" t="s">
        <v>3122</v>
      </c>
      <c r="AI84" s="55">
        <v>1</v>
      </c>
      <c r="AJ84" s="55">
        <v>1</v>
      </c>
      <c r="AK84" s="590" t="s">
        <v>145</v>
      </c>
      <c r="AL84" s="386">
        <v>1</v>
      </c>
      <c r="AM84" s="361" t="s">
        <v>3040</v>
      </c>
      <c r="AN84" s="384">
        <v>3</v>
      </c>
      <c r="AO84" s="170">
        <v>1</v>
      </c>
      <c r="AP84" s="369">
        <v>1</v>
      </c>
      <c r="AQ84" s="365" t="s">
        <v>5245</v>
      </c>
      <c r="AR84" s="378" t="s">
        <v>2798</v>
      </c>
      <c r="AS84" s="55">
        <v>2</v>
      </c>
      <c r="AT84" s="370">
        <v>2</v>
      </c>
      <c r="AU84" s="371">
        <v>2013</v>
      </c>
      <c r="AV84" s="370">
        <v>5</v>
      </c>
      <c r="AW84" s="589" t="s">
        <v>145</v>
      </c>
      <c r="AX84" s="687">
        <v>0</v>
      </c>
      <c r="AY84" s="174" t="s">
        <v>2169</v>
      </c>
      <c r="AZ84" s="55">
        <v>2002</v>
      </c>
      <c r="BA84" s="55">
        <v>1</v>
      </c>
      <c r="BB84" s="55">
        <v>0</v>
      </c>
      <c r="BC84" s="174" t="s">
        <v>145</v>
      </c>
      <c r="BD84" s="55" t="s">
        <v>145</v>
      </c>
      <c r="BE84" s="55">
        <v>0</v>
      </c>
      <c r="BF84" s="371" t="s">
        <v>145</v>
      </c>
      <c r="BG84" s="367">
        <v>0</v>
      </c>
      <c r="BH84" s="56" t="s">
        <v>145</v>
      </c>
      <c r="BI84" s="367">
        <v>3</v>
      </c>
      <c r="BJ84" s="367">
        <v>1</v>
      </c>
      <c r="BK84" s="888">
        <v>8064.0360000000001</v>
      </c>
      <c r="BL84" s="925">
        <f t="shared" si="62"/>
        <v>50.414122655206398</v>
      </c>
      <c r="BM84" s="888">
        <v>3998.623</v>
      </c>
      <c r="BN84" s="920">
        <v>4065.413</v>
      </c>
      <c r="BO84" s="888">
        <v>831.851</v>
      </c>
      <c r="BP84" s="1158">
        <f t="shared" si="78"/>
        <v>48.692253781025691</v>
      </c>
      <c r="BQ84" s="917">
        <v>426.80399999999997</v>
      </c>
      <c r="BR84" s="920">
        <v>405.04700000000003</v>
      </c>
      <c r="BS84" s="888">
        <v>740.53399999999999</v>
      </c>
      <c r="BT84" s="1158">
        <f t="shared" si="79"/>
        <v>48.631257984103357</v>
      </c>
      <c r="BU84" s="917">
        <v>380.40300000000002</v>
      </c>
      <c r="BV84" s="920">
        <v>360.13099999999997</v>
      </c>
      <c r="BW84" s="888">
        <v>672.11500000000001</v>
      </c>
      <c r="BX84" s="1158">
        <f t="shared" si="80"/>
        <v>48.628434122136838</v>
      </c>
      <c r="BY84" s="917">
        <v>345.27600000000001</v>
      </c>
      <c r="BZ84" s="920">
        <v>326.839</v>
      </c>
      <c r="CA84" s="888">
        <f t="shared" si="81"/>
        <v>5819.536000000001</v>
      </c>
      <c r="CB84" s="1158">
        <f t="shared" si="82"/>
        <v>51.093351772374973</v>
      </c>
      <c r="CC84" s="917">
        <f t="shared" si="83"/>
        <v>2846.1400000000003</v>
      </c>
      <c r="CD84" s="920">
        <f t="shared" si="84"/>
        <v>2973.3960000000002</v>
      </c>
      <c r="CE84" s="914">
        <v>2015</v>
      </c>
      <c r="CF84" s="910" t="s">
        <v>5630</v>
      </c>
      <c r="CG84" s="930">
        <v>100</v>
      </c>
      <c r="CH84" s="1005">
        <v>100</v>
      </c>
      <c r="CI84" s="1006">
        <v>100</v>
      </c>
      <c r="CJ84" s="904" t="s">
        <v>1621</v>
      </c>
      <c r="CK84" s="904" t="s">
        <v>1621</v>
      </c>
      <c r="CL84" s="904">
        <v>2012</v>
      </c>
      <c r="CM84" s="905" t="s">
        <v>5576</v>
      </c>
      <c r="CN84" s="1125">
        <v>5591</v>
      </c>
      <c r="CO84" s="1045">
        <f t="shared" si="63"/>
        <v>69.332527781373983</v>
      </c>
      <c r="CP84" s="1040">
        <f t="shared" ref="CP84:CP94" si="99">IF(OR(CZ84=1,CZ84=10),CN84*(1-BL84/100),IF(DA84=6,CN84*(1-BL84/100),CN84*(1-CB84/100)))</f>
        <v>2772.3464023474103</v>
      </c>
      <c r="CQ84" s="1041">
        <f t="shared" ref="CQ84:CQ94" si="100">IF(OR(CZ84=1,CZ84=10),CN84*BL84/100,IF(DA84=6,CN84*BL84/100,CN84*CB84/100))</f>
        <v>2818.6535976525897</v>
      </c>
      <c r="CR84" s="1046">
        <v>2015</v>
      </c>
      <c r="CS84" s="1047" t="s">
        <v>5852</v>
      </c>
      <c r="CT84" s="1068">
        <f t="shared" si="66"/>
        <v>16</v>
      </c>
      <c r="CU84" s="1071">
        <v>18</v>
      </c>
      <c r="CV84" s="1068" t="s">
        <v>5918</v>
      </c>
      <c r="CW84" s="1113">
        <v>5881.6959999999999</v>
      </c>
      <c r="CX84" s="1113">
        <v>5591</v>
      </c>
      <c r="CY84" s="1113">
        <v>8320.1</v>
      </c>
      <c r="CZ84" s="494">
        <v>1</v>
      </c>
      <c r="DA84" s="1104">
        <v>4</v>
      </c>
      <c r="DB84" s="1050" t="s">
        <v>647</v>
      </c>
      <c r="DC84" s="1146" t="s">
        <v>322</v>
      </c>
      <c r="DD84" s="978">
        <f t="shared" si="91"/>
        <v>228.53600000000097</v>
      </c>
      <c r="DE84" s="979">
        <f t="shared" si="67"/>
        <v>2.834015125924549</v>
      </c>
      <c r="DF84" s="979">
        <f t="shared" si="92"/>
        <v>67.710296122890838</v>
      </c>
      <c r="DG84" s="980">
        <f t="shared" si="93"/>
        <v>73.793597652590051</v>
      </c>
      <c r="DH84" s="980">
        <f t="shared" si="94"/>
        <v>154.74240234741046</v>
      </c>
      <c r="DI84" s="979">
        <f t="shared" si="68"/>
        <v>1.8454752461682447</v>
      </c>
      <c r="DJ84" s="981">
        <f t="shared" si="69"/>
        <v>3.8063144469555854</v>
      </c>
      <c r="DK84" s="984">
        <f t="shared" si="70"/>
        <v>228.53600000000097</v>
      </c>
      <c r="DL84" s="979">
        <f t="shared" si="95"/>
        <v>67.710296122890838</v>
      </c>
      <c r="DM84" s="980">
        <f t="shared" si="71"/>
        <v>73.793597652590051</v>
      </c>
      <c r="DN84" s="985">
        <f t="shared" si="72"/>
        <v>154.74240234741046</v>
      </c>
      <c r="DO84" s="984">
        <f t="shared" si="73"/>
        <v>0</v>
      </c>
      <c r="DP84" s="979">
        <f t="shared" si="96"/>
        <v>0</v>
      </c>
      <c r="DQ84" s="980">
        <f t="shared" si="85"/>
        <v>0</v>
      </c>
      <c r="DR84" s="985">
        <f t="shared" si="86"/>
        <v>0</v>
      </c>
      <c r="DS84" s="984">
        <f t="shared" si="74"/>
        <v>0</v>
      </c>
      <c r="DT84" s="339">
        <f t="shared" si="97"/>
        <v>0</v>
      </c>
      <c r="DU84" s="980">
        <f t="shared" si="87"/>
        <v>0</v>
      </c>
      <c r="DV84" s="985">
        <f t="shared" si="88"/>
        <v>0</v>
      </c>
      <c r="DW84" s="979">
        <f t="shared" si="89"/>
        <v>0</v>
      </c>
      <c r="DX84" s="981">
        <f t="shared" si="90"/>
        <v>0</v>
      </c>
      <c r="DY84" s="414" t="s">
        <v>145</v>
      </c>
      <c r="DZ84" s="111" t="s">
        <v>145</v>
      </c>
      <c r="EA84" s="118"/>
      <c r="EB84" s="123" t="s">
        <v>145</v>
      </c>
      <c r="EC84" s="113" t="s">
        <v>145</v>
      </c>
      <c r="ED84" s="20"/>
      <c r="EE84" s="414">
        <v>21</v>
      </c>
      <c r="EF84" s="111" t="s">
        <v>145</v>
      </c>
      <c r="EG84" s="380">
        <v>97.764190673828097</v>
      </c>
      <c r="EH84" s="24" t="s">
        <v>338</v>
      </c>
      <c r="EI84" s="287">
        <v>0</v>
      </c>
      <c r="EJ84" s="40" t="s">
        <v>145</v>
      </c>
      <c r="EK84" s="35" t="s">
        <v>145</v>
      </c>
      <c r="EL84" s="95" t="s">
        <v>145</v>
      </c>
      <c r="EM84" s="95" t="s">
        <v>145</v>
      </c>
      <c r="EN84" s="35" t="s">
        <v>145</v>
      </c>
      <c r="EO84" s="95" t="s">
        <v>145</v>
      </c>
      <c r="EP84" s="205" t="s">
        <v>145</v>
      </c>
      <c r="EQ84" s="207" t="s">
        <v>145</v>
      </c>
      <c r="ER84" s="517" t="s">
        <v>145</v>
      </c>
      <c r="ES84" s="183"/>
      <c r="ET84" s="183"/>
      <c r="EU84" s="82"/>
      <c r="EV84" s="82"/>
      <c r="EW84" s="82"/>
      <c r="EX84" s="90"/>
      <c r="EY84" s="159"/>
      <c r="EZ84" s="156"/>
      <c r="FA84" s="323"/>
      <c r="FB84" s="323"/>
      <c r="FC84" s="323"/>
      <c r="FD84" s="160"/>
      <c r="FE84" s="156"/>
      <c r="FF84" s="156"/>
      <c r="FG84" s="156"/>
      <c r="FH84" s="157"/>
      <c r="FI84" s="242"/>
      <c r="FJ84" s="373"/>
      <c r="FK84" s="179"/>
      <c r="FL84" s="179"/>
      <c r="FM84" s="179"/>
      <c r="FN84" s="369"/>
      <c r="FO84" s="164"/>
      <c r="FP84" s="255">
        <v>2</v>
      </c>
      <c r="FQ84" s="183"/>
      <c r="FR84" s="257"/>
      <c r="FS84" s="82"/>
      <c r="FT84" s="259"/>
      <c r="FU84" s="82"/>
      <c r="FV84" s="259"/>
      <c r="FW84" s="82"/>
      <c r="FX84" s="259"/>
      <c r="FY84" s="82"/>
      <c r="FZ84" s="259"/>
      <c r="GA84" s="82"/>
      <c r="GB84" s="261"/>
      <c r="GC84" s="90"/>
      <c r="GD84" s="76">
        <v>2</v>
      </c>
      <c r="GE84" s="445" t="s">
        <v>3425</v>
      </c>
      <c r="GF84" s="447" t="s">
        <v>10</v>
      </c>
      <c r="GG84" s="448">
        <v>1</v>
      </c>
      <c r="GH84" s="449">
        <v>2</v>
      </c>
      <c r="GI84" s="447" t="s">
        <v>145</v>
      </c>
      <c r="GJ84" s="449" t="s">
        <v>145</v>
      </c>
      <c r="GK84" s="447" t="s">
        <v>145</v>
      </c>
      <c r="GL84" s="448" t="s">
        <v>145</v>
      </c>
      <c r="GM84" s="449" t="s">
        <v>145</v>
      </c>
      <c r="GN84" s="447" t="s">
        <v>10</v>
      </c>
      <c r="GO84" s="449">
        <v>30</v>
      </c>
      <c r="GP84" s="447">
        <v>7</v>
      </c>
      <c r="GQ84" s="448">
        <v>14</v>
      </c>
      <c r="GR84" s="449">
        <v>9</v>
      </c>
      <c r="GS84" s="446">
        <v>10</v>
      </c>
      <c r="GT84" s="461">
        <v>0.63073569536209106</v>
      </c>
      <c r="GU84" s="462">
        <v>-1.093532919883728</v>
      </c>
      <c r="GV84" s="462">
        <v>1.2173752784729004</v>
      </c>
      <c r="GW84" s="462">
        <v>1.1550329923629761</v>
      </c>
      <c r="GX84" s="462">
        <v>0.95247608423233032</v>
      </c>
      <c r="GY84" s="463">
        <v>0.84246653318405151</v>
      </c>
      <c r="GZ84" s="10">
        <v>17</v>
      </c>
      <c r="HA84" s="536">
        <v>0.81615000000000004</v>
      </c>
      <c r="HB84" s="536">
        <v>0.86273999999999995</v>
      </c>
      <c r="HC84" s="525">
        <v>0.87400999999999995</v>
      </c>
      <c r="HD84" s="526">
        <v>0.71997999999999995</v>
      </c>
      <c r="HE84" s="527">
        <v>0.85450000000000004</v>
      </c>
      <c r="HF84" s="10">
        <v>29</v>
      </c>
      <c r="HG84" s="532">
        <v>7.29</v>
      </c>
      <c r="HH84" s="545">
        <v>8.31</v>
      </c>
      <c r="HI84" s="546">
        <v>5.53</v>
      </c>
      <c r="HJ84" s="547">
        <v>8.7799999999999994</v>
      </c>
      <c r="HK84" s="379" t="s">
        <v>4067</v>
      </c>
      <c r="HL84" s="23" t="s">
        <v>4735</v>
      </c>
      <c r="HM84" s="557">
        <v>1981</v>
      </c>
      <c r="HN84" s="557">
        <v>1981</v>
      </c>
      <c r="HO84" s="557" t="s">
        <v>3985</v>
      </c>
      <c r="HP84" s="562" t="s">
        <v>4068</v>
      </c>
      <c r="HQ84" s="639" t="s">
        <v>4736</v>
      </c>
      <c r="HR84" s="563" t="s">
        <v>4069</v>
      </c>
      <c r="HS84" s="545">
        <v>80</v>
      </c>
      <c r="HT84" s="557">
        <v>66</v>
      </c>
      <c r="HU84" s="557">
        <v>1998</v>
      </c>
      <c r="HV84" s="583" t="s">
        <v>4206</v>
      </c>
      <c r="HW84" s="557">
        <v>3</v>
      </c>
      <c r="HX84" s="557">
        <v>25</v>
      </c>
      <c r="HY84" s="557">
        <v>12</v>
      </c>
      <c r="HZ84" s="557">
        <v>11</v>
      </c>
      <c r="IA84" s="557">
        <v>8</v>
      </c>
      <c r="IB84" s="557">
        <v>3</v>
      </c>
      <c r="IC84" s="547">
        <v>4</v>
      </c>
      <c r="ID84" s="40"/>
      <c r="IE84" s="355" t="s">
        <v>5200</v>
      </c>
      <c r="IF84" s="355"/>
      <c r="IG84" s="553"/>
      <c r="IH84" s="115"/>
      <c r="II84" s="647" t="s">
        <v>4920</v>
      </c>
      <c r="IJ84" s="423" t="s">
        <v>4926</v>
      </c>
      <c r="IK84" s="10">
        <v>0</v>
      </c>
      <c r="IL84" s="749">
        <f t="shared" si="75"/>
        <v>18</v>
      </c>
      <c r="IM84" s="747">
        <f t="shared" si="76"/>
        <v>72</v>
      </c>
      <c r="IN84" s="750" t="str">
        <f t="shared" si="77"/>
        <v>B</v>
      </c>
      <c r="IO84" s="446"/>
      <c r="IP84" s="902">
        <v>4</v>
      </c>
      <c r="IQ84" s="903">
        <v>0</v>
      </c>
      <c r="IR84" s="993">
        <v>0</v>
      </c>
      <c r="IT84" s="435"/>
      <c r="IU84" s="435"/>
      <c r="IV84" s="435"/>
    </row>
    <row r="85" spans="1:256">
      <c r="A85" s="21">
        <v>83</v>
      </c>
      <c r="B85" s="9"/>
      <c r="C85" s="430" t="s">
        <v>132</v>
      </c>
      <c r="D85" s="424"/>
      <c r="E85" s="24" t="s">
        <v>17</v>
      </c>
      <c r="F85" s="76" t="s">
        <v>821</v>
      </c>
      <c r="G85" s="102" t="s">
        <v>536</v>
      </c>
      <c r="H85" s="375" t="s">
        <v>2297</v>
      </c>
      <c r="I85" s="364" t="s">
        <v>2296</v>
      </c>
      <c r="J85" s="370">
        <v>2</v>
      </c>
      <c r="K85" s="359">
        <v>1804</v>
      </c>
      <c r="L85" s="371">
        <v>2</v>
      </c>
      <c r="M85" s="373" t="s">
        <v>2295</v>
      </c>
      <c r="N85" s="369" t="s">
        <v>1822</v>
      </c>
      <c r="O85" s="365" t="s">
        <v>3042</v>
      </c>
      <c r="P85" s="362" t="s">
        <v>2348</v>
      </c>
      <c r="Q85" s="370">
        <v>2</v>
      </c>
      <c r="R85" s="370">
        <v>2001</v>
      </c>
      <c r="S85" s="372" t="s">
        <v>1961</v>
      </c>
      <c r="T85" s="370">
        <v>1</v>
      </c>
      <c r="U85" s="370">
        <v>1</v>
      </c>
      <c r="V85" s="370">
        <v>15</v>
      </c>
      <c r="W85" s="369" t="s">
        <v>2036</v>
      </c>
      <c r="X85" s="170">
        <v>1</v>
      </c>
      <c r="Y85" s="369">
        <v>0</v>
      </c>
      <c r="Z85" s="273" t="s">
        <v>2021</v>
      </c>
      <c r="AA85" s="169">
        <v>1</v>
      </c>
      <c r="AB85" s="177">
        <v>1</v>
      </c>
      <c r="AC85" s="171">
        <v>1</v>
      </c>
      <c r="AD85" s="366" t="s">
        <v>3041</v>
      </c>
      <c r="AE85" s="357">
        <v>2001</v>
      </c>
      <c r="AF85" s="804">
        <v>3</v>
      </c>
      <c r="AG85" s="550" t="s">
        <v>5171</v>
      </c>
      <c r="AH85" s="355" t="s">
        <v>2745</v>
      </c>
      <c r="AI85" s="55">
        <v>1</v>
      </c>
      <c r="AJ85" s="55">
        <v>1</v>
      </c>
      <c r="AK85" s="590" t="s">
        <v>145</v>
      </c>
      <c r="AL85" s="386">
        <v>7</v>
      </c>
      <c r="AM85" s="361" t="s">
        <v>2985</v>
      </c>
      <c r="AN85" s="342" t="s">
        <v>145</v>
      </c>
      <c r="AO85" s="170">
        <v>0</v>
      </c>
      <c r="AP85" s="369">
        <v>0</v>
      </c>
      <c r="AQ85" s="365" t="s">
        <v>5246</v>
      </c>
      <c r="AR85" s="378" t="s">
        <v>4934</v>
      </c>
      <c r="AS85" s="55">
        <v>2</v>
      </c>
      <c r="AT85" s="370">
        <v>3</v>
      </c>
      <c r="AU85" s="371">
        <v>2006</v>
      </c>
      <c r="AV85" s="370">
        <v>10</v>
      </c>
      <c r="AW85" s="589">
        <v>11200</v>
      </c>
      <c r="AX85" s="687">
        <v>1</v>
      </c>
      <c r="AY85" s="174" t="s">
        <v>2170</v>
      </c>
      <c r="AZ85" s="55">
        <v>1993</v>
      </c>
      <c r="BA85" s="55">
        <v>1</v>
      </c>
      <c r="BB85" s="55">
        <v>1</v>
      </c>
      <c r="BC85" s="174" t="s">
        <v>4498</v>
      </c>
      <c r="BD85" s="55">
        <v>1976</v>
      </c>
      <c r="BE85" s="55">
        <v>0</v>
      </c>
      <c r="BF85" s="371" t="s">
        <v>145</v>
      </c>
      <c r="BG85" s="367">
        <v>0</v>
      </c>
      <c r="BH85" s="56" t="s">
        <v>145</v>
      </c>
      <c r="BI85" s="367">
        <v>3</v>
      </c>
      <c r="BJ85" s="367">
        <v>1</v>
      </c>
      <c r="BK85" s="888">
        <v>59797.684999999998</v>
      </c>
      <c r="BL85" s="925">
        <f t="shared" si="62"/>
        <v>51.386562874465788</v>
      </c>
      <c r="BM85" s="888">
        <v>29069.71</v>
      </c>
      <c r="BN85" s="920">
        <v>30727.974999999999</v>
      </c>
      <c r="BO85" s="888">
        <v>2570.3180000000002</v>
      </c>
      <c r="BP85" s="1158">
        <f t="shared" si="78"/>
        <v>48.479332129331858</v>
      </c>
      <c r="BQ85" s="917">
        <v>1324.2449999999999</v>
      </c>
      <c r="BR85" s="920">
        <v>1246.0730000000001</v>
      </c>
      <c r="BS85" s="888">
        <v>2816.96</v>
      </c>
      <c r="BT85" s="1158">
        <f t="shared" si="79"/>
        <v>48.545346756787453</v>
      </c>
      <c r="BU85" s="917">
        <v>1449.4570000000001</v>
      </c>
      <c r="BV85" s="920">
        <v>1367.5029999999999</v>
      </c>
      <c r="BW85" s="888">
        <v>2811.2130000000002</v>
      </c>
      <c r="BX85" s="1158">
        <f t="shared" si="80"/>
        <v>48.644446365323432</v>
      </c>
      <c r="BY85" s="917">
        <v>1443.7139999999999</v>
      </c>
      <c r="BZ85" s="920">
        <v>1367.499</v>
      </c>
      <c r="CA85" s="888">
        <f t="shared" si="81"/>
        <v>51599.193999999996</v>
      </c>
      <c r="CB85" s="1158">
        <f t="shared" si="82"/>
        <v>51.835887203974536</v>
      </c>
      <c r="CC85" s="917">
        <f t="shared" si="83"/>
        <v>24852.294000000002</v>
      </c>
      <c r="CD85" s="920">
        <f t="shared" si="84"/>
        <v>26746.899999999998</v>
      </c>
      <c r="CE85" s="914">
        <v>2015</v>
      </c>
      <c r="CF85" s="910" t="s">
        <v>5630</v>
      </c>
      <c r="CG85" s="930">
        <v>100</v>
      </c>
      <c r="CH85" s="1005">
        <v>100</v>
      </c>
      <c r="CI85" s="1006">
        <v>100</v>
      </c>
      <c r="CJ85" s="904" t="s">
        <v>1621</v>
      </c>
      <c r="CK85" s="904" t="s">
        <v>1621</v>
      </c>
      <c r="CL85" s="904">
        <v>2011</v>
      </c>
      <c r="CM85" s="905" t="s">
        <v>5576</v>
      </c>
      <c r="CN85" s="1044">
        <v>50662.46</v>
      </c>
      <c r="CO85" s="1045">
        <f t="shared" si="63"/>
        <v>84.7231126087908</v>
      </c>
      <c r="CP85" s="1040">
        <f t="shared" si="99"/>
        <v>24628.763138348917</v>
      </c>
      <c r="CQ85" s="1041">
        <f t="shared" si="100"/>
        <v>26033.696861651079</v>
      </c>
      <c r="CR85" s="1046">
        <v>2014</v>
      </c>
      <c r="CS85" s="1047" t="s">
        <v>5792</v>
      </c>
      <c r="CT85" s="1068">
        <f t="shared" si="66"/>
        <v>15</v>
      </c>
      <c r="CU85" s="1071">
        <v>18</v>
      </c>
      <c r="CV85" s="1117" t="s">
        <v>5791</v>
      </c>
      <c r="CW85" s="1113">
        <v>50662.46</v>
      </c>
      <c r="CX85" s="1113">
        <v>50577.525999999998</v>
      </c>
      <c r="CY85" s="1113">
        <v>61680.122000000003</v>
      </c>
      <c r="CZ85" s="494">
        <v>1</v>
      </c>
      <c r="DA85" s="1104">
        <v>5</v>
      </c>
      <c r="DB85" s="1050" t="s">
        <v>647</v>
      </c>
      <c r="DC85" s="1145" t="s">
        <v>323</v>
      </c>
      <c r="DD85" s="1131">
        <f t="shared" si="91"/>
        <v>936.73399999999674</v>
      </c>
      <c r="DE85" s="1132">
        <f t="shared" si="67"/>
        <v>1.5665054591996277</v>
      </c>
      <c r="DF85" s="1132">
        <f t="shared" si="92"/>
        <v>76.137210600759857</v>
      </c>
      <c r="DG85" s="1133">
        <f t="shared" si="93"/>
        <v>223.53086165108471</v>
      </c>
      <c r="DH85" s="1133">
        <f t="shared" si="94"/>
        <v>713.20313834891931</v>
      </c>
      <c r="DI85" s="1132">
        <f t="shared" si="68"/>
        <v>0.76894768352035403</v>
      </c>
      <c r="DJ85" s="1134">
        <f t="shared" si="69"/>
        <v>2.3210222552866542</v>
      </c>
      <c r="DK85" s="1135">
        <f t="shared" si="70"/>
        <v>936.73399999999674</v>
      </c>
      <c r="DL85" s="1132">
        <f t="shared" si="95"/>
        <v>76.137210600759857</v>
      </c>
      <c r="DM85" s="1133">
        <f t="shared" si="71"/>
        <v>223.53086165108471</v>
      </c>
      <c r="DN85" s="1136">
        <f t="shared" si="72"/>
        <v>713.20313834891931</v>
      </c>
      <c r="DO85" s="1135">
        <f t="shared" si="73"/>
        <v>0</v>
      </c>
      <c r="DP85" s="1132">
        <f t="shared" si="96"/>
        <v>0</v>
      </c>
      <c r="DQ85" s="1133">
        <f t="shared" si="85"/>
        <v>0</v>
      </c>
      <c r="DR85" s="1136">
        <f t="shared" si="86"/>
        <v>0</v>
      </c>
      <c r="DS85" s="1135">
        <f t="shared" si="74"/>
        <v>0</v>
      </c>
      <c r="DT85" s="1137">
        <f t="shared" si="97"/>
        <v>0</v>
      </c>
      <c r="DU85" s="1133">
        <f t="shared" si="87"/>
        <v>0</v>
      </c>
      <c r="DV85" s="1136">
        <f t="shared" si="88"/>
        <v>0</v>
      </c>
      <c r="DW85" s="1132">
        <f t="shared" si="89"/>
        <v>0</v>
      </c>
      <c r="DX85" s="1134">
        <f t="shared" si="90"/>
        <v>0</v>
      </c>
      <c r="DY85" s="414" t="s">
        <v>145</v>
      </c>
      <c r="DZ85" s="111" t="s">
        <v>145</v>
      </c>
      <c r="EA85" s="368"/>
      <c r="EB85" s="123" t="s">
        <v>145</v>
      </c>
      <c r="EC85" s="113" t="s">
        <v>145</v>
      </c>
      <c r="ED85" s="20"/>
      <c r="EE85" s="414">
        <v>29.9</v>
      </c>
      <c r="EF85" s="121">
        <v>2012</v>
      </c>
      <c r="EG85" s="380">
        <v>99.025611877441406</v>
      </c>
      <c r="EH85" s="24" t="s">
        <v>343</v>
      </c>
      <c r="EI85" s="288">
        <v>0</v>
      </c>
      <c r="EJ85" s="40" t="s">
        <v>145</v>
      </c>
      <c r="EK85" s="355" t="s">
        <v>145</v>
      </c>
      <c r="EL85" s="364" t="s">
        <v>145</v>
      </c>
      <c r="EM85" s="364" t="s">
        <v>145</v>
      </c>
      <c r="EN85" s="355" t="s">
        <v>145</v>
      </c>
      <c r="EO85" s="364" t="s">
        <v>145</v>
      </c>
      <c r="EP85" s="205" t="s">
        <v>145</v>
      </c>
      <c r="EQ85" s="207" t="s">
        <v>145</v>
      </c>
      <c r="ER85" s="517" t="s">
        <v>145</v>
      </c>
      <c r="ES85" s="183"/>
      <c r="ET85" s="183"/>
      <c r="EU85" s="82"/>
      <c r="EV85" s="82"/>
      <c r="EW85" s="82"/>
      <c r="EX85" s="360"/>
      <c r="EY85" s="159"/>
      <c r="EZ85" s="156"/>
      <c r="FA85" s="323"/>
      <c r="FB85" s="323"/>
      <c r="FC85" s="323"/>
      <c r="FD85" s="160"/>
      <c r="FE85" s="156"/>
      <c r="FF85" s="156"/>
      <c r="FG85" s="156"/>
      <c r="FH85" s="157"/>
      <c r="FI85" s="242"/>
      <c r="FJ85" s="373"/>
      <c r="FK85" s="179"/>
      <c r="FL85" s="179"/>
      <c r="FM85" s="179"/>
      <c r="FN85" s="369"/>
      <c r="FO85" s="164"/>
      <c r="FP85" s="255">
        <v>2</v>
      </c>
      <c r="FQ85" s="183"/>
      <c r="FR85" s="257"/>
      <c r="FS85" s="82"/>
      <c r="FT85" s="259"/>
      <c r="FU85" s="82"/>
      <c r="FV85" s="259"/>
      <c r="FW85" s="82"/>
      <c r="FX85" s="259"/>
      <c r="FY85" s="82"/>
      <c r="FZ85" s="259"/>
      <c r="GA85" s="82"/>
      <c r="GB85" s="261"/>
      <c r="GC85" s="360"/>
      <c r="GD85" s="76">
        <v>1</v>
      </c>
      <c r="GE85" s="445" t="s">
        <v>3424</v>
      </c>
      <c r="GF85" s="447" t="s">
        <v>10</v>
      </c>
      <c r="GG85" s="448">
        <v>1</v>
      </c>
      <c r="GH85" s="449">
        <v>1</v>
      </c>
      <c r="GI85" s="447" t="s">
        <v>10</v>
      </c>
      <c r="GJ85" s="449">
        <v>22</v>
      </c>
      <c r="GK85" s="447">
        <v>4</v>
      </c>
      <c r="GL85" s="448">
        <v>6</v>
      </c>
      <c r="GM85" s="449">
        <v>12</v>
      </c>
      <c r="GN85" s="447" t="s">
        <v>590</v>
      </c>
      <c r="GO85" s="449">
        <v>31</v>
      </c>
      <c r="GP85" s="447">
        <v>12</v>
      </c>
      <c r="GQ85" s="448">
        <v>10</v>
      </c>
      <c r="GR85" s="449">
        <v>9</v>
      </c>
      <c r="GS85" s="446">
        <v>10</v>
      </c>
      <c r="GT85" s="461">
        <v>0.93486869335174561</v>
      </c>
      <c r="GU85" s="462">
        <v>0.50986284017562866</v>
      </c>
      <c r="GV85" s="462">
        <v>0.45150807499885559</v>
      </c>
      <c r="GW85" s="462">
        <v>0.7690272331237793</v>
      </c>
      <c r="GX85" s="462">
        <v>0.35697352886199951</v>
      </c>
      <c r="GY85" s="463">
        <v>-3.7337947636842728E-2</v>
      </c>
      <c r="GZ85" s="10">
        <v>23</v>
      </c>
      <c r="HA85" s="536">
        <v>0.75929999999999997</v>
      </c>
      <c r="HB85" s="536">
        <v>0.78430999999999995</v>
      </c>
      <c r="HC85" s="525">
        <v>0.74802999999999997</v>
      </c>
      <c r="HD85" s="526">
        <v>0.67473000000000005</v>
      </c>
      <c r="HE85" s="527">
        <v>0.85519999999999996</v>
      </c>
      <c r="HF85" s="10">
        <v>36</v>
      </c>
      <c r="HG85" s="532">
        <v>6.94</v>
      </c>
      <c r="HH85" s="545">
        <v>7.62</v>
      </c>
      <c r="HI85" s="546">
        <v>5.38</v>
      </c>
      <c r="HJ85" s="547">
        <v>8.7100000000000009</v>
      </c>
      <c r="HK85" s="379" t="s">
        <v>4070</v>
      </c>
      <c r="HL85" s="23" t="s">
        <v>4737</v>
      </c>
      <c r="HM85" s="557">
        <v>1996</v>
      </c>
      <c r="HN85" s="557">
        <v>2003</v>
      </c>
      <c r="HO85" s="557" t="s">
        <v>3985</v>
      </c>
      <c r="HP85" s="562" t="s">
        <v>4055</v>
      </c>
      <c r="HQ85" s="639" t="s">
        <v>4738</v>
      </c>
      <c r="HR85" s="563" t="s">
        <v>4042</v>
      </c>
      <c r="HS85" s="545">
        <v>95</v>
      </c>
      <c r="HT85" s="557">
        <v>57</v>
      </c>
      <c r="HU85" s="557">
        <v>1990</v>
      </c>
      <c r="HV85" s="583" t="s">
        <v>4207</v>
      </c>
      <c r="HW85" s="557">
        <v>2</v>
      </c>
      <c r="HX85" s="557">
        <v>21</v>
      </c>
      <c r="HY85" s="557">
        <v>7</v>
      </c>
      <c r="HZ85" s="557">
        <v>5</v>
      </c>
      <c r="IA85" s="557">
        <v>13</v>
      </c>
      <c r="IB85" s="557">
        <v>2</v>
      </c>
      <c r="IC85" s="547">
        <v>7</v>
      </c>
      <c r="ID85" s="40" t="s">
        <v>5199</v>
      </c>
      <c r="IE85" s="355" t="s">
        <v>5200</v>
      </c>
      <c r="IF85" s="355"/>
      <c r="IG85" s="553"/>
      <c r="IH85" s="339"/>
      <c r="II85" s="553" t="s">
        <v>4920</v>
      </c>
      <c r="IJ85" s="424" t="s">
        <v>4925</v>
      </c>
      <c r="IK85" s="24">
        <v>0</v>
      </c>
      <c r="IL85" s="749">
        <f t="shared" si="75"/>
        <v>19</v>
      </c>
      <c r="IM85" s="747">
        <f t="shared" si="76"/>
        <v>76</v>
      </c>
      <c r="IN85" s="750" t="str">
        <f t="shared" si="77"/>
        <v>A</v>
      </c>
      <c r="IO85" s="446"/>
      <c r="IP85" s="902">
        <v>5</v>
      </c>
      <c r="IQ85" s="903">
        <v>2</v>
      </c>
      <c r="IR85" s="993">
        <v>0</v>
      </c>
      <c r="IT85" s="435"/>
      <c r="IU85" s="435"/>
      <c r="IV85" s="435"/>
    </row>
    <row r="86" spans="1:256">
      <c r="A86" s="21">
        <v>84</v>
      </c>
      <c r="B86" s="9"/>
      <c r="C86" s="430" t="s">
        <v>133</v>
      </c>
      <c r="D86" s="424" t="s">
        <v>409</v>
      </c>
      <c r="E86" s="24" t="s">
        <v>12</v>
      </c>
      <c r="F86" s="76" t="s">
        <v>822</v>
      </c>
      <c r="G86" s="102" t="s">
        <v>537</v>
      </c>
      <c r="H86" s="375" t="s">
        <v>1772</v>
      </c>
      <c r="I86" s="95" t="s">
        <v>2258</v>
      </c>
      <c r="J86" s="176">
        <v>3</v>
      </c>
      <c r="K86" s="359">
        <v>1879</v>
      </c>
      <c r="L86" s="371">
        <v>2</v>
      </c>
      <c r="M86" s="240" t="s">
        <v>2298</v>
      </c>
      <c r="N86" s="369" t="s">
        <v>1822</v>
      </c>
      <c r="O86" s="365" t="s">
        <v>3231</v>
      </c>
      <c r="P86" s="362" t="s">
        <v>3232</v>
      </c>
      <c r="Q86" s="176">
        <v>6</v>
      </c>
      <c r="R86" s="370">
        <v>1999</v>
      </c>
      <c r="S86" s="372" t="s">
        <v>3229</v>
      </c>
      <c r="T86" s="176">
        <v>1</v>
      </c>
      <c r="U86" s="370">
        <v>2</v>
      </c>
      <c r="V86" s="176" t="s">
        <v>145</v>
      </c>
      <c r="W86" s="369" t="s">
        <v>1822</v>
      </c>
      <c r="X86" s="170">
        <v>1</v>
      </c>
      <c r="Y86" s="369">
        <v>1</v>
      </c>
      <c r="Z86" s="271"/>
      <c r="AA86" s="169">
        <v>1</v>
      </c>
      <c r="AB86" s="177"/>
      <c r="AC86" s="171"/>
      <c r="AD86" s="366" t="s">
        <v>3230</v>
      </c>
      <c r="AE86" s="357">
        <v>2016</v>
      </c>
      <c r="AF86" s="357">
        <v>2</v>
      </c>
      <c r="AG86" s="550" t="s">
        <v>5171</v>
      </c>
      <c r="AH86" s="355" t="s">
        <v>3210</v>
      </c>
      <c r="AI86" s="55">
        <v>0</v>
      </c>
      <c r="AJ86" s="55">
        <v>0</v>
      </c>
      <c r="AK86" s="590" t="s">
        <v>145</v>
      </c>
      <c r="AL86" s="386">
        <v>10</v>
      </c>
      <c r="AM86" s="361" t="s">
        <v>3233</v>
      </c>
      <c r="AN86" s="384" t="s">
        <v>145</v>
      </c>
      <c r="AO86" s="170">
        <v>0</v>
      </c>
      <c r="AP86" s="369">
        <v>0</v>
      </c>
      <c r="AQ86" s="365" t="s">
        <v>5414</v>
      </c>
      <c r="AR86" s="378" t="s">
        <v>5415</v>
      </c>
      <c r="AS86" s="55">
        <v>1</v>
      </c>
      <c r="AT86" s="370">
        <v>6</v>
      </c>
      <c r="AU86" s="371">
        <v>2009</v>
      </c>
      <c r="AV86" s="370">
        <v>5</v>
      </c>
      <c r="AW86" s="589" t="s">
        <v>145</v>
      </c>
      <c r="AX86" s="687">
        <v>0</v>
      </c>
      <c r="AY86" s="174" t="s">
        <v>4499</v>
      </c>
      <c r="AZ86" s="55">
        <v>2003</v>
      </c>
      <c r="BA86" s="55">
        <v>1</v>
      </c>
      <c r="BB86" s="55">
        <v>1</v>
      </c>
      <c r="BC86" s="174" t="s">
        <v>4500</v>
      </c>
      <c r="BD86" s="55">
        <v>1994</v>
      </c>
      <c r="BE86" s="55">
        <v>0</v>
      </c>
      <c r="BF86" s="371" t="s">
        <v>145</v>
      </c>
      <c r="BG86" s="367">
        <v>0</v>
      </c>
      <c r="BH86" s="56" t="s">
        <v>145</v>
      </c>
      <c r="BI86" s="367">
        <v>1</v>
      </c>
      <c r="BJ86" s="367">
        <v>1</v>
      </c>
      <c r="BK86" s="888">
        <v>2793.335</v>
      </c>
      <c r="BL86" s="925">
        <f t="shared" si="62"/>
        <v>50.201497493139925</v>
      </c>
      <c r="BM86" s="888">
        <v>1391.039</v>
      </c>
      <c r="BN86" s="920">
        <v>1402.296</v>
      </c>
      <c r="BO86" s="888">
        <v>203.732</v>
      </c>
      <c r="BP86" s="1158">
        <f t="shared" si="78"/>
        <v>48.679147114837143</v>
      </c>
      <c r="BQ86" s="917">
        <v>104.557</v>
      </c>
      <c r="BR86" s="920">
        <v>99.174999999999997</v>
      </c>
      <c r="BS86" s="888">
        <v>217.86199999999999</v>
      </c>
      <c r="BT86" s="1158">
        <f t="shared" si="79"/>
        <v>49.205919343437586</v>
      </c>
      <c r="BU86" s="917">
        <v>110.661</v>
      </c>
      <c r="BV86" s="920">
        <v>107.20099999999999</v>
      </c>
      <c r="BW86" s="888">
        <v>237.02799999999999</v>
      </c>
      <c r="BX86" s="1158">
        <f t="shared" si="80"/>
        <v>48.848237339048559</v>
      </c>
      <c r="BY86" s="917">
        <v>121.244</v>
      </c>
      <c r="BZ86" s="920">
        <v>115.78400000000001</v>
      </c>
      <c r="CA86" s="888">
        <f t="shared" si="81"/>
        <v>2134.7130000000002</v>
      </c>
      <c r="CB86" s="1158">
        <f t="shared" si="82"/>
        <v>50.598651903089539</v>
      </c>
      <c r="CC86" s="917">
        <f t="shared" si="83"/>
        <v>1054.577</v>
      </c>
      <c r="CD86" s="920">
        <f t="shared" si="84"/>
        <v>1080.136</v>
      </c>
      <c r="CE86" s="914">
        <v>2015</v>
      </c>
      <c r="CF86" s="910" t="s">
        <v>5630</v>
      </c>
      <c r="CG86" s="930">
        <v>98.1</v>
      </c>
      <c r="CH86" s="495">
        <v>97.3</v>
      </c>
      <c r="CI86" s="497">
        <v>98.8</v>
      </c>
      <c r="CJ86" s="904">
        <v>98</v>
      </c>
      <c r="CK86" s="904">
        <v>98</v>
      </c>
      <c r="CL86" s="904">
        <v>2010</v>
      </c>
      <c r="CM86" s="905" t="s">
        <v>5596</v>
      </c>
      <c r="CN86" s="1044">
        <v>1648.0360000000001</v>
      </c>
      <c r="CO86" s="1045">
        <f t="shared" si="63"/>
        <v>58.998866945783448</v>
      </c>
      <c r="CP86" s="1040">
        <f t="shared" si="99"/>
        <v>820.69724877395652</v>
      </c>
      <c r="CQ86" s="1041">
        <f t="shared" si="100"/>
        <v>827.33875122604354</v>
      </c>
      <c r="CR86" s="1046">
        <v>2011</v>
      </c>
      <c r="CS86" s="1047" t="s">
        <v>5919</v>
      </c>
      <c r="CT86" s="1068" t="str">
        <f t="shared" si="66"/>
        <v>-</v>
      </c>
      <c r="CU86" s="1071">
        <v>18</v>
      </c>
      <c r="CV86" s="1068" t="s">
        <v>6087</v>
      </c>
      <c r="CW86" s="1113">
        <v>1648.0360000000001</v>
      </c>
      <c r="CX86" s="1113">
        <v>1897.7249999999999</v>
      </c>
      <c r="CY86" s="1113">
        <v>2868.38</v>
      </c>
      <c r="CZ86" s="494">
        <v>1</v>
      </c>
      <c r="DA86" s="1104">
        <v>4</v>
      </c>
      <c r="DB86" s="1050" t="s">
        <v>647</v>
      </c>
      <c r="DC86" s="1146" t="s">
        <v>322</v>
      </c>
      <c r="DD86" s="978">
        <f t="shared" si="91"/>
        <v>499.19081800000015</v>
      </c>
      <c r="DE86" s="979">
        <f t="shared" si="67"/>
        <v>17.870782344401949</v>
      </c>
      <c r="DF86" s="979">
        <f t="shared" si="92"/>
        <v>51.41584330462512</v>
      </c>
      <c r="DG86" s="980">
        <f t="shared" si="93"/>
        <v>242.96422522604348</v>
      </c>
      <c r="DH86" s="980">
        <f t="shared" si="94"/>
        <v>256.66316877395644</v>
      </c>
      <c r="DI86" s="979">
        <f t="shared" si="68"/>
        <v>17.466384855208481</v>
      </c>
      <c r="DJ86" s="981">
        <f t="shared" si="69"/>
        <v>18.303066454868048</v>
      </c>
      <c r="DK86" s="984">
        <f t="shared" si="70"/>
        <v>486.67700000000013</v>
      </c>
      <c r="DL86" s="979">
        <f t="shared" si="95"/>
        <v>51.943537248309738</v>
      </c>
      <c r="DM86" s="980">
        <f t="shared" si="71"/>
        <v>233.87975122604348</v>
      </c>
      <c r="DN86" s="985">
        <f t="shared" si="72"/>
        <v>252.79724877395643</v>
      </c>
      <c r="DO86" s="984">
        <f t="shared" si="73"/>
        <v>8.6429100000000076</v>
      </c>
      <c r="DP86" s="979">
        <f t="shared" si="96"/>
        <v>30.959711486061988</v>
      </c>
      <c r="DQ86" s="980">
        <f t="shared" si="85"/>
        <v>6.2614350000000059</v>
      </c>
      <c r="DR86" s="985">
        <f t="shared" si="86"/>
        <v>2.6758200000000025</v>
      </c>
      <c r="DS86" s="984">
        <f t="shared" si="74"/>
        <v>3.8709080000000036</v>
      </c>
      <c r="DT86" s="339">
        <f t="shared" si="97"/>
        <v>30.744724493581348</v>
      </c>
      <c r="DU86" s="980">
        <f t="shared" si="87"/>
        <v>2.8230390000000027</v>
      </c>
      <c r="DV86" s="985">
        <f t="shared" si="88"/>
        <v>1.190100000000001</v>
      </c>
      <c r="DW86" s="979">
        <f t="shared" si="89"/>
        <v>2.7000000000000024</v>
      </c>
      <c r="DX86" s="981">
        <f t="shared" si="90"/>
        <v>1.2000000000000011</v>
      </c>
      <c r="DY86" s="414">
        <v>0.21</v>
      </c>
      <c r="DZ86" s="111">
        <v>2004</v>
      </c>
      <c r="EA86" s="118" t="e">
        <f>#REF!*DY86/100</f>
        <v>#REF!</v>
      </c>
      <c r="EB86" s="123">
        <v>17.600000000000001</v>
      </c>
      <c r="EC86" s="113">
        <v>2010</v>
      </c>
      <c r="ED86" s="20">
        <v>476.8368000000001</v>
      </c>
      <c r="EE86" s="414">
        <v>16.5</v>
      </c>
      <c r="EF86" s="111">
        <v>2009</v>
      </c>
      <c r="EG86" s="380">
        <v>87.482017517089801</v>
      </c>
      <c r="EH86" s="24" t="s">
        <v>335</v>
      </c>
      <c r="EI86" s="287">
        <v>0</v>
      </c>
      <c r="EJ86" s="40" t="s">
        <v>145</v>
      </c>
      <c r="EK86" s="35" t="s">
        <v>145</v>
      </c>
      <c r="EL86" s="95" t="s">
        <v>145</v>
      </c>
      <c r="EM86" s="95" t="s">
        <v>145</v>
      </c>
      <c r="EN86" s="35" t="s">
        <v>145</v>
      </c>
      <c r="EO86" s="95" t="s">
        <v>145</v>
      </c>
      <c r="EP86" s="205" t="s">
        <v>145</v>
      </c>
      <c r="EQ86" s="207" t="s">
        <v>145</v>
      </c>
      <c r="ER86" s="517">
        <v>2</v>
      </c>
      <c r="ES86" s="183" t="s">
        <v>145</v>
      </c>
      <c r="ET86" s="183" t="s">
        <v>145</v>
      </c>
      <c r="EU86" s="82" t="s">
        <v>145</v>
      </c>
      <c r="EV86" s="82" t="s">
        <v>145</v>
      </c>
      <c r="EW86" s="82" t="s">
        <v>3914</v>
      </c>
      <c r="EX86" s="360" t="s">
        <v>145</v>
      </c>
      <c r="EY86" s="159">
        <v>2729900</v>
      </c>
      <c r="EZ86" s="156">
        <v>2010</v>
      </c>
      <c r="FA86" s="323">
        <v>52</v>
      </c>
      <c r="FB86" s="323">
        <v>48</v>
      </c>
      <c r="FC86" s="323">
        <v>18.600000000000001</v>
      </c>
      <c r="FD86" s="160" t="s">
        <v>318</v>
      </c>
      <c r="FE86" s="156">
        <v>86</v>
      </c>
      <c r="FF86" s="156" t="s">
        <v>335</v>
      </c>
      <c r="FG86" s="156">
        <v>11</v>
      </c>
      <c r="FH86" s="157" t="s">
        <v>318</v>
      </c>
      <c r="FI86" s="242">
        <v>4</v>
      </c>
      <c r="FJ86" s="240" t="s">
        <v>145</v>
      </c>
      <c r="FK86" s="179" t="s">
        <v>145</v>
      </c>
      <c r="FL86" s="236" t="s">
        <v>1839</v>
      </c>
      <c r="FM86" s="179" t="s">
        <v>1822</v>
      </c>
      <c r="FN86" s="351" t="s">
        <v>1840</v>
      </c>
      <c r="FO86" s="366" t="s">
        <v>1773</v>
      </c>
      <c r="FP86" s="255"/>
      <c r="FQ86" s="183"/>
      <c r="FR86" s="257">
        <v>1</v>
      </c>
      <c r="FS86" s="82" t="s">
        <v>1702</v>
      </c>
      <c r="FT86" s="259"/>
      <c r="FU86" s="82"/>
      <c r="FV86" s="259"/>
      <c r="FW86" s="82"/>
      <c r="FX86" s="259"/>
      <c r="FY86" s="82"/>
      <c r="FZ86" s="259"/>
      <c r="GA86" s="82"/>
      <c r="GB86" s="261"/>
      <c r="GC86" s="90"/>
      <c r="GD86" s="76">
        <v>2</v>
      </c>
      <c r="GE86" s="445" t="s">
        <v>3425</v>
      </c>
      <c r="GF86" s="447" t="s">
        <v>10</v>
      </c>
      <c r="GG86" s="448">
        <v>2</v>
      </c>
      <c r="GH86" s="449">
        <v>3</v>
      </c>
      <c r="GI86" s="447" t="s">
        <v>145</v>
      </c>
      <c r="GJ86" s="449" t="s">
        <v>145</v>
      </c>
      <c r="GK86" s="447" t="s">
        <v>145</v>
      </c>
      <c r="GL86" s="448" t="s">
        <v>145</v>
      </c>
      <c r="GM86" s="449" t="s">
        <v>145</v>
      </c>
      <c r="GN86" s="447" t="s">
        <v>10</v>
      </c>
      <c r="GO86" s="449">
        <v>17</v>
      </c>
      <c r="GP86" s="447">
        <v>3</v>
      </c>
      <c r="GQ86" s="448">
        <v>8</v>
      </c>
      <c r="GR86" s="449">
        <v>6</v>
      </c>
      <c r="GS86" s="446">
        <v>10</v>
      </c>
      <c r="GT86" s="461">
        <v>0.49796345829963684</v>
      </c>
      <c r="GU86" s="462">
        <v>0.17612482607364655</v>
      </c>
      <c r="GV86" s="462">
        <v>-1.6090983524918556E-2</v>
      </c>
      <c r="GW86" s="462">
        <v>0.22610543668270111</v>
      </c>
      <c r="GX86" s="462">
        <v>-0.38703241944313049</v>
      </c>
      <c r="GY86" s="463">
        <v>-0.36755746603012085</v>
      </c>
      <c r="GZ86" s="10">
        <v>109</v>
      </c>
      <c r="HA86" s="536">
        <v>0.43881999999999999</v>
      </c>
      <c r="HB86" s="536">
        <v>0.19606999999999999</v>
      </c>
      <c r="HC86" s="525">
        <v>0.31496000000000002</v>
      </c>
      <c r="HD86" s="526">
        <v>0.27533000000000002</v>
      </c>
      <c r="HE86" s="527">
        <v>0.72619999999999996</v>
      </c>
      <c r="HF86" s="10">
        <v>97</v>
      </c>
      <c r="HG86" s="532">
        <v>4.26</v>
      </c>
      <c r="HH86" s="545">
        <v>4.58</v>
      </c>
      <c r="HI86" s="546">
        <v>2.62</v>
      </c>
      <c r="HJ86" s="547">
        <v>6.89</v>
      </c>
      <c r="HK86" s="379" t="s">
        <v>4004</v>
      </c>
      <c r="HL86" s="23" t="s">
        <v>4916</v>
      </c>
      <c r="HM86" s="696">
        <v>2012</v>
      </c>
      <c r="HN86" s="809" t="s">
        <v>145</v>
      </c>
      <c r="HO86" s="557" t="s">
        <v>3985</v>
      </c>
      <c r="HP86" s="562" t="s">
        <v>145</v>
      </c>
      <c r="HQ86" s="562" t="s">
        <v>145</v>
      </c>
      <c r="HR86" s="563" t="s">
        <v>145</v>
      </c>
      <c r="HS86" s="545">
        <v>47</v>
      </c>
      <c r="HT86" s="557">
        <v>88</v>
      </c>
      <c r="HU86" s="557">
        <v>2002</v>
      </c>
      <c r="HV86" s="583" t="s">
        <v>4209</v>
      </c>
      <c r="HW86" s="448">
        <v>3</v>
      </c>
      <c r="HX86" s="448">
        <v>18</v>
      </c>
      <c r="HY86" s="448">
        <v>23</v>
      </c>
      <c r="HZ86" s="448">
        <v>14</v>
      </c>
      <c r="IA86" s="448">
        <v>17</v>
      </c>
      <c r="IB86" s="448">
        <v>5</v>
      </c>
      <c r="IC86" s="449">
        <v>8</v>
      </c>
      <c r="ID86" s="660"/>
      <c r="IE86" s="550"/>
      <c r="IF86" s="550"/>
      <c r="IG86" s="553"/>
      <c r="IH86" s="339"/>
      <c r="II86" s="553" t="s">
        <v>4922</v>
      </c>
      <c r="IJ86" s="424" t="s">
        <v>4926</v>
      </c>
      <c r="IK86" s="24">
        <v>0</v>
      </c>
      <c r="IL86" s="749">
        <f t="shared" si="75"/>
        <v>16</v>
      </c>
      <c r="IM86" s="747">
        <f t="shared" si="76"/>
        <v>64</v>
      </c>
      <c r="IN86" s="750" t="str">
        <f t="shared" si="77"/>
        <v>B</v>
      </c>
      <c r="IO86" s="446"/>
      <c r="IP86" s="902">
        <v>4</v>
      </c>
      <c r="IQ86" s="903">
        <v>0</v>
      </c>
      <c r="IR86" s="993">
        <v>0</v>
      </c>
      <c r="IT86" s="435"/>
      <c r="IU86" s="435"/>
      <c r="IV86" s="435"/>
    </row>
    <row r="87" spans="1:256">
      <c r="A87" s="21">
        <v>85</v>
      </c>
      <c r="B87" s="9"/>
      <c r="C87" s="430" t="s">
        <v>135</v>
      </c>
      <c r="D87" s="424" t="s">
        <v>407</v>
      </c>
      <c r="E87" s="24" t="s">
        <v>17</v>
      </c>
      <c r="F87" s="76" t="s">
        <v>823</v>
      </c>
      <c r="G87" s="102" t="s">
        <v>539</v>
      </c>
      <c r="H87" s="375" t="s">
        <v>2305</v>
      </c>
      <c r="I87" s="364" t="s">
        <v>2306</v>
      </c>
      <c r="J87" s="370">
        <v>5</v>
      </c>
      <c r="K87" s="359">
        <v>1670</v>
      </c>
      <c r="L87" s="371">
        <v>2</v>
      </c>
      <c r="M87" s="373" t="s">
        <v>1834</v>
      </c>
      <c r="N87" s="369" t="s">
        <v>1822</v>
      </c>
      <c r="O87" s="365" t="s">
        <v>2972</v>
      </c>
      <c r="P87" s="362" t="s">
        <v>2846</v>
      </c>
      <c r="Q87" s="370">
        <v>2</v>
      </c>
      <c r="R87" s="370">
        <v>1999</v>
      </c>
      <c r="S87" s="372" t="s">
        <v>2977</v>
      </c>
      <c r="T87" s="370">
        <v>1</v>
      </c>
      <c r="U87" s="370">
        <v>1</v>
      </c>
      <c r="V87" s="370" t="s">
        <v>145</v>
      </c>
      <c r="W87" s="369" t="s">
        <v>1822</v>
      </c>
      <c r="X87" s="170">
        <v>0</v>
      </c>
      <c r="Y87" s="369">
        <v>0</v>
      </c>
      <c r="Z87" s="273" t="s">
        <v>2974</v>
      </c>
      <c r="AA87" s="169"/>
      <c r="AB87" s="177"/>
      <c r="AC87" s="171"/>
      <c r="AD87" s="366" t="s">
        <v>2975</v>
      </c>
      <c r="AE87" s="357">
        <v>2003</v>
      </c>
      <c r="AF87" s="804">
        <v>3</v>
      </c>
      <c r="AG87" s="550" t="s">
        <v>5171</v>
      </c>
      <c r="AH87" s="355" t="s">
        <v>2973</v>
      </c>
      <c r="AI87" s="55">
        <v>1</v>
      </c>
      <c r="AJ87" s="55">
        <v>1</v>
      </c>
      <c r="AK87" s="590" t="s">
        <v>145</v>
      </c>
      <c r="AL87" s="391">
        <v>9</v>
      </c>
      <c r="AM87" s="361" t="s">
        <v>2976</v>
      </c>
      <c r="AN87" s="342" t="s">
        <v>145</v>
      </c>
      <c r="AO87" s="170">
        <v>0</v>
      </c>
      <c r="AP87" s="369">
        <v>0</v>
      </c>
      <c r="AQ87" s="365" t="s">
        <v>5247</v>
      </c>
      <c r="AR87" s="378" t="s">
        <v>5248</v>
      </c>
      <c r="AS87" s="55">
        <v>2</v>
      </c>
      <c r="AT87" s="370">
        <v>2</v>
      </c>
      <c r="AU87" s="371">
        <v>2006</v>
      </c>
      <c r="AV87" s="370">
        <v>10</v>
      </c>
      <c r="AW87" s="589">
        <v>20000</v>
      </c>
      <c r="AX87" s="687">
        <v>0</v>
      </c>
      <c r="AY87" s="174" t="s">
        <v>4501</v>
      </c>
      <c r="AZ87" s="55">
        <v>2011</v>
      </c>
      <c r="BA87" s="55">
        <v>1</v>
      </c>
      <c r="BB87" s="55">
        <v>1</v>
      </c>
      <c r="BC87" s="174" t="s">
        <v>4578</v>
      </c>
      <c r="BD87" s="55">
        <v>2016</v>
      </c>
      <c r="BE87" s="55">
        <v>0</v>
      </c>
      <c r="BF87" s="371" t="s">
        <v>145</v>
      </c>
      <c r="BG87" s="367">
        <v>0</v>
      </c>
      <c r="BH87" s="56" t="s">
        <v>145</v>
      </c>
      <c r="BI87" s="367">
        <v>3</v>
      </c>
      <c r="BJ87" s="367">
        <v>1</v>
      </c>
      <c r="BK87" s="888">
        <v>126573.481</v>
      </c>
      <c r="BL87" s="925">
        <f t="shared" si="62"/>
        <v>51.365343266493554</v>
      </c>
      <c r="BM87" s="888">
        <v>61558.578000000001</v>
      </c>
      <c r="BN87" s="920">
        <v>65014.902999999998</v>
      </c>
      <c r="BO87" s="888">
        <v>5269.0379999999996</v>
      </c>
      <c r="BP87" s="1158">
        <f t="shared" si="78"/>
        <v>48.647684833550265</v>
      </c>
      <c r="BQ87" s="917">
        <v>2705.7730000000001</v>
      </c>
      <c r="BR87" s="920">
        <v>2563.2649999999999</v>
      </c>
      <c r="BS87" s="888">
        <v>5398.973</v>
      </c>
      <c r="BT87" s="1158">
        <f t="shared" si="79"/>
        <v>48.697650460559814</v>
      </c>
      <c r="BU87" s="917">
        <v>2769.8</v>
      </c>
      <c r="BV87" s="920">
        <v>2629.1729999999998</v>
      </c>
      <c r="BW87" s="888">
        <v>5603.6379999999999</v>
      </c>
      <c r="BX87" s="1158">
        <f t="shared" si="80"/>
        <v>48.781684327217427</v>
      </c>
      <c r="BY87" s="917">
        <v>2870.0889999999999</v>
      </c>
      <c r="BZ87" s="920">
        <v>2733.549</v>
      </c>
      <c r="CA87" s="888">
        <f t="shared" si="81"/>
        <v>110301.83199999999</v>
      </c>
      <c r="CB87" s="1158">
        <f t="shared" si="82"/>
        <v>51.756997109531234</v>
      </c>
      <c r="CC87" s="917">
        <f t="shared" si="83"/>
        <v>53212.915999999997</v>
      </c>
      <c r="CD87" s="920">
        <f t="shared" si="84"/>
        <v>57088.915999999997</v>
      </c>
      <c r="CE87" s="914">
        <v>2015</v>
      </c>
      <c r="CF87" s="910" t="s">
        <v>5630</v>
      </c>
      <c r="CG87" s="930">
        <v>100</v>
      </c>
      <c r="CH87" s="1005">
        <v>100</v>
      </c>
      <c r="CI87" s="1006">
        <v>100</v>
      </c>
      <c r="CJ87" s="904" t="s">
        <v>1621</v>
      </c>
      <c r="CK87" s="904" t="s">
        <v>1621</v>
      </c>
      <c r="CL87" s="904">
        <v>2012</v>
      </c>
      <c r="CM87" s="905" t="s">
        <v>5576</v>
      </c>
      <c r="CN87" s="1044">
        <v>101280.758</v>
      </c>
      <c r="CO87" s="1045">
        <f t="shared" si="63"/>
        <v>80.017360034524131</v>
      </c>
      <c r="CP87" s="1040">
        <f t="shared" si="99"/>
        <v>49257.548990393363</v>
      </c>
      <c r="CQ87" s="1041">
        <f t="shared" si="100"/>
        <v>52023.209009606631</v>
      </c>
      <c r="CR87" s="1046">
        <v>2014</v>
      </c>
      <c r="CS87" s="1047" t="s">
        <v>5793</v>
      </c>
      <c r="CT87" s="1068" t="str">
        <f t="shared" si="66"/>
        <v>-</v>
      </c>
      <c r="CU87" s="1071">
        <v>18</v>
      </c>
      <c r="CV87" s="1068" t="s">
        <v>6088</v>
      </c>
      <c r="CW87" s="1113">
        <v>101280.758</v>
      </c>
      <c r="CX87" s="1113">
        <v>102617.75900000001</v>
      </c>
      <c r="CY87" s="1113">
        <v>127103.38800000001</v>
      </c>
      <c r="CZ87" s="494">
        <v>1</v>
      </c>
      <c r="DA87" s="1104">
        <v>5</v>
      </c>
      <c r="DB87" s="1050" t="s">
        <v>647</v>
      </c>
      <c r="DC87" s="1146" t="s">
        <v>322</v>
      </c>
      <c r="DD87" s="978">
        <f t="shared" si="91"/>
        <v>9021.0739999999932</v>
      </c>
      <c r="DE87" s="979">
        <f t="shared" si="67"/>
        <v>7.1271437972066138</v>
      </c>
      <c r="DF87" s="979">
        <f t="shared" si="92"/>
        <v>56.154145175988688</v>
      </c>
      <c r="DG87" s="980">
        <f t="shared" si="93"/>
        <v>3955.3670096066344</v>
      </c>
      <c r="DH87" s="980">
        <f t="shared" si="94"/>
        <v>5065.7069903933661</v>
      </c>
      <c r="DI87" s="979">
        <f t="shared" si="68"/>
        <v>6.4253709850260581</v>
      </c>
      <c r="DJ87" s="981">
        <f t="shared" si="69"/>
        <v>7.7916089337138077</v>
      </c>
      <c r="DK87" s="984">
        <f t="shared" si="70"/>
        <v>9021.0739999999932</v>
      </c>
      <c r="DL87" s="979">
        <f t="shared" si="95"/>
        <v>56.154145175988688</v>
      </c>
      <c r="DM87" s="980">
        <f t="shared" si="71"/>
        <v>3955.3670096066344</v>
      </c>
      <c r="DN87" s="985">
        <f t="shared" si="72"/>
        <v>5065.7069903933661</v>
      </c>
      <c r="DO87" s="984">
        <f t="shared" si="73"/>
        <v>0</v>
      </c>
      <c r="DP87" s="979">
        <f t="shared" si="96"/>
        <v>0</v>
      </c>
      <c r="DQ87" s="980">
        <f t="shared" si="85"/>
        <v>0</v>
      </c>
      <c r="DR87" s="985">
        <f t="shared" si="86"/>
        <v>0</v>
      </c>
      <c r="DS87" s="984">
        <f t="shared" si="74"/>
        <v>0</v>
      </c>
      <c r="DT87" s="339">
        <f t="shared" si="97"/>
        <v>0</v>
      </c>
      <c r="DU87" s="980">
        <f t="shared" si="87"/>
        <v>0</v>
      </c>
      <c r="DV87" s="985">
        <f t="shared" si="88"/>
        <v>0</v>
      </c>
      <c r="DW87" s="979">
        <f t="shared" si="89"/>
        <v>0</v>
      </c>
      <c r="DX87" s="981">
        <f t="shared" si="90"/>
        <v>0</v>
      </c>
      <c r="DY87" s="414" t="s">
        <v>145</v>
      </c>
      <c r="DZ87" s="111" t="s">
        <v>145</v>
      </c>
      <c r="EA87" s="118"/>
      <c r="EB87" s="123" t="s">
        <v>145</v>
      </c>
      <c r="EC87" s="113" t="s">
        <v>145</v>
      </c>
      <c r="ED87" s="20"/>
      <c r="EE87" s="414">
        <v>16</v>
      </c>
      <c r="EF87" s="121">
        <v>2010</v>
      </c>
      <c r="EG87" s="380" t="s">
        <v>145</v>
      </c>
      <c r="EH87" s="24" t="s">
        <v>344</v>
      </c>
      <c r="EI87" s="288">
        <v>0</v>
      </c>
      <c r="EJ87" s="40" t="s">
        <v>145</v>
      </c>
      <c r="EK87" s="35" t="s">
        <v>145</v>
      </c>
      <c r="EL87" s="95" t="s">
        <v>145</v>
      </c>
      <c r="EM87" s="95" t="s">
        <v>145</v>
      </c>
      <c r="EN87" s="35" t="s">
        <v>145</v>
      </c>
      <c r="EO87" s="95" t="s">
        <v>145</v>
      </c>
      <c r="EP87" s="205" t="s">
        <v>145</v>
      </c>
      <c r="EQ87" s="207" t="s">
        <v>145</v>
      </c>
      <c r="ER87" s="517" t="s">
        <v>145</v>
      </c>
      <c r="ES87" s="183"/>
      <c r="ET87" s="183"/>
      <c r="EU87" s="82"/>
      <c r="EV87" s="82"/>
      <c r="EW87" s="82"/>
      <c r="EX87" s="90"/>
      <c r="EY87" s="159"/>
      <c r="EZ87" s="156"/>
      <c r="FA87" s="323"/>
      <c r="FB87" s="323"/>
      <c r="FC87" s="323"/>
      <c r="FD87" s="160"/>
      <c r="FE87" s="156"/>
      <c r="FF87" s="156"/>
      <c r="FG87" s="156"/>
      <c r="FH87" s="157"/>
      <c r="FI87" s="242"/>
      <c r="FJ87" s="373"/>
      <c r="FK87" s="179"/>
      <c r="FL87" s="179"/>
      <c r="FM87" s="179"/>
      <c r="FN87" s="369"/>
      <c r="FO87" s="164"/>
      <c r="FP87" s="255"/>
      <c r="FQ87" s="183"/>
      <c r="FR87" s="257"/>
      <c r="FS87" s="82"/>
      <c r="FT87" s="259"/>
      <c r="FU87" s="82"/>
      <c r="FV87" s="259"/>
      <c r="FW87" s="82"/>
      <c r="FX87" s="259"/>
      <c r="FY87" s="82"/>
      <c r="FZ87" s="259"/>
      <c r="GA87" s="82"/>
      <c r="GB87" s="261"/>
      <c r="GC87" s="90"/>
      <c r="GD87" s="76">
        <v>1</v>
      </c>
      <c r="GE87" s="445" t="s">
        <v>3424</v>
      </c>
      <c r="GF87" s="447" t="s">
        <v>10</v>
      </c>
      <c r="GG87" s="448">
        <v>1</v>
      </c>
      <c r="GH87" s="449">
        <v>1</v>
      </c>
      <c r="GI87" s="447" t="s">
        <v>10</v>
      </c>
      <c r="GJ87" s="449">
        <v>22</v>
      </c>
      <c r="GK87" s="447">
        <v>4</v>
      </c>
      <c r="GL87" s="448">
        <v>7</v>
      </c>
      <c r="GM87" s="449">
        <v>11</v>
      </c>
      <c r="GN87" s="447" t="s">
        <v>10</v>
      </c>
      <c r="GO87" s="449">
        <v>25</v>
      </c>
      <c r="GP87" s="447">
        <v>5</v>
      </c>
      <c r="GQ87" s="448">
        <v>14</v>
      </c>
      <c r="GR87" s="449">
        <v>6</v>
      </c>
      <c r="GS87" s="446">
        <v>10</v>
      </c>
      <c r="GT87" s="461">
        <v>1.0998812913894653</v>
      </c>
      <c r="GU87" s="462">
        <v>0.98158049583435059</v>
      </c>
      <c r="GV87" s="462">
        <v>1.5949901342391968</v>
      </c>
      <c r="GW87" s="462">
        <v>1.102057933807373</v>
      </c>
      <c r="GX87" s="462">
        <v>1.4094862937927246</v>
      </c>
      <c r="GY87" s="463">
        <v>1.6461528539657593</v>
      </c>
      <c r="GZ87" s="10">
        <v>6</v>
      </c>
      <c r="HA87" s="536">
        <v>0.88744000000000001</v>
      </c>
      <c r="HB87" s="536">
        <v>0.96077999999999997</v>
      </c>
      <c r="HC87" s="525">
        <v>0.94488000000000005</v>
      </c>
      <c r="HD87" s="526">
        <v>0.85533000000000003</v>
      </c>
      <c r="HE87" s="527">
        <v>0.86209999999999998</v>
      </c>
      <c r="HF87" s="10">
        <v>11</v>
      </c>
      <c r="HG87" s="532">
        <v>8.2200000000000006</v>
      </c>
      <c r="HH87" s="545">
        <v>8.4</v>
      </c>
      <c r="HI87" s="546">
        <v>7.8</v>
      </c>
      <c r="HJ87" s="547">
        <v>8.67</v>
      </c>
      <c r="HK87" s="379" t="s">
        <v>4071</v>
      </c>
      <c r="HL87" s="23" t="s">
        <v>4739</v>
      </c>
      <c r="HM87" s="557">
        <v>2003</v>
      </c>
      <c r="HN87" s="557">
        <v>2003</v>
      </c>
      <c r="HO87" s="557" t="s">
        <v>3985</v>
      </c>
      <c r="HP87" s="562" t="s">
        <v>4740</v>
      </c>
      <c r="HQ87" s="639" t="s">
        <v>4741</v>
      </c>
      <c r="HR87" s="563" t="s">
        <v>145</v>
      </c>
      <c r="HS87" s="545">
        <v>82</v>
      </c>
      <c r="HT87" s="557">
        <v>65</v>
      </c>
      <c r="HU87" s="557">
        <v>1999</v>
      </c>
      <c r="HV87" s="583" t="s">
        <v>4210</v>
      </c>
      <c r="HW87" s="557">
        <v>3</v>
      </c>
      <c r="HX87" s="557">
        <v>14</v>
      </c>
      <c r="HY87" s="557">
        <v>13</v>
      </c>
      <c r="HZ87" s="557">
        <v>21</v>
      </c>
      <c r="IA87" s="557">
        <v>9</v>
      </c>
      <c r="IB87" s="557">
        <v>0</v>
      </c>
      <c r="IC87" s="547">
        <v>5</v>
      </c>
      <c r="ID87" s="660"/>
      <c r="IE87" s="355" t="s">
        <v>5200</v>
      </c>
      <c r="IF87" s="355" t="s">
        <v>5202</v>
      </c>
      <c r="IG87" s="553"/>
      <c r="IH87" s="339"/>
      <c r="II87" s="553" t="s">
        <v>4920</v>
      </c>
      <c r="IJ87" s="424" t="s">
        <v>4926</v>
      </c>
      <c r="IK87" s="24">
        <v>0</v>
      </c>
      <c r="IL87" s="749">
        <f t="shared" si="75"/>
        <v>19</v>
      </c>
      <c r="IM87" s="747">
        <f t="shared" si="76"/>
        <v>76</v>
      </c>
      <c r="IN87" s="750" t="str">
        <f t="shared" si="77"/>
        <v>A</v>
      </c>
      <c r="IO87" s="446"/>
      <c r="IP87" s="902">
        <v>5</v>
      </c>
      <c r="IQ87" s="903">
        <v>2</v>
      </c>
      <c r="IR87" s="993">
        <v>0</v>
      </c>
      <c r="IT87" s="435"/>
      <c r="IU87" s="435"/>
      <c r="IV87" s="435"/>
    </row>
    <row r="88" spans="1:256">
      <c r="A88" s="21">
        <v>86</v>
      </c>
      <c r="B88" s="9"/>
      <c r="C88" s="430" t="s">
        <v>137</v>
      </c>
      <c r="D88" s="423" t="s">
        <v>410</v>
      </c>
      <c r="E88" s="24" t="s">
        <v>12</v>
      </c>
      <c r="F88" s="76" t="s">
        <v>824</v>
      </c>
      <c r="G88" s="102" t="s">
        <v>538</v>
      </c>
      <c r="H88" s="375" t="s">
        <v>2301</v>
      </c>
      <c r="I88" s="364" t="s">
        <v>2300</v>
      </c>
      <c r="J88" s="370">
        <v>6</v>
      </c>
      <c r="K88" s="88">
        <v>1954</v>
      </c>
      <c r="L88" s="371">
        <v>2</v>
      </c>
      <c r="M88" s="373" t="s">
        <v>1825</v>
      </c>
      <c r="N88" s="369" t="s">
        <v>2299</v>
      </c>
      <c r="O88" s="365" t="s">
        <v>3235</v>
      </c>
      <c r="P88" s="362" t="s">
        <v>3236</v>
      </c>
      <c r="Q88" s="370">
        <v>6</v>
      </c>
      <c r="R88" s="370">
        <v>1955</v>
      </c>
      <c r="S88" s="372" t="s">
        <v>2069</v>
      </c>
      <c r="T88" s="370">
        <v>1</v>
      </c>
      <c r="U88" s="370">
        <v>2</v>
      </c>
      <c r="V88" s="370">
        <v>16</v>
      </c>
      <c r="W88" s="369" t="s">
        <v>2847</v>
      </c>
      <c r="X88" s="170">
        <v>1</v>
      </c>
      <c r="Y88" s="369">
        <v>1</v>
      </c>
      <c r="Z88" s="271"/>
      <c r="AA88" s="169">
        <v>1</v>
      </c>
      <c r="AB88" s="177">
        <v>1</v>
      </c>
      <c r="AC88" s="171"/>
      <c r="AD88" s="366" t="s">
        <v>3234</v>
      </c>
      <c r="AE88" s="357">
        <v>2012</v>
      </c>
      <c r="AF88" s="357">
        <v>2</v>
      </c>
      <c r="AG88" s="550" t="s">
        <v>5171</v>
      </c>
      <c r="AH88" s="355" t="s">
        <v>3238</v>
      </c>
      <c r="AI88" s="55">
        <v>0</v>
      </c>
      <c r="AJ88" s="55">
        <v>0</v>
      </c>
      <c r="AK88" s="590" t="s">
        <v>145</v>
      </c>
      <c r="AL88" s="386">
        <v>9</v>
      </c>
      <c r="AM88" s="361" t="s">
        <v>3237</v>
      </c>
      <c r="AN88" s="384" t="s">
        <v>145</v>
      </c>
      <c r="AO88" s="170">
        <v>1</v>
      </c>
      <c r="AP88" s="369">
        <v>1</v>
      </c>
      <c r="AQ88" s="365" t="s">
        <v>5416</v>
      </c>
      <c r="AR88" s="378" t="s">
        <v>5417</v>
      </c>
      <c r="AS88" s="55">
        <v>1</v>
      </c>
      <c r="AT88" s="370">
        <v>2</v>
      </c>
      <c r="AU88" s="371">
        <v>2003</v>
      </c>
      <c r="AV88" s="370">
        <v>5</v>
      </c>
      <c r="AW88" s="589" t="s">
        <v>145</v>
      </c>
      <c r="AX88" s="687">
        <v>0</v>
      </c>
      <c r="AY88" s="174" t="s">
        <v>4541</v>
      </c>
      <c r="AZ88" s="55">
        <v>1997</v>
      </c>
      <c r="BA88" s="55">
        <v>1</v>
      </c>
      <c r="BB88" s="55">
        <v>1</v>
      </c>
      <c r="BC88" s="174" t="s">
        <v>4542</v>
      </c>
      <c r="BD88" s="55">
        <v>2008</v>
      </c>
      <c r="BE88" s="55">
        <v>0</v>
      </c>
      <c r="BF88" s="371" t="s">
        <v>145</v>
      </c>
      <c r="BG88" s="367">
        <v>0</v>
      </c>
      <c r="BH88" s="56" t="s">
        <v>145</v>
      </c>
      <c r="BI88" s="367">
        <v>0</v>
      </c>
      <c r="BJ88" s="367">
        <v>1</v>
      </c>
      <c r="BK88" s="888">
        <v>7594.5469999999996</v>
      </c>
      <c r="BL88" s="925">
        <f t="shared" si="62"/>
        <v>48.792021433273113</v>
      </c>
      <c r="BM88" s="888">
        <v>3889.0140000000001</v>
      </c>
      <c r="BN88" s="920">
        <v>3705.5329999999999</v>
      </c>
      <c r="BO88" s="888">
        <v>980.40499999999997</v>
      </c>
      <c r="BP88" s="1158">
        <f t="shared" si="78"/>
        <v>48.9412028702424</v>
      </c>
      <c r="BQ88" s="917">
        <v>500.58300000000003</v>
      </c>
      <c r="BR88" s="920">
        <v>479.822</v>
      </c>
      <c r="BS88" s="888">
        <v>896.01900000000001</v>
      </c>
      <c r="BT88" s="1158">
        <f t="shared" si="79"/>
        <v>49.082441332159256</v>
      </c>
      <c r="BU88" s="917">
        <v>456.23099999999999</v>
      </c>
      <c r="BV88" s="920">
        <v>439.78800000000001</v>
      </c>
      <c r="BW88" s="888">
        <v>821.57100000000003</v>
      </c>
      <c r="BX88" s="1158">
        <f t="shared" si="80"/>
        <v>49.051147131532147</v>
      </c>
      <c r="BY88" s="917">
        <v>418.58100000000002</v>
      </c>
      <c r="BZ88" s="920">
        <v>402.99</v>
      </c>
      <c r="CA88" s="888">
        <f t="shared" si="81"/>
        <v>4896.5519999999997</v>
      </c>
      <c r="CB88" s="1158">
        <f t="shared" si="82"/>
        <v>48.665530356871535</v>
      </c>
      <c r="CC88" s="917">
        <f t="shared" si="83"/>
        <v>2513.6189999999997</v>
      </c>
      <c r="CD88" s="920">
        <f t="shared" si="84"/>
        <v>2382.933</v>
      </c>
      <c r="CE88" s="914">
        <v>2015</v>
      </c>
      <c r="CF88" s="910" t="s">
        <v>5630</v>
      </c>
      <c r="CG88" s="930">
        <v>99.1</v>
      </c>
      <c r="CH88" s="495">
        <v>99.3</v>
      </c>
      <c r="CI88" s="497">
        <v>98.8</v>
      </c>
      <c r="CJ88" s="904">
        <v>99</v>
      </c>
      <c r="CK88" s="904">
        <v>99.5</v>
      </c>
      <c r="CL88" s="904">
        <v>2012</v>
      </c>
      <c r="CM88" s="905" t="s">
        <v>5580</v>
      </c>
      <c r="CN88" s="1044">
        <v>2272.1819999999998</v>
      </c>
      <c r="CO88" s="1045">
        <f t="shared" si="63"/>
        <v>29.918598173136591</v>
      </c>
      <c r="CP88" s="1040">
        <f t="shared" si="99"/>
        <v>1163.5384715570262</v>
      </c>
      <c r="CQ88" s="1041">
        <f t="shared" si="100"/>
        <v>1108.6435284429735</v>
      </c>
      <c r="CR88" s="1046">
        <v>2013</v>
      </c>
      <c r="CS88" s="1047" t="s">
        <v>5920</v>
      </c>
      <c r="CT88" s="1068">
        <f t="shared" si="66"/>
        <v>16</v>
      </c>
      <c r="CU88" s="1071">
        <v>18</v>
      </c>
      <c r="CV88" s="1068" t="s">
        <v>6089</v>
      </c>
      <c r="CW88" s="1113">
        <v>2272.1819999999998</v>
      </c>
      <c r="CX88" s="1113">
        <v>3759.5329999999999</v>
      </c>
      <c r="CY88" s="1113">
        <v>6508.8869999999997</v>
      </c>
      <c r="CZ88" s="494">
        <v>1</v>
      </c>
      <c r="DA88" s="1104">
        <v>4</v>
      </c>
      <c r="DB88" s="1050" t="s">
        <v>647</v>
      </c>
      <c r="DC88" s="1146" t="s">
        <v>322</v>
      </c>
      <c r="DD88" s="978">
        <f t="shared" si="91"/>
        <v>2648.6519549999998</v>
      </c>
      <c r="DE88" s="979">
        <f t="shared" si="67"/>
        <v>34.875706938149179</v>
      </c>
      <c r="DF88" s="979">
        <f t="shared" si="92"/>
        <v>48.710086998086787</v>
      </c>
      <c r="DG88" s="980">
        <f t="shared" si="93"/>
        <v>1359.7082934429734</v>
      </c>
      <c r="DH88" s="980">
        <f t="shared" si="94"/>
        <v>1290.1606715570265</v>
      </c>
      <c r="DI88" s="979">
        <f t="shared" si="68"/>
        <v>34.962802742365376</v>
      </c>
      <c r="DJ88" s="981">
        <f t="shared" si="69"/>
        <v>34.817141597633224</v>
      </c>
      <c r="DK88" s="984">
        <f t="shared" si="70"/>
        <v>2624.37</v>
      </c>
      <c r="DL88" s="979">
        <f t="shared" si="95"/>
        <v>48.556014264643572</v>
      </c>
      <c r="DM88" s="980">
        <f t="shared" si="71"/>
        <v>1350.0805284429734</v>
      </c>
      <c r="DN88" s="985">
        <f t="shared" si="72"/>
        <v>1274.2894715570264</v>
      </c>
      <c r="DO88" s="984">
        <f t="shared" si="73"/>
        <v>15.458310000000015</v>
      </c>
      <c r="DP88" s="979">
        <f t="shared" si="96"/>
        <v>65.423296595811578</v>
      </c>
      <c r="DQ88" s="980">
        <f t="shared" si="85"/>
        <v>6.1236840000000061</v>
      </c>
      <c r="DR88" s="985">
        <f t="shared" si="86"/>
        <v>10.113336000000011</v>
      </c>
      <c r="DS88" s="984">
        <f t="shared" si="74"/>
        <v>8.823645000000008</v>
      </c>
      <c r="DT88" s="339">
        <f t="shared" si="97"/>
        <v>65.254937160323195</v>
      </c>
      <c r="DU88" s="980">
        <f t="shared" si="87"/>
        <v>3.5040810000000033</v>
      </c>
      <c r="DV88" s="985">
        <f t="shared" si="88"/>
        <v>5.757864000000005</v>
      </c>
      <c r="DW88" s="979">
        <f t="shared" si="89"/>
        <v>0.70000000000000062</v>
      </c>
      <c r="DX88" s="981">
        <f t="shared" si="90"/>
        <v>1.2000000000000011</v>
      </c>
      <c r="DY88" s="414">
        <v>0.12</v>
      </c>
      <c r="DZ88" s="111">
        <v>2010</v>
      </c>
      <c r="EA88" s="118">
        <v>7</v>
      </c>
      <c r="EB88" s="123">
        <v>13.3</v>
      </c>
      <c r="EC88" s="113">
        <v>2008</v>
      </c>
      <c r="ED88" s="20">
        <v>822.07299999999998</v>
      </c>
      <c r="EE88" s="414">
        <v>14.2</v>
      </c>
      <c r="EF88" s="121">
        <v>2002</v>
      </c>
      <c r="EG88" s="380">
        <v>97.890319824218807</v>
      </c>
      <c r="EH88" s="24" t="s">
        <v>328</v>
      </c>
      <c r="EI88" s="288">
        <v>0</v>
      </c>
      <c r="EJ88" s="40" t="s">
        <v>145</v>
      </c>
      <c r="EK88" s="35" t="s">
        <v>145</v>
      </c>
      <c r="EL88" s="95" t="s">
        <v>145</v>
      </c>
      <c r="EM88" s="95" t="s">
        <v>145</v>
      </c>
      <c r="EN88" s="35" t="s">
        <v>145</v>
      </c>
      <c r="EO88" s="95" t="s">
        <v>145</v>
      </c>
      <c r="EP88" s="205" t="s">
        <v>145</v>
      </c>
      <c r="EQ88" s="207" t="s">
        <v>145</v>
      </c>
      <c r="ER88" s="517" t="s">
        <v>145</v>
      </c>
      <c r="ES88" s="183"/>
      <c r="ET88" s="183"/>
      <c r="EU88" s="82"/>
      <c r="EV88" s="82"/>
      <c r="EW88" s="82"/>
      <c r="EX88" s="90"/>
      <c r="EY88" s="159"/>
      <c r="EZ88" s="156"/>
      <c r="FA88" s="323"/>
      <c r="FB88" s="323"/>
      <c r="FC88" s="323"/>
      <c r="FD88" s="160"/>
      <c r="FE88" s="156"/>
      <c r="FF88" s="156"/>
      <c r="FG88" s="156"/>
      <c r="FH88" s="157"/>
      <c r="FI88" s="242"/>
      <c r="FJ88" s="373"/>
      <c r="FK88" s="179"/>
      <c r="FL88" s="179"/>
      <c r="FM88" s="179"/>
      <c r="FN88" s="369"/>
      <c r="FO88" s="164"/>
      <c r="FP88" s="255"/>
      <c r="FQ88" s="183"/>
      <c r="FR88" s="257"/>
      <c r="FS88" s="82"/>
      <c r="FT88" s="259"/>
      <c r="FU88" s="82"/>
      <c r="FV88" s="259"/>
      <c r="FW88" s="82"/>
      <c r="FX88" s="259"/>
      <c r="FY88" s="82"/>
      <c r="FZ88" s="259"/>
      <c r="GA88" s="82"/>
      <c r="GB88" s="261"/>
      <c r="GC88" s="90"/>
      <c r="GD88" s="76">
        <v>3</v>
      </c>
      <c r="GE88" s="445" t="s">
        <v>3430</v>
      </c>
      <c r="GF88" s="447" t="s">
        <v>580</v>
      </c>
      <c r="GG88" s="448">
        <v>6</v>
      </c>
      <c r="GH88" s="449">
        <v>5</v>
      </c>
      <c r="GI88" s="447" t="s">
        <v>590</v>
      </c>
      <c r="GJ88" s="449">
        <v>48</v>
      </c>
      <c r="GK88" s="447">
        <v>12</v>
      </c>
      <c r="GL88" s="448">
        <v>15</v>
      </c>
      <c r="GM88" s="449">
        <v>21</v>
      </c>
      <c r="GN88" s="447" t="s">
        <v>580</v>
      </c>
      <c r="GO88" s="449">
        <v>68</v>
      </c>
      <c r="GP88" s="447">
        <v>22</v>
      </c>
      <c r="GQ88" s="448">
        <v>26</v>
      </c>
      <c r="GR88" s="449">
        <v>20</v>
      </c>
      <c r="GS88" s="446">
        <v>-1</v>
      </c>
      <c r="GT88" s="461">
        <v>-0.81671696901321411</v>
      </c>
      <c r="GU88" s="462">
        <v>-0.61608850955963135</v>
      </c>
      <c r="GV88" s="462">
        <v>-0.11210222542285919</v>
      </c>
      <c r="GW88" s="462">
        <v>0.11452990770339966</v>
      </c>
      <c r="GX88" s="462">
        <v>0.38729506731033325</v>
      </c>
      <c r="GY88" s="463">
        <v>8.6076445877552032E-2</v>
      </c>
      <c r="GZ88" s="10">
        <v>79</v>
      </c>
      <c r="HA88" s="536">
        <v>0.51673999999999998</v>
      </c>
      <c r="HB88" s="536">
        <v>0.47058</v>
      </c>
      <c r="HC88" s="525">
        <v>0.51968000000000003</v>
      </c>
      <c r="HD88" s="526">
        <v>0.31035000000000001</v>
      </c>
      <c r="HE88" s="527">
        <v>0.72019999999999995</v>
      </c>
      <c r="HF88" s="10">
        <v>87</v>
      </c>
      <c r="HG88" s="532">
        <v>4.62</v>
      </c>
      <c r="HH88" s="545">
        <v>5.47</v>
      </c>
      <c r="HI88" s="546">
        <v>2.2200000000000002</v>
      </c>
      <c r="HJ88" s="547">
        <v>7.74</v>
      </c>
      <c r="HK88" s="379" t="s">
        <v>145</v>
      </c>
      <c r="HL88" s="362" t="s">
        <v>145</v>
      </c>
      <c r="HM88" s="557" t="s">
        <v>145</v>
      </c>
      <c r="HN88" s="557" t="s">
        <v>145</v>
      </c>
      <c r="HO88" s="557" t="s">
        <v>145</v>
      </c>
      <c r="HP88" s="562" t="s">
        <v>145</v>
      </c>
      <c r="HQ88" s="562" t="s">
        <v>145</v>
      </c>
      <c r="HR88" s="563" t="s">
        <v>145</v>
      </c>
      <c r="HS88" s="545">
        <v>96</v>
      </c>
      <c r="HT88" s="557">
        <v>53</v>
      </c>
      <c r="HU88" s="557">
        <v>2007</v>
      </c>
      <c r="HV88" s="583" t="s">
        <v>4211</v>
      </c>
      <c r="HW88" s="557">
        <v>0</v>
      </c>
      <c r="HX88" s="557">
        <v>25</v>
      </c>
      <c r="HY88" s="557">
        <v>5</v>
      </c>
      <c r="HZ88" s="557">
        <v>10</v>
      </c>
      <c r="IA88" s="557">
        <v>8</v>
      </c>
      <c r="IB88" s="557">
        <v>0</v>
      </c>
      <c r="IC88" s="547">
        <v>5</v>
      </c>
      <c r="ID88" s="40"/>
      <c r="IE88" s="550"/>
      <c r="IF88" s="550"/>
      <c r="IG88" s="553"/>
      <c r="IH88" s="115"/>
      <c r="II88" s="647" t="s">
        <v>4922</v>
      </c>
      <c r="IJ88" s="423" t="s">
        <v>4926</v>
      </c>
      <c r="IK88" s="10">
        <v>0</v>
      </c>
      <c r="IL88" s="749">
        <f t="shared" si="75"/>
        <v>15</v>
      </c>
      <c r="IM88" s="747">
        <f t="shared" si="76"/>
        <v>60</v>
      </c>
      <c r="IN88" s="750" t="str">
        <f t="shared" si="77"/>
        <v>B</v>
      </c>
      <c r="IO88" s="446"/>
      <c r="IP88" s="902">
        <v>4</v>
      </c>
      <c r="IQ88" s="903">
        <v>0</v>
      </c>
      <c r="IR88" s="993">
        <v>0</v>
      </c>
      <c r="IT88" s="435"/>
      <c r="IU88" s="435"/>
      <c r="IV88" s="435"/>
    </row>
    <row r="89" spans="1:256">
      <c r="A89" s="21">
        <v>87</v>
      </c>
      <c r="B89" s="9"/>
      <c r="C89" s="431" t="s">
        <v>139</v>
      </c>
      <c r="D89" s="423" t="s">
        <v>408</v>
      </c>
      <c r="E89" s="24" t="s">
        <v>12</v>
      </c>
      <c r="F89" s="76" t="s">
        <v>825</v>
      </c>
      <c r="G89" s="102" t="s">
        <v>549</v>
      </c>
      <c r="H89" s="375" t="s">
        <v>2319</v>
      </c>
      <c r="I89" s="95" t="s">
        <v>2320</v>
      </c>
      <c r="J89" s="370">
        <v>1</v>
      </c>
      <c r="K89" s="88">
        <v>1991</v>
      </c>
      <c r="L89" s="371">
        <v>2</v>
      </c>
      <c r="M89" s="373" t="s">
        <v>1816</v>
      </c>
      <c r="N89" s="369" t="s">
        <v>1822</v>
      </c>
      <c r="O89" s="365" t="s">
        <v>3239</v>
      </c>
      <c r="P89" s="362" t="s">
        <v>2848</v>
      </c>
      <c r="Q89" s="370">
        <v>1</v>
      </c>
      <c r="R89" s="370">
        <v>1997</v>
      </c>
      <c r="S89" s="372" t="s">
        <v>2849</v>
      </c>
      <c r="T89" s="370">
        <v>1</v>
      </c>
      <c r="U89" s="370">
        <v>2</v>
      </c>
      <c r="V89" s="370">
        <v>16</v>
      </c>
      <c r="W89" s="369" t="s">
        <v>2850</v>
      </c>
      <c r="X89" s="170">
        <v>0</v>
      </c>
      <c r="Y89" s="369">
        <v>0</v>
      </c>
      <c r="Z89" s="271"/>
      <c r="AA89" s="169"/>
      <c r="AB89" s="177"/>
      <c r="AC89" s="171"/>
      <c r="AD89" s="366" t="s">
        <v>2868</v>
      </c>
      <c r="AE89" s="357">
        <v>2014</v>
      </c>
      <c r="AF89" s="804">
        <v>3</v>
      </c>
      <c r="AG89" s="550" t="s">
        <v>5171</v>
      </c>
      <c r="AH89" s="355" t="s">
        <v>2869</v>
      </c>
      <c r="AI89" s="55">
        <v>1</v>
      </c>
      <c r="AJ89" s="55">
        <v>1</v>
      </c>
      <c r="AK89" s="590" t="s">
        <v>145</v>
      </c>
      <c r="AL89" s="386">
        <v>2</v>
      </c>
      <c r="AM89" s="361" t="s">
        <v>2870</v>
      </c>
      <c r="AN89" s="342" t="s">
        <v>145</v>
      </c>
      <c r="AO89" s="170">
        <v>0</v>
      </c>
      <c r="AP89" s="369">
        <v>0</v>
      </c>
      <c r="AQ89" s="365" t="s">
        <v>4545</v>
      </c>
      <c r="AR89" s="378" t="s">
        <v>2572</v>
      </c>
      <c r="AS89" s="55">
        <v>2</v>
      </c>
      <c r="AT89" s="370">
        <v>1</v>
      </c>
      <c r="AU89" s="371">
        <v>2009</v>
      </c>
      <c r="AV89" s="370">
        <v>5</v>
      </c>
      <c r="AW89" s="589">
        <v>130</v>
      </c>
      <c r="AX89" s="687">
        <v>1</v>
      </c>
      <c r="AY89" s="174" t="s">
        <v>4543</v>
      </c>
      <c r="AZ89" s="55">
        <v>2013</v>
      </c>
      <c r="BA89" s="55">
        <v>1</v>
      </c>
      <c r="BB89" s="55">
        <v>1</v>
      </c>
      <c r="BC89" s="174" t="s">
        <v>4544</v>
      </c>
      <c r="BD89" s="55">
        <v>2013</v>
      </c>
      <c r="BE89" s="55">
        <v>0</v>
      </c>
      <c r="BF89" s="371" t="s">
        <v>145</v>
      </c>
      <c r="BG89" s="371">
        <v>1</v>
      </c>
      <c r="BH89" s="1" t="s">
        <v>4545</v>
      </c>
      <c r="BI89" s="371">
        <v>0</v>
      </c>
      <c r="BJ89" s="371">
        <v>0</v>
      </c>
      <c r="BK89" s="888">
        <v>17625.225999999999</v>
      </c>
      <c r="BL89" s="925">
        <f t="shared" si="62"/>
        <v>51.705249056097216</v>
      </c>
      <c r="BM89" s="888">
        <v>8512.0589999999993</v>
      </c>
      <c r="BN89" s="920">
        <v>9113.1669999999995</v>
      </c>
      <c r="BO89" s="888">
        <v>1948.4480000000001</v>
      </c>
      <c r="BP89" s="1158">
        <f t="shared" si="78"/>
        <v>48.58302608024438</v>
      </c>
      <c r="BQ89" s="917">
        <v>1001.833</v>
      </c>
      <c r="BR89" s="920">
        <v>946.61500000000001</v>
      </c>
      <c r="BS89" s="888">
        <v>1618.9839999999999</v>
      </c>
      <c r="BT89" s="1158">
        <f t="shared" si="79"/>
        <v>48.554402020032313</v>
      </c>
      <c r="BU89" s="917">
        <v>832.89599999999996</v>
      </c>
      <c r="BV89" s="920">
        <v>786.08799999999997</v>
      </c>
      <c r="BW89" s="888">
        <v>1141.57</v>
      </c>
      <c r="BX89" s="1158">
        <f t="shared" si="80"/>
        <v>48.807694666117719</v>
      </c>
      <c r="BY89" s="917">
        <v>584.39599999999996</v>
      </c>
      <c r="BZ89" s="920">
        <v>557.17399999999998</v>
      </c>
      <c r="CA89" s="888">
        <f t="shared" si="81"/>
        <v>12916.223999999998</v>
      </c>
      <c r="CB89" s="1158">
        <f t="shared" si="82"/>
        <v>52.827281409799035</v>
      </c>
      <c r="CC89" s="917">
        <f t="shared" si="83"/>
        <v>6092.9340000000002</v>
      </c>
      <c r="CD89" s="920">
        <f t="shared" si="84"/>
        <v>6823.29</v>
      </c>
      <c r="CE89" s="914">
        <v>2015</v>
      </c>
      <c r="CF89" s="910" t="s">
        <v>5630</v>
      </c>
      <c r="CG89" s="930">
        <v>99.7</v>
      </c>
      <c r="CH89" s="495">
        <v>99.8</v>
      </c>
      <c r="CI89" s="497">
        <v>99.7</v>
      </c>
      <c r="CJ89" s="904">
        <v>99.9</v>
      </c>
      <c r="CK89" s="904">
        <v>99.6</v>
      </c>
      <c r="CL89" s="904" t="s">
        <v>5572</v>
      </c>
      <c r="CM89" s="905" t="s">
        <v>5573</v>
      </c>
      <c r="CN89" s="1044">
        <v>9547.8639999999996</v>
      </c>
      <c r="CO89" s="1045">
        <f t="shared" si="63"/>
        <v>54.171583388491015</v>
      </c>
      <c r="CP89" s="1040">
        <f t="shared" si="99"/>
        <v>4611.1171392625538</v>
      </c>
      <c r="CQ89" s="1041">
        <f t="shared" si="100"/>
        <v>4936.7468607374458</v>
      </c>
      <c r="CR89" s="1046">
        <v>2015</v>
      </c>
      <c r="CS89" s="1047" t="s">
        <v>5921</v>
      </c>
      <c r="CT89" s="1068">
        <f t="shared" si="66"/>
        <v>16</v>
      </c>
      <c r="CU89" s="1071">
        <v>18</v>
      </c>
      <c r="CV89" s="1068" t="s">
        <v>6090</v>
      </c>
      <c r="CW89" s="1113">
        <v>9547.8639999999996</v>
      </c>
      <c r="CX89" s="1113">
        <v>12839.924999999999</v>
      </c>
      <c r="CY89" s="1113">
        <v>18157.121999999999</v>
      </c>
      <c r="CZ89" s="494">
        <v>1</v>
      </c>
      <c r="DA89" s="1104">
        <v>4</v>
      </c>
      <c r="DB89" s="1050" t="s">
        <v>647</v>
      </c>
      <c r="DC89" s="1146" t="s">
        <v>322</v>
      </c>
      <c r="DD89" s="978">
        <f t="shared" si="91"/>
        <v>3382.4870059999985</v>
      </c>
      <c r="DE89" s="979">
        <f t="shared" si="67"/>
        <v>19.191169554364855</v>
      </c>
      <c r="DF89" s="979">
        <f t="shared" si="92"/>
        <v>55.976941431081286</v>
      </c>
      <c r="DG89" s="980">
        <f t="shared" si="93"/>
        <v>1486.6551107374464</v>
      </c>
      <c r="DH89" s="980">
        <f t="shared" si="94"/>
        <v>1893.4127702625542</v>
      </c>
      <c r="DI89" s="979">
        <f t="shared" si="68"/>
        <v>17.465282027972862</v>
      </c>
      <c r="DJ89" s="981">
        <f t="shared" si="69"/>
        <v>20.776671493703063</v>
      </c>
      <c r="DK89" s="984">
        <f t="shared" si="70"/>
        <v>3368.3599999999988</v>
      </c>
      <c r="DL89" s="979">
        <f t="shared" si="95"/>
        <v>56.007764587590245</v>
      </c>
      <c r="DM89" s="980">
        <f t="shared" si="71"/>
        <v>1481.8168607374464</v>
      </c>
      <c r="DN89" s="985">
        <f t="shared" si="72"/>
        <v>1886.5431392625542</v>
      </c>
      <c r="DO89" s="984">
        <f t="shared" si="73"/>
        <v>8.2816620000000079</v>
      </c>
      <c r="DP89" s="979">
        <f t="shared" si="96"/>
        <v>48.659145954036752</v>
      </c>
      <c r="DQ89" s="980">
        <f t="shared" si="85"/>
        <v>2.8345840000000022</v>
      </c>
      <c r="DR89" s="985">
        <f t="shared" si="86"/>
        <v>4.0297860000000032</v>
      </c>
      <c r="DS89" s="984">
        <f t="shared" si="74"/>
        <v>5.8453440000000052</v>
      </c>
      <c r="DT89" s="339">
        <f t="shared" si="97"/>
        <v>48.58302608024438</v>
      </c>
      <c r="DU89" s="980">
        <f t="shared" si="87"/>
        <v>2.0036660000000017</v>
      </c>
      <c r="DV89" s="985">
        <f t="shared" si="88"/>
        <v>2.8398450000000026</v>
      </c>
      <c r="DW89" s="979">
        <f t="shared" si="89"/>
        <v>0.20000000000000018</v>
      </c>
      <c r="DX89" s="981">
        <f t="shared" si="90"/>
        <v>0.30000000000000027</v>
      </c>
      <c r="DY89" s="414">
        <v>0.11</v>
      </c>
      <c r="DZ89" s="111">
        <v>2009</v>
      </c>
      <c r="EA89" s="118">
        <v>18</v>
      </c>
      <c r="EB89" s="123">
        <v>5.3</v>
      </c>
      <c r="EC89" s="113">
        <v>2011</v>
      </c>
      <c r="ED89" s="20">
        <v>877.59832699999981</v>
      </c>
      <c r="EE89" s="414">
        <v>5.3</v>
      </c>
      <c r="EF89" s="111">
        <v>2011</v>
      </c>
      <c r="EG89" s="380">
        <v>99.732414245605497</v>
      </c>
      <c r="EH89" s="24" t="s">
        <v>345</v>
      </c>
      <c r="EI89" s="287">
        <v>0</v>
      </c>
      <c r="EJ89" s="40" t="s">
        <v>145</v>
      </c>
      <c r="EK89" s="35" t="s">
        <v>145</v>
      </c>
      <c r="EL89" s="95" t="s">
        <v>145</v>
      </c>
      <c r="EM89" s="95" t="s">
        <v>145</v>
      </c>
      <c r="EN89" s="35" t="s">
        <v>145</v>
      </c>
      <c r="EO89" s="95" t="s">
        <v>145</v>
      </c>
      <c r="EP89" s="205" t="s">
        <v>145</v>
      </c>
      <c r="EQ89" s="207" t="s">
        <v>145</v>
      </c>
      <c r="ER89" s="517">
        <v>2</v>
      </c>
      <c r="ES89" s="183" t="s">
        <v>145</v>
      </c>
      <c r="ET89" s="183" t="s">
        <v>145</v>
      </c>
      <c r="EU89" s="82" t="s">
        <v>3787</v>
      </c>
      <c r="EV89" s="82" t="s">
        <v>145</v>
      </c>
      <c r="EW89" s="82" t="s">
        <v>145</v>
      </c>
      <c r="EX89" s="360" t="s">
        <v>3788</v>
      </c>
      <c r="EY89" s="159"/>
      <c r="EZ89" s="156"/>
      <c r="FA89" s="323"/>
      <c r="FB89" s="323"/>
      <c r="FC89" s="323"/>
      <c r="FD89" s="160"/>
      <c r="FE89" s="156"/>
      <c r="FF89" s="156"/>
      <c r="FG89" s="156"/>
      <c r="FH89" s="157"/>
      <c r="FI89" s="242"/>
      <c r="FJ89" s="373"/>
      <c r="FK89" s="179"/>
      <c r="FL89" s="179"/>
      <c r="FM89" s="179"/>
      <c r="FN89" s="369"/>
      <c r="FO89" s="164"/>
      <c r="FP89" s="255"/>
      <c r="FQ89" s="183"/>
      <c r="FR89" s="257"/>
      <c r="FS89" s="82"/>
      <c r="FT89" s="259"/>
      <c r="FU89" s="82"/>
      <c r="FV89" s="259"/>
      <c r="FW89" s="82"/>
      <c r="FX89" s="259"/>
      <c r="FY89" s="82"/>
      <c r="FZ89" s="259"/>
      <c r="GA89" s="82"/>
      <c r="GB89" s="261"/>
      <c r="GC89" s="90"/>
      <c r="GD89" s="76">
        <v>1</v>
      </c>
      <c r="GE89" s="445" t="s">
        <v>3424</v>
      </c>
      <c r="GF89" s="447" t="s">
        <v>580</v>
      </c>
      <c r="GG89" s="448">
        <v>6</v>
      </c>
      <c r="GH89" s="449">
        <v>5</v>
      </c>
      <c r="GI89" s="447" t="s">
        <v>590</v>
      </c>
      <c r="GJ89" s="449">
        <v>60</v>
      </c>
      <c r="GK89" s="447">
        <v>15</v>
      </c>
      <c r="GL89" s="448">
        <v>23</v>
      </c>
      <c r="GM89" s="449">
        <v>22</v>
      </c>
      <c r="GN89" s="447" t="s">
        <v>580</v>
      </c>
      <c r="GO89" s="449">
        <v>85</v>
      </c>
      <c r="GP89" s="447">
        <v>29</v>
      </c>
      <c r="GQ89" s="448">
        <v>33</v>
      </c>
      <c r="GR89" s="449">
        <v>23</v>
      </c>
      <c r="GS89" s="446">
        <v>-3</v>
      </c>
      <c r="GT89" s="461">
        <v>-1.2243735790252686</v>
      </c>
      <c r="GU89" s="462">
        <v>-0.38138318061828613</v>
      </c>
      <c r="GV89" s="462">
        <v>-0.5370221734046936</v>
      </c>
      <c r="GW89" s="462">
        <v>-0.3830450177192688</v>
      </c>
      <c r="GX89" s="462">
        <v>-0.66697525978088379</v>
      </c>
      <c r="GY89" s="463">
        <v>-0.89843583106994629</v>
      </c>
      <c r="GZ89" s="10">
        <v>28</v>
      </c>
      <c r="HA89" s="536">
        <v>0.72826999999999997</v>
      </c>
      <c r="HB89" s="536">
        <v>0.76470000000000005</v>
      </c>
      <c r="HC89" s="525">
        <v>0.74802999999999997</v>
      </c>
      <c r="HD89" s="526">
        <v>0.57487999999999995</v>
      </c>
      <c r="HE89" s="527">
        <v>0.8619</v>
      </c>
      <c r="HF89" s="10">
        <v>53</v>
      </c>
      <c r="HG89" s="532">
        <v>6.08</v>
      </c>
      <c r="HH89" s="545">
        <v>6.84</v>
      </c>
      <c r="HI89" s="546">
        <v>4.33</v>
      </c>
      <c r="HJ89" s="547">
        <v>8.06</v>
      </c>
      <c r="HK89" s="379" t="s">
        <v>145</v>
      </c>
      <c r="HL89" s="362" t="s">
        <v>145</v>
      </c>
      <c r="HM89" s="557" t="s">
        <v>145</v>
      </c>
      <c r="HN89" s="557" t="s">
        <v>145</v>
      </c>
      <c r="HO89" s="557" t="s">
        <v>145</v>
      </c>
      <c r="HP89" s="562" t="s">
        <v>145</v>
      </c>
      <c r="HQ89" s="562" t="s">
        <v>145</v>
      </c>
      <c r="HR89" s="563" t="s">
        <v>145</v>
      </c>
      <c r="HS89" s="545" t="s">
        <v>145</v>
      </c>
      <c r="HT89" s="557" t="s">
        <v>145</v>
      </c>
      <c r="HU89" s="557" t="s">
        <v>145</v>
      </c>
      <c r="HV89" s="581" t="s">
        <v>145</v>
      </c>
      <c r="HW89" s="557" t="s">
        <v>145</v>
      </c>
      <c r="HX89" s="557" t="s">
        <v>145</v>
      </c>
      <c r="HY89" s="557" t="s">
        <v>145</v>
      </c>
      <c r="HZ89" s="557" t="s">
        <v>145</v>
      </c>
      <c r="IA89" s="557" t="s">
        <v>145</v>
      </c>
      <c r="IB89" s="557" t="s">
        <v>145</v>
      </c>
      <c r="IC89" s="547" t="s">
        <v>145</v>
      </c>
      <c r="ID89" s="40"/>
      <c r="IE89" s="550"/>
      <c r="IF89" s="550"/>
      <c r="IG89" s="553"/>
      <c r="IH89" s="115">
        <v>30.4</v>
      </c>
      <c r="II89" s="647" t="s">
        <v>4922</v>
      </c>
      <c r="IJ89" s="423" t="s">
        <v>4926</v>
      </c>
      <c r="IK89" s="10">
        <v>0</v>
      </c>
      <c r="IL89" s="749">
        <f t="shared" si="75"/>
        <v>17</v>
      </c>
      <c r="IM89" s="747">
        <f t="shared" si="76"/>
        <v>68</v>
      </c>
      <c r="IN89" s="750" t="str">
        <f t="shared" si="77"/>
        <v>B</v>
      </c>
      <c r="IO89" s="446"/>
      <c r="IP89" s="902">
        <v>4</v>
      </c>
      <c r="IQ89" s="903">
        <v>0</v>
      </c>
      <c r="IR89" s="993">
        <v>0</v>
      </c>
      <c r="IT89" s="435"/>
      <c r="IU89" s="435"/>
      <c r="IV89" s="435"/>
    </row>
    <row r="90" spans="1:256">
      <c r="A90" s="21">
        <v>88</v>
      </c>
      <c r="B90" s="9"/>
      <c r="C90" s="430" t="s">
        <v>141</v>
      </c>
      <c r="D90" s="423" t="s">
        <v>406</v>
      </c>
      <c r="E90" s="24" t="s">
        <v>9</v>
      </c>
      <c r="F90" s="76" t="s">
        <v>826</v>
      </c>
      <c r="G90" s="102" t="s">
        <v>540</v>
      </c>
      <c r="H90" s="375" t="s">
        <v>2309</v>
      </c>
      <c r="I90" s="364" t="s">
        <v>2308</v>
      </c>
      <c r="J90" s="370">
        <v>6</v>
      </c>
      <c r="K90" s="359">
        <v>1904</v>
      </c>
      <c r="L90" s="371">
        <v>2</v>
      </c>
      <c r="M90" s="373" t="s">
        <v>2307</v>
      </c>
      <c r="N90" s="369" t="s">
        <v>2311</v>
      </c>
      <c r="O90" s="375" t="s">
        <v>2937</v>
      </c>
      <c r="P90" s="362" t="s">
        <v>2851</v>
      </c>
      <c r="Q90" s="370">
        <v>2</v>
      </c>
      <c r="R90" s="370">
        <v>1971</v>
      </c>
      <c r="S90" s="372" t="s">
        <v>1961</v>
      </c>
      <c r="T90" s="370">
        <v>1</v>
      </c>
      <c r="U90" s="370">
        <v>2</v>
      </c>
      <c r="V90" s="370">
        <v>18</v>
      </c>
      <c r="W90" s="369" t="s">
        <v>1822</v>
      </c>
      <c r="X90" s="170">
        <v>1</v>
      </c>
      <c r="Y90" s="369">
        <v>1</v>
      </c>
      <c r="Z90" s="271"/>
      <c r="AA90" s="169">
        <v>1</v>
      </c>
      <c r="AB90" s="177">
        <v>1</v>
      </c>
      <c r="AC90" s="171"/>
      <c r="AD90" s="366" t="s">
        <v>2936</v>
      </c>
      <c r="AE90" s="357">
        <v>2015</v>
      </c>
      <c r="AF90" s="357">
        <v>2</v>
      </c>
      <c r="AG90" s="550" t="s">
        <v>5171</v>
      </c>
      <c r="AH90" s="355" t="s">
        <v>2938</v>
      </c>
      <c r="AI90" s="55">
        <v>0</v>
      </c>
      <c r="AJ90" s="55">
        <v>0</v>
      </c>
      <c r="AK90" s="590" t="s">
        <v>145</v>
      </c>
      <c r="AL90" s="386">
        <v>10</v>
      </c>
      <c r="AM90" s="361" t="s">
        <v>2931</v>
      </c>
      <c r="AN90" s="342" t="s">
        <v>145</v>
      </c>
      <c r="AO90" s="170">
        <v>0</v>
      </c>
      <c r="AP90" s="369">
        <v>0</v>
      </c>
      <c r="AQ90" s="282" t="s">
        <v>5418</v>
      </c>
      <c r="AR90" s="362" t="s">
        <v>2798</v>
      </c>
      <c r="AS90" s="55">
        <v>1</v>
      </c>
      <c r="AT90" s="370">
        <v>2</v>
      </c>
      <c r="AU90" s="724">
        <v>2005</v>
      </c>
      <c r="AV90" s="370">
        <v>10</v>
      </c>
      <c r="AW90" s="589" t="s">
        <v>145</v>
      </c>
      <c r="AX90" s="794">
        <v>0</v>
      </c>
      <c r="AY90" s="174" t="s">
        <v>4546</v>
      </c>
      <c r="AZ90" s="55">
        <v>1959</v>
      </c>
      <c r="BA90" s="55">
        <v>0</v>
      </c>
      <c r="BB90" s="55">
        <v>1</v>
      </c>
      <c r="BC90" s="174" t="s">
        <v>4547</v>
      </c>
      <c r="BD90" s="55">
        <v>2012</v>
      </c>
      <c r="BE90" s="55">
        <v>0</v>
      </c>
      <c r="BF90" s="371" t="s">
        <v>145</v>
      </c>
      <c r="BG90" s="371">
        <v>0</v>
      </c>
      <c r="BH90" s="56" t="s">
        <v>145</v>
      </c>
      <c r="BI90" s="371">
        <v>2</v>
      </c>
      <c r="BJ90" s="371">
        <v>1</v>
      </c>
      <c r="BK90" s="888">
        <v>46050.302000000003</v>
      </c>
      <c r="BL90" s="925">
        <f t="shared" si="62"/>
        <v>50.017837016573743</v>
      </c>
      <c r="BM90" s="888">
        <v>23016.937000000002</v>
      </c>
      <c r="BN90" s="920">
        <v>23033.365000000002</v>
      </c>
      <c r="BO90" s="888">
        <v>7166.4889999999996</v>
      </c>
      <c r="BP90" s="1158">
        <f t="shared" si="78"/>
        <v>49.580666348612276</v>
      </c>
      <c r="BQ90" s="917">
        <v>3613.2959999999998</v>
      </c>
      <c r="BR90" s="920">
        <v>3553.1930000000002</v>
      </c>
      <c r="BS90" s="888">
        <v>6486.9949999999999</v>
      </c>
      <c r="BT90" s="1158">
        <f t="shared" si="79"/>
        <v>49.693363414030692</v>
      </c>
      <c r="BU90" s="917">
        <v>3263.3890000000001</v>
      </c>
      <c r="BV90" s="920">
        <v>3223.6060000000002</v>
      </c>
      <c r="BW90" s="888">
        <v>5645.7659999999996</v>
      </c>
      <c r="BX90" s="1158">
        <f t="shared" si="80"/>
        <v>49.74125743078973</v>
      </c>
      <c r="BY90" s="917">
        <v>2837.491</v>
      </c>
      <c r="BZ90" s="920">
        <v>2808.2750000000001</v>
      </c>
      <c r="CA90" s="888">
        <f t="shared" si="81"/>
        <v>26751.052000000003</v>
      </c>
      <c r="CB90" s="1158">
        <f t="shared" si="82"/>
        <v>50.272007994302434</v>
      </c>
      <c r="CC90" s="917">
        <f t="shared" si="83"/>
        <v>13302.761000000004</v>
      </c>
      <c r="CD90" s="920">
        <f t="shared" si="84"/>
        <v>13448.291000000003</v>
      </c>
      <c r="CE90" s="914">
        <v>2015</v>
      </c>
      <c r="CF90" s="910" t="s">
        <v>5630</v>
      </c>
      <c r="CG90" s="1026">
        <v>60</v>
      </c>
      <c r="CH90" s="495">
        <v>60.9</v>
      </c>
      <c r="CI90" s="497">
        <v>59.1</v>
      </c>
      <c r="CJ90" s="904">
        <v>76.3</v>
      </c>
      <c r="CK90" s="904">
        <v>56.7</v>
      </c>
      <c r="CL90" s="904" t="s">
        <v>5574</v>
      </c>
      <c r="CM90" s="905" t="s">
        <v>5575</v>
      </c>
      <c r="CN90" s="1044">
        <v>14352.532999999999</v>
      </c>
      <c r="CO90" s="1045">
        <f t="shared" si="63"/>
        <v>31.167076819604784</v>
      </c>
      <c r="CP90" s="1040">
        <f t="shared" si="99"/>
        <v>7173.706436310038</v>
      </c>
      <c r="CQ90" s="1041">
        <f t="shared" si="100"/>
        <v>7178.8265636899614</v>
      </c>
      <c r="CR90" s="1046">
        <v>2013</v>
      </c>
      <c r="CS90" s="1047" t="s">
        <v>5745</v>
      </c>
      <c r="CT90" s="1068">
        <f t="shared" si="66"/>
        <v>18</v>
      </c>
      <c r="CU90" s="1071">
        <v>18</v>
      </c>
      <c r="CV90" s="1068" t="s">
        <v>6091</v>
      </c>
      <c r="CW90" s="1113">
        <v>14352.532999999999</v>
      </c>
      <c r="CX90" s="1113">
        <v>22177.678</v>
      </c>
      <c r="CY90" s="1113">
        <v>43013.341</v>
      </c>
      <c r="CZ90" s="494">
        <v>1</v>
      </c>
      <c r="DA90" s="1104">
        <v>4</v>
      </c>
      <c r="DB90" s="1050" t="s">
        <v>647</v>
      </c>
      <c r="DC90" s="1143" t="s">
        <v>320</v>
      </c>
      <c r="DD90" s="978">
        <f t="shared" si="91"/>
        <v>20118.219000000005</v>
      </c>
      <c r="DE90" s="979">
        <f t="shared" si="67"/>
        <v>43.687485480551253</v>
      </c>
      <c r="DF90" s="979">
        <f t="shared" si="92"/>
        <v>50.649412367516419</v>
      </c>
      <c r="DG90" s="980">
        <f t="shared" si="93"/>
        <v>9927.2973796899678</v>
      </c>
      <c r="DH90" s="980">
        <f t="shared" si="94"/>
        <v>10189.759702310041</v>
      </c>
      <c r="DI90" s="979">
        <f t="shared" si="68"/>
        <v>43.130401667650077</v>
      </c>
      <c r="DJ90" s="981">
        <f t="shared" si="69"/>
        <v>44.239127467089759</v>
      </c>
      <c r="DK90" s="984">
        <f t="shared" si="70"/>
        <v>12398.519000000004</v>
      </c>
      <c r="DL90" s="979">
        <f t="shared" si="95"/>
        <v>50.566236469936769</v>
      </c>
      <c r="DM90" s="980">
        <f t="shared" si="71"/>
        <v>6129.054563689966</v>
      </c>
      <c r="DN90" s="985">
        <f t="shared" si="72"/>
        <v>6269.4644363100415</v>
      </c>
      <c r="DO90" s="984">
        <f t="shared" si="73"/>
        <v>4853.1044000000002</v>
      </c>
      <c r="DP90" s="979">
        <f t="shared" si="96"/>
        <v>50.834252174752315</v>
      </c>
      <c r="DQ90" s="980">
        <f t="shared" si="85"/>
        <v>2385.4440800000002</v>
      </c>
      <c r="DR90" s="985">
        <f t="shared" si="86"/>
        <v>2467.0393290000002</v>
      </c>
      <c r="DS90" s="984">
        <f t="shared" si="74"/>
        <v>2866.5956000000001</v>
      </c>
      <c r="DT90" s="339">
        <f t="shared" si="97"/>
        <v>50.696231341456041</v>
      </c>
      <c r="DU90" s="980">
        <f t="shared" si="87"/>
        <v>1412.798736</v>
      </c>
      <c r="DV90" s="985">
        <f t="shared" si="88"/>
        <v>1453.2559370000001</v>
      </c>
      <c r="DW90" s="979">
        <f t="shared" si="89"/>
        <v>39.1</v>
      </c>
      <c r="DX90" s="981">
        <f t="shared" si="90"/>
        <v>40.900000000000006</v>
      </c>
      <c r="DY90" s="414">
        <v>43.4</v>
      </c>
      <c r="DZ90" s="111">
        <v>2005</v>
      </c>
      <c r="EA90" s="368">
        <v>18058.621952000001</v>
      </c>
      <c r="EB90" s="123">
        <v>45.9</v>
      </c>
      <c r="EC90" s="113">
        <v>2005</v>
      </c>
      <c r="ED90" s="20">
        <v>19098.865151999998</v>
      </c>
      <c r="EE90" s="414">
        <v>43.4</v>
      </c>
      <c r="EF90" s="111">
        <v>2012</v>
      </c>
      <c r="EG90" s="380">
        <v>72.157028198242202</v>
      </c>
      <c r="EH90" s="24" t="s">
        <v>335</v>
      </c>
      <c r="EI90" s="287">
        <v>1</v>
      </c>
      <c r="EJ90" s="40">
        <v>1</v>
      </c>
      <c r="EK90" s="355" t="s">
        <v>145</v>
      </c>
      <c r="EL90" s="364" t="s">
        <v>1645</v>
      </c>
      <c r="EM90" s="364" t="s">
        <v>1639</v>
      </c>
      <c r="EN90" s="355" t="s">
        <v>145</v>
      </c>
      <c r="EO90" s="364" t="s">
        <v>1646</v>
      </c>
      <c r="EP90" s="205">
        <v>0.6</v>
      </c>
      <c r="EQ90" s="207" t="s">
        <v>145</v>
      </c>
      <c r="ER90" s="517">
        <v>5</v>
      </c>
      <c r="ES90" s="183" t="s">
        <v>3762</v>
      </c>
      <c r="ET90" s="183" t="s">
        <v>3763</v>
      </c>
      <c r="EU90" s="82" t="s">
        <v>3842</v>
      </c>
      <c r="EV90" s="82" t="s">
        <v>145</v>
      </c>
      <c r="EW90" s="82" t="s">
        <v>3915</v>
      </c>
      <c r="EX90" s="360" t="s">
        <v>145</v>
      </c>
      <c r="EY90" s="159"/>
      <c r="EZ90" s="156"/>
      <c r="FA90" s="323"/>
      <c r="FB90" s="323"/>
      <c r="FC90" s="323"/>
      <c r="FD90" s="160"/>
      <c r="FE90" s="156"/>
      <c r="FF90" s="156"/>
      <c r="FG90" s="156"/>
      <c r="FH90" s="157"/>
      <c r="FI90" s="242"/>
      <c r="FJ90" s="373"/>
      <c r="FK90" s="179"/>
      <c r="FL90" s="179"/>
      <c r="FM90" s="179"/>
      <c r="FN90" s="369"/>
      <c r="FO90" s="164"/>
      <c r="FP90" s="255"/>
      <c r="FQ90" s="183"/>
      <c r="FR90" s="257">
        <v>1</v>
      </c>
      <c r="FS90" s="82" t="s">
        <v>1897</v>
      </c>
      <c r="FT90" s="259">
        <v>1</v>
      </c>
      <c r="FU90" s="82" t="s">
        <v>1898</v>
      </c>
      <c r="FV90" s="259"/>
      <c r="FW90" s="82"/>
      <c r="FX90" s="259">
        <v>1</v>
      </c>
      <c r="FY90" s="82" t="s">
        <v>1899</v>
      </c>
      <c r="FZ90" s="259"/>
      <c r="GA90" s="82"/>
      <c r="GB90" s="261">
        <v>1</v>
      </c>
      <c r="GC90" s="360" t="s">
        <v>1900</v>
      </c>
      <c r="GD90" s="76">
        <v>2</v>
      </c>
      <c r="GE90" s="445" t="s">
        <v>3436</v>
      </c>
      <c r="GF90" s="447" t="s">
        <v>590</v>
      </c>
      <c r="GG90" s="448">
        <v>4</v>
      </c>
      <c r="GH90" s="449">
        <v>4</v>
      </c>
      <c r="GI90" s="447" t="s">
        <v>10</v>
      </c>
      <c r="GJ90" s="449">
        <v>28</v>
      </c>
      <c r="GK90" s="447">
        <v>9</v>
      </c>
      <c r="GL90" s="448">
        <v>7</v>
      </c>
      <c r="GM90" s="449">
        <v>12</v>
      </c>
      <c r="GN90" s="447" t="s">
        <v>590</v>
      </c>
      <c r="GO90" s="449">
        <v>57</v>
      </c>
      <c r="GP90" s="447">
        <v>17</v>
      </c>
      <c r="GQ90" s="448">
        <v>23</v>
      </c>
      <c r="GR90" s="449">
        <v>17</v>
      </c>
      <c r="GS90" s="446">
        <v>9</v>
      </c>
      <c r="GT90" s="461">
        <v>-0.24187590181827545</v>
      </c>
      <c r="GU90" s="462">
        <v>-1.1482337713241577</v>
      </c>
      <c r="GV90" s="462">
        <v>-0.48642918467521667</v>
      </c>
      <c r="GW90" s="462">
        <v>-0.35348868370056152</v>
      </c>
      <c r="GX90" s="462">
        <v>-0.7438962459564209</v>
      </c>
      <c r="GY90" s="463">
        <v>-1.0640664100646973</v>
      </c>
      <c r="GZ90" s="10">
        <v>119</v>
      </c>
      <c r="HA90" s="536">
        <v>0.38053999999999999</v>
      </c>
      <c r="HB90" s="536">
        <v>0.64705000000000001</v>
      </c>
      <c r="HC90" s="525">
        <v>0.42519000000000001</v>
      </c>
      <c r="HD90" s="526">
        <v>0.16120000000000001</v>
      </c>
      <c r="HE90" s="527">
        <v>0.55520000000000003</v>
      </c>
      <c r="HF90" s="10">
        <v>124</v>
      </c>
      <c r="HG90" s="532">
        <v>2.79</v>
      </c>
      <c r="HH90" s="545">
        <v>3.29</v>
      </c>
      <c r="HI90" s="546">
        <v>1.41</v>
      </c>
      <c r="HJ90" s="547">
        <v>4.54</v>
      </c>
      <c r="HK90" s="379" t="s">
        <v>4004</v>
      </c>
      <c r="HL90" s="23" t="s">
        <v>4742</v>
      </c>
      <c r="HM90" s="557">
        <v>2012</v>
      </c>
      <c r="HN90" s="809">
        <v>2013</v>
      </c>
      <c r="HO90" s="557" t="s">
        <v>3985</v>
      </c>
      <c r="HP90" s="562" t="s">
        <v>145</v>
      </c>
      <c r="HQ90" s="562" t="s">
        <v>145</v>
      </c>
      <c r="HR90" s="563" t="s">
        <v>145</v>
      </c>
      <c r="HS90" s="545" t="s">
        <v>145</v>
      </c>
      <c r="HT90" s="557" t="s">
        <v>145</v>
      </c>
      <c r="HU90" s="809">
        <v>1963</v>
      </c>
      <c r="HV90" s="583" t="s">
        <v>4882</v>
      </c>
      <c r="HW90" s="448" t="s">
        <v>145</v>
      </c>
      <c r="HX90" s="448" t="s">
        <v>145</v>
      </c>
      <c r="HY90" s="448" t="s">
        <v>145</v>
      </c>
      <c r="HZ90" s="448" t="s">
        <v>145</v>
      </c>
      <c r="IA90" s="448" t="s">
        <v>145</v>
      </c>
      <c r="IB90" s="448" t="s">
        <v>145</v>
      </c>
      <c r="IC90" s="449" t="s">
        <v>145</v>
      </c>
      <c r="ID90" s="40"/>
      <c r="IE90" s="550"/>
      <c r="IF90" s="550"/>
      <c r="IG90" s="553"/>
      <c r="IH90" s="115"/>
      <c r="II90" s="647" t="s">
        <v>4921</v>
      </c>
      <c r="IJ90" s="423"/>
      <c r="IK90" s="10">
        <v>0</v>
      </c>
      <c r="IL90" s="749">
        <f t="shared" si="75"/>
        <v>16</v>
      </c>
      <c r="IM90" s="747">
        <f t="shared" si="76"/>
        <v>64</v>
      </c>
      <c r="IN90" s="750" t="str">
        <f t="shared" si="77"/>
        <v>B</v>
      </c>
      <c r="IO90" s="446">
        <v>1</v>
      </c>
      <c r="IP90" s="902">
        <v>3</v>
      </c>
      <c r="IQ90" s="903">
        <v>0</v>
      </c>
      <c r="IR90" s="993">
        <v>0</v>
      </c>
      <c r="IT90" s="435"/>
      <c r="IU90" s="435"/>
      <c r="IV90" s="435"/>
    </row>
    <row r="91" spans="1:256">
      <c r="A91" s="21">
        <v>89</v>
      </c>
      <c r="B91" s="9"/>
      <c r="C91" s="430" t="s">
        <v>143</v>
      </c>
      <c r="D91" s="424" t="s">
        <v>407</v>
      </c>
      <c r="E91" s="24" t="s">
        <v>20</v>
      </c>
      <c r="F91" s="76" t="s">
        <v>827</v>
      </c>
      <c r="G91" s="102" t="s">
        <v>543</v>
      </c>
      <c r="H91" s="375" t="s">
        <v>2325</v>
      </c>
      <c r="I91" s="364" t="s">
        <v>2326</v>
      </c>
      <c r="J91" s="370">
        <v>1</v>
      </c>
      <c r="K91" s="88">
        <v>1979</v>
      </c>
      <c r="L91" s="371">
        <v>2</v>
      </c>
      <c r="M91" s="373" t="s">
        <v>1847</v>
      </c>
      <c r="N91" s="369" t="s">
        <v>1822</v>
      </c>
      <c r="O91" s="365" t="s">
        <v>3240</v>
      </c>
      <c r="P91" s="362" t="s">
        <v>2798</v>
      </c>
      <c r="Q91" s="370">
        <v>2</v>
      </c>
      <c r="R91" s="370">
        <v>1979</v>
      </c>
      <c r="S91" s="372" t="s">
        <v>1961</v>
      </c>
      <c r="T91" s="370">
        <v>1</v>
      </c>
      <c r="U91" s="370">
        <v>2</v>
      </c>
      <c r="V91" s="370">
        <v>18</v>
      </c>
      <c r="W91" s="369" t="s">
        <v>1822</v>
      </c>
      <c r="X91" s="170">
        <v>0</v>
      </c>
      <c r="Y91" s="369">
        <v>0</v>
      </c>
      <c r="Z91" s="271"/>
      <c r="AA91" s="169"/>
      <c r="AB91" s="177"/>
      <c r="AC91" s="171"/>
      <c r="AD91" s="376" t="s">
        <v>145</v>
      </c>
      <c r="AE91" s="355" t="s">
        <v>145</v>
      </c>
      <c r="AF91" s="357">
        <v>0</v>
      </c>
      <c r="AG91" s="550">
        <v>1</v>
      </c>
      <c r="AH91" s="355" t="s">
        <v>145</v>
      </c>
      <c r="AI91" s="550" t="s">
        <v>145</v>
      </c>
      <c r="AJ91" s="550" t="s">
        <v>145</v>
      </c>
      <c r="AK91" s="590" t="s">
        <v>145</v>
      </c>
      <c r="AL91" s="357">
        <v>0</v>
      </c>
      <c r="AM91" s="360" t="s">
        <v>145</v>
      </c>
      <c r="AN91" s="384" t="s">
        <v>145</v>
      </c>
      <c r="AO91" s="170">
        <v>0</v>
      </c>
      <c r="AP91" s="172">
        <v>0</v>
      </c>
      <c r="AQ91" s="365" t="s">
        <v>5419</v>
      </c>
      <c r="AR91" s="362" t="s">
        <v>4942</v>
      </c>
      <c r="AS91" s="55">
        <v>1</v>
      </c>
      <c r="AT91" s="370">
        <v>3</v>
      </c>
      <c r="AU91" s="724">
        <v>2012</v>
      </c>
      <c r="AV91" s="370">
        <v>5</v>
      </c>
      <c r="AW91" s="589" t="s">
        <v>145</v>
      </c>
      <c r="AX91" s="687">
        <v>0</v>
      </c>
      <c r="AY91" s="174" t="s">
        <v>4548</v>
      </c>
      <c r="AZ91" s="55">
        <v>2006</v>
      </c>
      <c r="BA91" s="55">
        <v>1</v>
      </c>
      <c r="BB91" s="55">
        <v>1</v>
      </c>
      <c r="BC91" s="174" t="s">
        <v>4549</v>
      </c>
      <c r="BD91" s="55">
        <v>1977</v>
      </c>
      <c r="BE91" s="55">
        <v>0</v>
      </c>
      <c r="BF91" s="371" t="s">
        <v>145</v>
      </c>
      <c r="BG91" s="371">
        <v>0</v>
      </c>
      <c r="BH91" s="56" t="s">
        <v>145</v>
      </c>
      <c r="BI91" s="371">
        <v>0</v>
      </c>
      <c r="BJ91" s="371">
        <v>1</v>
      </c>
      <c r="BK91" s="888">
        <v>112.423</v>
      </c>
      <c r="BL91" s="925">
        <f t="shared" si="62"/>
        <v>50.700479439260647</v>
      </c>
      <c r="BM91" s="888">
        <v>55.423999999999999</v>
      </c>
      <c r="BN91" s="920">
        <v>56.999000000000002</v>
      </c>
      <c r="BO91" s="888">
        <v>14.757</v>
      </c>
      <c r="BP91" s="1158">
        <f t="shared" si="78"/>
        <v>48.966592125770816</v>
      </c>
      <c r="BQ91" s="917">
        <v>7.5309999999999997</v>
      </c>
      <c r="BR91" s="920">
        <v>7.226</v>
      </c>
      <c r="BS91" s="888">
        <v>13.727</v>
      </c>
      <c r="BT91" s="1158">
        <f t="shared" si="79"/>
        <v>49.246011510162454</v>
      </c>
      <c r="BU91" s="917">
        <v>6.9669999999999996</v>
      </c>
      <c r="BV91" s="920">
        <v>6.76</v>
      </c>
      <c r="BW91" s="888">
        <v>10.804</v>
      </c>
      <c r="BX91" s="1158">
        <f t="shared" si="80"/>
        <v>48.074787115883005</v>
      </c>
      <c r="BY91" s="917">
        <v>5.61</v>
      </c>
      <c r="BZ91" s="920">
        <v>5.194</v>
      </c>
      <c r="CA91" s="888">
        <f t="shared" si="81"/>
        <v>73.134999999999991</v>
      </c>
      <c r="CB91" s="1158">
        <f t="shared" si="82"/>
        <v>51.711218978601224</v>
      </c>
      <c r="CC91" s="917">
        <f t="shared" si="83"/>
        <v>35.316000000000003</v>
      </c>
      <c r="CD91" s="920">
        <f t="shared" si="84"/>
        <v>37.819000000000003</v>
      </c>
      <c r="CE91" s="914">
        <v>2015</v>
      </c>
      <c r="CF91" s="910" t="s">
        <v>5630</v>
      </c>
      <c r="CG91" s="930">
        <v>93.5</v>
      </c>
      <c r="CH91" s="495">
        <v>94.5</v>
      </c>
      <c r="CI91" s="497">
        <v>92.5</v>
      </c>
      <c r="CJ91" s="904">
        <v>94.5</v>
      </c>
      <c r="CK91" s="904">
        <v>92.8</v>
      </c>
      <c r="CL91" s="904">
        <v>2009</v>
      </c>
      <c r="CM91" s="905" t="s">
        <v>5575</v>
      </c>
      <c r="CN91" s="1044">
        <v>49.91</v>
      </c>
      <c r="CO91" s="1045">
        <f t="shared" si="63"/>
        <v>44.394830239363827</v>
      </c>
      <c r="CP91" s="1040">
        <f t="shared" si="99"/>
        <v>24.605390711865009</v>
      </c>
      <c r="CQ91" s="1041">
        <f t="shared" si="100"/>
        <v>25.304609288134987</v>
      </c>
      <c r="CR91" s="1046">
        <v>2012</v>
      </c>
      <c r="CS91" s="1047" t="s">
        <v>5922</v>
      </c>
      <c r="CT91" s="1068">
        <f t="shared" si="66"/>
        <v>18</v>
      </c>
      <c r="CU91" s="1071">
        <v>18</v>
      </c>
      <c r="CV91" s="1068" t="s">
        <v>6092</v>
      </c>
      <c r="CW91" s="1113">
        <v>49.91</v>
      </c>
      <c r="CX91" s="1113">
        <v>61.341999999999999</v>
      </c>
      <c r="CY91" s="1113">
        <v>101.998</v>
      </c>
      <c r="CZ91" s="494">
        <v>1</v>
      </c>
      <c r="DA91" s="1104">
        <v>5</v>
      </c>
      <c r="DB91" s="1050" t="s">
        <v>647</v>
      </c>
      <c r="DC91" s="1146" t="s">
        <v>322</v>
      </c>
      <c r="DD91" s="978">
        <f t="shared" si="91"/>
        <v>25.778719999999993</v>
      </c>
      <c r="DE91" s="979">
        <f t="shared" si="67"/>
        <v>22.930112165660045</v>
      </c>
      <c r="DF91" s="979">
        <f t="shared" si="92"/>
        <v>54.125614894242304</v>
      </c>
      <c r="DG91" s="980">
        <f t="shared" si="93"/>
        <v>11.816549288134995</v>
      </c>
      <c r="DH91" s="980">
        <f t="shared" si="94"/>
        <v>13.952890711865015</v>
      </c>
      <c r="DI91" s="979">
        <f t="shared" si="68"/>
        <v>21.320275130151188</v>
      </c>
      <c r="DJ91" s="981">
        <f t="shared" si="69"/>
        <v>24.47918509423852</v>
      </c>
      <c r="DK91" s="984">
        <f t="shared" si="70"/>
        <v>23.224999999999994</v>
      </c>
      <c r="DL91" s="979">
        <f t="shared" si="95"/>
        <v>53.883275400925811</v>
      </c>
      <c r="DM91" s="980">
        <f t="shared" si="71"/>
        <v>10.710609288134993</v>
      </c>
      <c r="DN91" s="985">
        <f t="shared" si="72"/>
        <v>12.514390711865016</v>
      </c>
      <c r="DO91" s="984">
        <f t="shared" si="73"/>
        <v>1.5945149999999986</v>
      </c>
      <c r="DP91" s="979">
        <f t="shared" si="96"/>
        <v>56.227128625318691</v>
      </c>
      <c r="DQ91" s="980">
        <f t="shared" si="85"/>
        <v>0.69173500000000065</v>
      </c>
      <c r="DR91" s="985">
        <f t="shared" si="86"/>
        <v>0.89654999999999951</v>
      </c>
      <c r="DS91" s="984">
        <f t="shared" si="74"/>
        <v>0.9592049999999992</v>
      </c>
      <c r="DT91" s="339">
        <f t="shared" si="97"/>
        <v>56.499913991274042</v>
      </c>
      <c r="DU91" s="980">
        <f t="shared" si="87"/>
        <v>0.41420500000000038</v>
      </c>
      <c r="DV91" s="985">
        <f t="shared" si="88"/>
        <v>0.54194999999999971</v>
      </c>
      <c r="DW91" s="979">
        <f t="shared" si="89"/>
        <v>5.5000000000000053</v>
      </c>
      <c r="DX91" s="981">
        <f t="shared" si="90"/>
        <v>7.4999999999999956</v>
      </c>
      <c r="DY91" s="414" t="s">
        <v>145</v>
      </c>
      <c r="DZ91" s="111" t="s">
        <v>145</v>
      </c>
      <c r="EA91" s="118"/>
      <c r="EB91" s="123" t="s">
        <v>145</v>
      </c>
      <c r="EC91" s="113" t="s">
        <v>145</v>
      </c>
      <c r="ED91" s="20"/>
      <c r="EE91" s="414" t="s">
        <v>145</v>
      </c>
      <c r="EF91" s="111" t="s">
        <v>145</v>
      </c>
      <c r="EG91" s="380" t="s">
        <v>145</v>
      </c>
      <c r="EH91" s="24" t="s">
        <v>335</v>
      </c>
      <c r="EI91" s="287">
        <v>0</v>
      </c>
      <c r="EJ91" s="40" t="s">
        <v>145</v>
      </c>
      <c r="EK91" s="35" t="s">
        <v>145</v>
      </c>
      <c r="EL91" s="364" t="s">
        <v>145</v>
      </c>
      <c r="EM91" s="364" t="s">
        <v>145</v>
      </c>
      <c r="EN91" s="35" t="s">
        <v>145</v>
      </c>
      <c r="EO91" s="364" t="s">
        <v>145</v>
      </c>
      <c r="EP91" s="205" t="s">
        <v>145</v>
      </c>
      <c r="EQ91" s="207" t="s">
        <v>145</v>
      </c>
      <c r="ER91" s="517" t="s">
        <v>145</v>
      </c>
      <c r="ES91" s="183"/>
      <c r="ET91" s="183"/>
      <c r="EU91" s="82"/>
      <c r="EV91" s="82"/>
      <c r="EW91" s="82"/>
      <c r="EX91" s="90"/>
      <c r="EY91" s="159"/>
      <c r="EZ91" s="156"/>
      <c r="FA91" s="323"/>
      <c r="FB91" s="323"/>
      <c r="FC91" s="323"/>
      <c r="FD91" s="160"/>
      <c r="FE91" s="156"/>
      <c r="FF91" s="156"/>
      <c r="FG91" s="156"/>
      <c r="FH91" s="157"/>
      <c r="FI91" s="242"/>
      <c r="FJ91" s="373"/>
      <c r="FK91" s="179"/>
      <c r="FL91" s="179"/>
      <c r="FM91" s="179"/>
      <c r="FN91" s="369"/>
      <c r="FO91" s="164"/>
      <c r="FP91" s="255"/>
      <c r="FQ91" s="183"/>
      <c r="FR91" s="257"/>
      <c r="FS91" s="82"/>
      <c r="FT91" s="259"/>
      <c r="FU91" s="82"/>
      <c r="FV91" s="259"/>
      <c r="FW91" s="82"/>
      <c r="FX91" s="259"/>
      <c r="FY91" s="82"/>
      <c r="FZ91" s="259"/>
      <c r="GA91" s="82"/>
      <c r="GB91" s="261"/>
      <c r="GC91" s="90"/>
      <c r="GD91" s="76">
        <v>2</v>
      </c>
      <c r="GE91" s="445" t="s">
        <v>3425</v>
      </c>
      <c r="GF91" s="447" t="s">
        <v>10</v>
      </c>
      <c r="GG91" s="448">
        <v>1</v>
      </c>
      <c r="GH91" s="449">
        <v>1</v>
      </c>
      <c r="GI91" s="447" t="s">
        <v>145</v>
      </c>
      <c r="GJ91" s="449" t="s">
        <v>145</v>
      </c>
      <c r="GK91" s="447" t="s">
        <v>145</v>
      </c>
      <c r="GL91" s="448" t="s">
        <v>145</v>
      </c>
      <c r="GM91" s="449" t="s">
        <v>145</v>
      </c>
      <c r="GN91" s="447" t="s">
        <v>10</v>
      </c>
      <c r="GO91" s="449">
        <v>29</v>
      </c>
      <c r="GP91" s="447">
        <v>6</v>
      </c>
      <c r="GQ91" s="448">
        <v>9</v>
      </c>
      <c r="GR91" s="449">
        <v>14</v>
      </c>
      <c r="GS91" s="446"/>
      <c r="GT91" s="461">
        <v>0.81585896015167236</v>
      </c>
      <c r="GU91" s="462">
        <v>1.3230555057525635</v>
      </c>
      <c r="GV91" s="462">
        <v>-0.84968149662017822</v>
      </c>
      <c r="GW91" s="462">
        <v>-1.376677393913269</v>
      </c>
      <c r="GX91" s="462">
        <v>0.14013822376728058</v>
      </c>
      <c r="GY91" s="463">
        <v>-4.0476474910974503E-2</v>
      </c>
      <c r="GZ91" s="10">
        <v>132</v>
      </c>
      <c r="HA91" s="536">
        <v>0.3201</v>
      </c>
      <c r="HB91" s="536">
        <v>0.29410999999999998</v>
      </c>
      <c r="HC91" s="525">
        <v>0.21259</v>
      </c>
      <c r="HD91" s="526">
        <v>6.6540000000000002E-2</v>
      </c>
      <c r="HE91" s="527">
        <v>0.68120000000000003</v>
      </c>
      <c r="HF91" s="10" t="s">
        <v>145</v>
      </c>
      <c r="HG91" s="532" t="s">
        <v>145</v>
      </c>
      <c r="HH91" s="524" t="s">
        <v>145</v>
      </c>
      <c r="HI91" s="525" t="s">
        <v>145</v>
      </c>
      <c r="HJ91" s="527" t="s">
        <v>145</v>
      </c>
      <c r="HK91" s="379" t="s">
        <v>145</v>
      </c>
      <c r="HL91" s="362" t="s">
        <v>145</v>
      </c>
      <c r="HM91" s="557" t="s">
        <v>145</v>
      </c>
      <c r="HN91" s="557" t="s">
        <v>145</v>
      </c>
      <c r="HO91" s="526" t="s">
        <v>145</v>
      </c>
      <c r="HP91" s="564" t="s">
        <v>145</v>
      </c>
      <c r="HQ91" s="564" t="s">
        <v>145</v>
      </c>
      <c r="HR91" s="565" t="s">
        <v>145</v>
      </c>
      <c r="HS91" s="524" t="s">
        <v>145</v>
      </c>
      <c r="HT91" s="526" t="s">
        <v>145</v>
      </c>
      <c r="HU91" s="809">
        <v>1979</v>
      </c>
      <c r="HV91" s="656" t="s">
        <v>4883</v>
      </c>
      <c r="HW91" s="526" t="s">
        <v>145</v>
      </c>
      <c r="HX91" s="526" t="s">
        <v>145</v>
      </c>
      <c r="HY91" s="526" t="s">
        <v>145</v>
      </c>
      <c r="HZ91" s="526" t="s">
        <v>145</v>
      </c>
      <c r="IA91" s="526" t="s">
        <v>145</v>
      </c>
      <c r="IB91" s="526" t="s">
        <v>145</v>
      </c>
      <c r="IC91" s="527" t="s">
        <v>145</v>
      </c>
      <c r="ID91" s="660"/>
      <c r="IE91" s="550"/>
      <c r="IF91" s="550"/>
      <c r="IG91" s="553">
        <v>1</v>
      </c>
      <c r="IH91" s="339"/>
      <c r="II91" s="553" t="s">
        <v>4921</v>
      </c>
      <c r="IJ91" s="424" t="s">
        <v>4926</v>
      </c>
      <c r="IK91" s="24">
        <v>1</v>
      </c>
      <c r="IL91" s="749">
        <f t="shared" si="75"/>
        <v>10</v>
      </c>
      <c r="IM91" s="747">
        <f t="shared" si="76"/>
        <v>40</v>
      </c>
      <c r="IN91" s="750" t="str">
        <f t="shared" si="77"/>
        <v>C</v>
      </c>
      <c r="IO91" s="446"/>
      <c r="IP91" s="902">
        <v>5</v>
      </c>
      <c r="IQ91" s="903">
        <v>0</v>
      </c>
      <c r="IR91" s="993">
        <v>0</v>
      </c>
      <c r="IT91" s="435"/>
      <c r="IU91" s="435"/>
      <c r="IV91" s="435"/>
    </row>
    <row r="92" spans="1:256">
      <c r="A92" s="21">
        <v>90</v>
      </c>
      <c r="B92" s="9"/>
      <c r="C92" s="430" t="s">
        <v>2333</v>
      </c>
      <c r="D92" s="424"/>
      <c r="E92" s="24" t="s">
        <v>9</v>
      </c>
      <c r="F92" s="76" t="s">
        <v>828</v>
      </c>
      <c r="G92" s="102" t="s">
        <v>546</v>
      </c>
      <c r="H92" s="375" t="s">
        <v>2330</v>
      </c>
      <c r="I92" s="364" t="s">
        <v>306</v>
      </c>
      <c r="J92" s="370">
        <v>6</v>
      </c>
      <c r="K92" s="359">
        <v>1948</v>
      </c>
      <c r="L92" s="371">
        <v>2</v>
      </c>
      <c r="M92" s="373" t="s">
        <v>2322</v>
      </c>
      <c r="N92" s="369" t="s">
        <v>1822</v>
      </c>
      <c r="O92" s="365" t="s">
        <v>3241</v>
      </c>
      <c r="P92" s="362" t="s">
        <v>2798</v>
      </c>
      <c r="Q92" s="370">
        <v>2</v>
      </c>
      <c r="R92" s="370">
        <v>1998</v>
      </c>
      <c r="S92" s="372" t="s">
        <v>2076</v>
      </c>
      <c r="T92" s="370">
        <v>2</v>
      </c>
      <c r="U92" s="370">
        <v>2</v>
      </c>
      <c r="V92" s="370">
        <v>0</v>
      </c>
      <c r="W92" s="369" t="s">
        <v>1822</v>
      </c>
      <c r="X92" s="170">
        <v>0</v>
      </c>
      <c r="Y92" s="369">
        <v>0</v>
      </c>
      <c r="Z92" s="271"/>
      <c r="AA92" s="169"/>
      <c r="AB92" s="177"/>
      <c r="AC92" s="171"/>
      <c r="AD92" s="366" t="s">
        <v>3242</v>
      </c>
      <c r="AE92" s="355">
        <v>2012</v>
      </c>
      <c r="AF92" s="355">
        <v>1</v>
      </c>
      <c r="AG92" s="55">
        <v>4</v>
      </c>
      <c r="AH92" s="355" t="s">
        <v>323</v>
      </c>
      <c r="AI92" s="55">
        <v>0</v>
      </c>
      <c r="AJ92" s="55">
        <v>0</v>
      </c>
      <c r="AK92" s="590" t="s">
        <v>145</v>
      </c>
      <c r="AL92" s="386">
        <v>9</v>
      </c>
      <c r="AM92" s="361" t="s">
        <v>1985</v>
      </c>
      <c r="AN92" s="343">
        <v>3</v>
      </c>
      <c r="AO92" s="170">
        <v>0</v>
      </c>
      <c r="AP92" s="369">
        <v>0</v>
      </c>
      <c r="AQ92" s="365" t="s">
        <v>5428</v>
      </c>
      <c r="AR92" s="362" t="s">
        <v>4934</v>
      </c>
      <c r="AS92" s="55">
        <v>1</v>
      </c>
      <c r="AT92" s="370">
        <v>3</v>
      </c>
      <c r="AU92" s="371">
        <v>2000</v>
      </c>
      <c r="AV92" s="370">
        <v>5</v>
      </c>
      <c r="AW92" s="589" t="s">
        <v>145</v>
      </c>
      <c r="AX92" s="687">
        <v>0</v>
      </c>
      <c r="AY92" s="108" t="s">
        <v>145</v>
      </c>
      <c r="AZ92" s="55" t="s">
        <v>145</v>
      </c>
      <c r="BA92" s="55">
        <v>0</v>
      </c>
      <c r="BB92" s="55">
        <v>0</v>
      </c>
      <c r="BC92" s="108" t="s">
        <v>145</v>
      </c>
      <c r="BD92" s="55" t="s">
        <v>145</v>
      </c>
      <c r="BE92" s="55">
        <v>0</v>
      </c>
      <c r="BF92" s="371" t="s">
        <v>145</v>
      </c>
      <c r="BG92" s="371">
        <v>0</v>
      </c>
      <c r="BH92" s="56" t="s">
        <v>145</v>
      </c>
      <c r="BI92" s="371">
        <v>0</v>
      </c>
      <c r="BJ92" s="371">
        <v>0</v>
      </c>
      <c r="BK92" s="888">
        <v>25155.316999999999</v>
      </c>
      <c r="BL92" s="925">
        <f t="shared" si="62"/>
        <v>51.10470681009506</v>
      </c>
      <c r="BM92" s="888">
        <v>12299.766</v>
      </c>
      <c r="BN92" s="920">
        <v>12855.550999999999</v>
      </c>
      <c r="BO92" s="888">
        <v>1747.3969999999999</v>
      </c>
      <c r="BP92" s="1158">
        <f t="shared" si="78"/>
        <v>48.885742621739645</v>
      </c>
      <c r="BQ92" s="917">
        <v>893.16899999999998</v>
      </c>
      <c r="BR92" s="920">
        <v>854.22799999999995</v>
      </c>
      <c r="BS92" s="888">
        <v>1709.6210000000001</v>
      </c>
      <c r="BT92" s="1158">
        <f t="shared" si="79"/>
        <v>48.921310629665868</v>
      </c>
      <c r="BU92" s="917">
        <v>873.25199999999995</v>
      </c>
      <c r="BV92" s="920">
        <v>836.36900000000003</v>
      </c>
      <c r="BW92" s="888">
        <v>1867.7149999999999</v>
      </c>
      <c r="BX92" s="1158">
        <f t="shared" si="80"/>
        <v>48.972086212296844</v>
      </c>
      <c r="BY92" s="917">
        <v>953.05600000000004</v>
      </c>
      <c r="BZ92" s="920">
        <v>914.65899999999999</v>
      </c>
      <c r="CA92" s="888">
        <f t="shared" si="81"/>
        <v>19830.583999999999</v>
      </c>
      <c r="CB92" s="1158">
        <f t="shared" si="82"/>
        <v>51.689324933647953</v>
      </c>
      <c r="CC92" s="917">
        <f t="shared" si="83"/>
        <v>9580.2889999999989</v>
      </c>
      <c r="CD92" s="920">
        <f t="shared" si="84"/>
        <v>10250.295</v>
      </c>
      <c r="CE92" s="914">
        <v>2015</v>
      </c>
      <c r="CF92" s="910" t="s">
        <v>5630</v>
      </c>
      <c r="CG92" s="930">
        <v>100</v>
      </c>
      <c r="CH92" s="495">
        <v>100</v>
      </c>
      <c r="CI92" s="497">
        <v>100</v>
      </c>
      <c r="CJ92" s="904">
        <v>100</v>
      </c>
      <c r="CK92" s="904">
        <v>100</v>
      </c>
      <c r="CL92" s="904">
        <v>2009</v>
      </c>
      <c r="CM92" s="905" t="s">
        <v>5573</v>
      </c>
      <c r="CN92" s="1044">
        <v>17645.838</v>
      </c>
      <c r="CO92" s="1045">
        <f t="shared" si="63"/>
        <v>70.147547733149224</v>
      </c>
      <c r="CP92" s="1040">
        <f t="shared" si="99"/>
        <v>8627.9842259156576</v>
      </c>
      <c r="CQ92" s="1041">
        <f t="shared" si="100"/>
        <v>9017.8537740843421</v>
      </c>
      <c r="CR92" s="1046">
        <v>2014</v>
      </c>
      <c r="CS92" s="1047" t="s">
        <v>5794</v>
      </c>
      <c r="CT92" s="1068">
        <f t="shared" si="66"/>
        <v>0</v>
      </c>
      <c r="CU92" s="1071">
        <v>17</v>
      </c>
      <c r="CV92" s="1117" t="s">
        <v>5795</v>
      </c>
      <c r="CW92" s="1113">
        <v>17645.838</v>
      </c>
      <c r="CX92" s="1113">
        <v>17640.544000000002</v>
      </c>
      <c r="CY92" s="1113">
        <v>24720.406999999999</v>
      </c>
      <c r="CZ92" s="494">
        <v>1</v>
      </c>
      <c r="DA92" s="1104">
        <v>6</v>
      </c>
      <c r="DB92" s="1050" t="s">
        <v>647</v>
      </c>
      <c r="DC92" s="1145" t="s">
        <v>323</v>
      </c>
      <c r="DD92" s="1131">
        <f t="shared" si="91"/>
        <v>2184.7459999999992</v>
      </c>
      <c r="DE92" s="1132">
        <f t="shared" si="67"/>
        <v>8.6850267082700618</v>
      </c>
      <c r="DF92" s="1132">
        <f t="shared" si="92"/>
        <v>56.411190404543973</v>
      </c>
      <c r="DG92" s="1133">
        <f t="shared" si="93"/>
        <v>952.30477408434126</v>
      </c>
      <c r="DH92" s="1133">
        <f t="shared" si="94"/>
        <v>1232.4412259156579</v>
      </c>
      <c r="DI92" s="1132">
        <f t="shared" si="68"/>
        <v>7.7424625320867193</v>
      </c>
      <c r="DJ92" s="1134">
        <f t="shared" si="69"/>
        <v>9.5868409367724343</v>
      </c>
      <c r="DK92" s="1135">
        <f t="shared" si="70"/>
        <v>2184.7459999999992</v>
      </c>
      <c r="DL92" s="1132">
        <f t="shared" si="95"/>
        <v>56.411190404543973</v>
      </c>
      <c r="DM92" s="1133">
        <f t="shared" si="71"/>
        <v>952.30477408434126</v>
      </c>
      <c r="DN92" s="1136">
        <f t="shared" si="72"/>
        <v>1232.4412259156579</v>
      </c>
      <c r="DO92" s="1135">
        <f t="shared" si="73"/>
        <v>0</v>
      </c>
      <c r="DP92" s="1132">
        <f t="shared" si="96"/>
        <v>0</v>
      </c>
      <c r="DQ92" s="1133">
        <f t="shared" si="85"/>
        <v>0</v>
      </c>
      <c r="DR92" s="1136">
        <f t="shared" si="86"/>
        <v>0</v>
      </c>
      <c r="DS92" s="1135">
        <f t="shared" si="74"/>
        <v>0</v>
      </c>
      <c r="DT92" s="1137">
        <f t="shared" si="97"/>
        <v>0</v>
      </c>
      <c r="DU92" s="1133">
        <f t="shared" si="87"/>
        <v>0</v>
      </c>
      <c r="DV92" s="1136">
        <f t="shared" si="88"/>
        <v>0</v>
      </c>
      <c r="DW92" s="1132">
        <f t="shared" si="89"/>
        <v>0</v>
      </c>
      <c r="DX92" s="1134">
        <f t="shared" si="90"/>
        <v>0</v>
      </c>
      <c r="DY92" s="414">
        <v>32</v>
      </c>
      <c r="DZ92" s="111">
        <v>2010</v>
      </c>
      <c r="EA92" s="368" t="e">
        <f>#REF!*DY92/100</f>
        <v>#REF!</v>
      </c>
      <c r="EB92" s="123" t="s">
        <v>145</v>
      </c>
      <c r="EC92" s="113" t="s">
        <v>145</v>
      </c>
      <c r="ED92" s="20"/>
      <c r="EE92" s="414" t="s">
        <v>145</v>
      </c>
      <c r="EF92" s="111" t="s">
        <v>145</v>
      </c>
      <c r="EG92" s="380">
        <v>99.998260498046903</v>
      </c>
      <c r="EH92" s="24" t="s">
        <v>347</v>
      </c>
      <c r="EI92" s="287">
        <v>2</v>
      </c>
      <c r="EJ92" s="40">
        <v>2</v>
      </c>
      <c r="EK92" s="355" t="s">
        <v>728</v>
      </c>
      <c r="EL92" s="364" t="s">
        <v>145</v>
      </c>
      <c r="EM92" s="364" t="s">
        <v>1645</v>
      </c>
      <c r="EN92" s="355" t="s">
        <v>145</v>
      </c>
      <c r="EO92" s="364" t="s">
        <v>1725</v>
      </c>
      <c r="EP92" s="205">
        <v>1</v>
      </c>
      <c r="EQ92" s="207" t="s">
        <v>145</v>
      </c>
      <c r="ER92" s="517" t="s">
        <v>145</v>
      </c>
      <c r="ES92" s="183"/>
      <c r="ET92" s="183"/>
      <c r="EU92" s="82"/>
      <c r="EV92" s="82"/>
      <c r="EW92" s="82"/>
      <c r="EX92" s="360"/>
      <c r="EY92" s="159"/>
      <c r="EZ92" s="156"/>
      <c r="FA92" s="323"/>
      <c r="FB92" s="323"/>
      <c r="FC92" s="323"/>
      <c r="FD92" s="160"/>
      <c r="FE92" s="156"/>
      <c r="FF92" s="156"/>
      <c r="FG92" s="156"/>
      <c r="FH92" s="157"/>
      <c r="FI92" s="242"/>
      <c r="FJ92" s="373"/>
      <c r="FK92" s="179"/>
      <c r="FL92" s="179"/>
      <c r="FM92" s="179"/>
      <c r="FN92" s="369"/>
      <c r="FO92" s="164"/>
      <c r="FP92" s="255"/>
      <c r="FQ92" s="183"/>
      <c r="FR92" s="257"/>
      <c r="FS92" s="82"/>
      <c r="FT92" s="259"/>
      <c r="FU92" s="82"/>
      <c r="FV92" s="259"/>
      <c r="FW92" s="82"/>
      <c r="FX92" s="259"/>
      <c r="FY92" s="82"/>
      <c r="FZ92" s="259"/>
      <c r="GA92" s="82"/>
      <c r="GB92" s="261"/>
      <c r="GC92" s="360"/>
      <c r="GD92" s="76">
        <v>1</v>
      </c>
      <c r="GE92" s="445" t="s">
        <v>3424</v>
      </c>
      <c r="GF92" s="447" t="s">
        <v>580</v>
      </c>
      <c r="GG92" s="448">
        <v>7</v>
      </c>
      <c r="GH92" s="449">
        <v>7</v>
      </c>
      <c r="GI92" s="447" t="s">
        <v>145</v>
      </c>
      <c r="GJ92" s="449" t="s">
        <v>145</v>
      </c>
      <c r="GK92" s="447" t="s">
        <v>145</v>
      </c>
      <c r="GL92" s="448" t="s">
        <v>145</v>
      </c>
      <c r="GM92" s="449" t="s">
        <v>145</v>
      </c>
      <c r="GN92" s="447" t="s">
        <v>580</v>
      </c>
      <c r="GO92" s="449">
        <v>97</v>
      </c>
      <c r="GP92" s="447">
        <v>30</v>
      </c>
      <c r="GQ92" s="448">
        <v>38</v>
      </c>
      <c r="GR92" s="449">
        <v>29</v>
      </c>
      <c r="GS92" s="446">
        <v>-7</v>
      </c>
      <c r="GT92" s="461">
        <v>-2.1919858455657959</v>
      </c>
      <c r="GU92" s="462">
        <v>-0.53038221597671509</v>
      </c>
      <c r="GV92" s="462">
        <v>-1.9275548458099365</v>
      </c>
      <c r="GW92" s="462">
        <v>-2.517986536026001</v>
      </c>
      <c r="GX92" s="462">
        <v>-1.2859936952590942</v>
      </c>
      <c r="GY92" s="463">
        <v>-1.3577980995178223</v>
      </c>
      <c r="GZ92" s="10">
        <v>149</v>
      </c>
      <c r="HA92" s="536">
        <v>0.27526</v>
      </c>
      <c r="HB92" s="536">
        <v>1.9599999999999999E-2</v>
      </c>
      <c r="HC92" s="525">
        <v>7.8700000000000003E-3</v>
      </c>
      <c r="HD92" s="526">
        <v>1.7250000000000001E-2</v>
      </c>
      <c r="HE92" s="527">
        <v>0.80069999999999997</v>
      </c>
      <c r="HF92" s="10" t="s">
        <v>145</v>
      </c>
      <c r="HG92" s="532" t="s">
        <v>145</v>
      </c>
      <c r="HH92" s="524" t="s">
        <v>145</v>
      </c>
      <c r="HI92" s="525" t="s">
        <v>145</v>
      </c>
      <c r="HJ92" s="527" t="s">
        <v>145</v>
      </c>
      <c r="HK92" s="379" t="s">
        <v>145</v>
      </c>
      <c r="HL92" s="362" t="s">
        <v>145</v>
      </c>
      <c r="HM92" s="557" t="s">
        <v>145</v>
      </c>
      <c r="HN92" s="557" t="s">
        <v>145</v>
      </c>
      <c r="HO92" s="526" t="s">
        <v>145</v>
      </c>
      <c r="HP92" s="564" t="s">
        <v>145</v>
      </c>
      <c r="HQ92" s="564" t="s">
        <v>145</v>
      </c>
      <c r="HR92" s="565" t="s">
        <v>145</v>
      </c>
      <c r="HS92" s="524" t="s">
        <v>145</v>
      </c>
      <c r="HT92" s="526" t="s">
        <v>145</v>
      </c>
      <c r="HU92" s="526" t="s">
        <v>145</v>
      </c>
      <c r="HV92" s="582" t="s">
        <v>145</v>
      </c>
      <c r="HW92" s="526" t="s">
        <v>145</v>
      </c>
      <c r="HX92" s="526" t="s">
        <v>145</v>
      </c>
      <c r="HY92" s="526" t="s">
        <v>145</v>
      </c>
      <c r="HZ92" s="526" t="s">
        <v>145</v>
      </c>
      <c r="IA92" s="526" t="s">
        <v>145</v>
      </c>
      <c r="IB92" s="526" t="s">
        <v>145</v>
      </c>
      <c r="IC92" s="527" t="s">
        <v>145</v>
      </c>
      <c r="ID92" s="660" t="s">
        <v>5211</v>
      </c>
      <c r="IE92" s="550"/>
      <c r="IF92" s="550"/>
      <c r="IG92" s="553"/>
      <c r="IH92" s="339"/>
      <c r="II92" s="553" t="s">
        <v>4920</v>
      </c>
      <c r="IJ92" s="424" t="s">
        <v>4926</v>
      </c>
      <c r="IK92" s="24">
        <v>0</v>
      </c>
      <c r="IL92" s="749">
        <f t="shared" si="75"/>
        <v>12</v>
      </c>
      <c r="IM92" s="747">
        <f t="shared" si="76"/>
        <v>48</v>
      </c>
      <c r="IN92" s="750" t="str">
        <f t="shared" si="77"/>
        <v>C</v>
      </c>
      <c r="IO92" s="446"/>
      <c r="IP92" s="902">
        <v>6</v>
      </c>
      <c r="IQ92" s="903">
        <v>0</v>
      </c>
      <c r="IR92" s="993">
        <v>0</v>
      </c>
      <c r="IT92" s="435"/>
      <c r="IU92" s="435"/>
      <c r="IV92" s="435"/>
    </row>
    <row r="93" spans="1:256">
      <c r="A93" s="21">
        <v>91</v>
      </c>
      <c r="B93" s="9"/>
      <c r="C93" s="430" t="s">
        <v>146</v>
      </c>
      <c r="D93" s="424" t="s">
        <v>407</v>
      </c>
      <c r="E93" s="24" t="s">
        <v>17</v>
      </c>
      <c r="F93" s="76" t="s">
        <v>829</v>
      </c>
      <c r="G93" s="102" t="s">
        <v>547</v>
      </c>
      <c r="H93" s="375" t="s">
        <v>2327</v>
      </c>
      <c r="I93" s="364" t="s">
        <v>2331</v>
      </c>
      <c r="J93" s="370">
        <v>6</v>
      </c>
      <c r="K93" s="359">
        <v>1948</v>
      </c>
      <c r="L93" s="371">
        <v>2</v>
      </c>
      <c r="M93" s="373" t="s">
        <v>1825</v>
      </c>
      <c r="N93" s="369" t="s">
        <v>1822</v>
      </c>
      <c r="O93" s="365" t="s">
        <v>3247</v>
      </c>
      <c r="P93" s="362" t="s">
        <v>3246</v>
      </c>
      <c r="Q93" s="370">
        <v>2</v>
      </c>
      <c r="R93" s="370">
        <v>1968</v>
      </c>
      <c r="S93" s="372" t="s">
        <v>3244</v>
      </c>
      <c r="T93" s="370">
        <v>1</v>
      </c>
      <c r="U93" s="370">
        <v>2</v>
      </c>
      <c r="V93" s="370">
        <v>19</v>
      </c>
      <c r="W93" s="369" t="s">
        <v>1822</v>
      </c>
      <c r="X93" s="170">
        <v>1</v>
      </c>
      <c r="Y93" s="369">
        <v>1</v>
      </c>
      <c r="Z93" s="273" t="s">
        <v>2057</v>
      </c>
      <c r="AA93" s="169"/>
      <c r="AB93" s="177"/>
      <c r="AC93" s="171"/>
      <c r="AD93" s="366" t="s">
        <v>3243</v>
      </c>
      <c r="AE93" s="357">
        <v>2001</v>
      </c>
      <c r="AF93" s="804">
        <v>3</v>
      </c>
      <c r="AG93" s="550" t="s">
        <v>5171</v>
      </c>
      <c r="AH93" s="355" t="s">
        <v>2830</v>
      </c>
      <c r="AI93" s="55">
        <v>1</v>
      </c>
      <c r="AJ93" s="55">
        <v>1</v>
      </c>
      <c r="AK93" s="590" t="s">
        <v>145</v>
      </c>
      <c r="AL93" s="386">
        <v>9</v>
      </c>
      <c r="AM93" s="361" t="s">
        <v>3245</v>
      </c>
      <c r="AN93" s="384">
        <v>4</v>
      </c>
      <c r="AO93" s="170">
        <v>1</v>
      </c>
      <c r="AP93" s="369">
        <v>1</v>
      </c>
      <c r="AQ93" s="365" t="s">
        <v>5249</v>
      </c>
      <c r="AR93" s="378" t="s">
        <v>5250</v>
      </c>
      <c r="AS93" s="55">
        <v>2</v>
      </c>
      <c r="AT93" s="370">
        <v>2</v>
      </c>
      <c r="AU93" s="371">
        <v>2008</v>
      </c>
      <c r="AV93" s="370">
        <v>10</v>
      </c>
      <c r="AW93" s="589">
        <v>10000</v>
      </c>
      <c r="AX93" s="687">
        <v>0</v>
      </c>
      <c r="AY93" s="174" t="s">
        <v>4579</v>
      </c>
      <c r="AZ93" s="55">
        <v>2010</v>
      </c>
      <c r="BA93" s="55">
        <v>1</v>
      </c>
      <c r="BB93" s="55">
        <v>1</v>
      </c>
      <c r="BC93" s="174" t="s">
        <v>4580</v>
      </c>
      <c r="BD93" s="55">
        <v>1968</v>
      </c>
      <c r="BE93" s="55">
        <v>0</v>
      </c>
      <c r="BF93" s="371" t="s">
        <v>145</v>
      </c>
      <c r="BG93" s="371">
        <v>1</v>
      </c>
      <c r="BH93" s="1" t="s">
        <v>4581</v>
      </c>
      <c r="BI93" s="371">
        <v>3</v>
      </c>
      <c r="BJ93" s="371">
        <v>1</v>
      </c>
      <c r="BK93" s="888">
        <v>50293.438999999998</v>
      </c>
      <c r="BL93" s="925">
        <f t="shared" si="62"/>
        <v>50.301612900243306</v>
      </c>
      <c r="BM93" s="888">
        <v>24995.027999999998</v>
      </c>
      <c r="BN93" s="920">
        <v>25298.411</v>
      </c>
      <c r="BO93" s="888">
        <v>2287.2860000000001</v>
      </c>
      <c r="BP93" s="1158">
        <f t="shared" si="78"/>
        <v>48.336674993857351</v>
      </c>
      <c r="BQ93" s="917">
        <v>1181.6880000000001</v>
      </c>
      <c r="BR93" s="920">
        <v>1105.598</v>
      </c>
      <c r="BS93" s="888">
        <v>2272.4389999999999</v>
      </c>
      <c r="BT93" s="1158">
        <f t="shared" si="79"/>
        <v>48.502248025139508</v>
      </c>
      <c r="BU93" s="917">
        <v>1170.2550000000001</v>
      </c>
      <c r="BV93" s="920">
        <v>1102.184</v>
      </c>
      <c r="BW93" s="888">
        <v>2477.6849999999999</v>
      </c>
      <c r="BX93" s="1158">
        <f t="shared" si="80"/>
        <v>48.071324643770296</v>
      </c>
      <c r="BY93" s="917">
        <v>1286.6289999999999</v>
      </c>
      <c r="BZ93" s="920">
        <v>1191.056</v>
      </c>
      <c r="CA93" s="888">
        <f t="shared" si="81"/>
        <v>43256.029000000002</v>
      </c>
      <c r="CB93" s="1158">
        <f t="shared" si="82"/>
        <v>50.627793411179745</v>
      </c>
      <c r="CC93" s="917">
        <f t="shared" si="83"/>
        <v>21356.455999999995</v>
      </c>
      <c r="CD93" s="920">
        <f t="shared" si="84"/>
        <v>21899.573</v>
      </c>
      <c r="CE93" s="914">
        <v>2015</v>
      </c>
      <c r="CF93" s="910" t="s">
        <v>5630</v>
      </c>
      <c r="CG93" s="931">
        <v>100</v>
      </c>
      <c r="CH93" s="504">
        <v>100</v>
      </c>
      <c r="CI93" s="1008">
        <v>100</v>
      </c>
      <c r="CJ93" s="904" t="s">
        <v>1621</v>
      </c>
      <c r="CK93" s="904" t="s">
        <v>1621</v>
      </c>
      <c r="CL93" s="906">
        <v>2013</v>
      </c>
      <c r="CM93" s="1002" t="s">
        <v>5709</v>
      </c>
      <c r="CN93" s="1044">
        <v>40507.841999999997</v>
      </c>
      <c r="CO93" s="1045">
        <f t="shared" si="63"/>
        <v>80.542994882493517</v>
      </c>
      <c r="CP93" s="1040">
        <f t="shared" si="99"/>
        <v>20131.744122917822</v>
      </c>
      <c r="CQ93" s="1041">
        <f t="shared" si="100"/>
        <v>20376.097877082175</v>
      </c>
      <c r="CR93" s="1046">
        <v>2012</v>
      </c>
      <c r="CS93" s="1047" t="s">
        <v>5647</v>
      </c>
      <c r="CT93" s="1068">
        <f t="shared" si="66"/>
        <v>19</v>
      </c>
      <c r="CU93" s="1071">
        <v>19</v>
      </c>
      <c r="CV93" s="1068" t="s">
        <v>6093</v>
      </c>
      <c r="CW93" s="1113">
        <v>40507.841999999997</v>
      </c>
      <c r="CX93" s="1113">
        <v>38233.341</v>
      </c>
      <c r="CY93" s="1113">
        <v>48860.5</v>
      </c>
      <c r="CZ93" s="494">
        <v>1</v>
      </c>
      <c r="DA93" s="1104">
        <v>5</v>
      </c>
      <c r="DB93" s="1050" t="s">
        <v>647</v>
      </c>
      <c r="DC93" s="1146" t="s">
        <v>322</v>
      </c>
      <c r="DD93" s="978">
        <f t="shared" si="91"/>
        <v>2748.1870000000054</v>
      </c>
      <c r="DE93" s="979">
        <f t="shared" si="67"/>
        <v>5.4643051949579453</v>
      </c>
      <c r="DF93" s="979">
        <f t="shared" si="92"/>
        <v>55.435642586105772</v>
      </c>
      <c r="DG93" s="980">
        <f t="shared" si="93"/>
        <v>1224.7118770821726</v>
      </c>
      <c r="DH93" s="980">
        <f t="shared" si="94"/>
        <v>1523.4751229178255</v>
      </c>
      <c r="DI93" s="979">
        <f t="shared" si="68"/>
        <v>4.8998219849250528</v>
      </c>
      <c r="DJ93" s="981">
        <f t="shared" si="69"/>
        <v>6.0220190229252957</v>
      </c>
      <c r="DK93" s="984">
        <f t="shared" si="70"/>
        <v>2748.1870000000054</v>
      </c>
      <c r="DL93" s="979">
        <f t="shared" si="95"/>
        <v>55.435642586105772</v>
      </c>
      <c r="DM93" s="980">
        <f t="shared" si="71"/>
        <v>1224.7118770821726</v>
      </c>
      <c r="DN93" s="985">
        <f t="shared" si="72"/>
        <v>1523.4751229178255</v>
      </c>
      <c r="DO93" s="984">
        <f t="shared" si="73"/>
        <v>0</v>
      </c>
      <c r="DP93" s="979">
        <f t="shared" si="96"/>
        <v>0</v>
      </c>
      <c r="DQ93" s="980">
        <f t="shared" si="85"/>
        <v>0</v>
      </c>
      <c r="DR93" s="985">
        <f t="shared" si="86"/>
        <v>0</v>
      </c>
      <c r="DS93" s="984">
        <f t="shared" si="74"/>
        <v>0</v>
      </c>
      <c r="DT93" s="339">
        <f t="shared" si="97"/>
        <v>0</v>
      </c>
      <c r="DU93" s="980">
        <f t="shared" si="87"/>
        <v>0</v>
      </c>
      <c r="DV93" s="985">
        <f t="shared" si="88"/>
        <v>0</v>
      </c>
      <c r="DW93" s="979">
        <f t="shared" si="89"/>
        <v>0</v>
      </c>
      <c r="DX93" s="981">
        <f t="shared" si="90"/>
        <v>0</v>
      </c>
      <c r="DY93" s="414">
        <v>16</v>
      </c>
      <c r="DZ93" s="111">
        <v>2009</v>
      </c>
      <c r="EA93" s="368" t="e">
        <f>#REF!*DY93/100</f>
        <v>#REF!</v>
      </c>
      <c r="EB93" s="123" t="s">
        <v>145</v>
      </c>
      <c r="EC93" s="113" t="s">
        <v>145</v>
      </c>
      <c r="ED93" s="20"/>
      <c r="EE93" s="414">
        <v>16</v>
      </c>
      <c r="EF93" s="111">
        <v>2009</v>
      </c>
      <c r="EG93" s="380" t="s">
        <v>145</v>
      </c>
      <c r="EH93" s="24" t="s">
        <v>347</v>
      </c>
      <c r="EI93" s="287">
        <v>0</v>
      </c>
      <c r="EJ93" s="40" t="s">
        <v>145</v>
      </c>
      <c r="EK93" s="355" t="s">
        <v>145</v>
      </c>
      <c r="EL93" s="364" t="s">
        <v>145</v>
      </c>
      <c r="EM93" s="364" t="s">
        <v>145</v>
      </c>
      <c r="EN93" s="355" t="s">
        <v>145</v>
      </c>
      <c r="EO93" s="364" t="s">
        <v>145</v>
      </c>
      <c r="EP93" s="205" t="s">
        <v>145</v>
      </c>
      <c r="EQ93" s="207" t="s">
        <v>145</v>
      </c>
      <c r="ER93" s="517" t="s">
        <v>145</v>
      </c>
      <c r="ES93" s="183"/>
      <c r="ET93" s="183"/>
      <c r="EU93" s="82"/>
      <c r="EV93" s="82"/>
      <c r="EW93" s="82"/>
      <c r="EX93" s="360"/>
      <c r="EY93" s="159"/>
      <c r="EZ93" s="156"/>
      <c r="FA93" s="323"/>
      <c r="FB93" s="323"/>
      <c r="FC93" s="323"/>
      <c r="FD93" s="160"/>
      <c r="FE93" s="156"/>
      <c r="FF93" s="156"/>
      <c r="FG93" s="156"/>
      <c r="FH93" s="157"/>
      <c r="FI93" s="242"/>
      <c r="FJ93" s="373"/>
      <c r="FK93" s="179"/>
      <c r="FL93" s="179"/>
      <c r="FM93" s="179"/>
      <c r="FN93" s="369"/>
      <c r="FO93" s="164"/>
      <c r="FP93" s="255"/>
      <c r="FQ93" s="183"/>
      <c r="FR93" s="257"/>
      <c r="FS93" s="82"/>
      <c r="FT93" s="259"/>
      <c r="FU93" s="82"/>
      <c r="FV93" s="259"/>
      <c r="FW93" s="82"/>
      <c r="FX93" s="259"/>
      <c r="FY93" s="82"/>
      <c r="FZ93" s="259"/>
      <c r="GA93" s="82"/>
      <c r="GB93" s="261"/>
      <c r="GC93" s="360"/>
      <c r="GD93" s="76">
        <v>1</v>
      </c>
      <c r="GE93" s="445" t="s">
        <v>3424</v>
      </c>
      <c r="GF93" s="447" t="s">
        <v>10</v>
      </c>
      <c r="GG93" s="448">
        <v>2</v>
      </c>
      <c r="GH93" s="449">
        <v>2</v>
      </c>
      <c r="GI93" s="447" t="s">
        <v>590</v>
      </c>
      <c r="GJ93" s="449">
        <v>33</v>
      </c>
      <c r="GK93" s="447">
        <v>3</v>
      </c>
      <c r="GL93" s="448">
        <v>14</v>
      </c>
      <c r="GM93" s="449">
        <v>16</v>
      </c>
      <c r="GN93" s="447" t="s">
        <v>590</v>
      </c>
      <c r="GO93" s="449">
        <v>32</v>
      </c>
      <c r="GP93" s="447">
        <v>9</v>
      </c>
      <c r="GQ93" s="448">
        <v>14</v>
      </c>
      <c r="GR93" s="449">
        <v>9</v>
      </c>
      <c r="GS93" s="446">
        <v>8</v>
      </c>
      <c r="GT93" s="461">
        <v>0.68835067749023438</v>
      </c>
      <c r="GU93" s="462">
        <v>0.23629789054393768</v>
      </c>
      <c r="GV93" s="462">
        <v>1.1218830347061157</v>
      </c>
      <c r="GW93" s="462">
        <v>0.98153698444366455</v>
      </c>
      <c r="GX93" s="462">
        <v>0.9373629093170166</v>
      </c>
      <c r="GY93" s="463">
        <v>0.54755353927612305</v>
      </c>
      <c r="GZ93" s="10">
        <v>1</v>
      </c>
      <c r="HA93" s="536">
        <v>0.94623000000000002</v>
      </c>
      <c r="HB93" s="536">
        <v>1</v>
      </c>
      <c r="HC93" s="525">
        <v>0.97636999999999996</v>
      </c>
      <c r="HD93" s="526">
        <v>0.93503000000000003</v>
      </c>
      <c r="HE93" s="527">
        <v>0.92730000000000001</v>
      </c>
      <c r="HF93" s="10">
        <v>2</v>
      </c>
      <c r="HG93" s="532">
        <v>8.85</v>
      </c>
      <c r="HH93" s="545">
        <v>8.94</v>
      </c>
      <c r="HI93" s="546">
        <v>8.26</v>
      </c>
      <c r="HJ93" s="547">
        <v>9.81</v>
      </c>
      <c r="HK93" s="379" t="s">
        <v>3991</v>
      </c>
      <c r="HL93" s="23" t="s">
        <v>4743</v>
      </c>
      <c r="HM93" s="557">
        <v>1994</v>
      </c>
      <c r="HN93" s="557">
        <v>2011</v>
      </c>
      <c r="HO93" s="557" t="s">
        <v>3985</v>
      </c>
      <c r="HP93" s="562" t="s">
        <v>4072</v>
      </c>
      <c r="HQ93" s="639" t="s">
        <v>4744</v>
      </c>
      <c r="HR93" s="563" t="s">
        <v>3998</v>
      </c>
      <c r="HS93" s="545">
        <v>55</v>
      </c>
      <c r="HT93" s="557">
        <v>82</v>
      </c>
      <c r="HU93" s="557">
        <v>1996</v>
      </c>
      <c r="HV93" s="583" t="s">
        <v>4245</v>
      </c>
      <c r="HW93" s="557">
        <v>4</v>
      </c>
      <c r="HX93" s="557">
        <v>23</v>
      </c>
      <c r="HY93" s="557">
        <v>9</v>
      </c>
      <c r="HZ93" s="557">
        <v>20</v>
      </c>
      <c r="IA93" s="557">
        <v>17</v>
      </c>
      <c r="IB93" s="557">
        <v>1</v>
      </c>
      <c r="IC93" s="547">
        <v>8</v>
      </c>
      <c r="ID93" s="660"/>
      <c r="IE93" s="355" t="s">
        <v>5200</v>
      </c>
      <c r="IF93" s="355" t="s">
        <v>5202</v>
      </c>
      <c r="IG93" s="553"/>
      <c r="IH93" s="339"/>
      <c r="II93" s="553" t="s">
        <v>4922</v>
      </c>
      <c r="IJ93" s="424" t="s">
        <v>4926</v>
      </c>
      <c r="IK93" s="24">
        <v>0</v>
      </c>
      <c r="IL93" s="749">
        <f t="shared" si="75"/>
        <v>21</v>
      </c>
      <c r="IM93" s="747">
        <f t="shared" si="76"/>
        <v>84</v>
      </c>
      <c r="IN93" s="750" t="str">
        <f t="shared" si="77"/>
        <v>A</v>
      </c>
      <c r="IO93" s="446"/>
      <c r="IP93" s="902">
        <v>3</v>
      </c>
      <c r="IQ93" s="903">
        <v>2</v>
      </c>
      <c r="IR93" s="993">
        <v>0</v>
      </c>
      <c r="IT93" s="435"/>
      <c r="IU93" s="435"/>
      <c r="IV93" s="435"/>
    </row>
    <row r="94" spans="1:256">
      <c r="A94" s="21">
        <v>92</v>
      </c>
      <c r="B94" s="9"/>
      <c r="C94" s="431" t="s">
        <v>148</v>
      </c>
      <c r="D94" s="424" t="s">
        <v>408</v>
      </c>
      <c r="E94" s="24" t="s">
        <v>20</v>
      </c>
      <c r="F94" s="76" t="s">
        <v>830</v>
      </c>
      <c r="G94" s="102" t="s">
        <v>1609</v>
      </c>
      <c r="H94" s="375" t="s">
        <v>2310</v>
      </c>
      <c r="I94" s="364" t="s">
        <v>2524</v>
      </c>
      <c r="J94" s="370">
        <v>5</v>
      </c>
      <c r="K94" s="359">
        <v>2008</v>
      </c>
      <c r="L94" s="371">
        <v>2</v>
      </c>
      <c r="M94" s="373" t="s">
        <v>1825</v>
      </c>
      <c r="N94" s="369" t="s">
        <v>1822</v>
      </c>
      <c r="O94" s="365" t="s">
        <v>3248</v>
      </c>
      <c r="P94" s="362" t="s">
        <v>3249</v>
      </c>
      <c r="Q94" s="370">
        <v>2</v>
      </c>
      <c r="R94" s="370">
        <v>2010</v>
      </c>
      <c r="S94" s="372" t="s">
        <v>2849</v>
      </c>
      <c r="T94" s="370">
        <v>1</v>
      </c>
      <c r="U94" s="370">
        <v>2</v>
      </c>
      <c r="V94" s="370">
        <v>16</v>
      </c>
      <c r="W94" s="728">
        <v>10</v>
      </c>
      <c r="X94" s="170">
        <v>0</v>
      </c>
      <c r="Y94" s="369">
        <v>0</v>
      </c>
      <c r="Z94" s="273" t="s">
        <v>2042</v>
      </c>
      <c r="AA94" s="169">
        <v>1</v>
      </c>
      <c r="AB94" s="177">
        <v>1</v>
      </c>
      <c r="AC94" s="171"/>
      <c r="AD94" s="366" t="s">
        <v>3250</v>
      </c>
      <c r="AE94" s="357">
        <v>2013</v>
      </c>
      <c r="AF94" s="357">
        <v>1</v>
      </c>
      <c r="AG94" s="550" t="s">
        <v>5171</v>
      </c>
      <c r="AH94" s="355" t="s">
        <v>323</v>
      </c>
      <c r="AI94" s="55">
        <v>1</v>
      </c>
      <c r="AJ94" s="804">
        <v>0</v>
      </c>
      <c r="AK94" s="590" t="s">
        <v>145</v>
      </c>
      <c r="AL94" s="391">
        <v>4</v>
      </c>
      <c r="AM94" s="361" t="s">
        <v>3251</v>
      </c>
      <c r="AN94" s="342" t="s">
        <v>145</v>
      </c>
      <c r="AO94" s="170">
        <v>0</v>
      </c>
      <c r="AP94" s="369">
        <v>0</v>
      </c>
      <c r="AQ94" s="365" t="s">
        <v>3248</v>
      </c>
      <c r="AR94" s="378" t="s">
        <v>2348</v>
      </c>
      <c r="AS94" s="55">
        <v>2</v>
      </c>
      <c r="AT94" s="370">
        <v>2</v>
      </c>
      <c r="AU94" s="371">
        <v>2010</v>
      </c>
      <c r="AV94" s="370">
        <v>5</v>
      </c>
      <c r="AW94" s="589">
        <v>200</v>
      </c>
      <c r="AX94" s="687">
        <v>0</v>
      </c>
      <c r="AY94" s="174" t="s">
        <v>4550</v>
      </c>
      <c r="AZ94" s="55">
        <v>2008</v>
      </c>
      <c r="BA94" s="55">
        <v>1</v>
      </c>
      <c r="BB94" s="55">
        <v>1</v>
      </c>
      <c r="BC94" s="174" t="s">
        <v>4551</v>
      </c>
      <c r="BD94" s="55">
        <v>2008</v>
      </c>
      <c r="BE94" s="55">
        <v>0</v>
      </c>
      <c r="BF94" s="371" t="s">
        <v>145</v>
      </c>
      <c r="BG94" s="371">
        <v>0</v>
      </c>
      <c r="BH94" s="56" t="s">
        <v>145</v>
      </c>
      <c r="BI94" s="371">
        <v>3</v>
      </c>
      <c r="BJ94" s="371">
        <v>1</v>
      </c>
      <c r="BK94" s="1138">
        <v>1804.944</v>
      </c>
      <c r="BL94" s="999">
        <f t="shared" si="62"/>
        <v>49.75124378109453</v>
      </c>
      <c r="BM94" s="1138">
        <v>906.96191044776106</v>
      </c>
      <c r="BN94" s="1139">
        <v>897.98208955223879</v>
      </c>
      <c r="BO94" s="911">
        <v>152.24199999999999</v>
      </c>
      <c r="BP94" s="1159">
        <f t="shared" si="78"/>
        <v>48.072148290222152</v>
      </c>
      <c r="BQ94" s="918">
        <v>79.061999999999998</v>
      </c>
      <c r="BR94" s="921">
        <v>73.186000000000007</v>
      </c>
      <c r="BS94" s="911">
        <v>163.52600000000001</v>
      </c>
      <c r="BT94" s="1159">
        <f t="shared" si="79"/>
        <v>48.357447745312669</v>
      </c>
      <c r="BU94" s="918">
        <v>84.448999999999998</v>
      </c>
      <c r="BV94" s="921">
        <v>79.076999999999998</v>
      </c>
      <c r="BW94" s="911">
        <v>179.327</v>
      </c>
      <c r="BX94" s="1159">
        <f t="shared" si="80"/>
        <v>48.279957842377328</v>
      </c>
      <c r="BY94" s="918">
        <v>92.748000000000005</v>
      </c>
      <c r="BZ94" s="921">
        <v>86.578999999999994</v>
      </c>
      <c r="CA94" s="911">
        <f t="shared" si="81"/>
        <v>1309.8489999999999</v>
      </c>
      <c r="CB94" s="1159">
        <f t="shared" si="82"/>
        <v>50.32183782651579</v>
      </c>
      <c r="CC94" s="918">
        <f t="shared" si="83"/>
        <v>650.70291044776104</v>
      </c>
      <c r="CD94" s="921">
        <f t="shared" si="84"/>
        <v>659.14008955223881</v>
      </c>
      <c r="CE94" s="927">
        <v>2014</v>
      </c>
      <c r="CF94" s="926" t="s">
        <v>5684</v>
      </c>
      <c r="CG94" s="931">
        <v>93.1</v>
      </c>
      <c r="CH94" s="504">
        <v>90.9</v>
      </c>
      <c r="CI94" s="1008">
        <v>95.2</v>
      </c>
      <c r="CJ94" s="906"/>
      <c r="CK94" s="906"/>
      <c r="CL94" s="906">
        <v>2010</v>
      </c>
      <c r="CM94" s="1002" t="s">
        <v>5710</v>
      </c>
      <c r="CN94" s="1125">
        <v>1242.9169999999999</v>
      </c>
      <c r="CO94" s="1045">
        <f t="shared" si="63"/>
        <v>68.861804022728677</v>
      </c>
      <c r="CP94" s="1040">
        <f t="shared" si="99"/>
        <v>624.55033333333336</v>
      </c>
      <c r="CQ94" s="1041">
        <f t="shared" si="100"/>
        <v>618.36666666666667</v>
      </c>
      <c r="CR94" s="1046">
        <v>2014</v>
      </c>
      <c r="CS94" s="1047" t="s">
        <v>5923</v>
      </c>
      <c r="CT94" s="1068">
        <f t="shared" si="66"/>
        <v>16</v>
      </c>
      <c r="CU94" s="1071">
        <v>18</v>
      </c>
      <c r="CV94" s="1117" t="s">
        <v>5924</v>
      </c>
      <c r="CW94" s="1113">
        <v>1799.0229999999999</v>
      </c>
      <c r="CX94" s="1113">
        <v>1242.9169999999999</v>
      </c>
      <c r="CY94" s="1113">
        <v>1859.203</v>
      </c>
      <c r="CZ94" s="494">
        <v>1</v>
      </c>
      <c r="DA94" s="1104">
        <v>4</v>
      </c>
      <c r="DB94" s="1050" t="s">
        <v>647</v>
      </c>
      <c r="DC94" s="1146" t="s">
        <v>322</v>
      </c>
      <c r="DD94" s="978">
        <f t="shared" si="91"/>
        <v>101.09355500000005</v>
      </c>
      <c r="DE94" s="979">
        <f t="shared" si="67"/>
        <v>5.600924737831205</v>
      </c>
      <c r="DF94" s="979">
        <f t="shared" si="92"/>
        <v>51.672768739384125</v>
      </c>
      <c r="DG94" s="980">
        <f t="shared" si="93"/>
        <v>49.47214611442768</v>
      </c>
      <c r="DH94" s="980">
        <f t="shared" si="94"/>
        <v>52.237838885572117</v>
      </c>
      <c r="DI94" s="979">
        <f t="shared" si="68"/>
        <v>5.4547104508505333</v>
      </c>
      <c r="DJ94" s="981">
        <f t="shared" si="69"/>
        <v>5.8172473029634135</v>
      </c>
      <c r="DK94" s="984">
        <f t="shared" si="70"/>
        <v>66.932000000000016</v>
      </c>
      <c r="DL94" s="979">
        <f t="shared" si="95"/>
        <v>60.917681954180544</v>
      </c>
      <c r="DM94" s="980">
        <f t="shared" si="71"/>
        <v>26.152577114427686</v>
      </c>
      <c r="DN94" s="985">
        <f t="shared" si="72"/>
        <v>40.773422885572131</v>
      </c>
      <c r="DO94" s="984">
        <f t="shared" si="73"/>
        <v>23.656857000000024</v>
      </c>
      <c r="DP94" s="979">
        <f t="shared" si="96"/>
        <v>33.611768461042736</v>
      </c>
      <c r="DQ94" s="980">
        <f t="shared" si="85"/>
        <v>16.124926999999996</v>
      </c>
      <c r="DR94" s="985">
        <f t="shared" si="86"/>
        <v>7.9514879999999888</v>
      </c>
      <c r="DS94" s="984">
        <f t="shared" si="74"/>
        <v>10.504698000000008</v>
      </c>
      <c r="DT94" s="339">
        <f t="shared" si="97"/>
        <v>33.44149446276316</v>
      </c>
      <c r="DU94" s="980">
        <f t="shared" si="87"/>
        <v>7.1946419999999973</v>
      </c>
      <c r="DV94" s="985">
        <f t="shared" si="88"/>
        <v>3.5129279999999952</v>
      </c>
      <c r="DW94" s="979">
        <f t="shared" si="89"/>
        <v>9.0999999999999979</v>
      </c>
      <c r="DX94" s="981">
        <f t="shared" si="90"/>
        <v>4.7999999999999936</v>
      </c>
      <c r="DY94" s="414">
        <v>10.199999999999999</v>
      </c>
      <c r="DZ94" s="111">
        <v>2011</v>
      </c>
      <c r="EA94" s="368" t="e">
        <f>#REF!*DY94/100</f>
        <v>#REF!</v>
      </c>
      <c r="EB94" s="123">
        <v>29.7</v>
      </c>
      <c r="EC94" s="113">
        <v>2011</v>
      </c>
      <c r="ED94" s="20">
        <v>619.03453500000001</v>
      </c>
      <c r="EE94" s="414">
        <v>30</v>
      </c>
      <c r="EF94" s="111">
        <v>2013</v>
      </c>
      <c r="EG94" s="380" t="s">
        <v>145</v>
      </c>
      <c r="EH94" s="24" t="s">
        <v>373</v>
      </c>
      <c r="EI94" s="287">
        <v>0</v>
      </c>
      <c r="EJ94" s="40" t="s">
        <v>145</v>
      </c>
      <c r="EK94" s="355" t="s">
        <v>145</v>
      </c>
      <c r="EL94" s="364" t="s">
        <v>145</v>
      </c>
      <c r="EM94" s="364" t="s">
        <v>145</v>
      </c>
      <c r="EN94" s="355" t="s">
        <v>145</v>
      </c>
      <c r="EO94" s="364" t="s">
        <v>145</v>
      </c>
      <c r="EP94" s="205" t="s">
        <v>145</v>
      </c>
      <c r="EQ94" s="207" t="s">
        <v>145</v>
      </c>
      <c r="ER94" s="517" t="s">
        <v>145</v>
      </c>
      <c r="ES94" s="183"/>
      <c r="ET94" s="183"/>
      <c r="EU94" s="82"/>
      <c r="EV94" s="82"/>
      <c r="EW94" s="82"/>
      <c r="EX94" s="360"/>
      <c r="EY94" s="159"/>
      <c r="EZ94" s="156"/>
      <c r="FA94" s="323"/>
      <c r="FB94" s="323"/>
      <c r="FC94" s="323"/>
      <c r="FD94" s="160"/>
      <c r="FE94" s="156"/>
      <c r="FF94" s="156"/>
      <c r="FG94" s="156"/>
      <c r="FH94" s="157"/>
      <c r="FI94" s="242"/>
      <c r="FJ94" s="373"/>
      <c r="FK94" s="179"/>
      <c r="FL94" s="179"/>
      <c r="FM94" s="179"/>
      <c r="FN94" s="369"/>
      <c r="FO94" s="164"/>
      <c r="FP94" s="255"/>
      <c r="FQ94" s="183"/>
      <c r="FR94" s="257"/>
      <c r="FS94" s="82"/>
      <c r="FT94" s="259"/>
      <c r="FU94" s="82"/>
      <c r="FV94" s="259"/>
      <c r="FW94" s="82"/>
      <c r="FX94" s="259"/>
      <c r="FY94" s="82"/>
      <c r="FZ94" s="259"/>
      <c r="GA94" s="82"/>
      <c r="GB94" s="261"/>
      <c r="GC94" s="360"/>
      <c r="GD94" s="76">
        <v>1</v>
      </c>
      <c r="GE94" s="445" t="s">
        <v>145</v>
      </c>
      <c r="GF94" s="447" t="s">
        <v>590</v>
      </c>
      <c r="GG94" s="448">
        <v>5</v>
      </c>
      <c r="GH94" s="449">
        <v>4</v>
      </c>
      <c r="GI94" s="447" t="s">
        <v>145</v>
      </c>
      <c r="GJ94" s="449" t="s">
        <v>145</v>
      </c>
      <c r="GK94" s="447" t="s">
        <v>145</v>
      </c>
      <c r="GL94" s="448" t="s">
        <v>145</v>
      </c>
      <c r="GM94" s="449" t="s">
        <v>145</v>
      </c>
      <c r="GN94" s="447" t="s">
        <v>590</v>
      </c>
      <c r="GO94" s="449">
        <v>49</v>
      </c>
      <c r="GP94" s="447">
        <v>14</v>
      </c>
      <c r="GQ94" s="448">
        <v>18</v>
      </c>
      <c r="GR94" s="449">
        <v>17</v>
      </c>
      <c r="GS94" s="446">
        <v>8</v>
      </c>
      <c r="GT94" s="461">
        <v>-0.27022546529769897</v>
      </c>
      <c r="GU94" s="462">
        <v>-0.98484683036804199</v>
      </c>
      <c r="GV94" s="462">
        <v>-0.41381102800369263</v>
      </c>
      <c r="GW94" s="462">
        <v>-4.4097181409597397E-2</v>
      </c>
      <c r="GX94" s="462">
        <v>-0.56979662179946899</v>
      </c>
      <c r="GY94" s="463">
        <v>-0.64154326915740967</v>
      </c>
      <c r="GZ94" s="10" t="s">
        <v>145</v>
      </c>
      <c r="HA94" s="536" t="s">
        <v>145</v>
      </c>
      <c r="HB94" s="536" t="s">
        <v>145</v>
      </c>
      <c r="HC94" s="525" t="s">
        <v>145</v>
      </c>
      <c r="HD94" s="526" t="s">
        <v>145</v>
      </c>
      <c r="HE94" s="527" t="s">
        <v>145</v>
      </c>
      <c r="HF94" s="10" t="s">
        <v>145</v>
      </c>
      <c r="HG94" s="532" t="s">
        <v>145</v>
      </c>
      <c r="HH94" s="524" t="s">
        <v>145</v>
      </c>
      <c r="HI94" s="525" t="s">
        <v>145</v>
      </c>
      <c r="HJ94" s="527" t="s">
        <v>145</v>
      </c>
      <c r="HK94" s="379" t="s">
        <v>4073</v>
      </c>
      <c r="HL94" s="23" t="s">
        <v>4745</v>
      </c>
      <c r="HM94" s="557">
        <v>2010</v>
      </c>
      <c r="HN94" s="557">
        <v>2010</v>
      </c>
      <c r="HO94" s="526" t="s">
        <v>3985</v>
      </c>
      <c r="HP94" s="564" t="s">
        <v>4074</v>
      </c>
      <c r="HQ94" s="655" t="s">
        <v>4746</v>
      </c>
      <c r="HR94" s="565" t="s">
        <v>4075</v>
      </c>
      <c r="HS94" s="576">
        <v>20</v>
      </c>
      <c r="HT94" s="577">
        <v>106</v>
      </c>
      <c r="HU94" s="577">
        <v>2003</v>
      </c>
      <c r="HV94" s="584" t="s">
        <v>4212</v>
      </c>
      <c r="HW94" s="577">
        <v>2</v>
      </c>
      <c r="HX94" s="577">
        <v>25</v>
      </c>
      <c r="HY94" s="577">
        <v>23</v>
      </c>
      <c r="HZ94" s="577">
        <v>22</v>
      </c>
      <c r="IA94" s="577">
        <v>21</v>
      </c>
      <c r="IB94" s="577">
        <v>2</v>
      </c>
      <c r="IC94" s="578">
        <v>11</v>
      </c>
      <c r="ID94" s="660"/>
      <c r="IE94" s="550"/>
      <c r="IF94" s="550"/>
      <c r="IG94" s="553">
        <v>1</v>
      </c>
      <c r="IH94" s="339"/>
      <c r="II94" s="553" t="s">
        <v>4921</v>
      </c>
      <c r="IJ94" s="424"/>
      <c r="IK94" s="24">
        <v>0</v>
      </c>
      <c r="IL94" s="749">
        <f t="shared" si="75"/>
        <v>18</v>
      </c>
      <c r="IM94" s="747">
        <f t="shared" si="76"/>
        <v>72</v>
      </c>
      <c r="IN94" s="750" t="str">
        <f t="shared" si="77"/>
        <v>B</v>
      </c>
      <c r="IO94" s="446"/>
      <c r="IP94" s="902">
        <v>4</v>
      </c>
      <c r="IQ94" s="903">
        <v>0</v>
      </c>
      <c r="IR94" s="993">
        <v>0</v>
      </c>
      <c r="IT94" s="435"/>
      <c r="IU94" s="435"/>
      <c r="IV94" s="435"/>
    </row>
    <row r="95" spans="1:256">
      <c r="A95" s="21">
        <v>93</v>
      </c>
      <c r="B95" s="9"/>
      <c r="C95" s="430" t="s">
        <v>149</v>
      </c>
      <c r="D95" s="423" t="s">
        <v>410</v>
      </c>
      <c r="E95" s="24" t="s">
        <v>17</v>
      </c>
      <c r="F95" s="76" t="s">
        <v>831</v>
      </c>
      <c r="G95" s="102" t="s">
        <v>548</v>
      </c>
      <c r="H95" s="251" t="s">
        <v>2313</v>
      </c>
      <c r="I95" s="95" t="s">
        <v>2312</v>
      </c>
      <c r="J95" s="176">
        <v>6</v>
      </c>
      <c r="K95" s="88">
        <v>1959</v>
      </c>
      <c r="L95" s="371">
        <v>2</v>
      </c>
      <c r="M95" s="240" t="s">
        <v>1816</v>
      </c>
      <c r="N95" s="369" t="s">
        <v>1822</v>
      </c>
      <c r="O95" s="365" t="s">
        <v>3252</v>
      </c>
      <c r="P95" s="362" t="s">
        <v>3253</v>
      </c>
      <c r="Q95" s="176">
        <v>5</v>
      </c>
      <c r="R95" s="176">
        <v>2009</v>
      </c>
      <c r="S95" s="234" t="s">
        <v>2070</v>
      </c>
      <c r="T95" s="176">
        <v>2</v>
      </c>
      <c r="U95" s="176">
        <v>2</v>
      </c>
      <c r="V95" s="176">
        <v>0</v>
      </c>
      <c r="W95" s="369" t="s">
        <v>2311</v>
      </c>
      <c r="X95" s="170">
        <v>1</v>
      </c>
      <c r="Y95" s="369">
        <v>1</v>
      </c>
      <c r="Z95" s="271"/>
      <c r="AA95" s="169">
        <v>1</v>
      </c>
      <c r="AB95" s="177">
        <v>1</v>
      </c>
      <c r="AC95" s="171"/>
      <c r="AD95" s="375" t="s">
        <v>2313</v>
      </c>
      <c r="AE95" s="357">
        <v>2009</v>
      </c>
      <c r="AF95" s="804">
        <v>2</v>
      </c>
      <c r="AG95" s="55">
        <v>4</v>
      </c>
      <c r="AH95" s="355" t="s">
        <v>2757</v>
      </c>
      <c r="AI95" s="55">
        <v>0</v>
      </c>
      <c r="AJ95" s="55">
        <v>0</v>
      </c>
      <c r="AK95" s="589">
        <v>3000</v>
      </c>
      <c r="AL95" s="386">
        <v>1</v>
      </c>
      <c r="AM95" s="361" t="s">
        <v>2775</v>
      </c>
      <c r="AN95" s="342" t="s">
        <v>145</v>
      </c>
      <c r="AO95" s="170">
        <v>0</v>
      </c>
      <c r="AP95" s="172">
        <v>0</v>
      </c>
      <c r="AQ95" s="365" t="s">
        <v>5420</v>
      </c>
      <c r="AR95" s="362" t="s">
        <v>4934</v>
      </c>
      <c r="AS95" s="55">
        <v>1</v>
      </c>
      <c r="AT95" s="370">
        <v>3</v>
      </c>
      <c r="AU95" s="371">
        <v>2014</v>
      </c>
      <c r="AV95" s="370">
        <v>5</v>
      </c>
      <c r="AW95" s="589" t="s">
        <v>145</v>
      </c>
      <c r="AX95" s="794">
        <v>0</v>
      </c>
      <c r="AY95" s="174" t="s">
        <v>4552</v>
      </c>
      <c r="AZ95" s="55">
        <v>2012</v>
      </c>
      <c r="BA95" s="55">
        <v>1</v>
      </c>
      <c r="BB95" s="55">
        <v>1</v>
      </c>
      <c r="BC95" s="174" t="s">
        <v>4553</v>
      </c>
      <c r="BD95" s="55">
        <v>1959</v>
      </c>
      <c r="BE95" s="55">
        <v>0</v>
      </c>
      <c r="BF95" s="371" t="s">
        <v>145</v>
      </c>
      <c r="BG95" s="371">
        <v>0</v>
      </c>
      <c r="BH95" s="56" t="s">
        <v>145</v>
      </c>
      <c r="BI95" s="371">
        <v>0</v>
      </c>
      <c r="BJ95" s="371">
        <v>0</v>
      </c>
      <c r="BK95" s="888">
        <v>3892.1149999999998</v>
      </c>
      <c r="BL95" s="925">
        <f t="shared" si="62"/>
        <v>43.823962036065225</v>
      </c>
      <c r="BM95" s="888">
        <v>2186.4360000000001</v>
      </c>
      <c r="BN95" s="920">
        <v>1705.6790000000001</v>
      </c>
      <c r="BO95" s="888">
        <v>347.875</v>
      </c>
      <c r="BP95" s="1158">
        <f t="shared" si="78"/>
        <v>49.003808839381961</v>
      </c>
      <c r="BQ95" s="917">
        <v>177.40299999999999</v>
      </c>
      <c r="BR95" s="920">
        <v>170.47200000000001</v>
      </c>
      <c r="BS95" s="888">
        <v>298.13499999999999</v>
      </c>
      <c r="BT95" s="1158">
        <f t="shared" si="79"/>
        <v>49.46551059083972</v>
      </c>
      <c r="BU95" s="917">
        <v>150.661</v>
      </c>
      <c r="BV95" s="920">
        <v>147.47399999999999</v>
      </c>
      <c r="BW95" s="888">
        <v>222.87</v>
      </c>
      <c r="BX95" s="1158">
        <f t="shared" si="80"/>
        <v>47.073181675416166</v>
      </c>
      <c r="BY95" s="917">
        <v>117.958</v>
      </c>
      <c r="BZ95" s="920">
        <v>104.91200000000001</v>
      </c>
      <c r="CA95" s="888">
        <f t="shared" si="81"/>
        <v>3023.2349999999997</v>
      </c>
      <c r="CB95" s="1158">
        <f t="shared" si="82"/>
        <v>42.432063666899872</v>
      </c>
      <c r="CC95" s="917">
        <f t="shared" si="83"/>
        <v>1740.414</v>
      </c>
      <c r="CD95" s="920">
        <f t="shared" si="84"/>
        <v>1282.8210000000001</v>
      </c>
      <c r="CE95" s="914">
        <v>2015</v>
      </c>
      <c r="CF95" s="910" t="s">
        <v>5630</v>
      </c>
      <c r="CG95" s="931">
        <v>90</v>
      </c>
      <c r="CH95" s="504">
        <v>90</v>
      </c>
      <c r="CI95" s="1008">
        <v>90</v>
      </c>
      <c r="CJ95" s="904" t="s">
        <v>1621</v>
      </c>
      <c r="CK95" s="904" t="s">
        <v>1621</v>
      </c>
      <c r="CL95" s="904">
        <v>2015</v>
      </c>
      <c r="CM95" s="1004" t="s">
        <v>5711</v>
      </c>
      <c r="CN95" s="1044">
        <v>1291.4010000000001</v>
      </c>
      <c r="CO95" s="1045">
        <f t="shared" si="63"/>
        <v>33.179929164477414</v>
      </c>
      <c r="CP95" s="1049">
        <v>633.37099999999998</v>
      </c>
      <c r="CQ95" s="1050">
        <v>658.03</v>
      </c>
      <c r="CR95" s="1046">
        <v>2015</v>
      </c>
      <c r="CS95" s="1047" t="s">
        <v>5798</v>
      </c>
      <c r="CT95" s="1068">
        <f t="shared" si="66"/>
        <v>0</v>
      </c>
      <c r="CU95" s="1071">
        <v>21</v>
      </c>
      <c r="CV95" s="1117" t="s">
        <v>5799</v>
      </c>
      <c r="CW95" s="1113">
        <v>439.911</v>
      </c>
      <c r="CX95" s="1113">
        <v>1876.3309999999999</v>
      </c>
      <c r="CY95" s="1113">
        <v>2695.3159999999998</v>
      </c>
      <c r="CZ95" s="1048">
        <v>20</v>
      </c>
      <c r="DA95" s="1104">
        <v>6</v>
      </c>
      <c r="DB95" s="1050" t="s">
        <v>647</v>
      </c>
      <c r="DC95" s="1146" t="s">
        <v>322</v>
      </c>
      <c r="DD95" s="978">
        <f t="shared" si="91"/>
        <v>2600.7139999999999</v>
      </c>
      <c r="DE95" s="979">
        <f t="shared" si="67"/>
        <v>66.8200708355226</v>
      </c>
      <c r="DF95" s="979">
        <f t="shared" si="92"/>
        <v>40.283129940470197</v>
      </c>
      <c r="DG95" s="980">
        <f t="shared" si="93"/>
        <v>1553.0650000000001</v>
      </c>
      <c r="DH95" s="980">
        <f t="shared" si="94"/>
        <v>1047.6490000000001</v>
      </c>
      <c r="DI95" s="979">
        <f t="shared" si="68"/>
        <v>71.031807013788651</v>
      </c>
      <c r="DJ95" s="981">
        <f t="shared" si="69"/>
        <v>61.421228730611098</v>
      </c>
      <c r="DK95" s="984">
        <f t="shared" si="70"/>
        <v>2513.826</v>
      </c>
      <c r="DL95" s="979">
        <f t="shared" si="95"/>
        <v>39.993348783885601</v>
      </c>
      <c r="DM95" s="980">
        <f t="shared" si="71"/>
        <v>1508.4628</v>
      </c>
      <c r="DN95" s="985">
        <f t="shared" si="72"/>
        <v>1005.3632000000001</v>
      </c>
      <c r="DO95" s="984">
        <f t="shared" si="73"/>
        <v>52.10049999999999</v>
      </c>
      <c r="DP95" s="979">
        <f t="shared" si="96"/>
        <v>48.442145468853461</v>
      </c>
      <c r="DQ95" s="980">
        <f t="shared" si="85"/>
        <v>26.861899999999995</v>
      </c>
      <c r="DR95" s="985">
        <f t="shared" si="86"/>
        <v>25.238599999999991</v>
      </c>
      <c r="DS95" s="984">
        <f t="shared" si="74"/>
        <v>34.787499999999994</v>
      </c>
      <c r="DT95" s="339">
        <f t="shared" si="97"/>
        <v>49.003808839381961</v>
      </c>
      <c r="DU95" s="980">
        <f t="shared" si="87"/>
        <v>17.740299999999994</v>
      </c>
      <c r="DV95" s="985">
        <f t="shared" si="88"/>
        <v>17.047199999999997</v>
      </c>
      <c r="DW95" s="979">
        <f t="shared" si="89"/>
        <v>9.9999999999999982</v>
      </c>
      <c r="DX95" s="981">
        <f t="shared" si="90"/>
        <v>9.9999999999999982</v>
      </c>
      <c r="DY95" s="414" t="s">
        <v>145</v>
      </c>
      <c r="DZ95" s="111" t="s">
        <v>145</v>
      </c>
      <c r="EA95" s="118"/>
      <c r="EB95" s="123" t="s">
        <v>145</v>
      </c>
      <c r="EC95" s="113" t="s">
        <v>145</v>
      </c>
      <c r="ED95" s="20"/>
      <c r="EE95" s="414" t="s">
        <v>145</v>
      </c>
      <c r="EF95" s="111" t="s">
        <v>145</v>
      </c>
      <c r="EG95" s="380">
        <v>95.513175964355497</v>
      </c>
      <c r="EH95" s="24" t="s">
        <v>328</v>
      </c>
      <c r="EI95" s="287">
        <v>0</v>
      </c>
      <c r="EJ95" s="40" t="s">
        <v>145</v>
      </c>
      <c r="EK95" s="35" t="s">
        <v>145</v>
      </c>
      <c r="EL95" s="95" t="s">
        <v>145</v>
      </c>
      <c r="EM95" s="95" t="s">
        <v>145</v>
      </c>
      <c r="EN95" s="35" t="s">
        <v>145</v>
      </c>
      <c r="EO95" s="95" t="s">
        <v>145</v>
      </c>
      <c r="EP95" s="205" t="s">
        <v>145</v>
      </c>
      <c r="EQ95" s="207" t="s">
        <v>145</v>
      </c>
      <c r="ER95" s="517" t="s">
        <v>145</v>
      </c>
      <c r="ES95" s="183"/>
      <c r="ET95" s="183"/>
      <c r="EU95" s="82"/>
      <c r="EV95" s="82"/>
      <c r="EW95" s="82"/>
      <c r="EX95" s="90"/>
      <c r="EY95" s="159"/>
      <c r="EZ95" s="156"/>
      <c r="FA95" s="323"/>
      <c r="FB95" s="323"/>
      <c r="FC95" s="323"/>
      <c r="FD95" s="160"/>
      <c r="FE95" s="156"/>
      <c r="FF95" s="156"/>
      <c r="FG95" s="156"/>
      <c r="FH95" s="157"/>
      <c r="FI95" s="242"/>
      <c r="FJ95" s="240"/>
      <c r="FK95" s="179"/>
      <c r="FL95" s="179"/>
      <c r="FM95" s="179"/>
      <c r="FN95" s="369"/>
      <c r="FO95" s="164"/>
      <c r="FP95" s="255"/>
      <c r="FQ95" s="183"/>
      <c r="FR95" s="257"/>
      <c r="FS95" s="82"/>
      <c r="FT95" s="259"/>
      <c r="FU95" s="82"/>
      <c r="FV95" s="259"/>
      <c r="FW95" s="82"/>
      <c r="FX95" s="259"/>
      <c r="FY95" s="82"/>
      <c r="FZ95" s="259"/>
      <c r="GA95" s="82"/>
      <c r="GB95" s="261"/>
      <c r="GC95" s="90"/>
      <c r="GD95" s="76">
        <v>3</v>
      </c>
      <c r="GE95" s="445" t="s">
        <v>3437</v>
      </c>
      <c r="GF95" s="447" t="s">
        <v>590</v>
      </c>
      <c r="GG95" s="448">
        <v>5</v>
      </c>
      <c r="GH95" s="449">
        <v>5</v>
      </c>
      <c r="GI95" s="447" t="s">
        <v>145</v>
      </c>
      <c r="GJ95" s="449" t="s">
        <v>145</v>
      </c>
      <c r="GK95" s="447" t="s">
        <v>145</v>
      </c>
      <c r="GL95" s="448" t="s">
        <v>145</v>
      </c>
      <c r="GM95" s="449" t="s">
        <v>145</v>
      </c>
      <c r="GN95" s="447" t="s">
        <v>590</v>
      </c>
      <c r="GO95" s="449">
        <v>59</v>
      </c>
      <c r="GP95" s="447">
        <v>20</v>
      </c>
      <c r="GQ95" s="448">
        <v>23</v>
      </c>
      <c r="GR95" s="449">
        <v>16</v>
      </c>
      <c r="GS95" s="446">
        <v>-7</v>
      </c>
      <c r="GT95" s="461">
        <v>-0.64906209707260132</v>
      </c>
      <c r="GU95" s="462">
        <v>0.1423010528087616</v>
      </c>
      <c r="GV95" s="462">
        <v>-7.3176421225070953E-2</v>
      </c>
      <c r="GW95" s="462">
        <v>-8.5887081921100616E-2</v>
      </c>
      <c r="GX95" s="462">
        <v>0.38760179281234741</v>
      </c>
      <c r="GY95" s="463">
        <v>-0.15402252972126007</v>
      </c>
      <c r="GZ95" s="10">
        <v>49</v>
      </c>
      <c r="HA95" s="536">
        <v>0.62680000000000002</v>
      </c>
      <c r="HB95" s="536">
        <v>0.43136999999999998</v>
      </c>
      <c r="HC95" s="525">
        <v>0.57479999999999998</v>
      </c>
      <c r="HD95" s="526">
        <v>0.58620000000000005</v>
      </c>
      <c r="HE95" s="527">
        <v>0.71940000000000004</v>
      </c>
      <c r="HF95" s="10" t="s">
        <v>145</v>
      </c>
      <c r="HG95" s="532" t="s">
        <v>145</v>
      </c>
      <c r="HH95" s="524" t="s">
        <v>145</v>
      </c>
      <c r="HI95" s="525" t="s">
        <v>145</v>
      </c>
      <c r="HJ95" s="527" t="s">
        <v>145</v>
      </c>
      <c r="HK95" s="379" t="s">
        <v>145</v>
      </c>
      <c r="HL95" s="362" t="s">
        <v>145</v>
      </c>
      <c r="HM95" s="557" t="s">
        <v>145</v>
      </c>
      <c r="HN95" s="557" t="s">
        <v>145</v>
      </c>
      <c r="HO95" s="526" t="s">
        <v>145</v>
      </c>
      <c r="HP95" s="564" t="s">
        <v>145</v>
      </c>
      <c r="HQ95" s="564" t="s">
        <v>145</v>
      </c>
      <c r="HR95" s="565" t="s">
        <v>145</v>
      </c>
      <c r="HS95" s="524" t="s">
        <v>145</v>
      </c>
      <c r="HT95" s="526" t="s">
        <v>145</v>
      </c>
      <c r="HU95" s="526" t="s">
        <v>145</v>
      </c>
      <c r="HV95" s="582" t="s">
        <v>145</v>
      </c>
      <c r="HW95" s="526" t="s">
        <v>145</v>
      </c>
      <c r="HX95" s="526" t="s">
        <v>145</v>
      </c>
      <c r="HY95" s="526" t="s">
        <v>145</v>
      </c>
      <c r="HZ95" s="526" t="s">
        <v>145</v>
      </c>
      <c r="IA95" s="526" t="s">
        <v>145</v>
      </c>
      <c r="IB95" s="526" t="s">
        <v>145</v>
      </c>
      <c r="IC95" s="527" t="s">
        <v>145</v>
      </c>
      <c r="ID95" s="40"/>
      <c r="IE95" s="550"/>
      <c r="IF95" s="550"/>
      <c r="IG95" s="553"/>
      <c r="IH95" s="115">
        <v>46</v>
      </c>
      <c r="II95" s="647" t="s">
        <v>4920</v>
      </c>
      <c r="IJ95" s="423" t="s">
        <v>4926</v>
      </c>
      <c r="IK95" s="10">
        <v>0</v>
      </c>
      <c r="IL95" s="749">
        <f t="shared" si="75"/>
        <v>15</v>
      </c>
      <c r="IM95" s="747">
        <f t="shared" si="76"/>
        <v>60</v>
      </c>
      <c r="IN95" s="750" t="str">
        <f t="shared" si="77"/>
        <v>B</v>
      </c>
      <c r="IO95" s="446"/>
      <c r="IP95" s="902">
        <v>6</v>
      </c>
      <c r="IQ95" s="903">
        <v>0</v>
      </c>
      <c r="IR95" s="993">
        <v>0</v>
      </c>
      <c r="IT95" s="435"/>
      <c r="IU95" s="435"/>
      <c r="IV95" s="435"/>
    </row>
    <row r="96" spans="1:256">
      <c r="A96" s="21">
        <v>94</v>
      </c>
      <c r="B96" s="9"/>
      <c r="C96" s="430" t="s">
        <v>316</v>
      </c>
      <c r="D96" s="423" t="s">
        <v>408</v>
      </c>
      <c r="E96" s="697" t="s">
        <v>20</v>
      </c>
      <c r="F96" s="76" t="s">
        <v>832</v>
      </c>
      <c r="G96" s="102" t="s">
        <v>541</v>
      </c>
      <c r="H96" s="375" t="s">
        <v>2332</v>
      </c>
      <c r="I96" s="95" t="s">
        <v>2334</v>
      </c>
      <c r="J96" s="176">
        <v>6</v>
      </c>
      <c r="K96" s="88">
        <v>1993</v>
      </c>
      <c r="L96" s="371">
        <v>2</v>
      </c>
      <c r="M96" s="240" t="s">
        <v>1816</v>
      </c>
      <c r="N96" s="369" t="s">
        <v>1822</v>
      </c>
      <c r="O96" s="365" t="s">
        <v>2332</v>
      </c>
      <c r="P96" s="362" t="s">
        <v>3254</v>
      </c>
      <c r="Q96" s="176">
        <v>6</v>
      </c>
      <c r="R96" s="176">
        <v>2009</v>
      </c>
      <c r="S96" s="234" t="s">
        <v>1961</v>
      </c>
      <c r="T96" s="176">
        <v>1</v>
      </c>
      <c r="U96" s="176">
        <v>2</v>
      </c>
      <c r="V96" s="176">
        <v>16</v>
      </c>
      <c r="W96" s="369" t="s">
        <v>1822</v>
      </c>
      <c r="X96" s="170">
        <v>0</v>
      </c>
      <c r="Y96" s="369">
        <v>0</v>
      </c>
      <c r="Z96" s="271"/>
      <c r="AA96" s="169"/>
      <c r="AB96" s="177"/>
      <c r="AC96" s="171"/>
      <c r="AD96" s="366" t="s">
        <v>3255</v>
      </c>
      <c r="AE96" s="357">
        <v>2015</v>
      </c>
      <c r="AF96" s="357">
        <v>2</v>
      </c>
      <c r="AG96" s="550" t="s">
        <v>5171</v>
      </c>
      <c r="AH96" s="355" t="s">
        <v>2746</v>
      </c>
      <c r="AI96" s="55">
        <v>0</v>
      </c>
      <c r="AJ96" s="550">
        <v>0</v>
      </c>
      <c r="AK96" s="590" t="s">
        <v>145</v>
      </c>
      <c r="AL96" s="391">
        <v>10</v>
      </c>
      <c r="AM96" s="361" t="s">
        <v>2890</v>
      </c>
      <c r="AN96" s="342" t="s">
        <v>145</v>
      </c>
      <c r="AO96" s="170">
        <v>0</v>
      </c>
      <c r="AP96" s="172">
        <v>0</v>
      </c>
      <c r="AQ96" s="365" t="s">
        <v>5303</v>
      </c>
      <c r="AR96" s="378" t="s">
        <v>5304</v>
      </c>
      <c r="AS96" s="55">
        <v>2</v>
      </c>
      <c r="AT96" s="370">
        <v>2</v>
      </c>
      <c r="AU96" s="371">
        <v>2014</v>
      </c>
      <c r="AV96" s="370">
        <v>5</v>
      </c>
      <c r="AW96" s="589" t="s">
        <v>145</v>
      </c>
      <c r="AX96" s="687">
        <v>0</v>
      </c>
      <c r="AY96" s="174" t="s">
        <v>4554</v>
      </c>
      <c r="AZ96" s="55">
        <v>2012</v>
      </c>
      <c r="BA96" s="55">
        <v>1</v>
      </c>
      <c r="BB96" s="55">
        <v>1</v>
      </c>
      <c r="BC96" s="174" t="s">
        <v>4555</v>
      </c>
      <c r="BD96" s="55">
        <v>1996</v>
      </c>
      <c r="BE96" s="55">
        <v>0</v>
      </c>
      <c r="BF96" s="371" t="s">
        <v>145</v>
      </c>
      <c r="BG96" s="371">
        <v>0</v>
      </c>
      <c r="BH96" s="56" t="s">
        <v>145</v>
      </c>
      <c r="BI96" s="371">
        <v>2</v>
      </c>
      <c r="BJ96" s="371">
        <v>1</v>
      </c>
      <c r="BK96" s="888">
        <v>5939.9620000000004</v>
      </c>
      <c r="BL96" s="925">
        <f t="shared" si="62"/>
        <v>50.501754051625234</v>
      </c>
      <c r="BM96" s="888">
        <v>2940.1770000000001</v>
      </c>
      <c r="BN96" s="920">
        <v>2999.7849999999999</v>
      </c>
      <c r="BO96" s="888">
        <v>780.36800000000005</v>
      </c>
      <c r="BP96" s="1158">
        <f t="shared" si="78"/>
        <v>48.654737252168204</v>
      </c>
      <c r="BQ96" s="917">
        <v>400.68200000000002</v>
      </c>
      <c r="BR96" s="920">
        <v>379.68599999999998</v>
      </c>
      <c r="BS96" s="888">
        <v>601.89</v>
      </c>
      <c r="BT96" s="1158">
        <f t="shared" si="79"/>
        <v>49.053481533170512</v>
      </c>
      <c r="BU96" s="917">
        <v>306.642</v>
      </c>
      <c r="BV96" s="920">
        <v>295.24799999999999</v>
      </c>
      <c r="BW96" s="888">
        <v>482.988</v>
      </c>
      <c r="BX96" s="1158">
        <f t="shared" si="80"/>
        <v>49.068920966980549</v>
      </c>
      <c r="BY96" s="917">
        <v>245.99100000000001</v>
      </c>
      <c r="BZ96" s="920">
        <v>236.99700000000001</v>
      </c>
      <c r="CA96" s="888">
        <f t="shared" si="81"/>
        <v>4074.7159999999999</v>
      </c>
      <c r="CB96" s="1158">
        <f t="shared" si="82"/>
        <v>51.239252011673941</v>
      </c>
      <c r="CC96" s="917">
        <f t="shared" si="83"/>
        <v>1986.8620000000001</v>
      </c>
      <c r="CD96" s="920">
        <f t="shared" si="84"/>
        <v>2087.8539999999998</v>
      </c>
      <c r="CE96" s="914">
        <v>2015</v>
      </c>
      <c r="CF96" s="910" t="s">
        <v>5630</v>
      </c>
      <c r="CG96" s="930">
        <v>98.3</v>
      </c>
      <c r="CH96" s="495">
        <v>98.2</v>
      </c>
      <c r="CI96" s="497">
        <v>98.5</v>
      </c>
      <c r="CJ96" s="904">
        <v>98.9</v>
      </c>
      <c r="CK96" s="904">
        <v>98.1</v>
      </c>
      <c r="CL96" s="904">
        <v>2012</v>
      </c>
      <c r="CM96" s="905" t="s">
        <v>5575</v>
      </c>
      <c r="CN96" s="1044">
        <v>2761.297</v>
      </c>
      <c r="CO96" s="1045">
        <f t="shared" si="63"/>
        <v>46.486778871649342</v>
      </c>
      <c r="CP96" s="1049">
        <v>1292.806</v>
      </c>
      <c r="CQ96" s="1050">
        <v>1468.491</v>
      </c>
      <c r="CR96" s="1046">
        <v>2015</v>
      </c>
      <c r="CS96" s="1047" t="s">
        <v>5925</v>
      </c>
      <c r="CT96" s="1068">
        <f t="shared" si="66"/>
        <v>16</v>
      </c>
      <c r="CU96" s="1071">
        <v>18</v>
      </c>
      <c r="CV96" s="1068" t="s">
        <v>6094</v>
      </c>
      <c r="CW96" s="1113">
        <v>2761.297</v>
      </c>
      <c r="CX96" s="1113">
        <v>3682.3029999999999</v>
      </c>
      <c r="CY96" s="1113">
        <v>5664.9390000000003</v>
      </c>
      <c r="CZ96" s="1048">
        <v>10</v>
      </c>
      <c r="DA96" s="1104">
        <v>4</v>
      </c>
      <c r="DB96" s="1050" t="s">
        <v>647</v>
      </c>
      <c r="DC96" s="1146" t="s">
        <v>322</v>
      </c>
      <c r="DD96" s="978">
        <f t="shared" si="91"/>
        <v>1345.1281819999999</v>
      </c>
      <c r="DE96" s="979">
        <f t="shared" si="67"/>
        <v>22.64540045879081</v>
      </c>
      <c r="DF96" s="979">
        <f t="shared" si="92"/>
        <v>47.061831985317809</v>
      </c>
      <c r="DG96" s="980">
        <f t="shared" si="93"/>
        <v>711.21567000000005</v>
      </c>
      <c r="DH96" s="980">
        <f t="shared" si="94"/>
        <v>633.04196499999989</v>
      </c>
      <c r="DI96" s="979">
        <f t="shared" si="68"/>
        <v>24.189552873857593</v>
      </c>
      <c r="DJ96" s="981">
        <f t="shared" si="69"/>
        <v>21.102911208636616</v>
      </c>
      <c r="DK96" s="984">
        <f t="shared" si="70"/>
        <v>1313.4189999999999</v>
      </c>
      <c r="DL96" s="979">
        <f t="shared" si="95"/>
        <v>47.156543342223607</v>
      </c>
      <c r="DM96" s="980">
        <f t="shared" si="71"/>
        <v>694.05600000000004</v>
      </c>
      <c r="DN96" s="985">
        <f t="shared" si="72"/>
        <v>619.36299999999983</v>
      </c>
      <c r="DO96" s="984">
        <f t="shared" si="73"/>
        <v>18.442926000000014</v>
      </c>
      <c r="DP96" s="979">
        <f t="shared" si="96"/>
        <v>43.288548682568049</v>
      </c>
      <c r="DQ96" s="980">
        <f t="shared" si="85"/>
        <v>9.9473940000000098</v>
      </c>
      <c r="DR96" s="985">
        <f t="shared" si="86"/>
        <v>7.983675000000007</v>
      </c>
      <c r="DS96" s="984">
        <f t="shared" si="74"/>
        <v>13.266256000000013</v>
      </c>
      <c r="DT96" s="339">
        <f t="shared" si="97"/>
        <v>42.930650516619004</v>
      </c>
      <c r="DU96" s="980">
        <f t="shared" si="87"/>
        <v>7.2122760000000063</v>
      </c>
      <c r="DV96" s="985">
        <f t="shared" si="88"/>
        <v>5.6952900000000044</v>
      </c>
      <c r="DW96" s="979">
        <f t="shared" si="89"/>
        <v>1.8000000000000016</v>
      </c>
      <c r="DX96" s="981">
        <f t="shared" si="90"/>
        <v>1.5000000000000011</v>
      </c>
      <c r="DY96" s="414">
        <v>5.03</v>
      </c>
      <c r="DZ96" s="111">
        <v>2011</v>
      </c>
      <c r="EA96" s="118">
        <v>368.96899999999999</v>
      </c>
      <c r="EB96" s="123">
        <v>33.700000000000003</v>
      </c>
      <c r="EC96" s="113">
        <v>2010</v>
      </c>
      <c r="ED96" s="20">
        <v>1855.8590000000002</v>
      </c>
      <c r="EE96" s="414">
        <v>33.700000000000003</v>
      </c>
      <c r="EF96" s="111">
        <v>2011</v>
      </c>
      <c r="EG96" s="380">
        <v>99.241401672363295</v>
      </c>
      <c r="EH96" s="24" t="s">
        <v>646</v>
      </c>
      <c r="EI96" s="287">
        <v>3</v>
      </c>
      <c r="EJ96" s="40">
        <v>3</v>
      </c>
      <c r="EK96" s="35" t="s">
        <v>145</v>
      </c>
      <c r="EL96" s="95" t="s">
        <v>145</v>
      </c>
      <c r="EM96" s="95" t="s">
        <v>145</v>
      </c>
      <c r="EN96" s="35" t="s">
        <v>145</v>
      </c>
      <c r="EO96" s="95" t="s">
        <v>1725</v>
      </c>
      <c r="EP96" s="205">
        <v>0.94</v>
      </c>
      <c r="EQ96" s="207">
        <v>0.99</v>
      </c>
      <c r="ER96" s="517" t="s">
        <v>145</v>
      </c>
      <c r="ES96" s="183"/>
      <c r="ET96" s="183"/>
      <c r="EU96" s="82"/>
      <c r="EV96" s="82"/>
      <c r="EW96" s="82"/>
      <c r="EX96" s="90"/>
      <c r="EY96" s="159"/>
      <c r="EZ96" s="156"/>
      <c r="FA96" s="323"/>
      <c r="FB96" s="323"/>
      <c r="FC96" s="323"/>
      <c r="FD96" s="160"/>
      <c r="FE96" s="156"/>
      <c r="FF96" s="156"/>
      <c r="FG96" s="156"/>
      <c r="FH96" s="157"/>
      <c r="FI96" s="242"/>
      <c r="FJ96" s="240"/>
      <c r="FK96" s="179"/>
      <c r="FL96" s="179"/>
      <c r="FM96" s="179"/>
      <c r="FN96" s="369"/>
      <c r="FO96" s="164"/>
      <c r="FP96" s="255"/>
      <c r="FQ96" s="183"/>
      <c r="FR96" s="257"/>
      <c r="FS96" s="82"/>
      <c r="FT96" s="259"/>
      <c r="FU96" s="82"/>
      <c r="FV96" s="259"/>
      <c r="FW96" s="82"/>
      <c r="FX96" s="259"/>
      <c r="FY96" s="82"/>
      <c r="FZ96" s="259"/>
      <c r="GA96" s="82"/>
      <c r="GB96" s="261"/>
      <c r="GC96" s="90"/>
      <c r="GD96" s="76">
        <v>1</v>
      </c>
      <c r="GE96" s="445" t="s">
        <v>3424</v>
      </c>
      <c r="GF96" s="447" t="s">
        <v>590</v>
      </c>
      <c r="GG96" s="448">
        <v>5</v>
      </c>
      <c r="GH96" s="449">
        <v>5</v>
      </c>
      <c r="GI96" s="447" t="s">
        <v>590</v>
      </c>
      <c r="GJ96" s="449">
        <v>34</v>
      </c>
      <c r="GK96" s="447">
        <v>12</v>
      </c>
      <c r="GL96" s="448">
        <v>9</v>
      </c>
      <c r="GM96" s="449">
        <v>13</v>
      </c>
      <c r="GN96" s="447" t="s">
        <v>580</v>
      </c>
      <c r="GO96" s="449">
        <v>66</v>
      </c>
      <c r="GP96" s="447">
        <v>19</v>
      </c>
      <c r="GQ96" s="448">
        <v>27</v>
      </c>
      <c r="GR96" s="449">
        <v>20</v>
      </c>
      <c r="GS96" s="446">
        <v>7</v>
      </c>
      <c r="GT96" s="461">
        <v>-0.56544071435928345</v>
      </c>
      <c r="GU96" s="462">
        <v>-0.91044151782989502</v>
      </c>
      <c r="GV96" s="462">
        <v>-0.69312542676925659</v>
      </c>
      <c r="GW96" s="462">
        <v>-0.3290979266166687</v>
      </c>
      <c r="GX96" s="462">
        <v>-1.1385891437530518</v>
      </c>
      <c r="GY96" s="463">
        <v>-1.1249353885650635</v>
      </c>
      <c r="GZ96" s="10">
        <v>101</v>
      </c>
      <c r="HA96" s="536">
        <v>0.46567999999999998</v>
      </c>
      <c r="HB96" s="536">
        <v>0.41176000000000001</v>
      </c>
      <c r="HC96" s="525">
        <v>0.27559</v>
      </c>
      <c r="HD96" s="526">
        <v>0.38013000000000002</v>
      </c>
      <c r="HE96" s="527">
        <v>0.74129999999999996</v>
      </c>
      <c r="HF96" s="10">
        <v>108</v>
      </c>
      <c r="HG96" s="532">
        <v>3.78</v>
      </c>
      <c r="HH96" s="545">
        <v>4.05</v>
      </c>
      <c r="HI96" s="546">
        <v>1.59</v>
      </c>
      <c r="HJ96" s="547">
        <v>7.62</v>
      </c>
      <c r="HK96" s="379" t="s">
        <v>3995</v>
      </c>
      <c r="HL96" s="23" t="s">
        <v>4747</v>
      </c>
      <c r="HM96" s="557">
        <v>2008</v>
      </c>
      <c r="HN96" s="557">
        <v>2008</v>
      </c>
      <c r="HO96" s="557" t="s">
        <v>3985</v>
      </c>
      <c r="HP96" s="562" t="s">
        <v>145</v>
      </c>
      <c r="HQ96" s="562" t="s">
        <v>145</v>
      </c>
      <c r="HR96" s="563" t="s">
        <v>145</v>
      </c>
      <c r="HS96" s="545">
        <v>27</v>
      </c>
      <c r="HT96" s="557">
        <v>101</v>
      </c>
      <c r="HU96" s="557">
        <v>2007</v>
      </c>
      <c r="HV96" s="583" t="s">
        <v>4213</v>
      </c>
      <c r="HW96" s="557">
        <v>4</v>
      </c>
      <c r="HX96" s="557">
        <v>30</v>
      </c>
      <c r="HY96" s="557">
        <v>24</v>
      </c>
      <c r="HZ96" s="557">
        <v>13</v>
      </c>
      <c r="IA96" s="557">
        <v>19</v>
      </c>
      <c r="IB96" s="557">
        <v>3</v>
      </c>
      <c r="IC96" s="547">
        <v>8</v>
      </c>
      <c r="ID96" s="40"/>
      <c r="IE96" s="550"/>
      <c r="IF96" s="550"/>
      <c r="IG96" s="553"/>
      <c r="IH96" s="115"/>
      <c r="II96" s="647" t="s">
        <v>4921</v>
      </c>
      <c r="IJ96" s="423"/>
      <c r="IK96" s="10">
        <v>0</v>
      </c>
      <c r="IL96" s="749">
        <f t="shared" si="75"/>
        <v>18</v>
      </c>
      <c r="IM96" s="747">
        <f t="shared" si="76"/>
        <v>72</v>
      </c>
      <c r="IN96" s="750" t="str">
        <f t="shared" si="77"/>
        <v>B</v>
      </c>
      <c r="IO96" s="446"/>
      <c r="IP96" s="902">
        <v>4</v>
      </c>
      <c r="IQ96" s="903">
        <v>0</v>
      </c>
      <c r="IR96" s="993">
        <v>0</v>
      </c>
      <c r="IT96" s="435"/>
      <c r="IU96" s="435"/>
      <c r="IV96" s="435"/>
    </row>
    <row r="97" spans="1:256">
      <c r="A97" s="21">
        <v>95</v>
      </c>
      <c r="B97" s="9"/>
      <c r="C97" s="431" t="s">
        <v>152</v>
      </c>
      <c r="D97" s="424" t="s">
        <v>407</v>
      </c>
      <c r="E97" s="24" t="s">
        <v>20</v>
      </c>
      <c r="F97" s="76" t="s">
        <v>833</v>
      </c>
      <c r="G97" s="102" t="s">
        <v>550</v>
      </c>
      <c r="H97" s="375" t="s">
        <v>2338</v>
      </c>
      <c r="I97" s="95" t="s">
        <v>2337</v>
      </c>
      <c r="J97" s="176">
        <v>2</v>
      </c>
      <c r="K97" s="88">
        <v>1990</v>
      </c>
      <c r="L97" s="371">
        <v>1</v>
      </c>
      <c r="M97" s="240" t="s">
        <v>145</v>
      </c>
      <c r="N97" s="369" t="s">
        <v>1822</v>
      </c>
      <c r="O97" s="365" t="s">
        <v>3256</v>
      </c>
      <c r="P97" s="362" t="s">
        <v>2927</v>
      </c>
      <c r="Q97" s="176">
        <v>6</v>
      </c>
      <c r="R97" s="370">
        <v>2007</v>
      </c>
      <c r="S97" s="372" t="s">
        <v>1961</v>
      </c>
      <c r="T97" s="176">
        <v>1</v>
      </c>
      <c r="U97" s="370">
        <v>1</v>
      </c>
      <c r="V97" s="176">
        <v>18</v>
      </c>
      <c r="W97" s="369" t="s">
        <v>1822</v>
      </c>
      <c r="X97" s="170">
        <v>0</v>
      </c>
      <c r="Y97" s="369">
        <v>0</v>
      </c>
      <c r="Z97" s="271"/>
      <c r="AA97" s="169"/>
      <c r="AB97" s="177"/>
      <c r="AC97" s="171"/>
      <c r="AD97" s="376" t="s">
        <v>145</v>
      </c>
      <c r="AE97" s="355" t="s">
        <v>145</v>
      </c>
      <c r="AF97" s="357">
        <v>0</v>
      </c>
      <c r="AG97" s="550">
        <v>1</v>
      </c>
      <c r="AH97" s="355" t="s">
        <v>145</v>
      </c>
      <c r="AI97" s="550" t="s">
        <v>145</v>
      </c>
      <c r="AJ97" s="550" t="s">
        <v>145</v>
      </c>
      <c r="AK97" s="590" t="s">
        <v>145</v>
      </c>
      <c r="AL97" s="357">
        <v>0</v>
      </c>
      <c r="AM97" s="363" t="s">
        <v>145</v>
      </c>
      <c r="AN97" s="384" t="s">
        <v>145</v>
      </c>
      <c r="AO97" s="170">
        <v>0</v>
      </c>
      <c r="AP97" s="369">
        <v>0</v>
      </c>
      <c r="AQ97" s="365" t="s">
        <v>5421</v>
      </c>
      <c r="AR97" s="362" t="s">
        <v>4934</v>
      </c>
      <c r="AS97" s="55">
        <v>1</v>
      </c>
      <c r="AT97" s="370">
        <v>3</v>
      </c>
      <c r="AU97" s="724">
        <v>2004</v>
      </c>
      <c r="AV97" s="370">
        <v>5</v>
      </c>
      <c r="AW97" s="589" t="s">
        <v>145</v>
      </c>
      <c r="AX97" s="687">
        <v>0</v>
      </c>
      <c r="AY97" s="174" t="s">
        <v>4582</v>
      </c>
      <c r="AZ97" s="55">
        <v>1994</v>
      </c>
      <c r="BA97" s="55">
        <v>1</v>
      </c>
      <c r="BB97" s="55">
        <v>1</v>
      </c>
      <c r="BC97" s="174" t="s">
        <v>4556</v>
      </c>
      <c r="BD97" s="55">
        <v>2013</v>
      </c>
      <c r="BE97" s="55">
        <v>0</v>
      </c>
      <c r="BF97" s="371" t="s">
        <v>145</v>
      </c>
      <c r="BG97" s="371">
        <v>0</v>
      </c>
      <c r="BH97" s="56" t="s">
        <v>145</v>
      </c>
      <c r="BI97" s="371">
        <v>0</v>
      </c>
      <c r="BJ97" s="371">
        <v>0</v>
      </c>
      <c r="BK97" s="888">
        <v>6802.0230000000001</v>
      </c>
      <c r="BL97" s="925">
        <f t="shared" si="62"/>
        <v>50.23057111097684</v>
      </c>
      <c r="BM97" s="888">
        <v>3385.328</v>
      </c>
      <c r="BN97" s="920">
        <v>3416.6950000000002</v>
      </c>
      <c r="BO97" s="888">
        <v>838.8</v>
      </c>
      <c r="BP97" s="1158">
        <f t="shared" si="78"/>
        <v>48.927873152122082</v>
      </c>
      <c r="BQ97" s="917">
        <v>428.39299999999997</v>
      </c>
      <c r="BR97" s="920">
        <v>410.40699999999998</v>
      </c>
      <c r="BS97" s="888">
        <v>795.654</v>
      </c>
      <c r="BT97" s="1158">
        <f t="shared" si="79"/>
        <v>48.96751603083753</v>
      </c>
      <c r="BU97" s="917">
        <v>406.04199999999997</v>
      </c>
      <c r="BV97" s="920">
        <v>389.61200000000002</v>
      </c>
      <c r="BW97" s="888">
        <v>730.58299999999997</v>
      </c>
      <c r="BX97" s="1158">
        <f t="shared" si="80"/>
        <v>49.113242437888644</v>
      </c>
      <c r="BY97" s="917">
        <v>371.77</v>
      </c>
      <c r="BZ97" s="920">
        <v>358.81299999999999</v>
      </c>
      <c r="CA97" s="888">
        <f t="shared" si="81"/>
        <v>4436.9859999999999</v>
      </c>
      <c r="CB97" s="1158">
        <f t="shared" si="82"/>
        <v>50.8873140460664</v>
      </c>
      <c r="CC97" s="917">
        <f t="shared" si="83"/>
        <v>2179.123</v>
      </c>
      <c r="CD97" s="920">
        <f t="shared" si="84"/>
        <v>2257.8629999999998</v>
      </c>
      <c r="CE97" s="914">
        <v>2015</v>
      </c>
      <c r="CF97" s="910" t="s">
        <v>5630</v>
      </c>
      <c r="CG97" s="930">
        <v>74.8</v>
      </c>
      <c r="CH97" s="495">
        <v>74.3</v>
      </c>
      <c r="CI97" s="497">
        <v>75.2</v>
      </c>
      <c r="CJ97" s="904">
        <v>87.8</v>
      </c>
      <c r="CK97" s="904">
        <v>71.3</v>
      </c>
      <c r="CL97" s="904" t="s">
        <v>5577</v>
      </c>
      <c r="CM97" s="905" t="s">
        <v>5573</v>
      </c>
      <c r="CN97" s="1044">
        <v>3240</v>
      </c>
      <c r="CO97" s="1045">
        <f t="shared" si="63"/>
        <v>47.632888039337708</v>
      </c>
      <c r="CP97" s="1040">
        <f t="shared" ref="CP97:CP105" si="101">IF(OR(CZ97=1,CZ97=10),CN97*(1-BL97/100),IF(DA97=6,CN97*(1-BL97/100),CN97*(1-CB97/100)))</f>
        <v>1612.5294960043504</v>
      </c>
      <c r="CQ97" s="1041">
        <f t="shared" ref="CQ97:CQ105" si="102">IF(OR(CZ97=1,CZ97=10),CN97*BL97/100,IF(DA97=6,CN97*BL97/100,CN97*CB97/100))</f>
        <v>1627.4705039956496</v>
      </c>
      <c r="CR97" s="1046">
        <v>2011</v>
      </c>
      <c r="CS97" s="1047" t="s">
        <v>5811</v>
      </c>
      <c r="CT97" s="1068">
        <f t="shared" si="66"/>
        <v>18</v>
      </c>
      <c r="CU97" s="1071">
        <v>18</v>
      </c>
      <c r="CV97" s="1068" t="s">
        <v>6095</v>
      </c>
      <c r="CW97" s="1113">
        <v>3240</v>
      </c>
      <c r="CX97" s="1113">
        <v>3661.8580000000002</v>
      </c>
      <c r="CY97" s="1113">
        <v>6477.2110000000002</v>
      </c>
      <c r="CZ97" s="494">
        <v>1</v>
      </c>
      <c r="DA97" s="1104">
        <v>4</v>
      </c>
      <c r="DB97" s="1050" t="s">
        <v>5753</v>
      </c>
      <c r="DC97" s="1143" t="s">
        <v>320</v>
      </c>
      <c r="DD97" s="978">
        <f t="shared" si="91"/>
        <v>1792.9753239999998</v>
      </c>
      <c r="DE97" s="979">
        <f t="shared" si="67"/>
        <v>26.359442242403468</v>
      </c>
      <c r="DF97" s="979">
        <f t="shared" si="92"/>
        <v>51.187700116075355</v>
      </c>
      <c r="DG97" s="980">
        <f t="shared" si="93"/>
        <v>876.5881889956496</v>
      </c>
      <c r="DH97" s="980">
        <f t="shared" si="94"/>
        <v>917.78283200435033</v>
      </c>
      <c r="DI97" s="979">
        <f t="shared" si="68"/>
        <v>25.893744682809157</v>
      </c>
      <c r="DJ97" s="981">
        <f t="shared" si="69"/>
        <v>26.861713790793452</v>
      </c>
      <c r="DK97" s="984">
        <f t="shared" si="70"/>
        <v>1196.9859999999999</v>
      </c>
      <c r="DL97" s="979">
        <f t="shared" si="95"/>
        <v>52.664984887404728</v>
      </c>
      <c r="DM97" s="980">
        <f t="shared" si="71"/>
        <v>566.5935039956496</v>
      </c>
      <c r="DN97" s="985">
        <f t="shared" si="72"/>
        <v>630.39249600435028</v>
      </c>
      <c r="DO97" s="984">
        <f t="shared" si="73"/>
        <v>384.61172399999998</v>
      </c>
      <c r="DP97" s="979">
        <f t="shared" si="96"/>
        <v>48.25890330893813</v>
      </c>
      <c r="DQ97" s="980">
        <f t="shared" si="85"/>
        <v>199.89768399999997</v>
      </c>
      <c r="DR97" s="985">
        <f t="shared" si="86"/>
        <v>185.60939999999999</v>
      </c>
      <c r="DS97" s="984">
        <f t="shared" si="74"/>
        <v>211.3776</v>
      </c>
      <c r="DT97" s="339">
        <f t="shared" si="97"/>
        <v>48.151240244945534</v>
      </c>
      <c r="DU97" s="980">
        <f t="shared" si="87"/>
        <v>110.09700099999999</v>
      </c>
      <c r="DV97" s="985">
        <f t="shared" si="88"/>
        <v>101.780936</v>
      </c>
      <c r="DW97" s="979">
        <f t="shared" si="89"/>
        <v>25.7</v>
      </c>
      <c r="DX97" s="981">
        <f t="shared" si="90"/>
        <v>24.8</v>
      </c>
      <c r="DY97" s="414">
        <v>33.880000000000003</v>
      </c>
      <c r="DZ97" s="111">
        <v>2008</v>
      </c>
      <c r="EA97" s="118">
        <v>2131.6445430000003</v>
      </c>
      <c r="EB97" s="123">
        <v>27.6</v>
      </c>
      <c r="EC97" s="113">
        <v>2008</v>
      </c>
      <c r="ED97" s="20">
        <v>1735.498212</v>
      </c>
      <c r="EE97" s="414">
        <v>22</v>
      </c>
      <c r="EF97" s="111">
        <v>2013</v>
      </c>
      <c r="EG97" s="380">
        <v>72.702262878417997</v>
      </c>
      <c r="EH97" s="24" t="s">
        <v>389</v>
      </c>
      <c r="EI97" s="287">
        <v>2</v>
      </c>
      <c r="EJ97" s="40">
        <v>1</v>
      </c>
      <c r="EK97" s="35" t="s">
        <v>728</v>
      </c>
      <c r="EL97" s="95" t="s">
        <v>1638</v>
      </c>
      <c r="EM97" s="95" t="s">
        <v>1641</v>
      </c>
      <c r="EN97" s="35" t="s">
        <v>145</v>
      </c>
      <c r="EO97" s="95" t="s">
        <v>1725</v>
      </c>
      <c r="EP97" s="205">
        <v>0.72</v>
      </c>
      <c r="EQ97" s="207" t="s">
        <v>145</v>
      </c>
      <c r="ER97" s="517">
        <v>2</v>
      </c>
      <c r="ES97" s="183" t="s">
        <v>3821</v>
      </c>
      <c r="ET97" s="183" t="s">
        <v>3821</v>
      </c>
      <c r="EU97" s="82" t="s">
        <v>145</v>
      </c>
      <c r="EV97" s="82" t="s">
        <v>145</v>
      </c>
      <c r="EW97" s="82" t="s">
        <v>145</v>
      </c>
      <c r="EX97" s="360" t="s">
        <v>3773</v>
      </c>
      <c r="EY97" s="159"/>
      <c r="EZ97" s="156"/>
      <c r="FA97" s="323"/>
      <c r="FB97" s="323"/>
      <c r="FC97" s="323"/>
      <c r="FD97" s="160"/>
      <c r="FE97" s="156"/>
      <c r="FF97" s="156"/>
      <c r="FG97" s="156"/>
      <c r="FH97" s="157"/>
      <c r="FI97" s="242"/>
      <c r="FJ97" s="240"/>
      <c r="FK97" s="179"/>
      <c r="FL97" s="179"/>
      <c r="FM97" s="179"/>
      <c r="FN97" s="172"/>
      <c r="FO97" s="164"/>
      <c r="FP97" s="255"/>
      <c r="FQ97" s="183"/>
      <c r="FR97" s="257"/>
      <c r="FS97" s="82"/>
      <c r="FT97" s="259"/>
      <c r="FU97" s="82"/>
      <c r="FV97" s="259"/>
      <c r="FW97" s="82"/>
      <c r="FX97" s="259"/>
      <c r="FY97" s="82"/>
      <c r="FZ97" s="259"/>
      <c r="GA97" s="82"/>
      <c r="GB97" s="261"/>
      <c r="GC97" s="90"/>
      <c r="GD97" s="76">
        <v>1</v>
      </c>
      <c r="GE97" s="445" t="s">
        <v>3424</v>
      </c>
      <c r="GF97" s="447" t="s">
        <v>580</v>
      </c>
      <c r="GG97" s="448">
        <v>7</v>
      </c>
      <c r="GH97" s="449">
        <v>6</v>
      </c>
      <c r="GI97" s="447" t="s">
        <v>145</v>
      </c>
      <c r="GJ97" s="449" t="s">
        <v>145</v>
      </c>
      <c r="GK97" s="447" t="s">
        <v>145</v>
      </c>
      <c r="GL97" s="448" t="s">
        <v>145</v>
      </c>
      <c r="GM97" s="449" t="s">
        <v>145</v>
      </c>
      <c r="GN97" s="447" t="s">
        <v>580</v>
      </c>
      <c r="GO97" s="449">
        <v>84</v>
      </c>
      <c r="GP97" s="447">
        <v>26</v>
      </c>
      <c r="GQ97" s="448">
        <v>33</v>
      </c>
      <c r="GR97" s="449">
        <v>25</v>
      </c>
      <c r="GS97" s="446">
        <v>8</v>
      </c>
      <c r="GT97" s="461">
        <v>-1.5876858234405518</v>
      </c>
      <c r="GU97" s="462">
        <v>6.4782619476318359E-2</v>
      </c>
      <c r="GV97" s="462">
        <v>-0.75852054357528687</v>
      </c>
      <c r="GW97" s="462">
        <v>-0.84973806142807007</v>
      </c>
      <c r="GX97" s="462">
        <v>-0.76938045024871826</v>
      </c>
      <c r="GY97" s="463">
        <v>-0.89936977624893188</v>
      </c>
      <c r="GZ97" s="10">
        <v>152</v>
      </c>
      <c r="HA97" s="536">
        <v>0.26588000000000001</v>
      </c>
      <c r="HB97" s="536">
        <v>0.19606999999999999</v>
      </c>
      <c r="HC97" s="525">
        <v>0.14172999999999999</v>
      </c>
      <c r="HD97" s="526">
        <v>0.16177</v>
      </c>
      <c r="HE97" s="527">
        <v>0.49409999999999998</v>
      </c>
      <c r="HF97" s="10">
        <v>134</v>
      </c>
      <c r="HG97" s="532">
        <v>2.35</v>
      </c>
      <c r="HH97" s="545">
        <v>3.1</v>
      </c>
      <c r="HI97" s="546">
        <v>0.5</v>
      </c>
      <c r="HJ97" s="547">
        <v>4.53</v>
      </c>
      <c r="HK97" s="379" t="s">
        <v>145</v>
      </c>
      <c r="HL97" s="362" t="s">
        <v>145</v>
      </c>
      <c r="HM97" s="557" t="s">
        <v>145</v>
      </c>
      <c r="HN97" s="557" t="s">
        <v>145</v>
      </c>
      <c r="HO97" s="557" t="s">
        <v>145</v>
      </c>
      <c r="HP97" s="562" t="s">
        <v>145</v>
      </c>
      <c r="HQ97" s="562" t="s">
        <v>145</v>
      </c>
      <c r="HR97" s="563" t="s">
        <v>145</v>
      </c>
      <c r="HS97" s="545" t="s">
        <v>145</v>
      </c>
      <c r="HT97" s="557" t="s">
        <v>145</v>
      </c>
      <c r="HU97" s="557" t="s">
        <v>145</v>
      </c>
      <c r="HV97" s="581" t="s">
        <v>145</v>
      </c>
      <c r="HW97" s="557" t="s">
        <v>145</v>
      </c>
      <c r="HX97" s="557" t="s">
        <v>145</v>
      </c>
      <c r="HY97" s="557" t="s">
        <v>145</v>
      </c>
      <c r="HZ97" s="557" t="s">
        <v>145</v>
      </c>
      <c r="IA97" s="557" t="s">
        <v>145</v>
      </c>
      <c r="IB97" s="557" t="s">
        <v>145</v>
      </c>
      <c r="IC97" s="547" t="s">
        <v>145</v>
      </c>
      <c r="ID97" s="660"/>
      <c r="IE97" s="550"/>
      <c r="IF97" s="550"/>
      <c r="IG97" s="553"/>
      <c r="IH97" s="339"/>
      <c r="II97" s="553" t="s">
        <v>4921</v>
      </c>
      <c r="IJ97" s="424"/>
      <c r="IK97" s="24">
        <v>0</v>
      </c>
      <c r="IL97" s="749">
        <f t="shared" si="75"/>
        <v>7</v>
      </c>
      <c r="IM97" s="747">
        <f t="shared" si="76"/>
        <v>28.000000000000004</v>
      </c>
      <c r="IN97" s="750" t="str">
        <f t="shared" si="77"/>
        <v>C</v>
      </c>
      <c r="IO97" s="446"/>
      <c r="IP97" s="902">
        <v>3</v>
      </c>
      <c r="IQ97" s="903">
        <v>0</v>
      </c>
      <c r="IR97" s="993">
        <v>0</v>
      </c>
      <c r="IT97" s="435"/>
      <c r="IU97" s="435"/>
      <c r="IV97" s="435"/>
    </row>
    <row r="98" spans="1:256">
      <c r="A98" s="21">
        <v>96</v>
      </c>
      <c r="B98" s="9"/>
      <c r="C98" s="430" t="s">
        <v>154</v>
      </c>
      <c r="D98" s="423" t="s">
        <v>408</v>
      </c>
      <c r="E98" s="697" t="s">
        <v>17</v>
      </c>
      <c r="F98" s="76" t="s">
        <v>834</v>
      </c>
      <c r="G98" s="102" t="s">
        <v>559</v>
      </c>
      <c r="H98" s="251" t="s">
        <v>2335</v>
      </c>
      <c r="I98" s="95" t="s">
        <v>2336</v>
      </c>
      <c r="J98" s="370">
        <v>1</v>
      </c>
      <c r="K98" s="359">
        <v>1918</v>
      </c>
      <c r="L98" s="371">
        <v>2</v>
      </c>
      <c r="M98" s="373" t="s">
        <v>1825</v>
      </c>
      <c r="N98" s="369" t="s">
        <v>1822</v>
      </c>
      <c r="O98" s="365" t="s">
        <v>3258</v>
      </c>
      <c r="P98" s="362" t="s">
        <v>3257</v>
      </c>
      <c r="Q98" s="370">
        <v>2</v>
      </c>
      <c r="R98" s="370">
        <v>2006</v>
      </c>
      <c r="S98" s="372" t="s">
        <v>2071</v>
      </c>
      <c r="T98" s="370">
        <v>1</v>
      </c>
      <c r="U98" s="370">
        <v>2</v>
      </c>
      <c r="V98" s="370">
        <v>18</v>
      </c>
      <c r="W98" s="369" t="s">
        <v>2036</v>
      </c>
      <c r="X98" s="170">
        <v>1</v>
      </c>
      <c r="Y98" s="369">
        <v>0</v>
      </c>
      <c r="Z98" s="271"/>
      <c r="AA98" s="169"/>
      <c r="AB98" s="177"/>
      <c r="AC98" s="171"/>
      <c r="AD98" s="366" t="s">
        <v>3259</v>
      </c>
      <c r="AE98" s="357">
        <v>2012</v>
      </c>
      <c r="AF98" s="804">
        <v>3</v>
      </c>
      <c r="AG98" s="55">
        <v>4</v>
      </c>
      <c r="AH98" s="355" t="s">
        <v>2830</v>
      </c>
      <c r="AI98" s="55">
        <v>1</v>
      </c>
      <c r="AJ98" s="55">
        <v>1</v>
      </c>
      <c r="AK98" s="590" t="s">
        <v>145</v>
      </c>
      <c r="AL98" s="386">
        <v>9</v>
      </c>
      <c r="AM98" s="361" t="s">
        <v>1599</v>
      </c>
      <c r="AN98" s="342" t="s">
        <v>145</v>
      </c>
      <c r="AO98" s="170">
        <v>0</v>
      </c>
      <c r="AP98" s="369">
        <v>0</v>
      </c>
      <c r="AQ98" s="365" t="s">
        <v>3258</v>
      </c>
      <c r="AR98" s="378" t="s">
        <v>5251</v>
      </c>
      <c r="AS98" s="55">
        <v>2</v>
      </c>
      <c r="AT98" s="370">
        <v>2</v>
      </c>
      <c r="AU98" s="371">
        <v>2007</v>
      </c>
      <c r="AV98" s="370">
        <v>10</v>
      </c>
      <c r="AW98" s="589">
        <v>1000</v>
      </c>
      <c r="AX98" s="687">
        <v>1</v>
      </c>
      <c r="AY98" s="174" t="s">
        <v>4557</v>
      </c>
      <c r="AZ98" s="55">
        <v>2010</v>
      </c>
      <c r="BA98" s="55">
        <v>1</v>
      </c>
      <c r="BB98" s="55">
        <v>1</v>
      </c>
      <c r="BC98" s="174" t="s">
        <v>4558</v>
      </c>
      <c r="BD98" s="55">
        <v>2000</v>
      </c>
      <c r="BE98" s="55">
        <v>0</v>
      </c>
      <c r="BF98" s="371" t="s">
        <v>145</v>
      </c>
      <c r="BG98" s="367">
        <v>0</v>
      </c>
      <c r="BH98" s="56" t="s">
        <v>145</v>
      </c>
      <c r="BI98" s="367">
        <v>3</v>
      </c>
      <c r="BJ98" s="367">
        <v>1</v>
      </c>
      <c r="BK98" s="888">
        <v>1970.5029999999999</v>
      </c>
      <c r="BL98" s="925">
        <f t="shared" si="62"/>
        <v>54.123896284349726</v>
      </c>
      <c r="BM98" s="888">
        <v>903.99</v>
      </c>
      <c r="BN98" s="920">
        <v>1066.5129999999999</v>
      </c>
      <c r="BO98" s="888">
        <v>95.102999999999994</v>
      </c>
      <c r="BP98" s="1158">
        <f t="shared" si="78"/>
        <v>48.407516061533286</v>
      </c>
      <c r="BQ98" s="917">
        <v>49.066000000000003</v>
      </c>
      <c r="BR98" s="920">
        <v>46.036999999999999</v>
      </c>
      <c r="BS98" s="888">
        <v>107.068</v>
      </c>
      <c r="BT98" s="1158">
        <f t="shared" si="79"/>
        <v>48.838121567601902</v>
      </c>
      <c r="BU98" s="917">
        <v>54.777999999999999</v>
      </c>
      <c r="BV98" s="920">
        <v>52.29</v>
      </c>
      <c r="BW98" s="888">
        <v>91.87</v>
      </c>
      <c r="BX98" s="1158">
        <f t="shared" si="80"/>
        <v>48.897354958092954</v>
      </c>
      <c r="BY98" s="917">
        <v>46.948</v>
      </c>
      <c r="BZ98" s="920">
        <v>44.921999999999997</v>
      </c>
      <c r="CA98" s="888">
        <f t="shared" si="81"/>
        <v>1676.462</v>
      </c>
      <c r="CB98" s="1158">
        <f t="shared" si="82"/>
        <v>55.072169843396388</v>
      </c>
      <c r="CC98" s="917">
        <f t="shared" si="83"/>
        <v>753.19799999999998</v>
      </c>
      <c r="CD98" s="920">
        <f t="shared" si="84"/>
        <v>923.2639999999999</v>
      </c>
      <c r="CE98" s="914">
        <v>2015</v>
      </c>
      <c r="CF98" s="910" t="s">
        <v>5630</v>
      </c>
      <c r="CG98" s="930">
        <v>100</v>
      </c>
      <c r="CH98" s="1005">
        <v>100</v>
      </c>
      <c r="CI98" s="1006">
        <v>100</v>
      </c>
      <c r="CJ98" s="904" t="s">
        <v>1621</v>
      </c>
      <c r="CK98" s="904" t="s">
        <v>1621</v>
      </c>
      <c r="CL98" s="904">
        <v>2011</v>
      </c>
      <c r="CM98" s="905" t="s">
        <v>5576</v>
      </c>
      <c r="CN98" s="1044">
        <v>1553.556</v>
      </c>
      <c r="CO98" s="1045">
        <f t="shared" si="63"/>
        <v>78.840580298532913</v>
      </c>
      <c r="CP98" s="1040">
        <f t="shared" si="101"/>
        <v>712.7109618407078</v>
      </c>
      <c r="CQ98" s="1041">
        <f t="shared" si="102"/>
        <v>840.84503815929236</v>
      </c>
      <c r="CR98" s="1046">
        <v>2014</v>
      </c>
      <c r="CS98" s="1047" t="s">
        <v>5926</v>
      </c>
      <c r="CT98" s="1068">
        <f t="shared" si="66"/>
        <v>18</v>
      </c>
      <c r="CU98" s="1071">
        <v>18</v>
      </c>
      <c r="CV98" s="1068" t="s">
        <v>6096</v>
      </c>
      <c r="CW98" s="1113">
        <v>1553.556</v>
      </c>
      <c r="CX98" s="1113">
        <v>1767.172</v>
      </c>
      <c r="CY98" s="1113">
        <v>2165.165</v>
      </c>
      <c r="CZ98" s="494">
        <v>1</v>
      </c>
      <c r="DA98" s="1104">
        <v>4</v>
      </c>
      <c r="DB98" s="1050" t="s">
        <v>647</v>
      </c>
      <c r="DC98" s="1146" t="s">
        <v>322</v>
      </c>
      <c r="DD98" s="978">
        <f t="shared" si="91"/>
        <v>122.90599999999995</v>
      </c>
      <c r="DE98" s="979">
        <f t="shared" si="67"/>
        <v>6.2372906816178384</v>
      </c>
      <c r="DF98" s="979">
        <f t="shared" si="92"/>
        <v>67.058534034715606</v>
      </c>
      <c r="DG98" s="980">
        <f t="shared" si="93"/>
        <v>40.487038159292183</v>
      </c>
      <c r="DH98" s="980">
        <f t="shared" si="94"/>
        <v>82.418961840707539</v>
      </c>
      <c r="DI98" s="979">
        <f t="shared" si="68"/>
        <v>4.4787042068266452</v>
      </c>
      <c r="DJ98" s="981">
        <f t="shared" si="69"/>
        <v>7.7278909718594662</v>
      </c>
      <c r="DK98" s="984">
        <f t="shared" si="70"/>
        <v>122.90599999999995</v>
      </c>
      <c r="DL98" s="979">
        <f t="shared" si="95"/>
        <v>67.058534034715606</v>
      </c>
      <c r="DM98" s="980">
        <f t="shared" si="71"/>
        <v>40.487038159292183</v>
      </c>
      <c r="DN98" s="985">
        <f t="shared" si="72"/>
        <v>82.418961840707539</v>
      </c>
      <c r="DO98" s="984">
        <f t="shared" si="73"/>
        <v>0</v>
      </c>
      <c r="DP98" s="979">
        <f t="shared" si="96"/>
        <v>0</v>
      </c>
      <c r="DQ98" s="980">
        <f t="shared" si="85"/>
        <v>0</v>
      </c>
      <c r="DR98" s="985">
        <f t="shared" si="86"/>
        <v>0</v>
      </c>
      <c r="DS98" s="984">
        <f t="shared" si="74"/>
        <v>0</v>
      </c>
      <c r="DT98" s="339">
        <f t="shared" si="97"/>
        <v>0</v>
      </c>
      <c r="DU98" s="980">
        <f t="shared" si="87"/>
        <v>0</v>
      </c>
      <c r="DV98" s="985">
        <f t="shared" si="88"/>
        <v>0</v>
      </c>
      <c r="DW98" s="979">
        <f t="shared" si="89"/>
        <v>0</v>
      </c>
      <c r="DX98" s="981">
        <f t="shared" si="90"/>
        <v>0</v>
      </c>
      <c r="DY98" s="414">
        <v>0.19</v>
      </c>
      <c r="DZ98" s="111">
        <v>2009</v>
      </c>
      <c r="EA98" s="118">
        <v>4</v>
      </c>
      <c r="EB98" s="123">
        <v>5.9</v>
      </c>
      <c r="EC98" s="113">
        <v>2004</v>
      </c>
      <c r="ED98" s="20">
        <v>130.97999999999999</v>
      </c>
      <c r="EE98" s="414" t="s">
        <v>145</v>
      </c>
      <c r="EF98" s="111" t="s">
        <v>145</v>
      </c>
      <c r="EG98" s="380">
        <v>99.895904541015597</v>
      </c>
      <c r="EH98" s="24" t="s">
        <v>348</v>
      </c>
      <c r="EI98" s="287">
        <v>0</v>
      </c>
      <c r="EJ98" s="40" t="s">
        <v>145</v>
      </c>
      <c r="EK98" s="35" t="s">
        <v>145</v>
      </c>
      <c r="EL98" s="95" t="s">
        <v>145</v>
      </c>
      <c r="EM98" s="95" t="s">
        <v>145</v>
      </c>
      <c r="EN98" s="35" t="s">
        <v>145</v>
      </c>
      <c r="EO98" s="95" t="s">
        <v>145</v>
      </c>
      <c r="EP98" s="205" t="s">
        <v>145</v>
      </c>
      <c r="EQ98" s="207" t="s">
        <v>145</v>
      </c>
      <c r="ER98" s="517" t="s">
        <v>145</v>
      </c>
      <c r="ES98" s="183"/>
      <c r="ET98" s="183"/>
      <c r="EU98" s="82"/>
      <c r="EV98" s="82"/>
      <c r="EW98" s="82"/>
      <c r="EX98" s="90"/>
      <c r="EY98" s="159"/>
      <c r="EZ98" s="156"/>
      <c r="FA98" s="323"/>
      <c r="FB98" s="323"/>
      <c r="FC98" s="323"/>
      <c r="FD98" s="160"/>
      <c r="FE98" s="156"/>
      <c r="FF98" s="156"/>
      <c r="FG98" s="156"/>
      <c r="FH98" s="157"/>
      <c r="FI98" s="242"/>
      <c r="FJ98" s="373"/>
      <c r="FK98" s="179"/>
      <c r="FL98" s="179"/>
      <c r="FM98" s="179"/>
      <c r="FN98" s="369"/>
      <c r="FO98" s="164"/>
      <c r="FP98" s="255"/>
      <c r="FQ98" s="183"/>
      <c r="FR98" s="257"/>
      <c r="FS98" s="82"/>
      <c r="FT98" s="259"/>
      <c r="FU98" s="82"/>
      <c r="FV98" s="259"/>
      <c r="FW98" s="82"/>
      <c r="FX98" s="259"/>
      <c r="FY98" s="82"/>
      <c r="FZ98" s="259"/>
      <c r="GA98" s="82"/>
      <c r="GB98" s="261"/>
      <c r="GC98" s="90"/>
      <c r="GD98" s="76">
        <v>1</v>
      </c>
      <c r="GE98" s="445" t="s">
        <v>3424</v>
      </c>
      <c r="GF98" s="447" t="s">
        <v>10</v>
      </c>
      <c r="GG98" s="448">
        <v>2</v>
      </c>
      <c r="GH98" s="449">
        <v>2</v>
      </c>
      <c r="GI98" s="447" t="s">
        <v>145</v>
      </c>
      <c r="GJ98" s="449" t="s">
        <v>145</v>
      </c>
      <c r="GK98" s="447" t="s">
        <v>145</v>
      </c>
      <c r="GL98" s="448" t="s">
        <v>145</v>
      </c>
      <c r="GM98" s="449" t="s">
        <v>145</v>
      </c>
      <c r="GN98" s="447" t="s">
        <v>10</v>
      </c>
      <c r="GO98" s="449">
        <v>27</v>
      </c>
      <c r="GP98" s="447">
        <v>6</v>
      </c>
      <c r="GQ98" s="448">
        <v>11</v>
      </c>
      <c r="GR98" s="449">
        <v>10</v>
      </c>
      <c r="GS98" s="446">
        <v>8</v>
      </c>
      <c r="GT98" s="461">
        <v>0.73640942573547363</v>
      </c>
      <c r="GU98" s="462">
        <v>0.57266116142272949</v>
      </c>
      <c r="GV98" s="462">
        <v>0.88197612762451172</v>
      </c>
      <c r="GW98" s="462">
        <v>1.026598334312439</v>
      </c>
      <c r="GX98" s="462">
        <v>0.74585670232772827</v>
      </c>
      <c r="GY98" s="463">
        <v>0.26569867134094238</v>
      </c>
      <c r="GZ98" s="10">
        <v>31</v>
      </c>
      <c r="HA98" s="536">
        <v>0.71775</v>
      </c>
      <c r="HB98" s="536">
        <v>0.70587999999999995</v>
      </c>
      <c r="HC98" s="525">
        <v>0.70077999999999996</v>
      </c>
      <c r="HD98" s="526">
        <v>0.62366999999999995</v>
      </c>
      <c r="HE98" s="527">
        <v>0.82879999999999998</v>
      </c>
      <c r="HF98" s="10">
        <v>33</v>
      </c>
      <c r="HG98" s="532">
        <v>7.03</v>
      </c>
      <c r="HH98" s="545">
        <v>7.29</v>
      </c>
      <c r="HI98" s="546">
        <v>5.91</v>
      </c>
      <c r="HJ98" s="547">
        <v>8.75</v>
      </c>
      <c r="HK98" s="379" t="s">
        <v>4076</v>
      </c>
      <c r="HL98" s="23" t="s">
        <v>4748</v>
      </c>
      <c r="HM98" s="557">
        <v>2000</v>
      </c>
      <c r="HN98" s="557">
        <v>2002</v>
      </c>
      <c r="HO98" s="557" t="s">
        <v>3985</v>
      </c>
      <c r="HP98" s="562" t="s">
        <v>4077</v>
      </c>
      <c r="HQ98" s="639" t="s">
        <v>4749</v>
      </c>
      <c r="HR98" s="563" t="s">
        <v>4016</v>
      </c>
      <c r="HS98" s="545">
        <v>71</v>
      </c>
      <c r="HT98" s="557">
        <v>72</v>
      </c>
      <c r="HU98" s="557">
        <v>1998</v>
      </c>
      <c r="HV98" s="583" t="s">
        <v>4214</v>
      </c>
      <c r="HW98" s="557">
        <v>4</v>
      </c>
      <c r="HX98" s="557">
        <v>30</v>
      </c>
      <c r="HY98" s="557">
        <v>18</v>
      </c>
      <c r="HZ98" s="557">
        <v>14</v>
      </c>
      <c r="IA98" s="557">
        <v>4</v>
      </c>
      <c r="IB98" s="557">
        <v>2</v>
      </c>
      <c r="IC98" s="547">
        <v>0</v>
      </c>
      <c r="ID98" s="40" t="s">
        <v>5199</v>
      </c>
      <c r="IE98" s="550"/>
      <c r="IF98" s="550"/>
      <c r="IG98" s="553"/>
      <c r="IH98" s="115"/>
      <c r="II98" s="647" t="s">
        <v>4920</v>
      </c>
      <c r="IJ98" s="423" t="s">
        <v>4925</v>
      </c>
      <c r="IK98" s="10">
        <v>0</v>
      </c>
      <c r="IL98" s="749">
        <f t="shared" si="75"/>
        <v>20</v>
      </c>
      <c r="IM98" s="747">
        <f t="shared" si="76"/>
        <v>80</v>
      </c>
      <c r="IN98" s="750" t="str">
        <f t="shared" si="77"/>
        <v>A</v>
      </c>
      <c r="IO98" s="446"/>
      <c r="IP98" s="902">
        <v>4</v>
      </c>
      <c r="IQ98" s="903">
        <v>0</v>
      </c>
      <c r="IR98" s="993">
        <v>0</v>
      </c>
      <c r="IT98" s="435"/>
      <c r="IU98" s="435"/>
      <c r="IV98" s="435"/>
    </row>
    <row r="99" spans="1:256">
      <c r="A99" s="21">
        <v>97</v>
      </c>
      <c r="B99" s="9"/>
      <c r="C99" s="430" t="s">
        <v>156</v>
      </c>
      <c r="D99" s="423" t="s">
        <v>410</v>
      </c>
      <c r="E99" s="24" t="s">
        <v>12</v>
      </c>
      <c r="F99" s="76" t="s">
        <v>835</v>
      </c>
      <c r="G99" s="102" t="s">
        <v>551</v>
      </c>
      <c r="H99" s="375" t="s">
        <v>3260</v>
      </c>
      <c r="I99" s="95" t="s">
        <v>2339</v>
      </c>
      <c r="J99" s="176">
        <v>2</v>
      </c>
      <c r="K99" s="88">
        <v>1926</v>
      </c>
      <c r="L99" s="371">
        <v>2</v>
      </c>
      <c r="M99" s="240" t="s">
        <v>145</v>
      </c>
      <c r="N99" s="369" t="s">
        <v>1822</v>
      </c>
      <c r="O99" s="365" t="s">
        <v>3260</v>
      </c>
      <c r="P99" s="362" t="s">
        <v>2798</v>
      </c>
      <c r="Q99" s="370">
        <v>2</v>
      </c>
      <c r="R99" s="370">
        <v>1970</v>
      </c>
      <c r="S99" s="234" t="s">
        <v>3262</v>
      </c>
      <c r="T99" s="176">
        <v>1</v>
      </c>
      <c r="U99" s="370">
        <v>2</v>
      </c>
      <c r="V99" s="176" t="s">
        <v>145</v>
      </c>
      <c r="W99" s="369" t="s">
        <v>1822</v>
      </c>
      <c r="X99" s="170">
        <v>1</v>
      </c>
      <c r="Y99" s="369">
        <v>1</v>
      </c>
      <c r="Z99" s="273" t="s">
        <v>3261</v>
      </c>
      <c r="AA99" s="169"/>
      <c r="AB99" s="177">
        <v>1</v>
      </c>
      <c r="AC99" s="171"/>
      <c r="AD99" s="365" t="s">
        <v>3260</v>
      </c>
      <c r="AE99" s="357">
        <v>2006</v>
      </c>
      <c r="AF99" s="357">
        <v>1</v>
      </c>
      <c r="AG99" s="550" t="s">
        <v>4273</v>
      </c>
      <c r="AH99" s="355" t="s">
        <v>323</v>
      </c>
      <c r="AI99" s="55">
        <v>0</v>
      </c>
      <c r="AJ99" s="55">
        <v>0</v>
      </c>
      <c r="AK99" s="590" t="s">
        <v>145</v>
      </c>
      <c r="AL99" s="391">
        <v>9</v>
      </c>
      <c r="AM99" s="361" t="s">
        <v>3263</v>
      </c>
      <c r="AN99" s="397">
        <v>3</v>
      </c>
      <c r="AO99" s="170">
        <v>0</v>
      </c>
      <c r="AP99" s="172">
        <v>0</v>
      </c>
      <c r="AQ99" s="365" t="s">
        <v>5370</v>
      </c>
      <c r="AR99" s="362" t="s">
        <v>4934</v>
      </c>
      <c r="AS99" s="55">
        <v>2</v>
      </c>
      <c r="AT99" s="370">
        <v>3</v>
      </c>
      <c r="AU99" s="371">
        <v>2014</v>
      </c>
      <c r="AV99" s="370">
        <v>5</v>
      </c>
      <c r="AW99" s="589" t="s">
        <v>145</v>
      </c>
      <c r="AX99" s="687">
        <v>0</v>
      </c>
      <c r="AY99" s="174" t="s">
        <v>4559</v>
      </c>
      <c r="AZ99" s="55">
        <v>2002</v>
      </c>
      <c r="BA99" s="55">
        <v>1</v>
      </c>
      <c r="BB99" s="55">
        <v>0</v>
      </c>
      <c r="BC99" s="108" t="s">
        <v>145</v>
      </c>
      <c r="BD99" s="55" t="s">
        <v>145</v>
      </c>
      <c r="BE99" s="55">
        <v>0</v>
      </c>
      <c r="BF99" s="371" t="s">
        <v>145</v>
      </c>
      <c r="BG99" s="371">
        <v>0</v>
      </c>
      <c r="BH99" s="56" t="s">
        <v>145</v>
      </c>
      <c r="BI99" s="371">
        <v>0</v>
      </c>
      <c r="BJ99" s="371">
        <v>0</v>
      </c>
      <c r="BK99" s="888">
        <v>5850.7430000000004</v>
      </c>
      <c r="BL99" s="925">
        <f t="shared" ref="BL99:BL130" si="103">BN99/BK99*100</f>
        <v>49.775114032525437</v>
      </c>
      <c r="BM99" s="888">
        <v>2938.529</v>
      </c>
      <c r="BN99" s="920">
        <v>2912.2139999999999</v>
      </c>
      <c r="BO99" s="888">
        <v>461.13299999999998</v>
      </c>
      <c r="BP99" s="1158">
        <f t="shared" si="78"/>
        <v>49.353223473488129</v>
      </c>
      <c r="BQ99" s="917">
        <v>233.54900000000001</v>
      </c>
      <c r="BR99" s="920">
        <v>227.584</v>
      </c>
      <c r="BS99" s="888">
        <v>438.53899999999999</v>
      </c>
      <c r="BT99" s="1158">
        <f t="shared" si="79"/>
        <v>50.206025005757759</v>
      </c>
      <c r="BU99" s="917">
        <v>218.36600000000001</v>
      </c>
      <c r="BV99" s="920">
        <v>220.173</v>
      </c>
      <c r="BW99" s="888">
        <v>504.09899999999999</v>
      </c>
      <c r="BX99" s="1158">
        <f t="shared" si="80"/>
        <v>50.860247689441962</v>
      </c>
      <c r="BY99" s="917">
        <v>247.71299999999999</v>
      </c>
      <c r="BZ99" s="920">
        <v>256.38600000000002</v>
      </c>
      <c r="CA99" s="888">
        <f t="shared" si="81"/>
        <v>4446.9720000000007</v>
      </c>
      <c r="CB99" s="1158">
        <f t="shared" si="82"/>
        <v>49.653359634375931</v>
      </c>
      <c r="CC99" s="917">
        <f t="shared" si="83"/>
        <v>2238.9009999999998</v>
      </c>
      <c r="CD99" s="920">
        <f t="shared" si="84"/>
        <v>2208.0710000000004</v>
      </c>
      <c r="CE99" s="914">
        <v>2015</v>
      </c>
      <c r="CF99" s="910" t="s">
        <v>5630</v>
      </c>
      <c r="CG99" s="930">
        <v>99.5</v>
      </c>
      <c r="CH99" s="495">
        <v>99.5</v>
      </c>
      <c r="CI99" s="497">
        <v>99.6</v>
      </c>
      <c r="CJ99" s="904" t="s">
        <v>1621</v>
      </c>
      <c r="CK99" s="904" t="s">
        <v>1621</v>
      </c>
      <c r="CL99" s="904">
        <v>2009</v>
      </c>
      <c r="CM99" s="905" t="s">
        <v>5573</v>
      </c>
      <c r="CN99" s="1044">
        <v>3258.5729999999999</v>
      </c>
      <c r="CO99" s="1045">
        <f t="shared" ref="CO99:CO130" si="104">CN99/BK99*100</f>
        <v>55.695028819416606</v>
      </c>
      <c r="CP99" s="1040">
        <f t="shared" si="101"/>
        <v>1636.6145734169149</v>
      </c>
      <c r="CQ99" s="1041">
        <f t="shared" si="102"/>
        <v>1621.9584265830852</v>
      </c>
      <c r="CR99" s="1046">
        <v>2009</v>
      </c>
      <c r="CS99" s="1047" t="s">
        <v>5927</v>
      </c>
      <c r="CT99" s="1068" t="str">
        <f t="shared" ref="CT99:CT130" si="105">V99</f>
        <v>-</v>
      </c>
      <c r="CU99" s="1071">
        <v>21</v>
      </c>
      <c r="CV99" s="1068" t="s">
        <v>6097</v>
      </c>
      <c r="CW99" s="1113">
        <v>3258.5729999999999</v>
      </c>
      <c r="CX99" s="1113">
        <v>2651.4119999999998</v>
      </c>
      <c r="CY99" s="1113">
        <v>4099.3149999999996</v>
      </c>
      <c r="CZ99" s="494">
        <v>1</v>
      </c>
      <c r="DA99" s="1104">
        <v>4</v>
      </c>
      <c r="DB99" s="1050" t="s">
        <v>647</v>
      </c>
      <c r="DC99" s="1146" t="s">
        <v>322</v>
      </c>
      <c r="DD99" s="978">
        <f t="shared" si="91"/>
        <v>1195.4178550000008</v>
      </c>
      <c r="DE99" s="979">
        <f t="shared" ref="DE99:DE130" si="106">DD99/BK99*100</f>
        <v>20.431898222157439</v>
      </c>
      <c r="DF99" s="979">
        <f t="shared" si="92"/>
        <v>49.265547018027007</v>
      </c>
      <c r="DG99" s="980">
        <f t="shared" si="93"/>
        <v>605.78456658308482</v>
      </c>
      <c r="DH99" s="980">
        <f t="shared" si="94"/>
        <v>588.92914541691528</v>
      </c>
      <c r="DI99" s="979">
        <f t="shared" ref="DI99:DI130" si="107">DG99/BM99*100</f>
        <v>20.615231858630111</v>
      </c>
      <c r="DJ99" s="981">
        <f t="shared" ref="DJ99:DJ130" si="108">DH99/BN99*100</f>
        <v>20.222729010193458</v>
      </c>
      <c r="DK99" s="984">
        <f t="shared" ref="DK99:DK130" si="109">IF(OR($CZ99=1,$CZ99=10),CA99-CN99,BK99-CN99-DO99-DS99)</f>
        <v>1188.3990000000008</v>
      </c>
      <c r="DL99" s="979">
        <f t="shared" si="95"/>
        <v>49.319510822283995</v>
      </c>
      <c r="DM99" s="980">
        <f t="shared" ref="DM99:DM130" si="110">IF(OR($CZ99=1,$CZ99=10),CC99-CP99,BM99-CP99-DQ99-DU99)</f>
        <v>602.2864265830849</v>
      </c>
      <c r="DN99" s="985">
        <f t="shared" ref="DN99:DN130" si="111">IF(OR($CZ99=1,$CZ99=10),CD99-CQ99,BN99-CQ99-DR99-DV99)</f>
        <v>586.11257341691521</v>
      </c>
      <c r="DO99" s="984">
        <f t="shared" ref="DO99:DO130" si="112">BS99*(1-$CG99/100)+BW99*(1-$CG99/100)</f>
        <v>4.7131900000000044</v>
      </c>
      <c r="DP99" s="979">
        <f t="shared" si="96"/>
        <v>40.44470942185653</v>
      </c>
      <c r="DQ99" s="980">
        <f t="shared" si="85"/>
        <v>2.330395000000002</v>
      </c>
      <c r="DR99" s="985">
        <f t="shared" si="86"/>
        <v>1.9062360000000016</v>
      </c>
      <c r="DS99" s="984">
        <f t="shared" ref="DS99:DS130" si="113">BO99*(1-$CG99/100)</f>
        <v>2.3056650000000021</v>
      </c>
      <c r="DT99" s="339">
        <f t="shared" si="97"/>
        <v>39.482578778790497</v>
      </c>
      <c r="DU99" s="980">
        <f t="shared" si="87"/>
        <v>1.1677450000000011</v>
      </c>
      <c r="DV99" s="985">
        <f t="shared" si="88"/>
        <v>0.91033600000000081</v>
      </c>
      <c r="DW99" s="979">
        <f t="shared" si="89"/>
        <v>0.50000000000000044</v>
      </c>
      <c r="DX99" s="981">
        <f t="shared" si="90"/>
        <v>0.40000000000000036</v>
      </c>
      <c r="DY99" s="414">
        <v>8</v>
      </c>
      <c r="DZ99" s="111">
        <v>2013</v>
      </c>
      <c r="EA99" s="118" t="e">
        <f>#REF!*DY99/100</f>
        <v>#REF!</v>
      </c>
      <c r="EB99" s="123">
        <v>28.6</v>
      </c>
      <c r="EC99" s="113">
        <v>2013</v>
      </c>
      <c r="ED99" s="20" t="e">
        <f>#REF!*EB99/100</f>
        <v>#REF!</v>
      </c>
      <c r="EE99" s="414">
        <v>28</v>
      </c>
      <c r="EF99" s="111">
        <v>1999</v>
      </c>
      <c r="EG99" s="380">
        <v>89.612442016601605</v>
      </c>
      <c r="EH99" s="24" t="s">
        <v>328</v>
      </c>
      <c r="EI99" s="287">
        <v>0</v>
      </c>
      <c r="EJ99" s="40" t="s">
        <v>145</v>
      </c>
      <c r="EK99" s="35" t="s">
        <v>145</v>
      </c>
      <c r="EL99" s="95" t="s">
        <v>145</v>
      </c>
      <c r="EM99" s="95" t="s">
        <v>145</v>
      </c>
      <c r="EN99" s="35" t="s">
        <v>145</v>
      </c>
      <c r="EO99" s="95" t="s">
        <v>145</v>
      </c>
      <c r="EP99" s="205" t="s">
        <v>145</v>
      </c>
      <c r="EQ99" s="207" t="s">
        <v>145</v>
      </c>
      <c r="ER99" s="517" t="s">
        <v>145</v>
      </c>
      <c r="ES99" s="183"/>
      <c r="ET99" s="183"/>
      <c r="EU99" s="82"/>
      <c r="EV99" s="82"/>
      <c r="EW99" s="82"/>
      <c r="EX99" s="90"/>
      <c r="EY99" s="159"/>
      <c r="EZ99" s="156"/>
      <c r="FA99" s="323"/>
      <c r="FB99" s="323"/>
      <c r="FC99" s="323"/>
      <c r="FD99" s="160"/>
      <c r="FE99" s="156"/>
      <c r="FF99" s="156"/>
      <c r="FG99" s="156"/>
      <c r="FH99" s="157"/>
      <c r="FI99" s="242"/>
      <c r="FJ99" s="240"/>
      <c r="FK99" s="179"/>
      <c r="FL99" s="179"/>
      <c r="FM99" s="179"/>
      <c r="FN99" s="369"/>
      <c r="FO99" s="164"/>
      <c r="FP99" s="255"/>
      <c r="FQ99" s="183"/>
      <c r="FR99" s="257"/>
      <c r="FS99" s="82"/>
      <c r="FT99" s="259"/>
      <c r="FU99" s="82"/>
      <c r="FV99" s="259"/>
      <c r="FW99" s="82"/>
      <c r="FX99" s="259"/>
      <c r="FY99" s="82"/>
      <c r="FZ99" s="259"/>
      <c r="GA99" s="82"/>
      <c r="GB99" s="261"/>
      <c r="GC99" s="90"/>
      <c r="GD99" s="76">
        <v>1</v>
      </c>
      <c r="GE99" s="445" t="s">
        <v>3424</v>
      </c>
      <c r="GF99" s="447" t="s">
        <v>590</v>
      </c>
      <c r="GG99" s="448">
        <v>5</v>
      </c>
      <c r="GH99" s="449">
        <v>4</v>
      </c>
      <c r="GI99" s="447" t="s">
        <v>590</v>
      </c>
      <c r="GJ99" s="449">
        <v>47</v>
      </c>
      <c r="GK99" s="447">
        <v>14</v>
      </c>
      <c r="GL99" s="448">
        <v>12</v>
      </c>
      <c r="GM99" s="449">
        <v>21</v>
      </c>
      <c r="GN99" s="447" t="s">
        <v>590</v>
      </c>
      <c r="GO99" s="449">
        <v>53</v>
      </c>
      <c r="GP99" s="447">
        <v>18</v>
      </c>
      <c r="GQ99" s="448">
        <v>21</v>
      </c>
      <c r="GR99" s="449">
        <v>14</v>
      </c>
      <c r="GS99" s="446">
        <v>6</v>
      </c>
      <c r="GT99" s="461">
        <v>-0.44067946076393127</v>
      </c>
      <c r="GU99" s="462">
        <v>-1.69492506980896</v>
      </c>
      <c r="GV99" s="462">
        <v>-0.39132723212242126</v>
      </c>
      <c r="GW99" s="462">
        <v>-8.6206056177616119E-2</v>
      </c>
      <c r="GX99" s="462">
        <v>-0.77628809213638306</v>
      </c>
      <c r="GY99" s="463">
        <v>-0.92491239309310913</v>
      </c>
      <c r="GZ99" s="10">
        <v>89</v>
      </c>
      <c r="HA99" s="536">
        <v>0.49823000000000001</v>
      </c>
      <c r="HB99" s="536">
        <v>0.29410999999999998</v>
      </c>
      <c r="HC99" s="525">
        <v>0.35432999999999998</v>
      </c>
      <c r="HD99" s="526">
        <v>0.40298</v>
      </c>
      <c r="HE99" s="527">
        <v>0.73740000000000006</v>
      </c>
      <c r="HF99" s="10">
        <v>62</v>
      </c>
      <c r="HG99" s="532">
        <v>5.71</v>
      </c>
      <c r="HH99" s="545">
        <v>6.45</v>
      </c>
      <c r="HI99" s="546">
        <v>4.33</v>
      </c>
      <c r="HJ99" s="547">
        <v>6.99</v>
      </c>
      <c r="HK99" s="379" t="s">
        <v>145</v>
      </c>
      <c r="HL99" s="362" t="s">
        <v>145</v>
      </c>
      <c r="HM99" s="557" t="s">
        <v>145</v>
      </c>
      <c r="HN99" s="557" t="s">
        <v>145</v>
      </c>
      <c r="HO99" s="557" t="s">
        <v>145</v>
      </c>
      <c r="HP99" s="562" t="s">
        <v>145</v>
      </c>
      <c r="HQ99" s="562" t="s">
        <v>145</v>
      </c>
      <c r="HR99" s="563" t="s">
        <v>145</v>
      </c>
      <c r="HS99" s="545" t="s">
        <v>145</v>
      </c>
      <c r="HT99" s="557" t="s">
        <v>145</v>
      </c>
      <c r="HU99" s="557" t="s">
        <v>145</v>
      </c>
      <c r="HV99" s="581" t="s">
        <v>145</v>
      </c>
      <c r="HW99" s="557" t="s">
        <v>145</v>
      </c>
      <c r="HX99" s="557" t="s">
        <v>145</v>
      </c>
      <c r="HY99" s="557" t="s">
        <v>145</v>
      </c>
      <c r="HZ99" s="557" t="s">
        <v>145</v>
      </c>
      <c r="IA99" s="557" t="s">
        <v>145</v>
      </c>
      <c r="IB99" s="557" t="s">
        <v>145</v>
      </c>
      <c r="IC99" s="547" t="s">
        <v>145</v>
      </c>
      <c r="ID99" s="40"/>
      <c r="IE99" s="550"/>
      <c r="IF99" s="550"/>
      <c r="IG99" s="553"/>
      <c r="IH99" s="115"/>
      <c r="II99" s="647" t="s">
        <v>4922</v>
      </c>
      <c r="IJ99" s="423" t="s">
        <v>4926</v>
      </c>
      <c r="IK99" s="10">
        <v>0</v>
      </c>
      <c r="IL99" s="749">
        <f t="shared" ref="IL99:IL130" si="114">L99+T99+U99+AF99+(IF(AG99="2B",2,IF(AG99="3B",3,IF(AG99="4B",4,AG99))))+AS99+BA99+BB99+BE99+BG99+BI99+BJ99</f>
        <v>12</v>
      </c>
      <c r="IM99" s="747">
        <f t="shared" ref="IM99:IM130" si="115">IL99/25*100</f>
        <v>48</v>
      </c>
      <c r="IN99" s="750" t="str">
        <f t="shared" ref="IN99:IN130" si="116">IF(IM99&lt;25,"D",IF(IM99&lt;50,"C",IF(IM99&lt;75,"B","A")))</f>
        <v>C</v>
      </c>
      <c r="IO99" s="446"/>
      <c r="IP99" s="902">
        <v>4</v>
      </c>
      <c r="IQ99" s="903">
        <v>0</v>
      </c>
      <c r="IR99" s="993">
        <v>0</v>
      </c>
      <c r="IT99" s="435"/>
      <c r="IU99" s="435"/>
      <c r="IV99" s="435"/>
    </row>
    <row r="100" spans="1:256">
      <c r="A100" s="21">
        <v>98</v>
      </c>
      <c r="B100" s="9"/>
      <c r="C100" s="430" t="s">
        <v>158</v>
      </c>
      <c r="D100" s="423" t="s">
        <v>406</v>
      </c>
      <c r="E100" s="24" t="s">
        <v>20</v>
      </c>
      <c r="F100" s="76" t="s">
        <v>836</v>
      </c>
      <c r="G100" s="102" t="s">
        <v>556</v>
      </c>
      <c r="H100" s="375" t="s">
        <v>2341</v>
      </c>
      <c r="I100" s="364" t="s">
        <v>2340</v>
      </c>
      <c r="J100" s="176">
        <v>2</v>
      </c>
      <c r="K100" s="88">
        <v>1973</v>
      </c>
      <c r="L100" s="371">
        <v>2</v>
      </c>
      <c r="M100" s="240" t="s">
        <v>145</v>
      </c>
      <c r="N100" s="369" t="s">
        <v>1822</v>
      </c>
      <c r="O100" s="365" t="s">
        <v>970</v>
      </c>
      <c r="P100" s="362" t="s">
        <v>3264</v>
      </c>
      <c r="Q100" s="370">
        <v>6</v>
      </c>
      <c r="R100" s="370">
        <v>2003</v>
      </c>
      <c r="S100" s="234" t="s">
        <v>2852</v>
      </c>
      <c r="T100" s="176">
        <v>1</v>
      </c>
      <c r="U100" s="176">
        <v>2</v>
      </c>
      <c r="V100" s="176">
        <v>18</v>
      </c>
      <c r="W100" s="369" t="s">
        <v>1822</v>
      </c>
      <c r="X100" s="170">
        <v>0</v>
      </c>
      <c r="Y100" s="369">
        <v>0</v>
      </c>
      <c r="Z100" s="271"/>
      <c r="AA100" s="169"/>
      <c r="AB100" s="177"/>
      <c r="AC100" s="171"/>
      <c r="AD100" s="366" t="s">
        <v>2921</v>
      </c>
      <c r="AE100" s="695">
        <v>2015</v>
      </c>
      <c r="AF100" s="55">
        <v>1</v>
      </c>
      <c r="AG100" s="550" t="s">
        <v>4272</v>
      </c>
      <c r="AH100" s="550" t="s">
        <v>323</v>
      </c>
      <c r="AI100" s="55">
        <v>0</v>
      </c>
      <c r="AJ100" s="550">
        <v>0</v>
      </c>
      <c r="AK100" s="590" t="s">
        <v>145</v>
      </c>
      <c r="AL100" s="386">
        <v>10</v>
      </c>
      <c r="AM100" s="361" t="s">
        <v>2920</v>
      </c>
      <c r="AN100" s="344">
        <v>6</v>
      </c>
      <c r="AO100" s="170">
        <v>0</v>
      </c>
      <c r="AP100" s="172">
        <v>0</v>
      </c>
      <c r="AQ100" s="365" t="s">
        <v>5371</v>
      </c>
      <c r="AR100" s="378" t="s">
        <v>5372</v>
      </c>
      <c r="AS100" s="55">
        <v>2</v>
      </c>
      <c r="AT100" s="370">
        <v>2</v>
      </c>
      <c r="AU100" s="371">
        <v>2011</v>
      </c>
      <c r="AV100" s="370">
        <v>5</v>
      </c>
      <c r="AW100" s="589" t="s">
        <v>145</v>
      </c>
      <c r="AX100" s="687">
        <v>0</v>
      </c>
      <c r="AY100" s="174" t="s">
        <v>4502</v>
      </c>
      <c r="AZ100" s="550">
        <v>2012</v>
      </c>
      <c r="BA100" s="550">
        <v>1</v>
      </c>
      <c r="BB100" s="550">
        <v>1</v>
      </c>
      <c r="BC100" s="174" t="s">
        <v>4503</v>
      </c>
      <c r="BD100" s="550">
        <v>2012</v>
      </c>
      <c r="BE100" s="55">
        <v>0</v>
      </c>
      <c r="BF100" s="371" t="s">
        <v>145</v>
      </c>
      <c r="BG100" s="371">
        <v>0</v>
      </c>
      <c r="BH100" s="56" t="s">
        <v>145</v>
      </c>
      <c r="BI100" s="371">
        <v>0</v>
      </c>
      <c r="BJ100" s="371">
        <v>1</v>
      </c>
      <c r="BK100" s="888">
        <v>2135.0219999999999</v>
      </c>
      <c r="BL100" s="925">
        <f t="shared" si="103"/>
        <v>50.502851961244431</v>
      </c>
      <c r="BM100" s="888">
        <v>1056.7750000000001</v>
      </c>
      <c r="BN100" s="920">
        <v>1078.2470000000001</v>
      </c>
      <c r="BO100" s="888">
        <v>278.39499999999998</v>
      </c>
      <c r="BP100" s="1158">
        <f t="shared" si="78"/>
        <v>49.611523195459696</v>
      </c>
      <c r="BQ100" s="917">
        <v>140.279</v>
      </c>
      <c r="BR100" s="920">
        <v>138.11600000000001</v>
      </c>
      <c r="BS100" s="888">
        <v>249.221</v>
      </c>
      <c r="BT100" s="1158">
        <f t="shared" si="79"/>
        <v>49.643489112073219</v>
      </c>
      <c r="BU100" s="917">
        <v>125.499</v>
      </c>
      <c r="BV100" s="920">
        <v>123.72199999999999</v>
      </c>
      <c r="BW100" s="888">
        <v>242.54300000000001</v>
      </c>
      <c r="BX100" s="1158">
        <f t="shared" si="80"/>
        <v>49.562345645926698</v>
      </c>
      <c r="BY100" s="917">
        <v>122.333</v>
      </c>
      <c r="BZ100" s="920">
        <v>120.21</v>
      </c>
      <c r="CA100" s="888">
        <f t="shared" si="81"/>
        <v>1364.8629999999998</v>
      </c>
      <c r="CB100" s="1158">
        <f t="shared" si="82"/>
        <v>51.008709299028553</v>
      </c>
      <c r="CC100" s="917">
        <f t="shared" si="83"/>
        <v>668.6640000000001</v>
      </c>
      <c r="CD100" s="920">
        <f t="shared" si="84"/>
        <v>696.19900000000007</v>
      </c>
      <c r="CE100" s="914">
        <v>2015</v>
      </c>
      <c r="CF100" s="910" t="s">
        <v>5630</v>
      </c>
      <c r="CG100" s="1026">
        <v>45.1</v>
      </c>
      <c r="CH100" s="495">
        <v>45.7</v>
      </c>
      <c r="CI100" s="497">
        <v>44.6</v>
      </c>
      <c r="CJ100" s="904">
        <v>43.4</v>
      </c>
      <c r="CK100" s="904">
        <v>45.5</v>
      </c>
      <c r="CL100" s="904">
        <v>2009</v>
      </c>
      <c r="CM100" s="905" t="s">
        <v>5575</v>
      </c>
      <c r="CN100" s="1051">
        <v>1210.079</v>
      </c>
      <c r="CO100" s="1045">
        <f t="shared" si="104"/>
        <v>56.677589270742878</v>
      </c>
      <c r="CP100" s="1040">
        <f t="shared" si="101"/>
        <v>598.95459401589301</v>
      </c>
      <c r="CQ100" s="1041">
        <f t="shared" si="102"/>
        <v>611.12440598410694</v>
      </c>
      <c r="CR100" s="1046">
        <v>2015</v>
      </c>
      <c r="CS100" s="1047" t="s">
        <v>5812</v>
      </c>
      <c r="CT100" s="1068">
        <f t="shared" si="105"/>
        <v>18</v>
      </c>
      <c r="CU100" s="1071">
        <v>18</v>
      </c>
      <c r="CV100" s="1068" t="s">
        <v>6098</v>
      </c>
      <c r="CW100" s="1113">
        <v>1210.079</v>
      </c>
      <c r="CX100" s="1113">
        <v>1133.1010000000001</v>
      </c>
      <c r="CY100" s="1113">
        <v>2073</v>
      </c>
      <c r="CZ100" s="494">
        <v>1</v>
      </c>
      <c r="DA100" s="1104">
        <v>4</v>
      </c>
      <c r="DB100" s="1050" t="s">
        <v>5753</v>
      </c>
      <c r="DC100" s="1143" t="s">
        <v>320</v>
      </c>
      <c r="DD100" s="978">
        <f t="shared" si="91"/>
        <v>577.60129099999983</v>
      </c>
      <c r="DE100" s="979">
        <f t="shared" si="106"/>
        <v>27.053645864070713</v>
      </c>
      <c r="DF100" s="979">
        <f t="shared" si="92"/>
        <v>51.372666688844582</v>
      </c>
      <c r="DG100" s="980">
        <f t="shared" si="93"/>
        <v>280.45367898410706</v>
      </c>
      <c r="DH100" s="980">
        <f t="shared" si="94"/>
        <v>296.72918601589316</v>
      </c>
      <c r="DI100" s="979">
        <f t="shared" si="107"/>
        <v>26.538636794408177</v>
      </c>
      <c r="DJ100" s="981">
        <f t="shared" si="108"/>
        <v>27.519593007529181</v>
      </c>
      <c r="DK100" s="984">
        <f t="shared" si="109"/>
        <v>154.78399999999988</v>
      </c>
      <c r="DL100" s="979">
        <f t="shared" si="95"/>
        <v>54.963429046860909</v>
      </c>
      <c r="DM100" s="980">
        <f t="shared" si="110"/>
        <v>69.709405984107093</v>
      </c>
      <c r="DN100" s="985">
        <f t="shared" si="111"/>
        <v>85.074594015893126</v>
      </c>
      <c r="DO100" s="984">
        <f t="shared" si="112"/>
        <v>269.97843599999999</v>
      </c>
      <c r="DP100" s="979">
        <f t="shared" si="96"/>
        <v>50.055230336988842</v>
      </c>
      <c r="DQ100" s="980">
        <f t="shared" si="85"/>
        <v>134.57277599999998</v>
      </c>
      <c r="DR100" s="985">
        <f t="shared" si="86"/>
        <v>135.138328</v>
      </c>
      <c r="DS100" s="984">
        <f t="shared" si="113"/>
        <v>152.83885499999997</v>
      </c>
      <c r="DT100" s="339">
        <f t="shared" si="97"/>
        <v>50.063358561538585</v>
      </c>
      <c r="DU100" s="980">
        <f t="shared" si="87"/>
        <v>76.171496999999988</v>
      </c>
      <c r="DV100" s="985">
        <f t="shared" si="88"/>
        <v>76.516264000000021</v>
      </c>
      <c r="DW100" s="979">
        <f t="shared" si="89"/>
        <v>54.29999999999999</v>
      </c>
      <c r="DX100" s="981">
        <f t="shared" si="90"/>
        <v>55.400000000000006</v>
      </c>
      <c r="DY100" s="414">
        <v>43.4</v>
      </c>
      <c r="DZ100" s="111">
        <v>2003</v>
      </c>
      <c r="EA100" s="118">
        <v>952.12786199999982</v>
      </c>
      <c r="EB100" s="123">
        <v>56.6</v>
      </c>
      <c r="EC100" s="113">
        <v>2003</v>
      </c>
      <c r="ED100" s="20">
        <v>1241.715138</v>
      </c>
      <c r="EE100" s="414">
        <v>49</v>
      </c>
      <c r="EF100" s="121">
        <v>1999</v>
      </c>
      <c r="EG100" s="380">
        <v>75.800201416015597</v>
      </c>
      <c r="EH100" s="24" t="s">
        <v>335</v>
      </c>
      <c r="EI100" s="288">
        <v>1</v>
      </c>
      <c r="EJ100" s="40">
        <v>2</v>
      </c>
      <c r="EK100" s="35" t="s">
        <v>145</v>
      </c>
      <c r="EL100" s="95" t="s">
        <v>1645</v>
      </c>
      <c r="EM100" s="95" t="s">
        <v>145</v>
      </c>
      <c r="EN100" s="35" t="s">
        <v>145</v>
      </c>
      <c r="EO100" s="95" t="s">
        <v>1646</v>
      </c>
      <c r="EP100" s="205">
        <v>0.45</v>
      </c>
      <c r="EQ100" s="207" t="s">
        <v>145</v>
      </c>
      <c r="ER100" s="517" t="s">
        <v>145</v>
      </c>
      <c r="ES100" s="183"/>
      <c r="ET100" s="183"/>
      <c r="EU100" s="82"/>
      <c r="EV100" s="82"/>
      <c r="EW100" s="82"/>
      <c r="EX100" s="90"/>
      <c r="EY100" s="159"/>
      <c r="EZ100" s="156"/>
      <c r="FA100" s="323"/>
      <c r="FB100" s="323"/>
      <c r="FC100" s="323"/>
      <c r="FD100" s="160"/>
      <c r="FE100" s="156"/>
      <c r="FF100" s="156"/>
      <c r="FG100" s="156"/>
      <c r="FH100" s="157"/>
      <c r="FI100" s="242"/>
      <c r="FJ100" s="240"/>
      <c r="FK100" s="179"/>
      <c r="FL100" s="179"/>
      <c r="FM100" s="179"/>
      <c r="FN100" s="369"/>
      <c r="FO100" s="164"/>
      <c r="FP100" s="255">
        <v>1</v>
      </c>
      <c r="FQ100" s="183" t="s">
        <v>1612</v>
      </c>
      <c r="FR100" s="257"/>
      <c r="FS100" s="82"/>
      <c r="FT100" s="259"/>
      <c r="FU100" s="82"/>
      <c r="FV100" s="259"/>
      <c r="FW100" s="82"/>
      <c r="FX100" s="259"/>
      <c r="FY100" s="82"/>
      <c r="FZ100" s="259"/>
      <c r="GA100" s="82"/>
      <c r="GB100" s="261"/>
      <c r="GC100" s="90"/>
      <c r="GD100" s="76">
        <v>2</v>
      </c>
      <c r="GE100" s="445" t="s">
        <v>3431</v>
      </c>
      <c r="GF100" s="447" t="s">
        <v>10</v>
      </c>
      <c r="GG100" s="448">
        <v>2</v>
      </c>
      <c r="GH100" s="449">
        <v>3</v>
      </c>
      <c r="GI100" s="447" t="s">
        <v>145</v>
      </c>
      <c r="GJ100" s="449" t="s">
        <v>145</v>
      </c>
      <c r="GK100" s="447" t="s">
        <v>145</v>
      </c>
      <c r="GL100" s="448" t="s">
        <v>145</v>
      </c>
      <c r="GM100" s="449" t="s">
        <v>145</v>
      </c>
      <c r="GN100" s="447" t="s">
        <v>590</v>
      </c>
      <c r="GO100" s="449">
        <v>47</v>
      </c>
      <c r="GP100" s="447">
        <v>13</v>
      </c>
      <c r="GQ100" s="448">
        <v>18</v>
      </c>
      <c r="GR100" s="449">
        <v>16</v>
      </c>
      <c r="GS100" s="446">
        <v>9</v>
      </c>
      <c r="GT100" s="461">
        <v>7.8348636627197266E-2</v>
      </c>
      <c r="GU100" s="462">
        <v>0.32635414600372314</v>
      </c>
      <c r="GV100" s="462">
        <v>-0.38184216618537903</v>
      </c>
      <c r="GW100" s="462">
        <v>-0.35156849026679993</v>
      </c>
      <c r="GX100" s="462">
        <v>-0.26018881797790527</v>
      </c>
      <c r="GY100" s="463">
        <v>0.22980020940303802</v>
      </c>
      <c r="GZ100" s="10">
        <v>153</v>
      </c>
      <c r="HA100" s="536">
        <v>0.26294000000000001</v>
      </c>
      <c r="HB100" s="536">
        <v>0.13725000000000001</v>
      </c>
      <c r="HC100" s="525">
        <v>0.15748000000000001</v>
      </c>
      <c r="HD100" s="526">
        <v>0.11785</v>
      </c>
      <c r="HE100" s="527">
        <v>0.51349999999999996</v>
      </c>
      <c r="HF100" s="10">
        <v>132</v>
      </c>
      <c r="HG100" s="532">
        <v>2.36</v>
      </c>
      <c r="HH100" s="545">
        <v>3.02</v>
      </c>
      <c r="HI100" s="546">
        <v>0.55000000000000004</v>
      </c>
      <c r="HJ100" s="547">
        <v>4.66</v>
      </c>
      <c r="HK100" s="379" t="s">
        <v>145</v>
      </c>
      <c r="HL100" s="362" t="s">
        <v>145</v>
      </c>
      <c r="HM100" s="557" t="s">
        <v>145</v>
      </c>
      <c r="HN100" s="557" t="s">
        <v>145</v>
      </c>
      <c r="HO100" s="557" t="s">
        <v>145</v>
      </c>
      <c r="HP100" s="562" t="s">
        <v>145</v>
      </c>
      <c r="HQ100" s="562" t="s">
        <v>145</v>
      </c>
      <c r="HR100" s="563" t="s">
        <v>145</v>
      </c>
      <c r="HS100" s="545" t="s">
        <v>145</v>
      </c>
      <c r="HT100" s="557" t="s">
        <v>145</v>
      </c>
      <c r="HU100" s="809">
        <v>1966</v>
      </c>
      <c r="HV100" s="583" t="s">
        <v>4884</v>
      </c>
      <c r="HW100" s="557" t="s">
        <v>145</v>
      </c>
      <c r="HX100" s="557" t="s">
        <v>145</v>
      </c>
      <c r="HY100" s="557" t="s">
        <v>145</v>
      </c>
      <c r="HZ100" s="557" t="s">
        <v>145</v>
      </c>
      <c r="IA100" s="557" t="s">
        <v>145</v>
      </c>
      <c r="IB100" s="557" t="s">
        <v>145</v>
      </c>
      <c r="IC100" s="547" t="s">
        <v>145</v>
      </c>
      <c r="ID100" s="40"/>
      <c r="IE100" s="550"/>
      <c r="IF100" s="550"/>
      <c r="IG100" s="553"/>
      <c r="IH100" s="115"/>
      <c r="II100" s="647" t="s">
        <v>4921</v>
      </c>
      <c r="IJ100" s="423" t="s">
        <v>4926</v>
      </c>
      <c r="IK100" s="10">
        <v>0</v>
      </c>
      <c r="IL100" s="749">
        <f t="shared" si="114"/>
        <v>13</v>
      </c>
      <c r="IM100" s="747">
        <f t="shared" si="115"/>
        <v>52</v>
      </c>
      <c r="IN100" s="750" t="str">
        <f t="shared" si="116"/>
        <v>B</v>
      </c>
      <c r="IO100" s="446">
        <v>1</v>
      </c>
      <c r="IP100" s="902">
        <v>4</v>
      </c>
      <c r="IQ100" s="903">
        <v>0</v>
      </c>
      <c r="IR100" s="993">
        <v>0</v>
      </c>
      <c r="IT100" s="435"/>
      <c r="IU100" s="435"/>
      <c r="IV100" s="435"/>
    </row>
    <row r="101" spans="1:256">
      <c r="A101" s="71">
        <v>99</v>
      </c>
      <c r="B101" s="9"/>
      <c r="C101" s="430" t="s">
        <v>159</v>
      </c>
      <c r="D101" s="423" t="s">
        <v>406</v>
      </c>
      <c r="E101" s="24" t="s">
        <v>9</v>
      </c>
      <c r="F101" s="76" t="s">
        <v>837</v>
      </c>
      <c r="G101" s="102" t="s">
        <v>555</v>
      </c>
      <c r="H101" s="251" t="s">
        <v>1419</v>
      </c>
      <c r="I101" s="95" t="s">
        <v>2316</v>
      </c>
      <c r="J101" s="176">
        <v>3</v>
      </c>
      <c r="K101" s="88">
        <v>1973</v>
      </c>
      <c r="L101" s="371">
        <v>1</v>
      </c>
      <c r="M101" s="240" t="s">
        <v>2315</v>
      </c>
      <c r="N101" s="369" t="s">
        <v>1822</v>
      </c>
      <c r="O101" s="365" t="s">
        <v>3001</v>
      </c>
      <c r="P101" s="362" t="s">
        <v>3000</v>
      </c>
      <c r="Q101" s="176">
        <v>2</v>
      </c>
      <c r="R101" s="370">
        <v>2011</v>
      </c>
      <c r="S101" s="234" t="s">
        <v>2852</v>
      </c>
      <c r="T101" s="176">
        <v>2</v>
      </c>
      <c r="U101" s="370">
        <v>2</v>
      </c>
      <c r="V101" s="176">
        <v>0</v>
      </c>
      <c r="W101" s="369" t="s">
        <v>1822</v>
      </c>
      <c r="X101" s="170">
        <v>0</v>
      </c>
      <c r="Y101" s="369">
        <v>0</v>
      </c>
      <c r="Z101" s="271"/>
      <c r="AA101" s="169">
        <v>1</v>
      </c>
      <c r="AB101" s="177">
        <v>1</v>
      </c>
      <c r="AC101" s="171"/>
      <c r="AD101" s="376" t="s">
        <v>145</v>
      </c>
      <c r="AE101" s="355" t="s">
        <v>145</v>
      </c>
      <c r="AF101" s="357">
        <v>0</v>
      </c>
      <c r="AG101" s="550">
        <v>1</v>
      </c>
      <c r="AH101" s="355" t="s">
        <v>145</v>
      </c>
      <c r="AI101" s="550" t="s">
        <v>145</v>
      </c>
      <c r="AJ101" s="550" t="s">
        <v>145</v>
      </c>
      <c r="AK101" s="590" t="s">
        <v>145</v>
      </c>
      <c r="AL101" s="386">
        <v>0</v>
      </c>
      <c r="AM101" s="363" t="s">
        <v>145</v>
      </c>
      <c r="AN101" s="384" t="s">
        <v>145</v>
      </c>
      <c r="AO101" s="170">
        <v>0</v>
      </c>
      <c r="AP101" s="172">
        <v>0</v>
      </c>
      <c r="AQ101" s="365" t="s">
        <v>5253</v>
      </c>
      <c r="AR101" s="378" t="s">
        <v>4934</v>
      </c>
      <c r="AS101" s="55">
        <v>2</v>
      </c>
      <c r="AT101" s="370">
        <v>3</v>
      </c>
      <c r="AU101" s="371">
        <v>2011</v>
      </c>
      <c r="AV101" s="370">
        <v>5</v>
      </c>
      <c r="AW101" s="589">
        <v>4</v>
      </c>
      <c r="AX101" s="687">
        <v>1</v>
      </c>
      <c r="AY101" s="174" t="s">
        <v>4504</v>
      </c>
      <c r="AZ101" s="550">
        <v>2010</v>
      </c>
      <c r="BA101" s="550">
        <v>1</v>
      </c>
      <c r="BB101" s="550">
        <v>1</v>
      </c>
      <c r="BC101" s="174" t="s">
        <v>4505</v>
      </c>
      <c r="BD101" s="550">
        <v>1977</v>
      </c>
      <c r="BE101" s="55">
        <v>0</v>
      </c>
      <c r="BF101" s="371" t="s">
        <v>145</v>
      </c>
      <c r="BG101" s="371">
        <v>0</v>
      </c>
      <c r="BH101" s="56" t="s">
        <v>145</v>
      </c>
      <c r="BI101" s="371">
        <v>0</v>
      </c>
      <c r="BJ101" s="371">
        <v>1</v>
      </c>
      <c r="BK101" s="888">
        <v>4503.4380000000001</v>
      </c>
      <c r="BL101" s="925">
        <f t="shared" si="103"/>
        <v>49.598617767137014</v>
      </c>
      <c r="BM101" s="888">
        <v>2269.7950000000001</v>
      </c>
      <c r="BN101" s="920">
        <v>2233.643</v>
      </c>
      <c r="BO101" s="888">
        <v>701.125</v>
      </c>
      <c r="BP101" s="1158">
        <f t="shared" si="78"/>
        <v>48.945623105722945</v>
      </c>
      <c r="BQ101" s="917">
        <v>357.95499999999998</v>
      </c>
      <c r="BR101" s="920">
        <v>343.17</v>
      </c>
      <c r="BS101" s="888">
        <v>637.28800000000001</v>
      </c>
      <c r="BT101" s="1158">
        <f t="shared" si="79"/>
        <v>48.955888075720864</v>
      </c>
      <c r="BU101" s="917">
        <v>325.298</v>
      </c>
      <c r="BV101" s="920">
        <v>311.99</v>
      </c>
      <c r="BW101" s="888">
        <v>566.79899999999998</v>
      </c>
      <c r="BX101" s="1158">
        <f t="shared" si="80"/>
        <v>49.017200100917613</v>
      </c>
      <c r="BY101" s="917">
        <v>288.97000000000003</v>
      </c>
      <c r="BZ101" s="920">
        <v>277.82900000000001</v>
      </c>
      <c r="CA101" s="888">
        <f t="shared" si="81"/>
        <v>2598.2260000000001</v>
      </c>
      <c r="CB101" s="1158">
        <f t="shared" si="82"/>
        <v>50.059309698232553</v>
      </c>
      <c r="CC101" s="917">
        <f t="shared" si="83"/>
        <v>1297.5720000000001</v>
      </c>
      <c r="CD101" s="920">
        <f t="shared" si="84"/>
        <v>1300.654</v>
      </c>
      <c r="CE101" s="914">
        <v>2015</v>
      </c>
      <c r="CF101" s="910" t="s">
        <v>5630</v>
      </c>
      <c r="CG101" s="1026">
        <v>3.6</v>
      </c>
      <c r="CH101" s="495">
        <v>3.2</v>
      </c>
      <c r="CI101" s="497">
        <v>4</v>
      </c>
      <c r="CJ101" s="904">
        <v>5.3</v>
      </c>
      <c r="CK101" s="904">
        <v>2.8</v>
      </c>
      <c r="CL101" s="904">
        <v>2007</v>
      </c>
      <c r="CM101" s="905" t="s">
        <v>5575</v>
      </c>
      <c r="CN101" s="1044">
        <v>1798.93</v>
      </c>
      <c r="CO101" s="1045">
        <f t="shared" si="104"/>
        <v>39.945703704591921</v>
      </c>
      <c r="CP101" s="1040">
        <f t="shared" si="101"/>
        <v>906.68558540164224</v>
      </c>
      <c r="CQ101" s="1041">
        <f t="shared" si="102"/>
        <v>892.24441459835793</v>
      </c>
      <c r="CR101" s="1046">
        <v>2014</v>
      </c>
      <c r="CS101" s="1047" t="s">
        <v>5813</v>
      </c>
      <c r="CT101" s="1068">
        <f t="shared" si="105"/>
        <v>0</v>
      </c>
      <c r="CU101" s="1071">
        <v>18</v>
      </c>
      <c r="CV101" s="1117" t="s">
        <v>5814</v>
      </c>
      <c r="CW101" s="1113">
        <v>1798.93</v>
      </c>
      <c r="CX101" s="1113">
        <v>1912.402</v>
      </c>
      <c r="CY101" s="1113">
        <v>3786.7640000000001</v>
      </c>
      <c r="CZ101" s="494">
        <v>1</v>
      </c>
      <c r="DA101" s="1104">
        <v>6</v>
      </c>
      <c r="DB101" s="1050" t="s">
        <v>5753</v>
      </c>
      <c r="DC101" s="1143" t="s">
        <v>320</v>
      </c>
      <c r="DD101" s="978">
        <f t="shared" si="91"/>
        <v>2635.9203680000001</v>
      </c>
      <c r="DE101" s="979">
        <f t="shared" si="106"/>
        <v>58.531290272009961</v>
      </c>
      <c r="DF101" s="979">
        <f t="shared" si="92"/>
        <v>49.47338475141833</v>
      </c>
      <c r="DG101" s="980">
        <f t="shared" si="93"/>
        <v>1331.9982785983577</v>
      </c>
      <c r="DH101" s="980">
        <f t="shared" si="94"/>
        <v>1304.079025401642</v>
      </c>
      <c r="DI101" s="979">
        <f t="shared" si="107"/>
        <v>58.68363788793075</v>
      </c>
      <c r="DJ101" s="981">
        <f t="shared" si="108"/>
        <v>58.383502887508968</v>
      </c>
      <c r="DK101" s="984">
        <f t="shared" si="109"/>
        <v>799.29600000000005</v>
      </c>
      <c r="DL101" s="979">
        <f t="shared" si="95"/>
        <v>51.096162798467901</v>
      </c>
      <c r="DM101" s="980">
        <f t="shared" si="110"/>
        <v>390.88641459835787</v>
      </c>
      <c r="DN101" s="985">
        <f t="shared" si="111"/>
        <v>408.40958540164206</v>
      </c>
      <c r="DO101" s="984">
        <f t="shared" si="112"/>
        <v>1160.7398680000001</v>
      </c>
      <c r="DP101" s="979">
        <f t="shared" si="96"/>
        <v>48.781493219116335</v>
      </c>
      <c r="DQ101" s="980">
        <f t="shared" si="85"/>
        <v>594.61142399999994</v>
      </c>
      <c r="DR101" s="985">
        <f t="shared" si="86"/>
        <v>566.22623999999996</v>
      </c>
      <c r="DS101" s="984">
        <f t="shared" si="113"/>
        <v>675.8845</v>
      </c>
      <c r="DT101" s="339">
        <f t="shared" si="97"/>
        <v>48.742529233914965</v>
      </c>
      <c r="DU101" s="980">
        <f t="shared" si="87"/>
        <v>346.50043999999997</v>
      </c>
      <c r="DV101" s="985">
        <f t="shared" si="88"/>
        <v>329.44319999999999</v>
      </c>
      <c r="DW101" s="979">
        <f t="shared" si="89"/>
        <v>96.8</v>
      </c>
      <c r="DX101" s="981">
        <f t="shared" si="90"/>
        <v>96</v>
      </c>
      <c r="DY101" s="414">
        <v>83.76</v>
      </c>
      <c r="DZ101" s="111">
        <v>2007</v>
      </c>
      <c r="EA101" s="118">
        <v>3459.743336</v>
      </c>
      <c r="EB101" s="123">
        <v>63.8</v>
      </c>
      <c r="EC101" s="113">
        <v>2007</v>
      </c>
      <c r="ED101" s="20">
        <v>2634.0289360000002</v>
      </c>
      <c r="EE101" s="414">
        <v>80</v>
      </c>
      <c r="EF101" s="111">
        <v>2000</v>
      </c>
      <c r="EG101" s="380">
        <v>42.941085815429702</v>
      </c>
      <c r="EH101" s="24" t="s">
        <v>335</v>
      </c>
      <c r="EI101" s="287">
        <v>1</v>
      </c>
      <c r="EJ101" s="40">
        <v>1</v>
      </c>
      <c r="EK101" s="35" t="s">
        <v>145</v>
      </c>
      <c r="EL101" s="95" t="s">
        <v>1638</v>
      </c>
      <c r="EM101" s="95" t="s">
        <v>1639</v>
      </c>
      <c r="EN101" s="35" t="s">
        <v>145</v>
      </c>
      <c r="EO101" s="95" t="s">
        <v>1646</v>
      </c>
      <c r="EP101" s="205">
        <v>0.04</v>
      </c>
      <c r="EQ101" s="207" t="s">
        <v>145</v>
      </c>
      <c r="ER101" s="517">
        <v>3</v>
      </c>
      <c r="ES101" s="183" t="s">
        <v>145</v>
      </c>
      <c r="ET101" s="183" t="s">
        <v>145</v>
      </c>
      <c r="EU101" s="82" t="s">
        <v>145</v>
      </c>
      <c r="EV101" s="82" t="s">
        <v>145</v>
      </c>
      <c r="EW101" s="82" t="s">
        <v>3916</v>
      </c>
      <c r="EX101" s="360" t="s">
        <v>145</v>
      </c>
      <c r="EY101" s="159"/>
      <c r="EZ101" s="156"/>
      <c r="FA101" s="323"/>
      <c r="FB101" s="323"/>
      <c r="FC101" s="323"/>
      <c r="FD101" s="160"/>
      <c r="FE101" s="156"/>
      <c r="FF101" s="156"/>
      <c r="FG101" s="156"/>
      <c r="FH101" s="157"/>
      <c r="FI101" s="242"/>
      <c r="FJ101" s="240"/>
      <c r="FK101" s="179"/>
      <c r="FL101" s="179"/>
      <c r="FM101" s="179"/>
      <c r="FN101" s="369"/>
      <c r="FO101" s="164"/>
      <c r="FP101" s="255"/>
      <c r="FQ101" s="183"/>
      <c r="FR101" s="257"/>
      <c r="FS101" s="82"/>
      <c r="FT101" s="259"/>
      <c r="FU101" s="82"/>
      <c r="FV101" s="259">
        <v>1</v>
      </c>
      <c r="FW101" s="82" t="s">
        <v>1901</v>
      </c>
      <c r="FX101" s="259"/>
      <c r="FY101" s="82"/>
      <c r="FZ101" s="259"/>
      <c r="GA101" s="82"/>
      <c r="GB101" s="261"/>
      <c r="GC101" s="90"/>
      <c r="GD101" s="76">
        <v>2</v>
      </c>
      <c r="GE101" s="445" t="s">
        <v>3433</v>
      </c>
      <c r="GF101" s="447" t="s">
        <v>590</v>
      </c>
      <c r="GG101" s="448">
        <v>3</v>
      </c>
      <c r="GH101" s="449">
        <v>4</v>
      </c>
      <c r="GI101" s="447" t="s">
        <v>145</v>
      </c>
      <c r="GJ101" s="449" t="s">
        <v>145</v>
      </c>
      <c r="GK101" s="447" t="s">
        <v>145</v>
      </c>
      <c r="GL101" s="448" t="s">
        <v>145</v>
      </c>
      <c r="GM101" s="449" t="s">
        <v>145</v>
      </c>
      <c r="GN101" s="447" t="s">
        <v>590</v>
      </c>
      <c r="GO101" s="449">
        <v>58</v>
      </c>
      <c r="GP101" s="447">
        <v>16</v>
      </c>
      <c r="GQ101" s="448">
        <v>21</v>
      </c>
      <c r="GR101" s="449">
        <v>21</v>
      </c>
      <c r="GS101" s="446">
        <v>6</v>
      </c>
      <c r="GT101" s="461">
        <v>-0.44720283150672913</v>
      </c>
      <c r="GU101" s="462">
        <v>-0.46151947975158691</v>
      </c>
      <c r="GV101" s="462">
        <v>-1.3334478139877319</v>
      </c>
      <c r="GW101" s="462">
        <v>-0.91605013608932495</v>
      </c>
      <c r="GX101" s="462">
        <v>-0.91562843322753906</v>
      </c>
      <c r="GY101" s="463">
        <v>-0.67755973339080811</v>
      </c>
      <c r="GZ101" s="10">
        <v>179</v>
      </c>
      <c r="HA101" s="536">
        <v>0.17682</v>
      </c>
      <c r="HB101" s="536">
        <v>0.11763999999999999</v>
      </c>
      <c r="HC101" s="525">
        <v>7.8740000000000004E-2</v>
      </c>
      <c r="HD101" s="526">
        <v>7.6300000000000007E-2</v>
      </c>
      <c r="HE101" s="527">
        <v>0.37540000000000001</v>
      </c>
      <c r="HF101" s="10">
        <v>153</v>
      </c>
      <c r="HG101" s="532">
        <v>1.7</v>
      </c>
      <c r="HH101" s="545">
        <v>2.36</v>
      </c>
      <c r="HI101" s="546">
        <v>0.21</v>
      </c>
      <c r="HJ101" s="547">
        <v>3.32</v>
      </c>
      <c r="HK101" s="379" t="s">
        <v>145</v>
      </c>
      <c r="HL101" s="362" t="s">
        <v>145</v>
      </c>
      <c r="HM101" s="557" t="s">
        <v>145</v>
      </c>
      <c r="HN101" s="557" t="s">
        <v>145</v>
      </c>
      <c r="HO101" s="557" t="s">
        <v>145</v>
      </c>
      <c r="HP101" s="562" t="s">
        <v>145</v>
      </c>
      <c r="HQ101" s="562" t="s">
        <v>145</v>
      </c>
      <c r="HR101" s="563" t="s">
        <v>145</v>
      </c>
      <c r="HS101" s="545">
        <v>4</v>
      </c>
      <c r="HT101" s="557">
        <v>124</v>
      </c>
      <c r="HU101" s="557">
        <v>2010</v>
      </c>
      <c r="HV101" s="583" t="s">
        <v>4215</v>
      </c>
      <c r="HW101" s="557">
        <v>5</v>
      </c>
      <c r="HX101" s="557">
        <v>30</v>
      </c>
      <c r="HY101" s="557">
        <v>19</v>
      </c>
      <c r="HZ101" s="557">
        <v>27</v>
      </c>
      <c r="IA101" s="557">
        <v>20</v>
      </c>
      <c r="IB101" s="557">
        <v>7</v>
      </c>
      <c r="IC101" s="547">
        <v>16</v>
      </c>
      <c r="ID101" s="40"/>
      <c r="IE101" s="550"/>
      <c r="IF101" s="550"/>
      <c r="IG101" s="553">
        <v>1</v>
      </c>
      <c r="IH101" s="115">
        <v>40.200000000000003</v>
      </c>
      <c r="II101" s="647" t="s">
        <v>4921</v>
      </c>
      <c r="IJ101" s="423" t="s">
        <v>4918</v>
      </c>
      <c r="IK101" s="10">
        <v>0</v>
      </c>
      <c r="IL101" s="749">
        <f t="shared" si="114"/>
        <v>11</v>
      </c>
      <c r="IM101" s="747">
        <f t="shared" si="115"/>
        <v>44</v>
      </c>
      <c r="IN101" s="750" t="str">
        <f t="shared" si="116"/>
        <v>C</v>
      </c>
      <c r="IO101" s="446">
        <v>1</v>
      </c>
      <c r="IP101" s="902">
        <v>4</v>
      </c>
      <c r="IQ101" s="903">
        <v>0</v>
      </c>
      <c r="IR101" s="993">
        <v>0</v>
      </c>
      <c r="IT101" s="435"/>
      <c r="IU101" s="435"/>
      <c r="IV101" s="435"/>
    </row>
    <row r="102" spans="1:256">
      <c r="A102" s="21">
        <v>100</v>
      </c>
      <c r="B102" s="9"/>
      <c r="C102" s="431" t="s">
        <v>161</v>
      </c>
      <c r="D102" s="423" t="s">
        <v>410</v>
      </c>
      <c r="E102" s="24" t="s">
        <v>12</v>
      </c>
      <c r="F102" s="76" t="s">
        <v>838</v>
      </c>
      <c r="G102" s="102" t="s">
        <v>560</v>
      </c>
      <c r="H102" s="375" t="s">
        <v>2342</v>
      </c>
      <c r="I102" s="364" t="s">
        <v>2128</v>
      </c>
      <c r="J102" s="370">
        <v>3</v>
      </c>
      <c r="K102" s="88">
        <v>1951</v>
      </c>
      <c r="L102" s="371">
        <v>2</v>
      </c>
      <c r="M102" s="373" t="s">
        <v>1810</v>
      </c>
      <c r="N102" s="369" t="s">
        <v>2317</v>
      </c>
      <c r="O102" s="252" t="s">
        <v>3265</v>
      </c>
      <c r="P102" s="362" t="s">
        <v>2348</v>
      </c>
      <c r="Q102" s="371">
        <v>2</v>
      </c>
      <c r="R102" s="370">
        <v>2013</v>
      </c>
      <c r="S102" s="372" t="s">
        <v>1961</v>
      </c>
      <c r="T102" s="370">
        <v>1</v>
      </c>
      <c r="U102" s="370">
        <v>2</v>
      </c>
      <c r="V102" s="370">
        <v>18</v>
      </c>
      <c r="W102" s="369" t="s">
        <v>1822</v>
      </c>
      <c r="X102" s="170">
        <v>0</v>
      </c>
      <c r="Y102" s="369">
        <v>0</v>
      </c>
      <c r="Z102" s="271"/>
      <c r="AA102" s="169">
        <v>1</v>
      </c>
      <c r="AB102" s="177">
        <v>1</v>
      </c>
      <c r="AC102" s="171"/>
      <c r="AD102" s="376" t="s">
        <v>145</v>
      </c>
      <c r="AE102" s="355" t="s">
        <v>145</v>
      </c>
      <c r="AF102" s="357">
        <v>0</v>
      </c>
      <c r="AG102" s="550">
        <v>1</v>
      </c>
      <c r="AH102" s="355" t="s">
        <v>145</v>
      </c>
      <c r="AI102" s="550" t="s">
        <v>145</v>
      </c>
      <c r="AJ102" s="550" t="s">
        <v>145</v>
      </c>
      <c r="AK102" s="590" t="s">
        <v>145</v>
      </c>
      <c r="AL102" s="357">
        <v>0</v>
      </c>
      <c r="AM102" s="361" t="s">
        <v>145</v>
      </c>
      <c r="AN102" s="342" t="s">
        <v>145</v>
      </c>
      <c r="AO102" s="170">
        <v>0</v>
      </c>
      <c r="AP102" s="369">
        <v>0</v>
      </c>
      <c r="AQ102" s="252" t="s">
        <v>5254</v>
      </c>
      <c r="AR102" s="378" t="s">
        <v>4934</v>
      </c>
      <c r="AS102" s="55">
        <v>2</v>
      </c>
      <c r="AT102" s="371">
        <v>3</v>
      </c>
      <c r="AU102" s="371">
        <v>2009</v>
      </c>
      <c r="AV102" s="370">
        <v>5</v>
      </c>
      <c r="AW102" s="589">
        <v>30</v>
      </c>
      <c r="AX102" s="687">
        <v>0</v>
      </c>
      <c r="AY102" s="174" t="s">
        <v>145</v>
      </c>
      <c r="AZ102" s="550" t="s">
        <v>145</v>
      </c>
      <c r="BA102" s="550">
        <v>0</v>
      </c>
      <c r="BB102" s="550">
        <v>0</v>
      </c>
      <c r="BC102" s="108" t="s">
        <v>145</v>
      </c>
      <c r="BD102" s="550" t="s">
        <v>145</v>
      </c>
      <c r="BE102" s="550">
        <v>0</v>
      </c>
      <c r="BF102" s="371" t="s">
        <v>145</v>
      </c>
      <c r="BG102" s="371">
        <v>0</v>
      </c>
      <c r="BH102" s="56" t="s">
        <v>145</v>
      </c>
      <c r="BI102" s="371">
        <v>0</v>
      </c>
      <c r="BJ102" s="371">
        <v>0</v>
      </c>
      <c r="BK102" s="888">
        <v>6278.4380000000001</v>
      </c>
      <c r="BL102" s="925">
        <f t="shared" si="103"/>
        <v>49.720854136012818</v>
      </c>
      <c r="BM102" s="888">
        <v>3156.7449999999999</v>
      </c>
      <c r="BN102" s="920">
        <v>3121.6930000000002</v>
      </c>
      <c r="BO102" s="888">
        <v>649.00199999999995</v>
      </c>
      <c r="BP102" s="1158">
        <f t="shared" si="78"/>
        <v>48.728047063029081</v>
      </c>
      <c r="BQ102" s="917">
        <v>332.75599999999997</v>
      </c>
      <c r="BR102" s="920">
        <v>316.24599999999998</v>
      </c>
      <c r="BS102" s="888">
        <v>649.58199999999999</v>
      </c>
      <c r="BT102" s="1158">
        <f t="shared" si="79"/>
        <v>48.774442641575654</v>
      </c>
      <c r="BU102" s="917">
        <v>332.75200000000001</v>
      </c>
      <c r="BV102" s="920">
        <v>316.83</v>
      </c>
      <c r="BW102" s="888">
        <v>574.45299999999997</v>
      </c>
      <c r="BX102" s="1158">
        <f t="shared" si="80"/>
        <v>48.682137616132223</v>
      </c>
      <c r="BY102" s="917">
        <v>294.79700000000003</v>
      </c>
      <c r="BZ102" s="920">
        <v>279.65600000000001</v>
      </c>
      <c r="CA102" s="888">
        <f t="shared" si="81"/>
        <v>4405.4009999999998</v>
      </c>
      <c r="CB102" s="1158">
        <f t="shared" si="82"/>
        <v>50.142109651312119</v>
      </c>
      <c r="CC102" s="917">
        <f t="shared" si="83"/>
        <v>2196.44</v>
      </c>
      <c r="CD102" s="920">
        <f t="shared" si="84"/>
        <v>2208.9610000000002</v>
      </c>
      <c r="CE102" s="914">
        <v>2015</v>
      </c>
      <c r="CF102" s="910" t="s">
        <v>5630</v>
      </c>
      <c r="CG102" s="931">
        <v>90</v>
      </c>
      <c r="CH102" s="504">
        <v>90</v>
      </c>
      <c r="CI102" s="1008">
        <v>90</v>
      </c>
      <c r="CJ102" s="904" t="s">
        <v>1621</v>
      </c>
      <c r="CK102" s="904" t="s">
        <v>1621</v>
      </c>
      <c r="CL102" s="906">
        <v>2014</v>
      </c>
      <c r="CM102" s="1002" t="s">
        <v>5712</v>
      </c>
      <c r="CN102" s="1044">
        <v>1509.2180000000001</v>
      </c>
      <c r="CO102" s="1045">
        <f t="shared" si="104"/>
        <v>24.038112664328292</v>
      </c>
      <c r="CP102" s="1040">
        <f t="shared" si="101"/>
        <v>758.82191962555009</v>
      </c>
      <c r="CQ102" s="1041">
        <f t="shared" si="102"/>
        <v>750.39608037444998</v>
      </c>
      <c r="CR102" s="1046">
        <v>2014</v>
      </c>
      <c r="CS102" s="1047" t="s">
        <v>5815</v>
      </c>
      <c r="CT102" s="1068">
        <f t="shared" si="105"/>
        <v>18</v>
      </c>
      <c r="CU102" s="1071">
        <v>18</v>
      </c>
      <c r="CV102" s="1068" t="s">
        <v>5936</v>
      </c>
      <c r="CW102" s="1113">
        <v>1509.2180000000001</v>
      </c>
      <c r="CX102" s="1113">
        <v>4029.3649999999998</v>
      </c>
      <c r="CY102" s="1113">
        <v>6244.174</v>
      </c>
      <c r="CZ102" s="494">
        <v>1</v>
      </c>
      <c r="DA102" s="1104">
        <v>4</v>
      </c>
      <c r="DB102" s="1050" t="s">
        <v>5753</v>
      </c>
      <c r="DC102" s="1143" t="s">
        <v>320</v>
      </c>
      <c r="DD102" s="978">
        <f t="shared" si="91"/>
        <v>3083.4866999999999</v>
      </c>
      <c r="DE102" s="979">
        <f t="shared" si="106"/>
        <v>49.11232220498156</v>
      </c>
      <c r="DF102" s="979">
        <f t="shared" si="92"/>
        <v>50.262520011049517</v>
      </c>
      <c r="DG102" s="980">
        <f t="shared" si="93"/>
        <v>1533.6485803744499</v>
      </c>
      <c r="DH102" s="980">
        <f t="shared" si="94"/>
        <v>1549.8381196255505</v>
      </c>
      <c r="DI102" s="979">
        <f t="shared" si="107"/>
        <v>48.583226721653155</v>
      </c>
      <c r="DJ102" s="981">
        <f t="shared" si="108"/>
        <v>49.647358648834157</v>
      </c>
      <c r="DK102" s="984">
        <f t="shared" si="109"/>
        <v>2896.183</v>
      </c>
      <c r="DL102" s="979">
        <f t="shared" si="95"/>
        <v>50.361628378647019</v>
      </c>
      <c r="DM102" s="980">
        <f t="shared" si="110"/>
        <v>1437.6180803744501</v>
      </c>
      <c r="DN102" s="985">
        <f t="shared" si="111"/>
        <v>1458.5649196255504</v>
      </c>
      <c r="DO102" s="984">
        <f t="shared" si="112"/>
        <v>122.40349999999998</v>
      </c>
      <c r="DP102" s="979">
        <f t="shared" si="96"/>
        <v>48.73112288455804</v>
      </c>
      <c r="DQ102" s="980">
        <f t="shared" si="85"/>
        <v>62.754899999999992</v>
      </c>
      <c r="DR102" s="985">
        <f t="shared" si="86"/>
        <v>59.648599999999988</v>
      </c>
      <c r="DS102" s="984">
        <f t="shared" si="113"/>
        <v>64.900199999999984</v>
      </c>
      <c r="DT102" s="339">
        <f t="shared" si="97"/>
        <v>48.728047063029081</v>
      </c>
      <c r="DU102" s="980">
        <f t="shared" si="87"/>
        <v>33.27559999999999</v>
      </c>
      <c r="DV102" s="985">
        <f t="shared" si="88"/>
        <v>31.62459999999999</v>
      </c>
      <c r="DW102" s="979">
        <f t="shared" si="89"/>
        <v>9.9999999999999982</v>
      </c>
      <c r="DX102" s="981">
        <f t="shared" si="90"/>
        <v>9.9999999999999982</v>
      </c>
      <c r="DY102" s="414">
        <v>30</v>
      </c>
      <c r="DZ102" s="111">
        <v>2013</v>
      </c>
      <c r="EA102" s="118" t="e">
        <f>#REF!*DY102/100</f>
        <v>#REF!</v>
      </c>
      <c r="EB102" s="123">
        <v>40</v>
      </c>
      <c r="EC102" s="113">
        <v>2011</v>
      </c>
      <c r="ED102" s="20" t="e">
        <f>#REF!*EB102/100</f>
        <v>#REF!</v>
      </c>
      <c r="EE102" s="414" t="s">
        <v>145</v>
      </c>
      <c r="EF102" s="111" t="s">
        <v>145</v>
      </c>
      <c r="EG102" s="380">
        <v>89.879440307617202</v>
      </c>
      <c r="EH102" s="24" t="s">
        <v>328</v>
      </c>
      <c r="EI102" s="287">
        <v>0</v>
      </c>
      <c r="EJ102" s="40" t="s">
        <v>145</v>
      </c>
      <c r="EK102" s="35" t="s">
        <v>145</v>
      </c>
      <c r="EL102" s="364" t="s">
        <v>145</v>
      </c>
      <c r="EM102" s="364" t="s">
        <v>145</v>
      </c>
      <c r="EN102" s="35" t="s">
        <v>145</v>
      </c>
      <c r="EO102" s="364" t="s">
        <v>145</v>
      </c>
      <c r="EP102" s="205" t="s">
        <v>145</v>
      </c>
      <c r="EQ102" s="207" t="s">
        <v>145</v>
      </c>
      <c r="ER102" s="517" t="s">
        <v>145</v>
      </c>
      <c r="ES102" s="183"/>
      <c r="ET102" s="183"/>
      <c r="EU102" s="82"/>
      <c r="EV102" s="82"/>
      <c r="EW102" s="82"/>
      <c r="EX102" s="90"/>
      <c r="EY102" s="159"/>
      <c r="EZ102" s="156"/>
      <c r="FA102" s="323"/>
      <c r="FB102" s="323"/>
      <c r="FC102" s="323"/>
      <c r="FD102" s="160"/>
      <c r="FE102" s="156"/>
      <c r="FF102" s="156"/>
      <c r="FG102" s="156"/>
      <c r="FH102" s="157"/>
      <c r="FI102" s="242"/>
      <c r="FJ102" s="373"/>
      <c r="FK102" s="179"/>
      <c r="FL102" s="179"/>
      <c r="FM102" s="179"/>
      <c r="FN102" s="369"/>
      <c r="FO102" s="164"/>
      <c r="FP102" s="255"/>
      <c r="FQ102" s="183"/>
      <c r="FR102" s="257"/>
      <c r="FS102" s="82"/>
      <c r="FT102" s="259"/>
      <c r="FU102" s="82"/>
      <c r="FV102" s="259"/>
      <c r="FW102" s="82"/>
      <c r="FX102" s="259"/>
      <c r="FY102" s="82"/>
      <c r="FZ102" s="259"/>
      <c r="GA102" s="82"/>
      <c r="GB102" s="261"/>
      <c r="GC102" s="90"/>
      <c r="GD102" s="76">
        <v>3</v>
      </c>
      <c r="GE102" s="445" t="s">
        <v>3430</v>
      </c>
      <c r="GF102" s="447" t="s">
        <v>590</v>
      </c>
      <c r="GG102" s="448">
        <v>4</v>
      </c>
      <c r="GH102" s="449">
        <v>5</v>
      </c>
      <c r="GI102" s="447" t="s">
        <v>590</v>
      </c>
      <c r="GJ102" s="449">
        <v>48</v>
      </c>
      <c r="GK102" s="447">
        <v>18</v>
      </c>
      <c r="GL102" s="448">
        <v>9</v>
      </c>
      <c r="GM102" s="449">
        <v>21</v>
      </c>
      <c r="GN102" s="447" t="s">
        <v>580</v>
      </c>
      <c r="GO102" s="449">
        <v>62</v>
      </c>
      <c r="GP102" s="447">
        <v>16</v>
      </c>
      <c r="GQ102" s="448">
        <v>29</v>
      </c>
      <c r="GR102" s="449">
        <v>17</v>
      </c>
      <c r="GS102" s="446">
        <v>-7</v>
      </c>
      <c r="GT102" s="461">
        <v>-0.99611324071884155</v>
      </c>
      <c r="GU102" s="462">
        <v>-1.8096121549606323</v>
      </c>
      <c r="GV102" s="462">
        <v>-1.4977035522460937</v>
      </c>
      <c r="GW102" s="462">
        <v>-1.8294030427932739</v>
      </c>
      <c r="GX102" s="462">
        <v>-1.3631532192230225</v>
      </c>
      <c r="GY102" s="463">
        <v>-1.5157136917114258</v>
      </c>
      <c r="GZ102" s="10">
        <v>121</v>
      </c>
      <c r="HA102" s="536">
        <v>0.37530000000000002</v>
      </c>
      <c r="HB102" s="536">
        <v>5.8819999999999997E-2</v>
      </c>
      <c r="HC102" s="525">
        <v>1.5740000000000001E-2</v>
      </c>
      <c r="HD102" s="526">
        <v>0.32808999999999999</v>
      </c>
      <c r="HE102" s="527">
        <v>0.78210000000000002</v>
      </c>
      <c r="HF102" s="10" t="s">
        <v>145</v>
      </c>
      <c r="HG102" s="532" t="s">
        <v>145</v>
      </c>
      <c r="HH102" s="524" t="s">
        <v>145</v>
      </c>
      <c r="HI102" s="525" t="s">
        <v>145</v>
      </c>
      <c r="HJ102" s="527" t="s">
        <v>145</v>
      </c>
      <c r="HK102" s="379" t="s">
        <v>145</v>
      </c>
      <c r="HL102" s="362" t="s">
        <v>145</v>
      </c>
      <c r="HM102" s="557" t="s">
        <v>145</v>
      </c>
      <c r="HN102" s="557" t="s">
        <v>145</v>
      </c>
      <c r="HO102" s="526" t="s">
        <v>145</v>
      </c>
      <c r="HP102" s="564" t="s">
        <v>145</v>
      </c>
      <c r="HQ102" s="564" t="s">
        <v>145</v>
      </c>
      <c r="HR102" s="565" t="s">
        <v>145</v>
      </c>
      <c r="HS102" s="524" t="s">
        <v>145</v>
      </c>
      <c r="HT102" s="526" t="s">
        <v>145</v>
      </c>
      <c r="HU102" s="526" t="s">
        <v>145</v>
      </c>
      <c r="HV102" s="582" t="s">
        <v>145</v>
      </c>
      <c r="HW102" s="526" t="s">
        <v>145</v>
      </c>
      <c r="HX102" s="526" t="s">
        <v>145</v>
      </c>
      <c r="HY102" s="526" t="s">
        <v>145</v>
      </c>
      <c r="HZ102" s="526" t="s">
        <v>145</v>
      </c>
      <c r="IA102" s="526" t="s">
        <v>145</v>
      </c>
      <c r="IB102" s="526" t="s">
        <v>145</v>
      </c>
      <c r="IC102" s="527" t="s">
        <v>145</v>
      </c>
      <c r="ID102" s="40"/>
      <c r="IE102" s="550"/>
      <c r="IF102" s="550"/>
      <c r="IG102" s="553">
        <v>1</v>
      </c>
      <c r="IH102" s="115">
        <v>40.299999999999997</v>
      </c>
      <c r="II102" s="647" t="s">
        <v>4922</v>
      </c>
      <c r="IJ102" s="423" t="s">
        <v>4926</v>
      </c>
      <c r="IK102" s="10">
        <v>0</v>
      </c>
      <c r="IL102" s="749">
        <f t="shared" si="114"/>
        <v>8</v>
      </c>
      <c r="IM102" s="747">
        <f t="shared" si="115"/>
        <v>32</v>
      </c>
      <c r="IN102" s="750" t="str">
        <f t="shared" si="116"/>
        <v>C</v>
      </c>
      <c r="IO102" s="446">
        <v>1</v>
      </c>
      <c r="IP102" s="902">
        <v>4</v>
      </c>
      <c r="IQ102" s="903">
        <v>0</v>
      </c>
      <c r="IR102" s="993">
        <v>0</v>
      </c>
      <c r="IT102" s="435"/>
      <c r="IU102" s="435"/>
      <c r="IV102" s="435"/>
    </row>
    <row r="103" spans="1:256">
      <c r="A103" s="21">
        <v>101</v>
      </c>
      <c r="B103" s="9"/>
      <c r="C103" s="430" t="s">
        <v>162</v>
      </c>
      <c r="D103" s="424"/>
      <c r="E103" s="24" t="s">
        <v>17</v>
      </c>
      <c r="F103" s="76" t="s">
        <v>839</v>
      </c>
      <c r="G103" s="102" t="s">
        <v>553</v>
      </c>
      <c r="H103" s="375" t="s">
        <v>2343</v>
      </c>
      <c r="I103" s="95" t="s">
        <v>2344</v>
      </c>
      <c r="J103" s="176">
        <v>2</v>
      </c>
      <c r="K103" s="88">
        <v>1866</v>
      </c>
      <c r="L103" s="371">
        <v>2</v>
      </c>
      <c r="M103" s="240" t="s">
        <v>145</v>
      </c>
      <c r="N103" s="369" t="s">
        <v>1822</v>
      </c>
      <c r="O103" s="366" t="s">
        <v>1424</v>
      </c>
      <c r="P103" s="57" t="s">
        <v>3267</v>
      </c>
      <c r="Q103" s="371">
        <v>2</v>
      </c>
      <c r="R103" s="370">
        <v>1990</v>
      </c>
      <c r="S103" s="234" t="s">
        <v>2084</v>
      </c>
      <c r="T103" s="176">
        <v>1</v>
      </c>
      <c r="U103" s="370">
        <v>1</v>
      </c>
      <c r="V103" s="176">
        <v>15</v>
      </c>
      <c r="W103" s="369" t="s">
        <v>2036</v>
      </c>
      <c r="X103" s="170">
        <v>0</v>
      </c>
      <c r="Y103" s="369">
        <v>0</v>
      </c>
      <c r="Z103" s="271"/>
      <c r="AA103" s="169"/>
      <c r="AB103" s="177">
        <v>1</v>
      </c>
      <c r="AC103" s="171">
        <v>1</v>
      </c>
      <c r="AD103" s="366" t="s">
        <v>3266</v>
      </c>
      <c r="AE103" s="357">
        <v>2010</v>
      </c>
      <c r="AF103" s="357">
        <v>2</v>
      </c>
      <c r="AG103" s="550" t="s">
        <v>5171</v>
      </c>
      <c r="AH103" s="355" t="s">
        <v>2802</v>
      </c>
      <c r="AI103" s="550">
        <v>1</v>
      </c>
      <c r="AJ103" s="550">
        <v>1</v>
      </c>
      <c r="AK103" s="590" t="s">
        <v>145</v>
      </c>
      <c r="AL103" s="395">
        <v>5</v>
      </c>
      <c r="AM103" s="361" t="s">
        <v>3056</v>
      </c>
      <c r="AN103" s="342" t="s">
        <v>145</v>
      </c>
      <c r="AO103" s="170">
        <v>0</v>
      </c>
      <c r="AP103" s="369">
        <v>0</v>
      </c>
      <c r="AQ103" s="97" t="s">
        <v>5255</v>
      </c>
      <c r="AR103" s="706" t="s">
        <v>3267</v>
      </c>
      <c r="AS103" s="55">
        <v>2</v>
      </c>
      <c r="AT103" s="371">
        <v>2</v>
      </c>
      <c r="AU103" s="371">
        <v>2006</v>
      </c>
      <c r="AV103" s="370">
        <v>10</v>
      </c>
      <c r="AW103" s="589">
        <v>30</v>
      </c>
      <c r="AX103" s="687">
        <v>1</v>
      </c>
      <c r="AY103" s="174" t="s">
        <v>2559</v>
      </c>
      <c r="AZ103" s="550">
        <v>2006</v>
      </c>
      <c r="BA103" s="550">
        <v>1</v>
      </c>
      <c r="BB103" s="550">
        <v>1</v>
      </c>
      <c r="BC103" s="174" t="s">
        <v>4506</v>
      </c>
      <c r="BD103" s="550">
        <v>1947</v>
      </c>
      <c r="BE103" s="55">
        <v>0</v>
      </c>
      <c r="BF103" s="371" t="s">
        <v>145</v>
      </c>
      <c r="BG103" s="367">
        <v>0</v>
      </c>
      <c r="BH103" s="56" t="s">
        <v>145</v>
      </c>
      <c r="BI103" s="367">
        <v>3</v>
      </c>
      <c r="BJ103" s="367">
        <v>1</v>
      </c>
      <c r="BK103" s="888">
        <v>37.313000000000002</v>
      </c>
      <c r="BL103" s="925">
        <f t="shared" si="103"/>
        <v>50.389944523356476</v>
      </c>
      <c r="BM103" s="911">
        <v>18.510999999999999</v>
      </c>
      <c r="BN103" s="921">
        <v>18.802000000000003</v>
      </c>
      <c r="BO103" s="911">
        <v>2</v>
      </c>
      <c r="BP103" s="1159">
        <f t="shared" si="78"/>
        <v>45</v>
      </c>
      <c r="BQ103" s="918">
        <v>1.1000000000000001</v>
      </c>
      <c r="BR103" s="921">
        <v>0.9</v>
      </c>
      <c r="BS103" s="911">
        <v>1.85</v>
      </c>
      <c r="BT103" s="1159">
        <f t="shared" si="79"/>
        <v>48.648648648648646</v>
      </c>
      <c r="BU103" s="918">
        <v>0.95</v>
      </c>
      <c r="BV103" s="921">
        <v>0.9</v>
      </c>
      <c r="BW103" s="911">
        <v>2.0300000000000002</v>
      </c>
      <c r="BX103" s="1159">
        <f t="shared" si="80"/>
        <v>46.798029556650242</v>
      </c>
      <c r="BY103" s="918">
        <v>1.08</v>
      </c>
      <c r="BZ103" s="921">
        <v>0.95</v>
      </c>
      <c r="CA103" s="911">
        <f t="shared" si="81"/>
        <v>31.433</v>
      </c>
      <c r="CB103" s="1159">
        <f t="shared" si="82"/>
        <v>51.067349600738098</v>
      </c>
      <c r="CC103" s="918">
        <f t="shared" si="83"/>
        <v>15.380999999999998</v>
      </c>
      <c r="CD103" s="921">
        <f t="shared" si="84"/>
        <v>16.052000000000007</v>
      </c>
      <c r="CE103" s="927">
        <v>2014</v>
      </c>
      <c r="CF103" s="926" t="s">
        <v>5685</v>
      </c>
      <c r="CG103" s="930">
        <v>100</v>
      </c>
      <c r="CH103" s="1005">
        <v>100</v>
      </c>
      <c r="CI103" s="1006">
        <v>100</v>
      </c>
      <c r="CJ103" s="904" t="s">
        <v>1621</v>
      </c>
      <c r="CK103" s="904" t="s">
        <v>1621</v>
      </c>
      <c r="CL103" s="904">
        <v>2011</v>
      </c>
      <c r="CM103" s="905" t="s">
        <v>5576</v>
      </c>
      <c r="CN103" s="1044">
        <v>19.251000000000001</v>
      </c>
      <c r="CO103" s="1045">
        <f t="shared" si="104"/>
        <v>51.593278482030392</v>
      </c>
      <c r="CP103" s="1040">
        <f t="shared" si="101"/>
        <v>9.5504317798086458</v>
      </c>
      <c r="CQ103" s="1041">
        <f t="shared" si="102"/>
        <v>9.7005682201913555</v>
      </c>
      <c r="CR103" s="1046">
        <v>2014</v>
      </c>
      <c r="CS103" s="1047" t="s">
        <v>5648</v>
      </c>
      <c r="CT103" s="1068">
        <f t="shared" si="105"/>
        <v>15</v>
      </c>
      <c r="CU103" s="1071">
        <v>18</v>
      </c>
      <c r="CV103" s="1117" t="s">
        <v>5800</v>
      </c>
      <c r="CW103" s="1113">
        <v>19.251000000000001</v>
      </c>
      <c r="CX103" s="1113">
        <v>29.15</v>
      </c>
      <c r="CY103" s="1113">
        <v>36.713000000000001</v>
      </c>
      <c r="CZ103" s="494">
        <v>1</v>
      </c>
      <c r="DA103" s="1104">
        <v>4</v>
      </c>
      <c r="DB103" s="1050" t="s">
        <v>647</v>
      </c>
      <c r="DC103" s="1145" t="s">
        <v>323</v>
      </c>
      <c r="DD103" s="1131">
        <f t="shared" si="91"/>
        <v>12.181999999999999</v>
      </c>
      <c r="DE103" s="1132">
        <f t="shared" si="106"/>
        <v>32.648138718409129</v>
      </c>
      <c r="DF103" s="1132">
        <f t="shared" si="92"/>
        <v>52.137840911251452</v>
      </c>
      <c r="DG103" s="1133">
        <f t="shared" si="93"/>
        <v>5.8305682201913527</v>
      </c>
      <c r="DH103" s="1133">
        <f t="shared" si="94"/>
        <v>6.3514317798086513</v>
      </c>
      <c r="DI103" s="1132">
        <f t="shared" si="107"/>
        <v>31.497856518779933</v>
      </c>
      <c r="DJ103" s="1134">
        <f t="shared" si="108"/>
        <v>33.780617911970268</v>
      </c>
      <c r="DK103" s="1135">
        <f t="shared" si="109"/>
        <v>12.181999999999999</v>
      </c>
      <c r="DL103" s="1132">
        <f t="shared" si="95"/>
        <v>52.137840911251452</v>
      </c>
      <c r="DM103" s="1133">
        <f t="shared" si="110"/>
        <v>5.8305682201913527</v>
      </c>
      <c r="DN103" s="1136">
        <f t="shared" si="111"/>
        <v>6.3514317798086513</v>
      </c>
      <c r="DO103" s="1135">
        <f t="shared" si="112"/>
        <v>0</v>
      </c>
      <c r="DP103" s="1132">
        <f t="shared" si="96"/>
        <v>0</v>
      </c>
      <c r="DQ103" s="1133">
        <f t="shared" si="85"/>
        <v>0</v>
      </c>
      <c r="DR103" s="1136">
        <f t="shared" si="86"/>
        <v>0</v>
      </c>
      <c r="DS103" s="1135">
        <f t="shared" si="113"/>
        <v>0</v>
      </c>
      <c r="DT103" s="1137">
        <f t="shared" si="97"/>
        <v>0</v>
      </c>
      <c r="DU103" s="1133">
        <f t="shared" si="87"/>
        <v>0</v>
      </c>
      <c r="DV103" s="1136">
        <f t="shared" si="88"/>
        <v>0</v>
      </c>
      <c r="DW103" s="1132">
        <f t="shared" si="89"/>
        <v>0</v>
      </c>
      <c r="DX103" s="1134">
        <f t="shared" si="90"/>
        <v>0</v>
      </c>
      <c r="DY103" s="414" t="s">
        <v>145</v>
      </c>
      <c r="DZ103" s="111" t="s">
        <v>145</v>
      </c>
      <c r="EA103" s="118"/>
      <c r="EB103" s="123" t="s">
        <v>145</v>
      </c>
      <c r="EC103" s="113" t="s">
        <v>145</v>
      </c>
      <c r="ED103" s="20"/>
      <c r="EE103" s="414" t="s">
        <v>145</v>
      </c>
      <c r="EF103" s="111" t="s">
        <v>145</v>
      </c>
      <c r="EG103" s="380" t="s">
        <v>145</v>
      </c>
      <c r="EH103" s="24" t="s">
        <v>376</v>
      </c>
      <c r="EI103" s="287">
        <v>0</v>
      </c>
      <c r="EJ103" s="40" t="s">
        <v>145</v>
      </c>
      <c r="EK103" s="35" t="s">
        <v>145</v>
      </c>
      <c r="EL103" s="95" t="s">
        <v>145</v>
      </c>
      <c r="EM103" s="95" t="s">
        <v>145</v>
      </c>
      <c r="EN103" s="35" t="s">
        <v>145</v>
      </c>
      <c r="EO103" s="95" t="s">
        <v>145</v>
      </c>
      <c r="EP103" s="205" t="s">
        <v>145</v>
      </c>
      <c r="EQ103" s="207" t="s">
        <v>145</v>
      </c>
      <c r="ER103" s="517" t="s">
        <v>145</v>
      </c>
      <c r="ES103" s="183"/>
      <c r="ET103" s="183"/>
      <c r="EU103" s="82"/>
      <c r="EV103" s="82"/>
      <c r="EW103" s="82"/>
      <c r="EX103" s="90"/>
      <c r="EY103" s="159"/>
      <c r="EZ103" s="156"/>
      <c r="FA103" s="323"/>
      <c r="FB103" s="323"/>
      <c r="FC103" s="323"/>
      <c r="FD103" s="160"/>
      <c r="FE103" s="156"/>
      <c r="FF103" s="156"/>
      <c r="FG103" s="156"/>
      <c r="FH103" s="157"/>
      <c r="FI103" s="242"/>
      <c r="FJ103" s="240"/>
      <c r="FK103" s="179"/>
      <c r="FL103" s="179"/>
      <c r="FM103" s="179"/>
      <c r="FN103" s="369"/>
      <c r="FO103" s="164"/>
      <c r="FP103" s="255"/>
      <c r="FQ103" s="183"/>
      <c r="FR103" s="257"/>
      <c r="FS103" s="82"/>
      <c r="FT103" s="259"/>
      <c r="FU103" s="82"/>
      <c r="FV103" s="259"/>
      <c r="FW103" s="82"/>
      <c r="FX103" s="259"/>
      <c r="FY103" s="82"/>
      <c r="FZ103" s="259"/>
      <c r="GA103" s="82"/>
      <c r="GB103" s="261"/>
      <c r="GC103" s="90"/>
      <c r="GD103" s="76">
        <v>1</v>
      </c>
      <c r="GE103" s="445" t="s">
        <v>3424</v>
      </c>
      <c r="GF103" s="447" t="s">
        <v>10</v>
      </c>
      <c r="GG103" s="448">
        <v>1</v>
      </c>
      <c r="GH103" s="449">
        <v>1</v>
      </c>
      <c r="GI103" s="447" t="s">
        <v>145</v>
      </c>
      <c r="GJ103" s="449" t="s">
        <v>145</v>
      </c>
      <c r="GK103" s="447" t="s">
        <v>145</v>
      </c>
      <c r="GL103" s="448" t="s">
        <v>145</v>
      </c>
      <c r="GM103" s="449" t="s">
        <v>145</v>
      </c>
      <c r="GN103" s="447" t="s">
        <v>10</v>
      </c>
      <c r="GO103" s="449">
        <v>14</v>
      </c>
      <c r="GP103" s="447">
        <v>1</v>
      </c>
      <c r="GQ103" s="448">
        <v>5</v>
      </c>
      <c r="GR103" s="449">
        <v>8</v>
      </c>
      <c r="GS103" s="446"/>
      <c r="GT103" s="461">
        <v>1.4628721475601196</v>
      </c>
      <c r="GU103" s="462">
        <v>1.41255784034729</v>
      </c>
      <c r="GV103" s="462">
        <v>1.7328453063964844</v>
      </c>
      <c r="GW103" s="462">
        <v>1.5571442842483521</v>
      </c>
      <c r="GX103" s="462">
        <v>1.5856434106826782</v>
      </c>
      <c r="GY103" s="463">
        <v>1.8335716724395752</v>
      </c>
      <c r="GZ103" s="10">
        <v>35</v>
      </c>
      <c r="HA103" s="536">
        <v>0.69823000000000002</v>
      </c>
      <c r="HB103" s="536">
        <v>0.27450000000000002</v>
      </c>
      <c r="HC103" s="525">
        <v>0.51180999999999999</v>
      </c>
      <c r="HD103" s="526">
        <v>0.74682000000000004</v>
      </c>
      <c r="HE103" s="527">
        <v>0.83609999999999995</v>
      </c>
      <c r="HF103" s="10" t="s">
        <v>145</v>
      </c>
      <c r="HG103" s="532" t="s">
        <v>145</v>
      </c>
      <c r="HH103" s="524" t="s">
        <v>145</v>
      </c>
      <c r="HI103" s="525" t="s">
        <v>145</v>
      </c>
      <c r="HJ103" s="527" t="s">
        <v>145</v>
      </c>
      <c r="HK103" s="379" t="s">
        <v>4078</v>
      </c>
      <c r="HL103" s="23" t="s">
        <v>4826</v>
      </c>
      <c r="HM103" s="557">
        <v>2002</v>
      </c>
      <c r="HN103" s="557">
        <v>2008</v>
      </c>
      <c r="HO103" s="526" t="s">
        <v>3985</v>
      </c>
      <c r="HP103" s="564" t="s">
        <v>4000</v>
      </c>
      <c r="HQ103" s="655" t="s">
        <v>4827</v>
      </c>
      <c r="HR103" s="565" t="s">
        <v>4063</v>
      </c>
      <c r="HS103" s="576">
        <v>99</v>
      </c>
      <c r="HT103" s="577">
        <v>39</v>
      </c>
      <c r="HU103" s="577">
        <v>1999</v>
      </c>
      <c r="HV103" s="584" t="s">
        <v>4163</v>
      </c>
      <c r="HW103" s="577">
        <v>0</v>
      </c>
      <c r="HX103" s="577">
        <v>17</v>
      </c>
      <c r="HY103" s="577">
        <v>10</v>
      </c>
      <c r="HZ103" s="577">
        <v>5</v>
      </c>
      <c r="IA103" s="577">
        <v>1</v>
      </c>
      <c r="IB103" s="577">
        <v>2</v>
      </c>
      <c r="IC103" s="578">
        <v>4</v>
      </c>
      <c r="ID103" s="660" t="s">
        <v>5020</v>
      </c>
      <c r="IE103" s="550"/>
      <c r="IF103" s="550"/>
      <c r="IG103" s="553"/>
      <c r="IH103" s="339"/>
      <c r="II103" s="553" t="s">
        <v>4920</v>
      </c>
      <c r="IJ103" s="424" t="s">
        <v>4926</v>
      </c>
      <c r="IK103" s="24">
        <v>1</v>
      </c>
      <c r="IL103" s="749">
        <f t="shared" si="114"/>
        <v>18</v>
      </c>
      <c r="IM103" s="747">
        <f t="shared" si="115"/>
        <v>72</v>
      </c>
      <c r="IN103" s="750" t="str">
        <f t="shared" si="116"/>
        <v>B</v>
      </c>
      <c r="IO103" s="446"/>
      <c r="IP103" s="902">
        <v>3</v>
      </c>
      <c r="IQ103" s="903">
        <v>0</v>
      </c>
      <c r="IR103" s="993">
        <v>0</v>
      </c>
      <c r="IT103" s="435"/>
      <c r="IU103" s="435"/>
      <c r="IV103" s="435"/>
    </row>
    <row r="104" spans="1:256">
      <c r="A104" s="21">
        <v>102</v>
      </c>
      <c r="B104" s="9"/>
      <c r="C104" s="430" t="s">
        <v>163</v>
      </c>
      <c r="D104" s="424" t="s">
        <v>408</v>
      </c>
      <c r="E104" s="697" t="s">
        <v>17</v>
      </c>
      <c r="F104" s="76" t="s">
        <v>840</v>
      </c>
      <c r="G104" s="102" t="s">
        <v>557</v>
      </c>
      <c r="H104" s="375" t="s">
        <v>2318</v>
      </c>
      <c r="I104" s="95" t="s">
        <v>2321</v>
      </c>
      <c r="J104" s="370">
        <v>1</v>
      </c>
      <c r="K104" s="88">
        <v>1992</v>
      </c>
      <c r="L104" s="371">
        <v>2</v>
      </c>
      <c r="M104" s="373" t="s">
        <v>1810</v>
      </c>
      <c r="N104" s="369" t="s">
        <v>1822</v>
      </c>
      <c r="O104" s="252" t="s">
        <v>2853</v>
      </c>
      <c r="P104" s="362" t="s">
        <v>2798</v>
      </c>
      <c r="Q104" s="371">
        <v>2</v>
      </c>
      <c r="R104" s="370">
        <v>2009</v>
      </c>
      <c r="S104" s="372" t="s">
        <v>2085</v>
      </c>
      <c r="T104" s="370">
        <v>1</v>
      </c>
      <c r="U104" s="370">
        <v>1</v>
      </c>
      <c r="V104" s="370">
        <v>16</v>
      </c>
      <c r="W104" s="369" t="s">
        <v>1822</v>
      </c>
      <c r="X104" s="170">
        <v>1</v>
      </c>
      <c r="Y104" s="369">
        <v>1</v>
      </c>
      <c r="Z104" s="271"/>
      <c r="AA104" s="169">
        <v>1</v>
      </c>
      <c r="AB104" s="177">
        <v>1</v>
      </c>
      <c r="AC104" s="171"/>
      <c r="AD104" s="366" t="s">
        <v>3268</v>
      </c>
      <c r="AE104" s="357">
        <v>2009</v>
      </c>
      <c r="AF104" s="357">
        <v>2</v>
      </c>
      <c r="AG104" s="550" t="s">
        <v>5171</v>
      </c>
      <c r="AH104" s="355" t="s">
        <v>2787</v>
      </c>
      <c r="AI104" s="55">
        <v>1</v>
      </c>
      <c r="AJ104" s="55">
        <v>1</v>
      </c>
      <c r="AK104" s="590">
        <v>900</v>
      </c>
      <c r="AL104" s="386">
        <v>1</v>
      </c>
      <c r="AM104" s="361" t="s">
        <v>2776</v>
      </c>
      <c r="AN104" s="342" t="s">
        <v>145</v>
      </c>
      <c r="AO104" s="170">
        <v>0</v>
      </c>
      <c r="AP104" s="369">
        <v>0</v>
      </c>
      <c r="AQ104" s="252" t="s">
        <v>5256</v>
      </c>
      <c r="AR104" s="378" t="s">
        <v>1980</v>
      </c>
      <c r="AS104" s="55">
        <v>2</v>
      </c>
      <c r="AT104" s="371">
        <v>2</v>
      </c>
      <c r="AU104" s="371">
        <v>2006</v>
      </c>
      <c r="AV104" s="370">
        <v>10</v>
      </c>
      <c r="AW104" s="589">
        <v>1100</v>
      </c>
      <c r="AX104" s="687">
        <v>1</v>
      </c>
      <c r="AY104" s="174" t="s">
        <v>4507</v>
      </c>
      <c r="AZ104" s="550">
        <v>1997</v>
      </c>
      <c r="BA104" s="550">
        <v>1</v>
      </c>
      <c r="BB104" s="550">
        <v>1</v>
      </c>
      <c r="BC104" s="174" t="s">
        <v>4508</v>
      </c>
      <c r="BD104" s="550">
        <v>1990</v>
      </c>
      <c r="BE104" s="55">
        <v>0</v>
      </c>
      <c r="BF104" s="371" t="s">
        <v>145</v>
      </c>
      <c r="BG104" s="367">
        <v>0</v>
      </c>
      <c r="BH104" s="56" t="s">
        <v>145</v>
      </c>
      <c r="BI104" s="367">
        <v>3</v>
      </c>
      <c r="BJ104" s="367">
        <v>1</v>
      </c>
      <c r="BK104" s="1138">
        <v>2921.2620000000002</v>
      </c>
      <c r="BL104" s="1163">
        <f t="shared" si="103"/>
        <v>53.915225679860278</v>
      </c>
      <c r="BM104" s="1138">
        <v>1346.2570000000001</v>
      </c>
      <c r="BN104" s="1139">
        <v>1575.0050000000001</v>
      </c>
      <c r="BO104" s="888">
        <v>151.90600000000001</v>
      </c>
      <c r="BP104" s="1158">
        <f t="shared" si="78"/>
        <v>48.717628006793674</v>
      </c>
      <c r="BQ104" s="917">
        <v>77.900999999999996</v>
      </c>
      <c r="BR104" s="920">
        <v>74.004999999999995</v>
      </c>
      <c r="BS104" s="888">
        <v>133.34899999999999</v>
      </c>
      <c r="BT104" s="1158">
        <f t="shared" si="79"/>
        <v>49.011241179161445</v>
      </c>
      <c r="BU104" s="917">
        <v>67.992999999999995</v>
      </c>
      <c r="BV104" s="920">
        <v>65.355999999999995</v>
      </c>
      <c r="BW104" s="888">
        <v>132.542</v>
      </c>
      <c r="BX104" s="1158">
        <f t="shared" si="80"/>
        <v>48.571773475577551</v>
      </c>
      <c r="BY104" s="917">
        <v>68.164000000000001</v>
      </c>
      <c r="BZ104" s="920">
        <v>64.378</v>
      </c>
      <c r="CA104" s="888">
        <f t="shared" si="81"/>
        <v>2503.4650000000001</v>
      </c>
      <c r="CB104" s="1158">
        <f t="shared" si="82"/>
        <v>54.774722234982306</v>
      </c>
      <c r="CC104" s="917">
        <f t="shared" si="83"/>
        <v>1132.1990000000001</v>
      </c>
      <c r="CD104" s="920">
        <f t="shared" si="84"/>
        <v>1371.2660000000001</v>
      </c>
      <c r="CE104" s="914">
        <v>2015</v>
      </c>
      <c r="CF104" s="926" t="s">
        <v>5630</v>
      </c>
      <c r="CG104" s="930">
        <v>100</v>
      </c>
      <c r="CH104" s="1005">
        <v>100</v>
      </c>
      <c r="CI104" s="1006">
        <v>100</v>
      </c>
      <c r="CJ104" s="904" t="s">
        <v>1621</v>
      </c>
      <c r="CK104" s="904" t="s">
        <v>1621</v>
      </c>
      <c r="CL104" s="904">
        <v>2011</v>
      </c>
      <c r="CM104" s="905" t="s">
        <v>5576</v>
      </c>
      <c r="CN104" s="1125">
        <v>2452.7530000000002</v>
      </c>
      <c r="CO104" s="1045">
        <f t="shared" si="104"/>
        <v>83.962102680279955</v>
      </c>
      <c r="CP104" s="1040">
        <f t="shared" si="101"/>
        <v>1130.3456846804568</v>
      </c>
      <c r="CQ104" s="1041">
        <f t="shared" si="102"/>
        <v>1322.4073153195434</v>
      </c>
      <c r="CR104" s="1046">
        <v>2014</v>
      </c>
      <c r="CS104" s="1047" t="s">
        <v>5928</v>
      </c>
      <c r="CT104" s="1068">
        <f t="shared" si="105"/>
        <v>16</v>
      </c>
      <c r="CU104" s="1071">
        <v>18</v>
      </c>
      <c r="CV104" s="1068" t="s">
        <v>5937</v>
      </c>
      <c r="CW104" s="1113">
        <v>2559.3980000000001</v>
      </c>
      <c r="CX104" s="1113">
        <v>2807.1950000000002</v>
      </c>
      <c r="CY104" s="1113">
        <v>3505.7379999999998</v>
      </c>
      <c r="CZ104" s="494">
        <v>1</v>
      </c>
      <c r="DA104" s="1104">
        <v>4</v>
      </c>
      <c r="DB104" s="1050" t="s">
        <v>647</v>
      </c>
      <c r="DC104" s="1146" t="s">
        <v>322</v>
      </c>
      <c r="DD104" s="978">
        <f t="shared" si="91"/>
        <v>50.711999999999989</v>
      </c>
      <c r="DE104" s="979">
        <f t="shared" si="106"/>
        <v>1.7359620602328714</v>
      </c>
      <c r="DF104" s="979">
        <f t="shared" si="92"/>
        <v>96.345410712369258</v>
      </c>
      <c r="DG104" s="980">
        <f t="shared" si="93"/>
        <v>1.8533153195432988</v>
      </c>
      <c r="DH104" s="980">
        <f t="shared" si="94"/>
        <v>48.85868468045669</v>
      </c>
      <c r="DI104" s="979">
        <f t="shared" si="107"/>
        <v>0.13766430329003293</v>
      </c>
      <c r="DJ104" s="981">
        <f t="shared" si="108"/>
        <v>3.1021288618421328</v>
      </c>
      <c r="DK104" s="984">
        <f t="shared" si="109"/>
        <v>50.711999999999989</v>
      </c>
      <c r="DL104" s="979">
        <f t="shared" si="95"/>
        <v>96.345410712369258</v>
      </c>
      <c r="DM104" s="980">
        <f t="shared" si="110"/>
        <v>1.8533153195432988</v>
      </c>
      <c r="DN104" s="985">
        <f t="shared" si="111"/>
        <v>48.85868468045669</v>
      </c>
      <c r="DO104" s="984">
        <f t="shared" si="112"/>
        <v>0</v>
      </c>
      <c r="DP104" s="979">
        <f t="shared" si="96"/>
        <v>0</v>
      </c>
      <c r="DQ104" s="980">
        <f t="shared" si="85"/>
        <v>0</v>
      </c>
      <c r="DR104" s="985">
        <f t="shared" si="86"/>
        <v>0</v>
      </c>
      <c r="DS104" s="984">
        <f t="shared" si="113"/>
        <v>0</v>
      </c>
      <c r="DT104" s="339">
        <f t="shared" si="97"/>
        <v>0</v>
      </c>
      <c r="DU104" s="980">
        <f t="shared" si="87"/>
        <v>0</v>
      </c>
      <c r="DV104" s="985">
        <f t="shared" si="88"/>
        <v>0</v>
      </c>
      <c r="DW104" s="979">
        <f t="shared" si="89"/>
        <v>0</v>
      </c>
      <c r="DX104" s="981">
        <f t="shared" si="90"/>
        <v>0</v>
      </c>
      <c r="DY104" s="414">
        <v>0.16</v>
      </c>
      <c r="DZ104" s="111">
        <v>2008</v>
      </c>
      <c r="EA104" s="118">
        <v>5</v>
      </c>
      <c r="EB104" s="123" t="s">
        <v>145</v>
      </c>
      <c r="EC104" s="113" t="s">
        <v>145</v>
      </c>
      <c r="ED104" s="20"/>
      <c r="EE104" s="414">
        <v>4</v>
      </c>
      <c r="EF104" s="121">
        <v>2008</v>
      </c>
      <c r="EG104" s="380">
        <v>99.815597534179702</v>
      </c>
      <c r="EH104" s="24" t="s">
        <v>349</v>
      </c>
      <c r="EI104" s="288">
        <v>0</v>
      </c>
      <c r="EJ104" s="40" t="s">
        <v>145</v>
      </c>
      <c r="EK104" s="35" t="s">
        <v>145</v>
      </c>
      <c r="EL104" s="95" t="s">
        <v>145</v>
      </c>
      <c r="EM104" s="95" t="s">
        <v>145</v>
      </c>
      <c r="EN104" s="35" t="s">
        <v>145</v>
      </c>
      <c r="EO104" s="95" t="s">
        <v>145</v>
      </c>
      <c r="EP104" s="205" t="s">
        <v>145</v>
      </c>
      <c r="EQ104" s="207" t="s">
        <v>145</v>
      </c>
      <c r="ER104" s="517" t="s">
        <v>145</v>
      </c>
      <c r="ES104" s="183"/>
      <c r="ET104" s="183"/>
      <c r="EU104" s="82"/>
      <c r="EV104" s="82"/>
      <c r="EW104" s="82"/>
      <c r="EX104" s="90"/>
      <c r="EY104" s="159"/>
      <c r="EZ104" s="156"/>
      <c r="FA104" s="323"/>
      <c r="FB104" s="323"/>
      <c r="FC104" s="323"/>
      <c r="FD104" s="160"/>
      <c r="FE104" s="156"/>
      <c r="FF104" s="156"/>
      <c r="FG104" s="156"/>
      <c r="FH104" s="157"/>
      <c r="FI104" s="242"/>
      <c r="FJ104" s="373"/>
      <c r="FK104" s="179"/>
      <c r="FL104" s="179"/>
      <c r="FM104" s="179"/>
      <c r="FN104" s="369"/>
      <c r="FO104" s="164"/>
      <c r="FP104" s="255"/>
      <c r="FQ104" s="183"/>
      <c r="FR104" s="257"/>
      <c r="FS104" s="82"/>
      <c r="FT104" s="259"/>
      <c r="FU104" s="82"/>
      <c r="FV104" s="259"/>
      <c r="FW104" s="82"/>
      <c r="FX104" s="259"/>
      <c r="FY104" s="82"/>
      <c r="FZ104" s="259"/>
      <c r="GA104" s="82"/>
      <c r="GB104" s="261"/>
      <c r="GC104" s="90"/>
      <c r="GD104" s="76">
        <v>1</v>
      </c>
      <c r="GE104" s="445" t="s">
        <v>3424</v>
      </c>
      <c r="GF104" s="447" t="s">
        <v>10</v>
      </c>
      <c r="GG104" s="448">
        <v>1</v>
      </c>
      <c r="GH104" s="449">
        <v>1</v>
      </c>
      <c r="GI104" s="447" t="s">
        <v>145</v>
      </c>
      <c r="GJ104" s="449" t="s">
        <v>145</v>
      </c>
      <c r="GK104" s="447" t="s">
        <v>145</v>
      </c>
      <c r="GL104" s="448" t="s">
        <v>145</v>
      </c>
      <c r="GM104" s="449" t="s">
        <v>145</v>
      </c>
      <c r="GN104" s="447" t="s">
        <v>10</v>
      </c>
      <c r="GO104" s="449">
        <v>24</v>
      </c>
      <c r="GP104" s="447">
        <v>6</v>
      </c>
      <c r="GQ104" s="448">
        <v>8</v>
      </c>
      <c r="GR104" s="449">
        <v>10</v>
      </c>
      <c r="GS104" s="446">
        <v>10</v>
      </c>
      <c r="GT104" s="461">
        <v>0.91783714294433594</v>
      </c>
      <c r="GU104" s="462">
        <v>0.92245030403137207</v>
      </c>
      <c r="GV104" s="462">
        <v>0.82435619831085205</v>
      </c>
      <c r="GW104" s="462">
        <v>1.1311988830566406</v>
      </c>
      <c r="GX104" s="462">
        <v>0.79100668430328369</v>
      </c>
      <c r="GY104" s="463">
        <v>0.36356371641159058</v>
      </c>
      <c r="GZ104" s="10">
        <v>29</v>
      </c>
      <c r="HA104" s="536">
        <v>0.72709000000000001</v>
      </c>
      <c r="HB104" s="536">
        <v>0.64705000000000001</v>
      </c>
      <c r="HC104" s="525">
        <v>0.75590000000000002</v>
      </c>
      <c r="HD104" s="526">
        <v>0.56967999999999996</v>
      </c>
      <c r="HE104" s="527">
        <v>0.85570000000000002</v>
      </c>
      <c r="HF104" s="10">
        <v>40</v>
      </c>
      <c r="HG104" s="532">
        <v>6.74</v>
      </c>
      <c r="HH104" s="545">
        <v>7</v>
      </c>
      <c r="HI104" s="546">
        <v>5.29</v>
      </c>
      <c r="HJ104" s="547">
        <v>9.1199999999999992</v>
      </c>
      <c r="HK104" s="379" t="s">
        <v>4079</v>
      </c>
      <c r="HL104" s="23" t="s">
        <v>4828</v>
      </c>
      <c r="HM104" s="557">
        <v>1996</v>
      </c>
      <c r="HN104" s="557">
        <v>2003</v>
      </c>
      <c r="HO104" s="557" t="s">
        <v>3985</v>
      </c>
      <c r="HP104" s="562" t="s">
        <v>4077</v>
      </c>
      <c r="HQ104" s="639" t="s">
        <v>4827</v>
      </c>
      <c r="HR104" s="563" t="s">
        <v>4001</v>
      </c>
      <c r="HS104" s="545">
        <v>88</v>
      </c>
      <c r="HT104" s="557">
        <v>64</v>
      </c>
      <c r="HU104" s="557">
        <v>1996</v>
      </c>
      <c r="HV104" s="583" t="s">
        <v>4216</v>
      </c>
      <c r="HW104" s="557">
        <v>5</v>
      </c>
      <c r="HX104" s="557">
        <v>24</v>
      </c>
      <c r="HY104" s="557">
        <v>18</v>
      </c>
      <c r="HZ104" s="557">
        <v>11</v>
      </c>
      <c r="IA104" s="557">
        <v>6</v>
      </c>
      <c r="IB104" s="557">
        <v>0</v>
      </c>
      <c r="IC104" s="547">
        <v>0</v>
      </c>
      <c r="ID104" s="40" t="s">
        <v>5199</v>
      </c>
      <c r="IE104" s="550"/>
      <c r="IF104" s="550"/>
      <c r="IG104" s="553"/>
      <c r="IH104" s="339"/>
      <c r="II104" s="553" t="s">
        <v>4920</v>
      </c>
      <c r="IJ104" s="424" t="s">
        <v>4926</v>
      </c>
      <c r="IK104" s="24">
        <v>0</v>
      </c>
      <c r="IL104" s="749">
        <f t="shared" si="114"/>
        <v>18</v>
      </c>
      <c r="IM104" s="747">
        <f t="shared" si="115"/>
        <v>72</v>
      </c>
      <c r="IN104" s="750" t="str">
        <f t="shared" si="116"/>
        <v>B</v>
      </c>
      <c r="IO104" s="446"/>
      <c r="IP104" s="902">
        <v>4</v>
      </c>
      <c r="IQ104" s="903">
        <v>0</v>
      </c>
      <c r="IR104" s="993">
        <v>0</v>
      </c>
      <c r="IT104" s="435"/>
      <c r="IU104" s="435"/>
      <c r="IV104" s="435"/>
    </row>
    <row r="105" spans="1:256">
      <c r="A105" s="21">
        <v>103</v>
      </c>
      <c r="B105" s="9"/>
      <c r="C105" s="430" t="s">
        <v>165</v>
      </c>
      <c r="D105" s="424"/>
      <c r="E105" s="24" t="s">
        <v>17</v>
      </c>
      <c r="F105" s="76" t="s">
        <v>841</v>
      </c>
      <c r="G105" s="102" t="s">
        <v>558</v>
      </c>
      <c r="H105" s="251" t="s">
        <v>2324</v>
      </c>
      <c r="I105" s="95" t="s">
        <v>2323</v>
      </c>
      <c r="J105" s="370">
        <v>5</v>
      </c>
      <c r="K105" s="88">
        <v>1796</v>
      </c>
      <c r="L105" s="371">
        <v>2</v>
      </c>
      <c r="M105" s="373" t="s">
        <v>2322</v>
      </c>
      <c r="N105" s="369" t="s">
        <v>1822</v>
      </c>
      <c r="O105" s="365" t="s">
        <v>3043</v>
      </c>
      <c r="P105" s="362" t="s">
        <v>3044</v>
      </c>
      <c r="Q105" s="370">
        <v>2</v>
      </c>
      <c r="R105" s="370">
        <v>2014</v>
      </c>
      <c r="S105" s="372" t="s">
        <v>2854</v>
      </c>
      <c r="T105" s="370">
        <v>1</v>
      </c>
      <c r="U105" s="370">
        <v>2</v>
      </c>
      <c r="V105" s="370">
        <v>15</v>
      </c>
      <c r="W105" s="369" t="s">
        <v>1822</v>
      </c>
      <c r="X105" s="170">
        <v>1</v>
      </c>
      <c r="Y105" s="369">
        <v>0</v>
      </c>
      <c r="Z105" s="271"/>
      <c r="AA105" s="169">
        <v>1</v>
      </c>
      <c r="AB105" s="177">
        <v>1</v>
      </c>
      <c r="AC105" s="171"/>
      <c r="AD105" s="366" t="s">
        <v>2871</v>
      </c>
      <c r="AE105" s="357">
        <v>2014</v>
      </c>
      <c r="AF105" s="804">
        <v>3</v>
      </c>
      <c r="AG105" s="550">
        <v>4</v>
      </c>
      <c r="AH105" s="355" t="s">
        <v>2872</v>
      </c>
      <c r="AI105" s="550">
        <v>1</v>
      </c>
      <c r="AJ105" s="550">
        <v>1</v>
      </c>
      <c r="AK105" s="590" t="s">
        <v>145</v>
      </c>
      <c r="AL105" s="387">
        <v>9</v>
      </c>
      <c r="AM105" s="361" t="s">
        <v>1596</v>
      </c>
      <c r="AN105" s="384" t="s">
        <v>145</v>
      </c>
      <c r="AO105" s="170">
        <v>0</v>
      </c>
      <c r="AP105" s="369">
        <v>0</v>
      </c>
      <c r="AQ105" s="365" t="s">
        <v>5257</v>
      </c>
      <c r="AR105" s="378" t="s">
        <v>4993</v>
      </c>
      <c r="AS105" s="55">
        <v>2</v>
      </c>
      <c r="AT105" s="370">
        <v>3</v>
      </c>
      <c r="AU105" s="371">
        <v>2006</v>
      </c>
      <c r="AV105" s="370">
        <v>5</v>
      </c>
      <c r="AW105" s="589">
        <v>110</v>
      </c>
      <c r="AX105" s="687">
        <v>1</v>
      </c>
      <c r="AY105" s="292" t="s">
        <v>4509</v>
      </c>
      <c r="AZ105" s="550">
        <v>2002</v>
      </c>
      <c r="BA105" s="550">
        <v>1</v>
      </c>
      <c r="BB105" s="550">
        <v>1</v>
      </c>
      <c r="BC105" s="174" t="s">
        <v>4510</v>
      </c>
      <c r="BD105" s="550">
        <v>1913</v>
      </c>
      <c r="BE105" s="55">
        <v>0</v>
      </c>
      <c r="BF105" s="371" t="s">
        <v>145</v>
      </c>
      <c r="BG105" s="367">
        <v>1</v>
      </c>
      <c r="BH105" s="174" t="s">
        <v>2171</v>
      </c>
      <c r="BI105" s="367">
        <v>3</v>
      </c>
      <c r="BJ105" s="367">
        <v>0</v>
      </c>
      <c r="BK105" s="888">
        <v>567.11</v>
      </c>
      <c r="BL105" s="925">
        <f t="shared" si="103"/>
        <v>49.813087408086616</v>
      </c>
      <c r="BM105" s="888">
        <v>284.61500000000001</v>
      </c>
      <c r="BN105" s="920">
        <v>282.495</v>
      </c>
      <c r="BO105" s="888">
        <v>31.783000000000001</v>
      </c>
      <c r="BP105" s="1158">
        <f t="shared" si="78"/>
        <v>48.547965893716764</v>
      </c>
      <c r="BQ105" s="917">
        <v>16.353000000000002</v>
      </c>
      <c r="BR105" s="920">
        <v>15.43</v>
      </c>
      <c r="BS105" s="888">
        <v>30.105</v>
      </c>
      <c r="BT105" s="1158">
        <f t="shared" si="79"/>
        <v>48.95200132868294</v>
      </c>
      <c r="BU105" s="917">
        <v>15.368</v>
      </c>
      <c r="BV105" s="920">
        <v>14.737</v>
      </c>
      <c r="BW105" s="888">
        <v>31.309000000000001</v>
      </c>
      <c r="BX105" s="1158">
        <f t="shared" si="80"/>
        <v>48.602638219042447</v>
      </c>
      <c r="BY105" s="917">
        <v>16.091999999999999</v>
      </c>
      <c r="BZ105" s="920">
        <v>15.217000000000001</v>
      </c>
      <c r="CA105" s="888">
        <f t="shared" si="81"/>
        <v>473.91299999999995</v>
      </c>
      <c r="CB105" s="1158">
        <f t="shared" si="82"/>
        <v>50.032600920422112</v>
      </c>
      <c r="CC105" s="917">
        <f t="shared" si="83"/>
        <v>236.80200000000002</v>
      </c>
      <c r="CD105" s="920">
        <f t="shared" si="84"/>
        <v>237.11099999999999</v>
      </c>
      <c r="CE105" s="914">
        <v>2015</v>
      </c>
      <c r="CF105" s="910" t="s">
        <v>5630</v>
      </c>
      <c r="CG105" s="930">
        <v>100</v>
      </c>
      <c r="CH105" s="1005">
        <v>100</v>
      </c>
      <c r="CI105" s="1006">
        <v>100</v>
      </c>
      <c r="CJ105" s="904" t="s">
        <v>1621</v>
      </c>
      <c r="CK105" s="904" t="s">
        <v>1621</v>
      </c>
      <c r="CL105" s="904">
        <v>2010</v>
      </c>
      <c r="CM105" s="905" t="s">
        <v>5576</v>
      </c>
      <c r="CN105" s="1051">
        <v>246.97399999999999</v>
      </c>
      <c r="CO105" s="1045">
        <f t="shared" si="104"/>
        <v>43.549575920015513</v>
      </c>
      <c r="CP105" s="1040">
        <f t="shared" si="101"/>
        <v>123.94862550475217</v>
      </c>
      <c r="CQ105" s="1041">
        <f t="shared" si="102"/>
        <v>123.02537449524783</v>
      </c>
      <c r="CR105" s="1046">
        <v>2015</v>
      </c>
      <c r="CS105" s="1047" t="s">
        <v>5802</v>
      </c>
      <c r="CT105" s="1068">
        <f t="shared" si="105"/>
        <v>15</v>
      </c>
      <c r="CU105" s="1071">
        <v>18</v>
      </c>
      <c r="CV105" s="1117" t="s">
        <v>5801</v>
      </c>
      <c r="CW105" s="1113">
        <v>239.66800000000001</v>
      </c>
      <c r="CX105" s="1113">
        <v>396.35399999999998</v>
      </c>
      <c r="CY105" s="1113">
        <v>514.86199999999997</v>
      </c>
      <c r="CZ105" s="494">
        <v>1</v>
      </c>
      <c r="DA105" s="1104">
        <v>5</v>
      </c>
      <c r="DB105" s="1050" t="s">
        <v>647</v>
      </c>
      <c r="DC105" s="1145" t="s">
        <v>323</v>
      </c>
      <c r="DD105" s="1131">
        <f t="shared" si="91"/>
        <v>226.93899999999996</v>
      </c>
      <c r="DE105" s="1132">
        <f t="shared" si="106"/>
        <v>40.016751600218647</v>
      </c>
      <c r="DF105" s="1132">
        <f t="shared" si="92"/>
        <v>50.271493883709795</v>
      </c>
      <c r="DG105" s="1133">
        <f t="shared" si="93"/>
        <v>112.85337449524785</v>
      </c>
      <c r="DH105" s="1133">
        <f t="shared" si="94"/>
        <v>114.08562550475216</v>
      </c>
      <c r="DI105" s="1132">
        <f t="shared" si="107"/>
        <v>39.651239216221157</v>
      </c>
      <c r="DJ105" s="1134">
        <f t="shared" si="108"/>
        <v>40.385006992956392</v>
      </c>
      <c r="DK105" s="1135">
        <f t="shared" si="109"/>
        <v>226.93899999999996</v>
      </c>
      <c r="DL105" s="1132">
        <f t="shared" si="95"/>
        <v>50.271493883709795</v>
      </c>
      <c r="DM105" s="1133">
        <f t="shared" si="110"/>
        <v>112.85337449524785</v>
      </c>
      <c r="DN105" s="1136">
        <f t="shared" si="111"/>
        <v>114.08562550475216</v>
      </c>
      <c r="DO105" s="1135">
        <f t="shared" si="112"/>
        <v>0</v>
      </c>
      <c r="DP105" s="1132">
        <f t="shared" si="96"/>
        <v>0</v>
      </c>
      <c r="DQ105" s="1133">
        <f t="shared" si="85"/>
        <v>0</v>
      </c>
      <c r="DR105" s="1136">
        <f t="shared" si="86"/>
        <v>0</v>
      </c>
      <c r="DS105" s="1135">
        <f t="shared" si="113"/>
        <v>0</v>
      </c>
      <c r="DT105" s="1137">
        <f t="shared" si="97"/>
        <v>0</v>
      </c>
      <c r="DU105" s="1133">
        <f t="shared" si="87"/>
        <v>0</v>
      </c>
      <c r="DV105" s="1136">
        <f t="shared" si="88"/>
        <v>0</v>
      </c>
      <c r="DW105" s="1132">
        <f t="shared" si="89"/>
        <v>0</v>
      </c>
      <c r="DX105" s="1134">
        <f t="shared" si="90"/>
        <v>0</v>
      </c>
      <c r="DY105" s="414" t="s">
        <v>145</v>
      </c>
      <c r="DZ105" s="111" t="s">
        <v>145</v>
      </c>
      <c r="EA105" s="368"/>
      <c r="EB105" s="123" t="s">
        <v>145</v>
      </c>
      <c r="EC105" s="113" t="s">
        <v>145</v>
      </c>
      <c r="ED105" s="20"/>
      <c r="EE105" s="414" t="s">
        <v>145</v>
      </c>
      <c r="EF105" s="111" t="s">
        <v>145</v>
      </c>
      <c r="EG105" s="380" t="s">
        <v>145</v>
      </c>
      <c r="EH105" s="24" t="s">
        <v>372</v>
      </c>
      <c r="EI105" s="287">
        <v>0</v>
      </c>
      <c r="EJ105" s="40" t="s">
        <v>145</v>
      </c>
      <c r="EK105" s="35" t="s">
        <v>145</v>
      </c>
      <c r="EL105" s="95" t="s">
        <v>145</v>
      </c>
      <c r="EM105" s="95" t="s">
        <v>145</v>
      </c>
      <c r="EN105" s="35" t="s">
        <v>145</v>
      </c>
      <c r="EO105" s="95" t="s">
        <v>145</v>
      </c>
      <c r="EP105" s="205" t="s">
        <v>145</v>
      </c>
      <c r="EQ105" s="207" t="s">
        <v>145</v>
      </c>
      <c r="ER105" s="517" t="s">
        <v>145</v>
      </c>
      <c r="ES105" s="183"/>
      <c r="ET105" s="183"/>
      <c r="EU105" s="82"/>
      <c r="EV105" s="82"/>
      <c r="EW105" s="82"/>
      <c r="EX105" s="90"/>
      <c r="EY105" s="159"/>
      <c r="EZ105" s="156"/>
      <c r="FA105" s="323"/>
      <c r="FB105" s="323"/>
      <c r="FC105" s="323"/>
      <c r="FD105" s="160"/>
      <c r="FE105" s="156"/>
      <c r="FF105" s="156"/>
      <c r="FG105" s="156"/>
      <c r="FH105" s="157"/>
      <c r="FI105" s="242"/>
      <c r="FJ105" s="373"/>
      <c r="FK105" s="179"/>
      <c r="FL105" s="179"/>
      <c r="FM105" s="179"/>
      <c r="FN105" s="369"/>
      <c r="FO105" s="164"/>
      <c r="FP105" s="255"/>
      <c r="FQ105" s="183"/>
      <c r="FR105" s="257"/>
      <c r="FS105" s="82"/>
      <c r="FT105" s="259"/>
      <c r="FU105" s="82"/>
      <c r="FV105" s="259"/>
      <c r="FW105" s="82"/>
      <c r="FX105" s="259"/>
      <c r="FY105" s="82"/>
      <c r="FZ105" s="259"/>
      <c r="GA105" s="82"/>
      <c r="GB105" s="261"/>
      <c r="GC105" s="90"/>
      <c r="GD105" s="76">
        <v>1</v>
      </c>
      <c r="GE105" s="445" t="s">
        <v>3424</v>
      </c>
      <c r="GF105" s="447" t="s">
        <v>10</v>
      </c>
      <c r="GG105" s="448">
        <v>1</v>
      </c>
      <c r="GH105" s="449">
        <v>1</v>
      </c>
      <c r="GI105" s="447" t="s">
        <v>145</v>
      </c>
      <c r="GJ105" s="449" t="s">
        <v>145</v>
      </c>
      <c r="GK105" s="447" t="s">
        <v>145</v>
      </c>
      <c r="GL105" s="448" t="s">
        <v>145</v>
      </c>
      <c r="GM105" s="449" t="s">
        <v>145</v>
      </c>
      <c r="GN105" s="447" t="s">
        <v>10</v>
      </c>
      <c r="GO105" s="449">
        <v>12</v>
      </c>
      <c r="GP105" s="447">
        <v>2</v>
      </c>
      <c r="GQ105" s="448">
        <v>4</v>
      </c>
      <c r="GR105" s="449">
        <v>6</v>
      </c>
      <c r="GS105" s="446">
        <v>10</v>
      </c>
      <c r="GT105" s="461">
        <v>1.6100245714187622</v>
      </c>
      <c r="GU105" s="462">
        <v>1.3321306705474854</v>
      </c>
      <c r="GV105" s="462">
        <v>1.6155534982681274</v>
      </c>
      <c r="GW105" s="462">
        <v>1.7623633146286011</v>
      </c>
      <c r="GX105" s="462">
        <v>1.7876087427139282</v>
      </c>
      <c r="GY105" s="463">
        <v>2.1148431301116943</v>
      </c>
      <c r="GZ105" s="10">
        <v>24</v>
      </c>
      <c r="HA105" s="536">
        <v>0.75910999999999995</v>
      </c>
      <c r="HB105" s="536">
        <v>0.54901</v>
      </c>
      <c r="HC105" s="525">
        <v>0.62204000000000004</v>
      </c>
      <c r="HD105" s="526">
        <v>0.87224999999999997</v>
      </c>
      <c r="HE105" s="527">
        <v>0.78300000000000003</v>
      </c>
      <c r="HF105" s="10">
        <v>10</v>
      </c>
      <c r="HG105" s="532">
        <v>8.26</v>
      </c>
      <c r="HH105" s="545">
        <v>9.4600000000000009</v>
      </c>
      <c r="HI105" s="546">
        <v>7.66</v>
      </c>
      <c r="HJ105" s="547">
        <v>7.08</v>
      </c>
      <c r="HK105" s="379" t="s">
        <v>4025</v>
      </c>
      <c r="HL105" s="23" t="s">
        <v>4829</v>
      </c>
      <c r="HM105" s="557">
        <v>1979</v>
      </c>
      <c r="HN105" s="557">
        <v>2002</v>
      </c>
      <c r="HO105" s="557" t="s">
        <v>3985</v>
      </c>
      <c r="HP105" s="562" t="s">
        <v>4080</v>
      </c>
      <c r="HQ105" s="639" t="s">
        <v>4830</v>
      </c>
      <c r="HR105" s="563" t="s">
        <v>4056</v>
      </c>
      <c r="HS105" s="545" t="s">
        <v>145</v>
      </c>
      <c r="HT105" s="557" t="s">
        <v>145</v>
      </c>
      <c r="HU105" s="557" t="s">
        <v>145</v>
      </c>
      <c r="HV105" s="581" t="s">
        <v>145</v>
      </c>
      <c r="HW105" s="557" t="s">
        <v>145</v>
      </c>
      <c r="HX105" s="557" t="s">
        <v>145</v>
      </c>
      <c r="HY105" s="557" t="s">
        <v>145</v>
      </c>
      <c r="HZ105" s="557" t="s">
        <v>145</v>
      </c>
      <c r="IA105" s="557" t="s">
        <v>145</v>
      </c>
      <c r="IB105" s="557" t="s">
        <v>145</v>
      </c>
      <c r="IC105" s="547" t="s">
        <v>145</v>
      </c>
      <c r="ID105" s="40" t="s">
        <v>5199</v>
      </c>
      <c r="IE105" s="355" t="s">
        <v>5200</v>
      </c>
      <c r="IF105" s="355"/>
      <c r="IG105" s="553"/>
      <c r="IH105" s="339"/>
      <c r="II105" s="553" t="s">
        <v>4920</v>
      </c>
      <c r="IJ105" s="424" t="s">
        <v>4925</v>
      </c>
      <c r="IK105" s="24">
        <v>0</v>
      </c>
      <c r="IL105" s="749">
        <f t="shared" si="114"/>
        <v>20</v>
      </c>
      <c r="IM105" s="747">
        <f t="shared" si="115"/>
        <v>80</v>
      </c>
      <c r="IN105" s="750" t="str">
        <f t="shared" si="116"/>
        <v>A</v>
      </c>
      <c r="IO105" s="446"/>
      <c r="IP105" s="902">
        <v>5</v>
      </c>
      <c r="IQ105" s="903">
        <v>0</v>
      </c>
      <c r="IR105" s="993">
        <v>0</v>
      </c>
      <c r="IT105" s="435"/>
      <c r="IU105" s="435"/>
      <c r="IV105" s="435"/>
    </row>
    <row r="106" spans="1:256">
      <c r="A106" s="21">
        <v>104</v>
      </c>
      <c r="B106" s="9"/>
      <c r="C106" s="431" t="s">
        <v>5713</v>
      </c>
      <c r="D106" s="424" t="s">
        <v>407</v>
      </c>
      <c r="E106" s="24" t="s">
        <v>17</v>
      </c>
      <c r="F106" s="76" t="s">
        <v>842</v>
      </c>
      <c r="G106" s="102" t="s">
        <v>570</v>
      </c>
      <c r="H106" s="375" t="s">
        <v>2346</v>
      </c>
      <c r="I106" s="364" t="s">
        <v>2345</v>
      </c>
      <c r="J106" s="176">
        <v>6</v>
      </c>
      <c r="K106" s="88">
        <v>1987</v>
      </c>
      <c r="L106" s="371">
        <v>2</v>
      </c>
      <c r="M106" s="240" t="s">
        <v>145</v>
      </c>
      <c r="N106" s="369" t="s">
        <v>1822</v>
      </c>
      <c r="O106" s="365" t="s">
        <v>2346</v>
      </c>
      <c r="P106" s="362" t="s">
        <v>2855</v>
      </c>
      <c r="Q106" s="370">
        <v>2</v>
      </c>
      <c r="R106" s="370">
        <v>2002</v>
      </c>
      <c r="S106" s="234" t="s">
        <v>2856</v>
      </c>
      <c r="T106" s="176">
        <v>1</v>
      </c>
      <c r="U106" s="370">
        <v>2</v>
      </c>
      <c r="V106" s="176">
        <v>18</v>
      </c>
      <c r="W106" s="369" t="s">
        <v>1822</v>
      </c>
      <c r="X106" s="170">
        <v>0</v>
      </c>
      <c r="Y106" s="369">
        <v>0</v>
      </c>
      <c r="Z106" s="273" t="s">
        <v>1971</v>
      </c>
      <c r="AA106" s="169"/>
      <c r="AB106" s="177">
        <v>1</v>
      </c>
      <c r="AC106" s="171"/>
      <c r="AD106" s="366" t="s">
        <v>3269</v>
      </c>
      <c r="AE106" s="357">
        <v>2002</v>
      </c>
      <c r="AF106" s="357">
        <v>2</v>
      </c>
      <c r="AG106" s="550" t="s">
        <v>5171</v>
      </c>
      <c r="AH106" s="355" t="s">
        <v>2757</v>
      </c>
      <c r="AI106" s="55">
        <v>0</v>
      </c>
      <c r="AJ106" s="55">
        <v>0</v>
      </c>
      <c r="AK106" s="590" t="s">
        <v>145</v>
      </c>
      <c r="AL106" s="386">
        <v>4</v>
      </c>
      <c r="AM106" s="361" t="s">
        <v>2750</v>
      </c>
      <c r="AN106" s="342" t="s">
        <v>145</v>
      </c>
      <c r="AO106" s="170">
        <v>0</v>
      </c>
      <c r="AP106" s="369">
        <v>0</v>
      </c>
      <c r="AQ106" s="365" t="s">
        <v>5258</v>
      </c>
      <c r="AR106" s="378" t="s">
        <v>5259</v>
      </c>
      <c r="AS106" s="55">
        <v>2</v>
      </c>
      <c r="AT106" s="370">
        <v>2</v>
      </c>
      <c r="AU106" s="371">
        <v>2009</v>
      </c>
      <c r="AV106" s="370">
        <v>10</v>
      </c>
      <c r="AW106" s="589">
        <v>150</v>
      </c>
      <c r="AX106" s="687">
        <v>1</v>
      </c>
      <c r="AY106" s="174" t="s">
        <v>4511</v>
      </c>
      <c r="AZ106" s="550">
        <v>2000</v>
      </c>
      <c r="BA106" s="550">
        <v>1</v>
      </c>
      <c r="BB106" s="550">
        <v>1</v>
      </c>
      <c r="BC106" s="174" t="s">
        <v>4512</v>
      </c>
      <c r="BD106" s="550">
        <v>2000</v>
      </c>
      <c r="BE106" s="55">
        <v>0</v>
      </c>
      <c r="BF106" s="371" t="s">
        <v>145</v>
      </c>
      <c r="BG106" s="371">
        <v>0</v>
      </c>
      <c r="BH106" s="56" t="s">
        <v>145</v>
      </c>
      <c r="BI106" s="371">
        <v>3</v>
      </c>
      <c r="BJ106" s="371">
        <v>0</v>
      </c>
      <c r="BK106" s="888">
        <v>587.60599999999999</v>
      </c>
      <c r="BL106" s="925">
        <f t="shared" si="103"/>
        <v>51.836604799814843</v>
      </c>
      <c r="BM106" s="888">
        <v>283.01100000000002</v>
      </c>
      <c r="BN106" s="920">
        <v>304.59500000000003</v>
      </c>
      <c r="BO106" s="888">
        <v>33.424999999999997</v>
      </c>
      <c r="BP106" s="1158">
        <f t="shared" si="78"/>
        <v>48.915482423335838</v>
      </c>
      <c r="BQ106" s="917">
        <v>17.074999999999999</v>
      </c>
      <c r="BR106" s="920">
        <v>16.350000000000001</v>
      </c>
      <c r="BS106" s="888">
        <v>22.896999999999998</v>
      </c>
      <c r="BT106" s="1158">
        <f t="shared" si="79"/>
        <v>48.211556099052274</v>
      </c>
      <c r="BU106" s="917">
        <v>11.858000000000001</v>
      </c>
      <c r="BV106" s="920">
        <v>11.039</v>
      </c>
      <c r="BW106" s="888">
        <v>20.134</v>
      </c>
      <c r="BX106" s="1158">
        <f t="shared" si="80"/>
        <v>48.246746796463697</v>
      </c>
      <c r="BY106" s="917">
        <v>10.42</v>
      </c>
      <c r="BZ106" s="920">
        <v>9.7140000000000004</v>
      </c>
      <c r="CA106" s="888">
        <f t="shared" si="81"/>
        <v>511.15</v>
      </c>
      <c r="CB106" s="1158">
        <f t="shared" si="82"/>
        <v>52.33140956666341</v>
      </c>
      <c r="CC106" s="917">
        <f t="shared" si="83"/>
        <v>243.65800000000004</v>
      </c>
      <c r="CD106" s="920">
        <f t="shared" si="84"/>
        <v>267.49200000000002</v>
      </c>
      <c r="CE106" s="914">
        <v>2015</v>
      </c>
      <c r="CF106" s="910" t="s">
        <v>5630</v>
      </c>
      <c r="CG106" s="931">
        <v>100</v>
      </c>
      <c r="CH106" s="1005">
        <v>100</v>
      </c>
      <c r="CI106" s="1006">
        <v>100</v>
      </c>
      <c r="CJ106" s="906"/>
      <c r="CK106" s="906"/>
      <c r="CL106" s="906">
        <v>2015</v>
      </c>
      <c r="CM106" s="1002" t="s">
        <v>5714</v>
      </c>
      <c r="CN106" s="1044">
        <v>552.50300000000004</v>
      </c>
      <c r="CO106" s="1045">
        <f t="shared" si="104"/>
        <v>94.026099120839476</v>
      </c>
      <c r="CP106" s="1049">
        <v>265.14400000000001</v>
      </c>
      <c r="CQ106" s="1050">
        <v>287.35899999999998</v>
      </c>
      <c r="CR106" s="1046">
        <v>2011</v>
      </c>
      <c r="CS106" s="1047" t="s">
        <v>5930</v>
      </c>
      <c r="CT106" s="1068">
        <f t="shared" si="105"/>
        <v>18</v>
      </c>
      <c r="CU106" s="1071">
        <v>18</v>
      </c>
      <c r="CV106" s="1117" t="s">
        <v>5929</v>
      </c>
      <c r="CW106" s="1113">
        <v>276.03399999999999</v>
      </c>
      <c r="CX106" s="1113" t="s">
        <v>145</v>
      </c>
      <c r="CY106" s="1113" t="s">
        <v>145</v>
      </c>
      <c r="CZ106" s="1048">
        <v>20</v>
      </c>
      <c r="DA106" s="1104">
        <v>5</v>
      </c>
      <c r="DB106" s="1050" t="s">
        <v>647</v>
      </c>
      <c r="DC106" s="1146" t="s">
        <v>322</v>
      </c>
      <c r="DD106" s="978">
        <f t="shared" si="91"/>
        <v>35.102999999999952</v>
      </c>
      <c r="DE106" s="979">
        <f t="shared" si="106"/>
        <v>5.9739008791605182</v>
      </c>
      <c r="DF106" s="979">
        <f t="shared" si="92"/>
        <v>49.10121642024918</v>
      </c>
      <c r="DG106" s="980">
        <f t="shared" si="93"/>
        <v>17.867000000000019</v>
      </c>
      <c r="DH106" s="980">
        <f t="shared" si="94"/>
        <v>17.236000000000047</v>
      </c>
      <c r="DI106" s="979">
        <f t="shared" si="107"/>
        <v>6.3131821731310866</v>
      </c>
      <c r="DJ106" s="981">
        <f t="shared" si="108"/>
        <v>5.6586615013378569</v>
      </c>
      <c r="DK106" s="984">
        <f t="shared" si="109"/>
        <v>35.102999999999952</v>
      </c>
      <c r="DL106" s="979">
        <f t="shared" si="95"/>
        <v>49.10121642024918</v>
      </c>
      <c r="DM106" s="980">
        <f t="shared" si="110"/>
        <v>17.867000000000019</v>
      </c>
      <c r="DN106" s="985">
        <f t="shared" si="111"/>
        <v>17.236000000000047</v>
      </c>
      <c r="DO106" s="984">
        <f t="shared" si="112"/>
        <v>0</v>
      </c>
      <c r="DP106" s="979">
        <f t="shared" si="96"/>
        <v>0</v>
      </c>
      <c r="DQ106" s="980">
        <f t="shared" si="85"/>
        <v>0</v>
      </c>
      <c r="DR106" s="985">
        <f t="shared" si="86"/>
        <v>0</v>
      </c>
      <c r="DS106" s="984">
        <f t="shared" si="113"/>
        <v>0</v>
      </c>
      <c r="DT106" s="339">
        <f t="shared" si="97"/>
        <v>0</v>
      </c>
      <c r="DU106" s="980">
        <f t="shared" si="87"/>
        <v>0</v>
      </c>
      <c r="DV106" s="985">
        <f t="shared" si="88"/>
        <v>0</v>
      </c>
      <c r="DW106" s="979">
        <f t="shared" si="89"/>
        <v>0</v>
      </c>
      <c r="DX106" s="981">
        <f t="shared" si="90"/>
        <v>0</v>
      </c>
      <c r="DY106" s="414" t="s">
        <v>145</v>
      </c>
      <c r="DZ106" s="111" t="s">
        <v>145</v>
      </c>
      <c r="EA106" s="118"/>
      <c r="EB106" s="123" t="s">
        <v>145</v>
      </c>
      <c r="EC106" s="113" t="s">
        <v>145</v>
      </c>
      <c r="ED106" s="20"/>
      <c r="EE106" s="414" t="s">
        <v>145</v>
      </c>
      <c r="EF106" s="111" t="s">
        <v>145</v>
      </c>
      <c r="EG106" s="380">
        <v>95.640037536621094</v>
      </c>
      <c r="EH106" s="24" t="s">
        <v>378</v>
      </c>
      <c r="EI106" s="287">
        <v>0</v>
      </c>
      <c r="EJ106" s="40" t="s">
        <v>145</v>
      </c>
      <c r="EK106" s="35" t="s">
        <v>145</v>
      </c>
      <c r="EL106" s="95" t="s">
        <v>145</v>
      </c>
      <c r="EM106" s="95" t="s">
        <v>145</v>
      </c>
      <c r="EN106" s="35" t="s">
        <v>145</v>
      </c>
      <c r="EO106" s="95" t="s">
        <v>145</v>
      </c>
      <c r="EP106" s="205" t="s">
        <v>145</v>
      </c>
      <c r="EQ106" s="207" t="s">
        <v>145</v>
      </c>
      <c r="ER106" s="517" t="s">
        <v>145</v>
      </c>
      <c r="ES106" s="183"/>
      <c r="ET106" s="183"/>
      <c r="EU106" s="82"/>
      <c r="EV106" s="82"/>
      <c r="EW106" s="82"/>
      <c r="EX106" s="90"/>
      <c r="EY106" s="159"/>
      <c r="EZ106" s="156"/>
      <c r="FA106" s="323"/>
      <c r="FB106" s="323"/>
      <c r="FC106" s="323"/>
      <c r="FD106" s="160"/>
      <c r="FE106" s="156"/>
      <c r="FF106" s="156"/>
      <c r="FG106" s="156"/>
      <c r="FH106" s="157"/>
      <c r="FI106" s="242"/>
      <c r="FJ106" s="240"/>
      <c r="FK106" s="179"/>
      <c r="FL106" s="179"/>
      <c r="FM106" s="179"/>
      <c r="FN106" s="172"/>
      <c r="FO106" s="164"/>
      <c r="FP106" s="255"/>
      <c r="FQ106" s="183"/>
      <c r="FR106" s="257"/>
      <c r="FS106" s="82"/>
      <c r="FT106" s="259"/>
      <c r="FU106" s="82"/>
      <c r="FV106" s="259"/>
      <c r="FW106" s="82"/>
      <c r="FX106" s="259"/>
      <c r="FY106" s="82"/>
      <c r="FZ106" s="259"/>
      <c r="GA106" s="82"/>
      <c r="GB106" s="261"/>
      <c r="GC106" s="90"/>
      <c r="GD106" s="76">
        <v>1</v>
      </c>
      <c r="GE106" s="445" t="s">
        <v>3424</v>
      </c>
      <c r="GF106" s="447" t="s">
        <v>590</v>
      </c>
      <c r="GG106" s="448" t="s">
        <v>145</v>
      </c>
      <c r="GH106" s="449" t="s">
        <v>145</v>
      </c>
      <c r="GI106" s="447" t="s">
        <v>145</v>
      </c>
      <c r="GJ106" s="449" t="s">
        <v>145</v>
      </c>
      <c r="GK106" s="447" t="s">
        <v>145</v>
      </c>
      <c r="GL106" s="448" t="s">
        <v>145</v>
      </c>
      <c r="GM106" s="449" t="s">
        <v>145</v>
      </c>
      <c r="GN106" s="447" t="s">
        <v>590</v>
      </c>
      <c r="GO106" s="449">
        <v>59</v>
      </c>
      <c r="GP106" s="447" t="s">
        <v>145</v>
      </c>
      <c r="GQ106" s="448" t="s">
        <v>145</v>
      </c>
      <c r="GR106" s="449" t="s">
        <v>145</v>
      </c>
      <c r="GS106" s="446"/>
      <c r="GT106" s="461">
        <v>-0.29773688316345215</v>
      </c>
      <c r="GU106" s="462">
        <v>0.76996207237243652</v>
      </c>
      <c r="GV106" s="462">
        <v>1.0396131277084351</v>
      </c>
      <c r="GW106" s="462">
        <v>1.332642674446106</v>
      </c>
      <c r="GX106" s="462">
        <v>0.629874587059021</v>
      </c>
      <c r="GY106" s="463">
        <v>0.5893593430519104</v>
      </c>
      <c r="GZ106" s="10" t="s">
        <v>145</v>
      </c>
      <c r="HA106" s="536" t="s">
        <v>145</v>
      </c>
      <c r="HB106" s="536" t="s">
        <v>145</v>
      </c>
      <c r="HC106" s="525" t="s">
        <v>145</v>
      </c>
      <c r="HD106" s="526" t="s">
        <v>145</v>
      </c>
      <c r="HE106" s="527" t="s">
        <v>145</v>
      </c>
      <c r="HF106" s="10">
        <v>22</v>
      </c>
      <c r="HG106" s="532">
        <v>7.66</v>
      </c>
      <c r="HH106" s="545">
        <v>7.88</v>
      </c>
      <c r="HI106" s="546">
        <v>7.01</v>
      </c>
      <c r="HJ106" s="547">
        <v>8.5299999999999994</v>
      </c>
      <c r="HK106" s="379" t="s">
        <v>3992</v>
      </c>
      <c r="HL106" s="23" t="s">
        <v>4831</v>
      </c>
      <c r="HM106" s="557">
        <v>2005</v>
      </c>
      <c r="HN106" s="557">
        <v>2006</v>
      </c>
      <c r="HO106" s="557" t="s">
        <v>3985</v>
      </c>
      <c r="HP106" s="562" t="s">
        <v>3986</v>
      </c>
      <c r="HQ106" s="639" t="s">
        <v>4832</v>
      </c>
      <c r="HR106" s="563" t="s">
        <v>4081</v>
      </c>
      <c r="HS106" s="545" t="s">
        <v>145</v>
      </c>
      <c r="HT106" s="557" t="s">
        <v>145</v>
      </c>
      <c r="HU106" s="557" t="s">
        <v>145</v>
      </c>
      <c r="HV106" s="581" t="s">
        <v>145</v>
      </c>
      <c r="HW106" s="557" t="s">
        <v>145</v>
      </c>
      <c r="HX106" s="557" t="s">
        <v>145</v>
      </c>
      <c r="HY106" s="557" t="s">
        <v>145</v>
      </c>
      <c r="HZ106" s="557" t="s">
        <v>145</v>
      </c>
      <c r="IA106" s="557" t="s">
        <v>145</v>
      </c>
      <c r="IB106" s="557" t="s">
        <v>145</v>
      </c>
      <c r="IC106" s="547" t="s">
        <v>145</v>
      </c>
      <c r="ID106" s="660"/>
      <c r="IE106" s="550"/>
      <c r="IF106" s="550"/>
      <c r="IG106" s="553"/>
      <c r="IH106" s="339"/>
      <c r="II106" s="553" t="s">
        <v>4920</v>
      </c>
      <c r="IJ106" s="424" t="s">
        <v>4926</v>
      </c>
      <c r="IK106" s="24">
        <v>0</v>
      </c>
      <c r="IL106" s="749">
        <f t="shared" si="114"/>
        <v>18</v>
      </c>
      <c r="IM106" s="747">
        <f t="shared" si="115"/>
        <v>72</v>
      </c>
      <c r="IN106" s="750" t="str">
        <f t="shared" si="116"/>
        <v>B</v>
      </c>
      <c r="IO106" s="446"/>
      <c r="IP106" s="902">
        <v>5</v>
      </c>
      <c r="IQ106" s="903">
        <v>0</v>
      </c>
      <c r="IR106" s="993">
        <v>0</v>
      </c>
      <c r="IT106" s="435"/>
      <c r="IU106" s="435"/>
      <c r="IV106" s="435"/>
    </row>
    <row r="107" spans="1:256">
      <c r="A107" s="21">
        <v>105</v>
      </c>
      <c r="B107" s="9"/>
      <c r="C107" s="430" t="s">
        <v>396</v>
      </c>
      <c r="D107" s="424" t="s">
        <v>408</v>
      </c>
      <c r="E107" s="24" t="s">
        <v>12</v>
      </c>
      <c r="F107" s="76" t="s">
        <v>740</v>
      </c>
      <c r="G107" s="102" t="s">
        <v>566</v>
      </c>
      <c r="H107" s="375" t="s">
        <v>2347</v>
      </c>
      <c r="I107" s="364" t="s">
        <v>2348</v>
      </c>
      <c r="J107" s="176">
        <v>2</v>
      </c>
      <c r="K107" s="88">
        <v>1946</v>
      </c>
      <c r="L107" s="371">
        <v>2</v>
      </c>
      <c r="M107" s="240" t="s">
        <v>1813</v>
      </c>
      <c r="N107" s="172" t="s">
        <v>1822</v>
      </c>
      <c r="O107" s="365" t="s">
        <v>3271</v>
      </c>
      <c r="P107" s="362" t="s">
        <v>2798</v>
      </c>
      <c r="Q107" s="370">
        <v>2</v>
      </c>
      <c r="R107" s="370">
        <v>2008</v>
      </c>
      <c r="S107" s="234" t="s">
        <v>3270</v>
      </c>
      <c r="T107" s="176">
        <v>1</v>
      </c>
      <c r="U107" s="370">
        <v>2</v>
      </c>
      <c r="V107" s="176">
        <v>18</v>
      </c>
      <c r="W107" s="369" t="s">
        <v>2857</v>
      </c>
      <c r="X107" s="170">
        <v>1</v>
      </c>
      <c r="Y107" s="369">
        <v>1</v>
      </c>
      <c r="Z107" s="273" t="s">
        <v>2032</v>
      </c>
      <c r="AA107" s="169"/>
      <c r="AB107" s="177">
        <v>1</v>
      </c>
      <c r="AC107" s="171"/>
      <c r="AD107" s="366" t="s">
        <v>3271</v>
      </c>
      <c r="AE107" s="357">
        <v>2006</v>
      </c>
      <c r="AF107" s="357">
        <v>2</v>
      </c>
      <c r="AG107" s="55">
        <v>2</v>
      </c>
      <c r="AH107" s="355" t="s">
        <v>2757</v>
      </c>
      <c r="AI107" s="55">
        <v>0</v>
      </c>
      <c r="AJ107" s="55">
        <v>0</v>
      </c>
      <c r="AK107" s="589"/>
      <c r="AL107" s="386">
        <v>4</v>
      </c>
      <c r="AM107" s="361" t="s">
        <v>2750</v>
      </c>
      <c r="AN107" s="342" t="s">
        <v>145</v>
      </c>
      <c r="AO107" s="170">
        <v>0</v>
      </c>
      <c r="AP107" s="369">
        <v>0</v>
      </c>
      <c r="AQ107" s="365" t="s">
        <v>5260</v>
      </c>
      <c r="AR107" s="378" t="s">
        <v>2798</v>
      </c>
      <c r="AS107" s="55">
        <v>2</v>
      </c>
      <c r="AT107" s="370">
        <v>2</v>
      </c>
      <c r="AU107" s="371">
        <v>2007</v>
      </c>
      <c r="AV107" s="370">
        <v>10</v>
      </c>
      <c r="AW107" s="589">
        <v>1100</v>
      </c>
      <c r="AX107" s="687">
        <v>1</v>
      </c>
      <c r="AY107" s="174" t="s">
        <v>4513</v>
      </c>
      <c r="AZ107" s="550">
        <v>2007</v>
      </c>
      <c r="BA107" s="550">
        <v>1</v>
      </c>
      <c r="BB107" s="550">
        <v>1</v>
      </c>
      <c r="BC107" s="174" t="s">
        <v>4514</v>
      </c>
      <c r="BD107" s="550">
        <v>2004</v>
      </c>
      <c r="BE107" s="55">
        <v>0</v>
      </c>
      <c r="BF107" s="371" t="s">
        <v>145</v>
      </c>
      <c r="BG107" s="371">
        <v>1</v>
      </c>
      <c r="BH107" s="1" t="s">
        <v>4515</v>
      </c>
      <c r="BI107" s="371">
        <v>3</v>
      </c>
      <c r="BJ107" s="371">
        <v>1</v>
      </c>
      <c r="BK107" s="888">
        <v>2078.453</v>
      </c>
      <c r="BL107" s="925">
        <f t="shared" si="103"/>
        <v>50.220187803140128</v>
      </c>
      <c r="BM107" s="888">
        <v>1034.6500000000001</v>
      </c>
      <c r="BN107" s="920">
        <v>1043.8030000000001</v>
      </c>
      <c r="BO107" s="888">
        <v>115.34</v>
      </c>
      <c r="BP107" s="1158">
        <f t="shared" si="78"/>
        <v>48.75065025143055</v>
      </c>
      <c r="BQ107" s="917">
        <v>59.110999999999997</v>
      </c>
      <c r="BR107" s="920">
        <v>56.228999999999999</v>
      </c>
      <c r="BS107" s="888">
        <v>112.17100000000001</v>
      </c>
      <c r="BT107" s="1158">
        <f t="shared" si="79"/>
        <v>48.749676832692941</v>
      </c>
      <c r="BU107" s="917">
        <v>57.488</v>
      </c>
      <c r="BV107" s="920">
        <v>54.683</v>
      </c>
      <c r="BW107" s="888">
        <v>124.851</v>
      </c>
      <c r="BX107" s="1158">
        <f t="shared" si="80"/>
        <v>48.749309176538432</v>
      </c>
      <c r="BY107" s="917">
        <v>63.987000000000002</v>
      </c>
      <c r="BZ107" s="920">
        <v>60.863999999999997</v>
      </c>
      <c r="CA107" s="888">
        <f t="shared" si="81"/>
        <v>1726.0909999999999</v>
      </c>
      <c r="CB107" s="1158">
        <f t="shared" si="82"/>
        <v>50.520337572005189</v>
      </c>
      <c r="CC107" s="917">
        <f t="shared" si="83"/>
        <v>854.06400000000019</v>
      </c>
      <c r="CD107" s="920">
        <f t="shared" si="84"/>
        <v>872.02700000000004</v>
      </c>
      <c r="CE107" s="914">
        <v>2015</v>
      </c>
      <c r="CF107" s="910" t="s">
        <v>5630</v>
      </c>
      <c r="CG107" s="930">
        <v>99.7</v>
      </c>
      <c r="CH107" s="495">
        <v>99.9</v>
      </c>
      <c r="CI107" s="497">
        <v>99.6</v>
      </c>
      <c r="CJ107" s="904">
        <v>99.9</v>
      </c>
      <c r="CK107" s="904">
        <v>99.6</v>
      </c>
      <c r="CL107" s="904">
        <v>2011</v>
      </c>
      <c r="CM107" s="905" t="s">
        <v>5573</v>
      </c>
      <c r="CN107" s="1125">
        <v>1625.3150000000001</v>
      </c>
      <c r="CO107" s="1045">
        <f t="shared" si="104"/>
        <v>78.198304219532517</v>
      </c>
      <c r="CP107" s="1040">
        <f t="shared" ref="CP107:CP116" si="117">IF(OR(CZ107=1,CZ107=10),CN107*(1-BL107/100),IF(DA107=6,CN107*(1-BL107/100),CN107*(1-CB107/100)))</f>
        <v>809.07875460739308</v>
      </c>
      <c r="CQ107" s="1041">
        <f t="shared" ref="CQ107:CQ116" si="118">IF(OR(CZ107=1,CZ107=10),CN107*BL107/100,IF(DA107=6,CN107*BL107/100,CN107*CB107/100))</f>
        <v>816.23624539260697</v>
      </c>
      <c r="CR107" s="1046">
        <v>2014</v>
      </c>
      <c r="CS107" s="1047" t="s">
        <v>5931</v>
      </c>
      <c r="CT107" s="1068">
        <f t="shared" si="105"/>
        <v>18</v>
      </c>
      <c r="CU107" s="1071">
        <v>18</v>
      </c>
      <c r="CV107" s="1068" t="s">
        <v>5938</v>
      </c>
      <c r="CW107" s="1113">
        <v>1779.5719999999999</v>
      </c>
      <c r="CX107" s="1113">
        <v>1625.3150000000001</v>
      </c>
      <c r="CY107" s="1113">
        <v>2091.7190000000001</v>
      </c>
      <c r="CZ107" s="494">
        <v>1</v>
      </c>
      <c r="DA107" s="1104">
        <v>4</v>
      </c>
      <c r="DB107" s="1050" t="s">
        <v>647</v>
      </c>
      <c r="DC107" s="1146" t="s">
        <v>322</v>
      </c>
      <c r="DD107" s="978">
        <f t="shared" si="91"/>
        <v>101.83308599999984</v>
      </c>
      <c r="DE107" s="979">
        <f t="shared" si="106"/>
        <v>4.8994654197135965</v>
      </c>
      <c r="DF107" s="979">
        <f t="shared" si="92"/>
        <v>55.461206986689135</v>
      </c>
      <c r="DG107" s="980">
        <f t="shared" si="93"/>
        <v>45.165831392607096</v>
      </c>
      <c r="DH107" s="980">
        <f t="shared" si="94"/>
        <v>56.477858607393067</v>
      </c>
      <c r="DI107" s="979">
        <f t="shared" si="107"/>
        <v>4.3653246404684767</v>
      </c>
      <c r="DJ107" s="981">
        <f t="shared" si="108"/>
        <v>5.4107775708053207</v>
      </c>
      <c r="DK107" s="984">
        <f t="shared" si="109"/>
        <v>100.77599999999984</v>
      </c>
      <c r="DL107" s="979">
        <f t="shared" si="95"/>
        <v>55.361152067350517</v>
      </c>
      <c r="DM107" s="980">
        <f t="shared" si="110"/>
        <v>44.985245392607112</v>
      </c>
      <c r="DN107" s="985">
        <f t="shared" si="111"/>
        <v>55.790754607393069</v>
      </c>
      <c r="DO107" s="984">
        <f t="shared" si="112"/>
        <v>0.71106600000000064</v>
      </c>
      <c r="DP107" s="979">
        <f t="shared" si="96"/>
        <v>64.999310893784823</v>
      </c>
      <c r="DQ107" s="980">
        <f t="shared" si="85"/>
        <v>0.12147499999998662</v>
      </c>
      <c r="DR107" s="985">
        <f t="shared" si="86"/>
        <v>0.46218800000000038</v>
      </c>
      <c r="DS107" s="984">
        <f t="shared" si="113"/>
        <v>0.34602000000000033</v>
      </c>
      <c r="DT107" s="339">
        <f t="shared" si="97"/>
        <v>65.000867001907409</v>
      </c>
      <c r="DU107" s="980">
        <f t="shared" si="87"/>
        <v>5.9110999999993488E-2</v>
      </c>
      <c r="DV107" s="985">
        <f t="shared" si="88"/>
        <v>0.2249160000000002</v>
      </c>
      <c r="DW107" s="979">
        <f t="shared" si="89"/>
        <v>9.9999999999988987E-2</v>
      </c>
      <c r="DX107" s="981">
        <f t="shared" si="90"/>
        <v>0.40000000000000036</v>
      </c>
      <c r="DY107" s="414">
        <v>0.6</v>
      </c>
      <c r="DZ107" s="111">
        <v>2010</v>
      </c>
      <c r="EA107" s="118">
        <v>12</v>
      </c>
      <c r="EB107" s="123">
        <v>19</v>
      </c>
      <c r="EC107" s="113">
        <v>2006</v>
      </c>
      <c r="ED107" s="20">
        <v>392.13967000000002</v>
      </c>
      <c r="EE107" s="414">
        <v>30.4</v>
      </c>
      <c r="EF107" s="121">
        <v>2011</v>
      </c>
      <c r="EG107" s="380">
        <v>97.537063598632798</v>
      </c>
      <c r="EH107" s="24" t="s">
        <v>382</v>
      </c>
      <c r="EI107" s="288">
        <v>0</v>
      </c>
      <c r="EJ107" s="40" t="s">
        <v>145</v>
      </c>
      <c r="EK107" s="35" t="s">
        <v>145</v>
      </c>
      <c r="EL107" s="95" t="s">
        <v>145</v>
      </c>
      <c r="EM107" s="95" t="s">
        <v>145</v>
      </c>
      <c r="EN107" s="35" t="s">
        <v>145</v>
      </c>
      <c r="EO107" s="95" t="s">
        <v>145</v>
      </c>
      <c r="EP107" s="205" t="s">
        <v>145</v>
      </c>
      <c r="EQ107" s="207" t="s">
        <v>145</v>
      </c>
      <c r="ER107" s="517" t="s">
        <v>145</v>
      </c>
      <c r="ES107" s="183"/>
      <c r="ET107" s="183"/>
      <c r="EU107" s="82"/>
      <c r="EV107" s="82"/>
      <c r="EW107" s="82"/>
      <c r="EX107" s="90"/>
      <c r="EY107" s="159"/>
      <c r="EZ107" s="156"/>
      <c r="FA107" s="323"/>
      <c r="FB107" s="323"/>
      <c r="FC107" s="323"/>
      <c r="FD107" s="160"/>
      <c r="FE107" s="156"/>
      <c r="FF107" s="156"/>
      <c r="FG107" s="156"/>
      <c r="FH107" s="157"/>
      <c r="FI107" s="242"/>
      <c r="FJ107" s="240"/>
      <c r="FK107" s="179"/>
      <c r="FL107" s="179"/>
      <c r="FM107" s="179"/>
      <c r="FN107" s="369"/>
      <c r="FO107" s="164"/>
      <c r="FP107" s="255"/>
      <c r="FQ107" s="183"/>
      <c r="FR107" s="257"/>
      <c r="FS107" s="82"/>
      <c r="FT107" s="259"/>
      <c r="FU107" s="82"/>
      <c r="FV107" s="259"/>
      <c r="FW107" s="82"/>
      <c r="FX107" s="259"/>
      <c r="FY107" s="82"/>
      <c r="FZ107" s="259"/>
      <c r="GA107" s="82"/>
      <c r="GB107" s="261"/>
      <c r="GC107" s="90"/>
      <c r="GD107" s="76">
        <v>1</v>
      </c>
      <c r="GE107" s="445" t="s">
        <v>3424</v>
      </c>
      <c r="GF107" s="447" t="s">
        <v>590</v>
      </c>
      <c r="GG107" s="448">
        <v>3</v>
      </c>
      <c r="GH107" s="449">
        <v>3</v>
      </c>
      <c r="GI107" s="447" t="s">
        <v>145</v>
      </c>
      <c r="GJ107" s="449" t="s">
        <v>145</v>
      </c>
      <c r="GK107" s="447" t="s">
        <v>145</v>
      </c>
      <c r="GL107" s="448" t="s">
        <v>145</v>
      </c>
      <c r="GM107" s="449" t="s">
        <v>145</v>
      </c>
      <c r="GN107" s="447" t="s">
        <v>590</v>
      </c>
      <c r="GO107" s="449">
        <v>57</v>
      </c>
      <c r="GP107" s="447">
        <v>17</v>
      </c>
      <c r="GQ107" s="448">
        <v>21</v>
      </c>
      <c r="GR107" s="449">
        <v>19</v>
      </c>
      <c r="GS107" s="446">
        <v>9</v>
      </c>
      <c r="GT107" s="461">
        <v>-3.8272526115179062E-2</v>
      </c>
      <c r="GU107" s="462">
        <v>-0.37378472089767456</v>
      </c>
      <c r="GV107" s="462">
        <v>-6.1508603394031525E-2</v>
      </c>
      <c r="GW107" s="462">
        <v>0.32372704148292542</v>
      </c>
      <c r="GX107" s="462">
        <v>-0.20096820592880249</v>
      </c>
      <c r="GY107" s="463">
        <v>2.116113156080246E-2</v>
      </c>
      <c r="GZ107" s="10">
        <v>96</v>
      </c>
      <c r="HA107" s="536">
        <v>0.47198000000000001</v>
      </c>
      <c r="HB107" s="536">
        <v>0.21568000000000001</v>
      </c>
      <c r="HC107" s="525">
        <v>0.24409</v>
      </c>
      <c r="HD107" s="526">
        <v>0.45207000000000003</v>
      </c>
      <c r="HE107" s="527">
        <v>0.7198</v>
      </c>
      <c r="HF107" s="10">
        <v>60</v>
      </c>
      <c r="HG107" s="532">
        <v>5.77</v>
      </c>
      <c r="HH107" s="545">
        <v>6.55</v>
      </c>
      <c r="HI107" s="546">
        <v>4.22</v>
      </c>
      <c r="HJ107" s="547">
        <v>7.29</v>
      </c>
      <c r="HK107" s="379" t="s">
        <v>4050</v>
      </c>
      <c r="HL107" s="23" t="s">
        <v>4833</v>
      </c>
      <c r="HM107" s="557">
        <v>2005</v>
      </c>
      <c r="HN107" s="557">
        <v>2005</v>
      </c>
      <c r="HO107" s="557" t="s">
        <v>3985</v>
      </c>
      <c r="HP107" s="562" t="s">
        <v>4082</v>
      </c>
      <c r="HQ107" s="639" t="s">
        <v>4834</v>
      </c>
      <c r="HR107" s="563" t="s">
        <v>4012</v>
      </c>
      <c r="HS107" s="545">
        <v>12</v>
      </c>
      <c r="HT107" s="557">
        <v>113</v>
      </c>
      <c r="HU107" s="557">
        <v>2006</v>
      </c>
      <c r="HV107" s="583" t="s">
        <v>4217</v>
      </c>
      <c r="HW107" s="557">
        <v>4</v>
      </c>
      <c r="HX107" s="557">
        <v>30</v>
      </c>
      <c r="HY107" s="557">
        <v>21</v>
      </c>
      <c r="HZ107" s="557">
        <v>22</v>
      </c>
      <c r="IA107" s="557">
        <v>18</v>
      </c>
      <c r="IB107" s="557">
        <v>4</v>
      </c>
      <c r="IC107" s="547">
        <v>14</v>
      </c>
      <c r="ID107" s="660"/>
      <c r="IE107" s="550"/>
      <c r="IF107" s="550"/>
      <c r="IG107" s="553"/>
      <c r="IH107" s="339"/>
      <c r="II107" s="553" t="s">
        <v>4922</v>
      </c>
      <c r="IJ107" s="424" t="s">
        <v>4926</v>
      </c>
      <c r="IK107" s="24">
        <v>0</v>
      </c>
      <c r="IL107" s="749">
        <f t="shared" si="114"/>
        <v>18</v>
      </c>
      <c r="IM107" s="747">
        <f t="shared" si="115"/>
        <v>72</v>
      </c>
      <c r="IN107" s="750" t="str">
        <f t="shared" si="116"/>
        <v>B</v>
      </c>
      <c r="IO107" s="446"/>
      <c r="IP107" s="902">
        <v>4</v>
      </c>
      <c r="IQ107" s="903">
        <v>0</v>
      </c>
      <c r="IR107" s="993">
        <v>0</v>
      </c>
      <c r="IT107" s="435"/>
      <c r="IU107" s="435"/>
      <c r="IV107" s="435"/>
    </row>
    <row r="108" spans="1:256">
      <c r="A108" s="21">
        <v>106</v>
      </c>
      <c r="B108" s="9"/>
      <c r="C108" s="431" t="s">
        <v>168</v>
      </c>
      <c r="D108" s="423" t="s">
        <v>406</v>
      </c>
      <c r="E108" s="24" t="s">
        <v>9</v>
      </c>
      <c r="F108" s="76" t="s">
        <v>843</v>
      </c>
      <c r="G108" s="102" t="s">
        <v>564</v>
      </c>
      <c r="H108" s="375" t="s">
        <v>2350</v>
      </c>
      <c r="I108" s="364" t="s">
        <v>2247</v>
      </c>
      <c r="J108" s="370">
        <v>5</v>
      </c>
      <c r="K108" s="359">
        <v>1961</v>
      </c>
      <c r="L108" s="371">
        <v>2</v>
      </c>
      <c r="M108" s="373" t="s">
        <v>2349</v>
      </c>
      <c r="N108" s="369" t="s">
        <v>1822</v>
      </c>
      <c r="O108" s="365" t="s">
        <v>2901</v>
      </c>
      <c r="P108" s="362" t="s">
        <v>2798</v>
      </c>
      <c r="Q108" s="370">
        <v>2</v>
      </c>
      <c r="R108" s="370">
        <v>1961</v>
      </c>
      <c r="S108" s="372" t="s">
        <v>2072</v>
      </c>
      <c r="T108" s="370">
        <v>1</v>
      </c>
      <c r="U108" s="370">
        <v>2</v>
      </c>
      <c r="V108" s="370">
        <v>18</v>
      </c>
      <c r="W108" s="369" t="s">
        <v>1822</v>
      </c>
      <c r="X108" s="170">
        <v>1</v>
      </c>
      <c r="Y108" s="369">
        <v>1</v>
      </c>
      <c r="Z108" s="271"/>
      <c r="AA108" s="169">
        <v>1</v>
      </c>
      <c r="AB108" s="177"/>
      <c r="AC108" s="171"/>
      <c r="AD108" s="376" t="s">
        <v>145</v>
      </c>
      <c r="AE108" s="355" t="s">
        <v>145</v>
      </c>
      <c r="AF108" s="357">
        <v>0</v>
      </c>
      <c r="AG108" s="550">
        <v>1</v>
      </c>
      <c r="AH108" s="355" t="s">
        <v>145</v>
      </c>
      <c r="AI108" s="550" t="s">
        <v>145</v>
      </c>
      <c r="AJ108" s="550" t="s">
        <v>145</v>
      </c>
      <c r="AK108" s="590" t="s">
        <v>145</v>
      </c>
      <c r="AL108" s="386">
        <v>0</v>
      </c>
      <c r="AM108" s="360" t="s">
        <v>145</v>
      </c>
      <c r="AN108" s="384" t="s">
        <v>145</v>
      </c>
      <c r="AO108" s="170">
        <v>0</v>
      </c>
      <c r="AP108" s="369">
        <v>0</v>
      </c>
      <c r="AQ108" s="365" t="s">
        <v>5261</v>
      </c>
      <c r="AR108" s="378" t="s">
        <v>1980</v>
      </c>
      <c r="AS108" s="55">
        <v>2</v>
      </c>
      <c r="AT108" s="370">
        <v>2</v>
      </c>
      <c r="AU108" s="371">
        <v>2010</v>
      </c>
      <c r="AV108" s="370">
        <v>5</v>
      </c>
      <c r="AW108" s="589">
        <v>80</v>
      </c>
      <c r="AX108" s="687">
        <v>0</v>
      </c>
      <c r="AY108" s="174" t="s">
        <v>4516</v>
      </c>
      <c r="AZ108" s="550">
        <v>2006</v>
      </c>
      <c r="BA108" s="550">
        <v>1</v>
      </c>
      <c r="BB108" s="550">
        <v>1</v>
      </c>
      <c r="BC108" s="174" t="s">
        <v>4517</v>
      </c>
      <c r="BD108" s="550">
        <v>2013</v>
      </c>
      <c r="BE108" s="55">
        <v>0</v>
      </c>
      <c r="BF108" s="371" t="s">
        <v>145</v>
      </c>
      <c r="BG108" s="371">
        <v>0</v>
      </c>
      <c r="BH108" s="56" t="s">
        <v>145</v>
      </c>
      <c r="BI108" s="371">
        <v>1</v>
      </c>
      <c r="BJ108" s="371">
        <v>1</v>
      </c>
      <c r="BK108" s="888">
        <v>24235.39</v>
      </c>
      <c r="BL108" s="925">
        <f t="shared" si="103"/>
        <v>50.14538243453066</v>
      </c>
      <c r="BM108" s="888">
        <v>12082.460999999999</v>
      </c>
      <c r="BN108" s="920">
        <v>12152.929</v>
      </c>
      <c r="BO108" s="888">
        <v>3770.13</v>
      </c>
      <c r="BP108" s="1158">
        <f t="shared" si="78"/>
        <v>49.403627991607713</v>
      </c>
      <c r="BQ108" s="917">
        <v>1907.549</v>
      </c>
      <c r="BR108" s="920">
        <v>1862.5809999999999</v>
      </c>
      <c r="BS108" s="888">
        <v>3328.0390000000002</v>
      </c>
      <c r="BT108" s="1158">
        <f t="shared" si="79"/>
        <v>49.633162351763296</v>
      </c>
      <c r="BU108" s="917">
        <v>1676.2280000000001</v>
      </c>
      <c r="BV108" s="920">
        <v>1651.8109999999999</v>
      </c>
      <c r="BW108" s="888">
        <v>3010.2510000000002</v>
      </c>
      <c r="BX108" s="1158">
        <f t="shared" si="80"/>
        <v>49.852121965909149</v>
      </c>
      <c r="BY108" s="917">
        <v>1509.577</v>
      </c>
      <c r="BZ108" s="920">
        <v>1500.674</v>
      </c>
      <c r="CA108" s="888">
        <f t="shared" si="81"/>
        <v>14126.969999999998</v>
      </c>
      <c r="CB108" s="1158">
        <f t="shared" si="82"/>
        <v>50.526496481552677</v>
      </c>
      <c r="CC108" s="917">
        <f t="shared" si="83"/>
        <v>6989.1070000000009</v>
      </c>
      <c r="CD108" s="920">
        <f t="shared" si="84"/>
        <v>7137.8630000000003</v>
      </c>
      <c r="CE108" s="914">
        <v>2015</v>
      </c>
      <c r="CF108" s="910" t="s">
        <v>5630</v>
      </c>
      <c r="CG108" s="930">
        <v>83</v>
      </c>
      <c r="CH108" s="495">
        <v>83.2</v>
      </c>
      <c r="CI108" s="497">
        <v>82.9</v>
      </c>
      <c r="CJ108" s="904">
        <v>97.4</v>
      </c>
      <c r="CK108" s="904">
        <v>80.900000000000006</v>
      </c>
      <c r="CL108" s="904" t="s">
        <v>5597</v>
      </c>
      <c r="CM108" s="905" t="s">
        <v>5598</v>
      </c>
      <c r="CN108" s="1044">
        <v>7971.79</v>
      </c>
      <c r="CO108" s="1045">
        <f t="shared" si="104"/>
        <v>32.893178116795312</v>
      </c>
      <c r="CP108" s="1040">
        <f t="shared" si="117"/>
        <v>3974.3054176223282</v>
      </c>
      <c r="CQ108" s="1041">
        <f t="shared" si="118"/>
        <v>3997.4845823776718</v>
      </c>
      <c r="CR108" s="1046">
        <v>2013</v>
      </c>
      <c r="CS108" s="1047" t="s">
        <v>5817</v>
      </c>
      <c r="CT108" s="1068">
        <f t="shared" si="105"/>
        <v>18</v>
      </c>
      <c r="CU108" s="1071">
        <v>18</v>
      </c>
      <c r="CV108" s="1068" t="s">
        <v>5939</v>
      </c>
      <c r="CW108" s="1113">
        <v>7971.79</v>
      </c>
      <c r="CX108" s="1113">
        <v>11458.380999999999</v>
      </c>
      <c r="CY108" s="1113">
        <v>22599.098000000002</v>
      </c>
      <c r="CZ108" s="494">
        <v>1</v>
      </c>
      <c r="DA108" s="1104">
        <v>4</v>
      </c>
      <c r="DB108" s="1050" t="s">
        <v>5753</v>
      </c>
      <c r="DC108" s="1143" t="s">
        <v>320</v>
      </c>
      <c r="DD108" s="978">
        <f t="shared" si="91"/>
        <v>7873.611399999998</v>
      </c>
      <c r="DE108" s="979">
        <f t="shared" si="106"/>
        <v>32.488073845727257</v>
      </c>
      <c r="DF108" s="979">
        <f t="shared" si="92"/>
        <v>50.776632227777064</v>
      </c>
      <c r="DG108" s="980">
        <f t="shared" si="93"/>
        <v>3870.4850543776724</v>
      </c>
      <c r="DH108" s="980">
        <f t="shared" si="94"/>
        <v>3997.954703622328</v>
      </c>
      <c r="DI108" s="979">
        <f t="shared" si="107"/>
        <v>32.033913077622785</v>
      </c>
      <c r="DJ108" s="981">
        <f t="shared" si="108"/>
        <v>32.897046494901176</v>
      </c>
      <c r="DK108" s="984">
        <f t="shared" si="109"/>
        <v>6155.1799999999976</v>
      </c>
      <c r="DL108" s="979">
        <f t="shared" si="95"/>
        <v>51.0200906817076</v>
      </c>
      <c r="DM108" s="980">
        <f t="shared" si="110"/>
        <v>3014.8015823776727</v>
      </c>
      <c r="DN108" s="985">
        <f t="shared" si="111"/>
        <v>3140.3784176223285</v>
      </c>
      <c r="DO108" s="984">
        <f t="shared" si="112"/>
        <v>1077.5093000000004</v>
      </c>
      <c r="DP108" s="979">
        <f t="shared" si="96"/>
        <v>50.029724569430591</v>
      </c>
      <c r="DQ108" s="980">
        <f t="shared" si="85"/>
        <v>535.21523999999977</v>
      </c>
      <c r="DR108" s="985">
        <f t="shared" si="86"/>
        <v>539.07493499999975</v>
      </c>
      <c r="DS108" s="984">
        <f t="shared" si="113"/>
        <v>640.92210000000011</v>
      </c>
      <c r="DT108" s="339">
        <f t="shared" si="97"/>
        <v>49.694237568028903</v>
      </c>
      <c r="DU108" s="980">
        <f t="shared" si="87"/>
        <v>320.46823199999983</v>
      </c>
      <c r="DV108" s="985">
        <f t="shared" si="88"/>
        <v>318.50135099999983</v>
      </c>
      <c r="DW108" s="979">
        <f t="shared" si="89"/>
        <v>16.79999999999999</v>
      </c>
      <c r="DX108" s="981">
        <f t="shared" si="90"/>
        <v>17.099999999999994</v>
      </c>
      <c r="DY108" s="414">
        <v>81.290000000000006</v>
      </c>
      <c r="DZ108" s="111">
        <v>2010</v>
      </c>
      <c r="EA108" s="368">
        <v>17329.204754999999</v>
      </c>
      <c r="EB108" s="123">
        <v>68.7</v>
      </c>
      <c r="EC108" s="113">
        <v>2005</v>
      </c>
      <c r="ED108" s="20">
        <v>14643.497745000001</v>
      </c>
      <c r="EE108" s="414">
        <v>50</v>
      </c>
      <c r="EF108" s="111">
        <v>2004</v>
      </c>
      <c r="EG108" s="380">
        <v>64.480903625488295</v>
      </c>
      <c r="EH108" s="24" t="s">
        <v>644</v>
      </c>
      <c r="EI108" s="287">
        <v>1</v>
      </c>
      <c r="EJ108" s="40">
        <v>3</v>
      </c>
      <c r="EK108" s="355" t="s">
        <v>728</v>
      </c>
      <c r="EL108" s="364" t="s">
        <v>145</v>
      </c>
      <c r="EM108" s="364" t="s">
        <v>145</v>
      </c>
      <c r="EN108" s="355" t="s">
        <v>145</v>
      </c>
      <c r="EO108" s="364" t="s">
        <v>1646</v>
      </c>
      <c r="EP108" s="205">
        <v>0.8</v>
      </c>
      <c r="EQ108" s="207" t="s">
        <v>145</v>
      </c>
      <c r="ER108" s="517">
        <v>1</v>
      </c>
      <c r="ES108" s="183" t="s">
        <v>145</v>
      </c>
      <c r="ET108" s="183" t="s">
        <v>145</v>
      </c>
      <c r="EU108" s="82" t="s">
        <v>3816</v>
      </c>
      <c r="EV108" s="82" t="s">
        <v>145</v>
      </c>
      <c r="EW108" s="82" t="s">
        <v>145</v>
      </c>
      <c r="EX108" s="360" t="s">
        <v>145</v>
      </c>
      <c r="EY108" s="159"/>
      <c r="EZ108" s="156"/>
      <c r="FA108" s="323"/>
      <c r="FB108" s="323"/>
      <c r="FC108" s="323"/>
      <c r="FD108" s="160"/>
      <c r="FE108" s="156"/>
      <c r="FF108" s="156"/>
      <c r="FG108" s="156"/>
      <c r="FH108" s="157"/>
      <c r="FI108" s="242"/>
      <c r="FJ108" s="373"/>
      <c r="FK108" s="179"/>
      <c r="FL108" s="179"/>
      <c r="FM108" s="179"/>
      <c r="FN108" s="369"/>
      <c r="FO108" s="164"/>
      <c r="FP108" s="255"/>
      <c r="FQ108" s="183"/>
      <c r="FR108" s="257"/>
      <c r="FS108" s="82"/>
      <c r="FT108" s="259"/>
      <c r="FU108" s="82"/>
      <c r="FV108" s="259"/>
      <c r="FW108" s="82"/>
      <c r="FX108" s="259"/>
      <c r="FY108" s="82"/>
      <c r="FZ108" s="259"/>
      <c r="GA108" s="82"/>
      <c r="GB108" s="261"/>
      <c r="GC108" s="360"/>
      <c r="GD108" s="76">
        <v>1</v>
      </c>
      <c r="GE108" s="445" t="s">
        <v>3424</v>
      </c>
      <c r="GF108" s="447" t="s">
        <v>590</v>
      </c>
      <c r="GG108" s="448">
        <v>5</v>
      </c>
      <c r="GH108" s="449">
        <v>4</v>
      </c>
      <c r="GI108" s="447" t="s">
        <v>145</v>
      </c>
      <c r="GJ108" s="449" t="s">
        <v>145</v>
      </c>
      <c r="GK108" s="447" t="s">
        <v>145</v>
      </c>
      <c r="GL108" s="448" t="s">
        <v>145</v>
      </c>
      <c r="GM108" s="449" t="s">
        <v>145</v>
      </c>
      <c r="GN108" s="447" t="s">
        <v>580</v>
      </c>
      <c r="GO108" s="449">
        <v>63</v>
      </c>
      <c r="GP108" s="447">
        <v>20</v>
      </c>
      <c r="GQ108" s="448">
        <v>27</v>
      </c>
      <c r="GR108" s="449">
        <v>16</v>
      </c>
      <c r="GS108" s="446">
        <v>9</v>
      </c>
      <c r="GT108" s="461">
        <v>-0.78014206886291504</v>
      </c>
      <c r="GU108" s="462">
        <v>-0.71434897184371948</v>
      </c>
      <c r="GV108" s="462">
        <v>-1.1237829923629761</v>
      </c>
      <c r="GW108" s="462">
        <v>-0.66955476999282837</v>
      </c>
      <c r="GX108" s="462">
        <v>-0.89731436967849731</v>
      </c>
      <c r="GY108" s="463">
        <v>-0.68909555673599243</v>
      </c>
      <c r="GZ108" s="10">
        <v>155</v>
      </c>
      <c r="HA108" s="536">
        <v>0.2606</v>
      </c>
      <c r="HB108" s="536">
        <v>0.35293999999999998</v>
      </c>
      <c r="HC108" s="525">
        <v>0.24409</v>
      </c>
      <c r="HD108" s="526">
        <v>4.879E-2</v>
      </c>
      <c r="HE108" s="527">
        <v>0.4889</v>
      </c>
      <c r="HF108" s="10">
        <v>160</v>
      </c>
      <c r="HG108" s="532">
        <v>1.42</v>
      </c>
      <c r="HH108" s="545">
        <v>1.68</v>
      </c>
      <c r="HI108" s="546">
        <v>0.09</v>
      </c>
      <c r="HJ108" s="547">
        <v>3.55</v>
      </c>
      <c r="HK108" s="558" t="s">
        <v>4004</v>
      </c>
      <c r="HL108" s="23" t="s">
        <v>4853</v>
      </c>
      <c r="HM108" s="448">
        <v>2014</v>
      </c>
      <c r="HN108" s="809" t="s">
        <v>145</v>
      </c>
      <c r="HO108" s="448" t="s">
        <v>3985</v>
      </c>
      <c r="HP108" s="560" t="s">
        <v>4854</v>
      </c>
      <c r="HQ108" s="654" t="s">
        <v>4855</v>
      </c>
      <c r="HR108" s="561" t="s">
        <v>145</v>
      </c>
      <c r="HS108" s="447" t="s">
        <v>145</v>
      </c>
      <c r="HT108" s="448" t="s">
        <v>145</v>
      </c>
      <c r="HU108" s="448">
        <v>2004</v>
      </c>
      <c r="HV108" s="580" t="s">
        <v>4889</v>
      </c>
      <c r="HW108" s="448" t="s">
        <v>145</v>
      </c>
      <c r="HX108" s="448" t="s">
        <v>145</v>
      </c>
      <c r="HY108" s="448" t="s">
        <v>145</v>
      </c>
      <c r="HZ108" s="448" t="s">
        <v>145</v>
      </c>
      <c r="IA108" s="448" t="s">
        <v>145</v>
      </c>
      <c r="IB108" s="448" t="s">
        <v>145</v>
      </c>
      <c r="IC108" s="449" t="s">
        <v>145</v>
      </c>
      <c r="ID108" s="40"/>
      <c r="IE108" s="550"/>
      <c r="IF108" s="550"/>
      <c r="IG108" s="553">
        <v>1</v>
      </c>
      <c r="IH108" s="115"/>
      <c r="II108" s="647" t="s">
        <v>4921</v>
      </c>
      <c r="IJ108" s="423" t="s">
        <v>4918</v>
      </c>
      <c r="IK108" s="10">
        <v>0</v>
      </c>
      <c r="IL108" s="749">
        <f t="shared" si="114"/>
        <v>12</v>
      </c>
      <c r="IM108" s="747">
        <f t="shared" si="115"/>
        <v>48</v>
      </c>
      <c r="IN108" s="750" t="str">
        <f t="shared" si="116"/>
        <v>C</v>
      </c>
      <c r="IO108" s="446">
        <v>1</v>
      </c>
      <c r="IP108" s="902">
        <v>3</v>
      </c>
      <c r="IQ108" s="903">
        <v>0</v>
      </c>
      <c r="IR108" s="993">
        <v>0</v>
      </c>
      <c r="IT108" s="435"/>
      <c r="IU108" s="435"/>
      <c r="IV108" s="435"/>
    </row>
    <row r="109" spans="1:256">
      <c r="A109" s="21">
        <v>107</v>
      </c>
      <c r="B109" s="9"/>
      <c r="C109" s="430" t="s">
        <v>170</v>
      </c>
      <c r="D109" s="423" t="s">
        <v>406</v>
      </c>
      <c r="E109" s="24" t="s">
        <v>9</v>
      </c>
      <c r="F109" s="76" t="s">
        <v>844</v>
      </c>
      <c r="G109" s="102" t="s">
        <v>575</v>
      </c>
      <c r="H109" s="375" t="s">
        <v>2352</v>
      </c>
      <c r="I109" s="364" t="s">
        <v>2351</v>
      </c>
      <c r="J109" s="370">
        <v>6</v>
      </c>
      <c r="K109" s="359">
        <v>1904</v>
      </c>
      <c r="L109" s="371">
        <v>2</v>
      </c>
      <c r="M109" s="373" t="s">
        <v>2272</v>
      </c>
      <c r="N109" s="369" t="s">
        <v>1822</v>
      </c>
      <c r="O109" s="365" t="s">
        <v>2958</v>
      </c>
      <c r="P109" s="362" t="s">
        <v>2903</v>
      </c>
      <c r="Q109" s="370">
        <v>1</v>
      </c>
      <c r="R109" s="370">
        <v>2005</v>
      </c>
      <c r="S109" s="382" t="s">
        <v>1961</v>
      </c>
      <c r="T109" s="370">
        <v>1</v>
      </c>
      <c r="U109" s="370">
        <v>2</v>
      </c>
      <c r="V109" s="370">
        <v>16</v>
      </c>
      <c r="W109" s="369" t="s">
        <v>1822</v>
      </c>
      <c r="X109" s="170">
        <v>1</v>
      </c>
      <c r="Y109" s="369">
        <v>1</v>
      </c>
      <c r="Z109" s="271"/>
      <c r="AA109" s="169">
        <v>1</v>
      </c>
      <c r="AB109" s="177">
        <v>1</v>
      </c>
      <c r="AC109" s="171"/>
      <c r="AD109" s="366" t="s">
        <v>145</v>
      </c>
      <c r="AE109" s="355" t="s">
        <v>145</v>
      </c>
      <c r="AF109" s="357">
        <v>0</v>
      </c>
      <c r="AG109" s="550">
        <v>1</v>
      </c>
      <c r="AH109" s="355" t="s">
        <v>145</v>
      </c>
      <c r="AI109" s="550" t="s">
        <v>145</v>
      </c>
      <c r="AJ109" s="550" t="s">
        <v>145</v>
      </c>
      <c r="AK109" s="590" t="s">
        <v>145</v>
      </c>
      <c r="AL109" s="387">
        <v>0</v>
      </c>
      <c r="AM109" s="363" t="s">
        <v>145</v>
      </c>
      <c r="AN109" s="384" t="s">
        <v>145</v>
      </c>
      <c r="AO109" s="170">
        <v>0</v>
      </c>
      <c r="AP109" s="369">
        <v>0</v>
      </c>
      <c r="AQ109" s="365" t="s">
        <v>5400</v>
      </c>
      <c r="AR109" s="362" t="s">
        <v>5265</v>
      </c>
      <c r="AS109" s="55">
        <v>2</v>
      </c>
      <c r="AT109" s="370">
        <v>2</v>
      </c>
      <c r="AU109" s="371">
        <v>2010</v>
      </c>
      <c r="AV109" s="370">
        <v>5</v>
      </c>
      <c r="AW109" s="589" t="s">
        <v>145</v>
      </c>
      <c r="AX109" s="687">
        <v>0</v>
      </c>
      <c r="AY109" s="174" t="s">
        <v>4518</v>
      </c>
      <c r="AZ109" s="550">
        <v>2013</v>
      </c>
      <c r="BA109" s="550">
        <v>1</v>
      </c>
      <c r="BB109" s="550">
        <v>1</v>
      </c>
      <c r="BC109" s="174" t="s">
        <v>4519</v>
      </c>
      <c r="BD109" s="550">
        <v>2005</v>
      </c>
      <c r="BE109" s="55">
        <v>0</v>
      </c>
      <c r="BF109" s="371" t="s">
        <v>145</v>
      </c>
      <c r="BG109" s="371">
        <v>0</v>
      </c>
      <c r="BH109" s="56" t="s">
        <v>145</v>
      </c>
      <c r="BI109" s="371">
        <v>0</v>
      </c>
      <c r="BJ109" s="371">
        <v>1</v>
      </c>
      <c r="BK109" s="888">
        <v>17215.232</v>
      </c>
      <c r="BL109" s="925">
        <f t="shared" si="103"/>
        <v>50.084547219578567</v>
      </c>
      <c r="BM109" s="888">
        <v>8593.0609999999997</v>
      </c>
      <c r="BN109" s="920">
        <v>8622.1710000000003</v>
      </c>
      <c r="BO109" s="888">
        <v>2953.5949999999998</v>
      </c>
      <c r="BP109" s="1158">
        <f t="shared" si="78"/>
        <v>49.432098849029742</v>
      </c>
      <c r="BQ109" s="917">
        <v>1493.5709999999999</v>
      </c>
      <c r="BR109" s="920">
        <v>1460.0239999999999</v>
      </c>
      <c r="BS109" s="888">
        <v>2613.4050000000002</v>
      </c>
      <c r="BT109" s="1158">
        <f t="shared" si="79"/>
        <v>49.761479755338343</v>
      </c>
      <c r="BU109" s="917">
        <v>1312.9359999999999</v>
      </c>
      <c r="BV109" s="920">
        <v>1300.4690000000001</v>
      </c>
      <c r="BW109" s="888">
        <v>2206.8789999999999</v>
      </c>
      <c r="BX109" s="1158">
        <f t="shared" si="80"/>
        <v>49.843013595217499</v>
      </c>
      <c r="BY109" s="917">
        <v>1106.904</v>
      </c>
      <c r="BZ109" s="920">
        <v>1099.9749999999999</v>
      </c>
      <c r="CA109" s="888">
        <f t="shared" si="81"/>
        <v>9441.3529999999992</v>
      </c>
      <c r="CB109" s="1158">
        <f t="shared" si="82"/>
        <v>50.434540473171609</v>
      </c>
      <c r="CC109" s="917">
        <f t="shared" si="83"/>
        <v>4679.6499999999996</v>
      </c>
      <c r="CD109" s="920">
        <f t="shared" si="84"/>
        <v>4761.7030000000013</v>
      </c>
      <c r="CE109" s="914">
        <v>2015</v>
      </c>
      <c r="CF109" s="910" t="s">
        <v>5630</v>
      </c>
      <c r="CG109" s="1026">
        <v>2.2999999999999998</v>
      </c>
      <c r="CH109" s="504">
        <v>2.2999999999999998</v>
      </c>
      <c r="CI109" s="1008">
        <v>2.2999999999999998</v>
      </c>
      <c r="CJ109" s="904" t="s">
        <v>1621</v>
      </c>
      <c r="CK109" s="904" t="s">
        <v>1621</v>
      </c>
      <c r="CL109" s="904">
        <v>2011</v>
      </c>
      <c r="CM109" s="905" t="s">
        <v>5599</v>
      </c>
      <c r="CN109" s="1044">
        <v>7470.8059999999996</v>
      </c>
      <c r="CO109" s="1045">
        <f t="shared" si="104"/>
        <v>43.396487482712978</v>
      </c>
      <c r="CP109" s="1040">
        <f t="shared" si="117"/>
        <v>3729.0866412468908</v>
      </c>
      <c r="CQ109" s="1041">
        <f t="shared" si="118"/>
        <v>3741.7193587531087</v>
      </c>
      <c r="CR109" s="1046">
        <v>2014</v>
      </c>
      <c r="CS109" s="1047" t="s">
        <v>5816</v>
      </c>
      <c r="CT109" s="1068">
        <f t="shared" si="105"/>
        <v>16</v>
      </c>
      <c r="CU109" s="1071">
        <v>18</v>
      </c>
      <c r="CV109" s="1068" t="s">
        <v>5940</v>
      </c>
      <c r="CW109" s="1113">
        <v>7470.8059999999996</v>
      </c>
      <c r="CX109" s="1113">
        <v>8173.6689999999999</v>
      </c>
      <c r="CY109" s="1113">
        <v>17377.468000000001</v>
      </c>
      <c r="CZ109" s="494">
        <v>1</v>
      </c>
      <c r="DA109" s="1104">
        <v>4</v>
      </c>
      <c r="DB109" s="1050" t="s">
        <v>5753</v>
      </c>
      <c r="DC109" s="1143" t="s">
        <v>320</v>
      </c>
      <c r="DD109" s="978">
        <f t="shared" si="91"/>
        <v>9565.6267829999997</v>
      </c>
      <c r="DE109" s="979">
        <f t="shared" si="106"/>
        <v>55.564901960078139</v>
      </c>
      <c r="DF109" s="979">
        <f t="shared" si="92"/>
        <v>50.092492483217264</v>
      </c>
      <c r="DG109" s="980">
        <f t="shared" si="93"/>
        <v>4773.9659057531089</v>
      </c>
      <c r="DH109" s="980">
        <f t="shared" si="94"/>
        <v>4791.6608772468926</v>
      </c>
      <c r="DI109" s="979">
        <f t="shared" si="107"/>
        <v>55.556057448598459</v>
      </c>
      <c r="DJ109" s="981">
        <f t="shared" si="108"/>
        <v>55.573716610896405</v>
      </c>
      <c r="DK109" s="984">
        <f t="shared" si="109"/>
        <v>1970.5469999999996</v>
      </c>
      <c r="DL109" s="979">
        <f t="shared" si="95"/>
        <v>51.761447011763373</v>
      </c>
      <c r="DM109" s="980">
        <f t="shared" si="110"/>
        <v>950.56335875310879</v>
      </c>
      <c r="DN109" s="985">
        <f t="shared" si="111"/>
        <v>1019.9836412468926</v>
      </c>
      <c r="DO109" s="984">
        <f t="shared" si="112"/>
        <v>4709.4174679999996</v>
      </c>
      <c r="DP109" s="979">
        <f t="shared" si="96"/>
        <v>49.798808534932796</v>
      </c>
      <c r="DQ109" s="980">
        <f t="shared" si="85"/>
        <v>2364.1836800000001</v>
      </c>
      <c r="DR109" s="985">
        <f t="shared" si="86"/>
        <v>2345.233788</v>
      </c>
      <c r="DS109" s="984">
        <f t="shared" si="113"/>
        <v>2885.6623149999996</v>
      </c>
      <c r="DT109" s="339">
        <f t="shared" si="97"/>
        <v>49.432098849029742</v>
      </c>
      <c r="DU109" s="980">
        <f t="shared" si="87"/>
        <v>1459.2188669999998</v>
      </c>
      <c r="DV109" s="985">
        <f t="shared" si="88"/>
        <v>1426.4434479999998</v>
      </c>
      <c r="DW109" s="979">
        <f t="shared" si="89"/>
        <v>97.7</v>
      </c>
      <c r="DX109" s="981">
        <f t="shared" si="90"/>
        <v>97.699999999999989</v>
      </c>
      <c r="DY109" s="414">
        <v>61.64</v>
      </c>
      <c r="DZ109" s="111">
        <v>2010</v>
      </c>
      <c r="EA109" s="368">
        <v>11366.476232000003</v>
      </c>
      <c r="EB109" s="123">
        <v>50.7</v>
      </c>
      <c r="EC109" s="113">
        <v>2010</v>
      </c>
      <c r="ED109" s="20">
        <v>7798.1102160000009</v>
      </c>
      <c r="EE109" s="414">
        <v>53</v>
      </c>
      <c r="EF109" s="121">
        <v>2004</v>
      </c>
      <c r="EG109" s="380">
        <v>61.309722900390597</v>
      </c>
      <c r="EH109" s="24" t="s">
        <v>335</v>
      </c>
      <c r="EI109" s="288">
        <v>1</v>
      </c>
      <c r="EJ109" s="40">
        <v>2</v>
      </c>
      <c r="EK109" s="355" t="s">
        <v>145</v>
      </c>
      <c r="EL109" s="364" t="s">
        <v>931</v>
      </c>
      <c r="EM109" s="364" t="s">
        <v>145</v>
      </c>
      <c r="EN109" s="355" t="s">
        <v>145</v>
      </c>
      <c r="EO109" s="364" t="s">
        <v>1646</v>
      </c>
      <c r="EP109" s="205">
        <v>0</v>
      </c>
      <c r="EQ109" s="207" t="s">
        <v>145</v>
      </c>
      <c r="ER109" s="517">
        <v>3</v>
      </c>
      <c r="ES109" s="183" t="s">
        <v>145</v>
      </c>
      <c r="ET109" s="183" t="s">
        <v>3766</v>
      </c>
      <c r="EU109" s="82" t="s">
        <v>145</v>
      </c>
      <c r="EV109" s="82" t="s">
        <v>145</v>
      </c>
      <c r="EW109" s="82" t="s">
        <v>3917</v>
      </c>
      <c r="EX109" s="360" t="s">
        <v>145</v>
      </c>
      <c r="EY109" s="159"/>
      <c r="EZ109" s="156"/>
      <c r="FA109" s="323"/>
      <c r="FB109" s="323"/>
      <c r="FC109" s="323"/>
      <c r="FD109" s="160"/>
      <c r="FE109" s="156"/>
      <c r="FF109" s="156"/>
      <c r="FG109" s="156"/>
      <c r="FH109" s="157"/>
      <c r="FI109" s="242"/>
      <c r="FJ109" s="373"/>
      <c r="FK109" s="179"/>
      <c r="FL109" s="179"/>
      <c r="FM109" s="179"/>
      <c r="FN109" s="369"/>
      <c r="FO109" s="164"/>
      <c r="FP109" s="255"/>
      <c r="FQ109" s="183"/>
      <c r="FR109" s="257">
        <v>1</v>
      </c>
      <c r="FS109" s="82" t="s">
        <v>1702</v>
      </c>
      <c r="FT109" s="259">
        <v>1</v>
      </c>
      <c r="FU109" s="82" t="s">
        <v>1902</v>
      </c>
      <c r="FV109" s="259"/>
      <c r="FW109" s="82"/>
      <c r="FX109" s="259">
        <v>1</v>
      </c>
      <c r="FY109" s="82" t="s">
        <v>1903</v>
      </c>
      <c r="FZ109" s="259">
        <v>1</v>
      </c>
      <c r="GA109" s="82" t="s">
        <v>1904</v>
      </c>
      <c r="GB109" s="261"/>
      <c r="GC109" s="360"/>
      <c r="GD109" s="76">
        <v>2</v>
      </c>
      <c r="GE109" s="445" t="s">
        <v>3433</v>
      </c>
      <c r="GF109" s="447" t="s">
        <v>590</v>
      </c>
      <c r="GG109" s="448">
        <v>3</v>
      </c>
      <c r="GH109" s="449">
        <v>4</v>
      </c>
      <c r="GI109" s="447" t="s">
        <v>590</v>
      </c>
      <c r="GJ109" s="449">
        <v>42</v>
      </c>
      <c r="GK109" s="447">
        <v>16</v>
      </c>
      <c r="GL109" s="448">
        <v>11</v>
      </c>
      <c r="GM109" s="449">
        <v>15</v>
      </c>
      <c r="GN109" s="447" t="s">
        <v>590</v>
      </c>
      <c r="GO109" s="449">
        <v>51</v>
      </c>
      <c r="GP109" s="447">
        <v>17</v>
      </c>
      <c r="GQ109" s="448">
        <v>18</v>
      </c>
      <c r="GR109" s="449">
        <v>16</v>
      </c>
      <c r="GS109" s="446">
        <v>6</v>
      </c>
      <c r="GT109" s="461">
        <v>-0.18730795383453369</v>
      </c>
      <c r="GU109" s="462">
        <v>-0.22415845096111298</v>
      </c>
      <c r="GV109" s="462">
        <v>-0.56065845489501953</v>
      </c>
      <c r="GW109" s="462">
        <v>-0.68002557754516602</v>
      </c>
      <c r="GX109" s="462">
        <v>-0.19043238461017609</v>
      </c>
      <c r="GY109" s="463">
        <v>-0.63648265600204468</v>
      </c>
      <c r="GZ109" s="10">
        <v>166</v>
      </c>
      <c r="HA109" s="536">
        <v>0.23208000000000001</v>
      </c>
      <c r="HB109" s="536">
        <v>0.23529</v>
      </c>
      <c r="HC109" s="525">
        <v>0.17322000000000001</v>
      </c>
      <c r="HD109" s="526">
        <v>4.8370000000000003E-2</v>
      </c>
      <c r="HE109" s="527">
        <v>0.47460000000000002</v>
      </c>
      <c r="HF109" s="10">
        <v>158</v>
      </c>
      <c r="HG109" s="532">
        <v>1.52</v>
      </c>
      <c r="HH109" s="545">
        <v>1.89</v>
      </c>
      <c r="HI109" s="546">
        <v>0.31</v>
      </c>
      <c r="HJ109" s="547">
        <v>3.21</v>
      </c>
      <c r="HK109" s="558" t="s">
        <v>145</v>
      </c>
      <c r="HL109" s="362" t="s">
        <v>145</v>
      </c>
      <c r="HM109" s="557" t="s">
        <v>145</v>
      </c>
      <c r="HN109" s="557" t="s">
        <v>145</v>
      </c>
      <c r="HO109" s="557" t="s">
        <v>145</v>
      </c>
      <c r="HP109" s="562" t="s">
        <v>145</v>
      </c>
      <c r="HQ109" s="562" t="s">
        <v>145</v>
      </c>
      <c r="HR109" s="563" t="s">
        <v>145</v>
      </c>
      <c r="HS109" s="545" t="s">
        <v>145</v>
      </c>
      <c r="HT109" s="557" t="s">
        <v>145</v>
      </c>
      <c r="HU109" s="809">
        <v>1964</v>
      </c>
      <c r="HV109" s="656" t="s">
        <v>4890</v>
      </c>
      <c r="HW109" s="557" t="s">
        <v>145</v>
      </c>
      <c r="HX109" s="557" t="s">
        <v>145</v>
      </c>
      <c r="HY109" s="557" t="s">
        <v>145</v>
      </c>
      <c r="HZ109" s="557" t="s">
        <v>145</v>
      </c>
      <c r="IA109" s="557" t="s">
        <v>145</v>
      </c>
      <c r="IB109" s="557" t="s">
        <v>145</v>
      </c>
      <c r="IC109" s="547" t="s">
        <v>145</v>
      </c>
      <c r="ID109" s="40"/>
      <c r="IE109" s="550"/>
      <c r="IF109" s="550"/>
      <c r="IG109" s="553"/>
      <c r="IH109" s="115"/>
      <c r="II109" s="647" t="s">
        <v>4921</v>
      </c>
      <c r="IJ109" s="423" t="s">
        <v>4918</v>
      </c>
      <c r="IK109" s="10">
        <v>0</v>
      </c>
      <c r="IL109" s="749">
        <f t="shared" si="114"/>
        <v>11</v>
      </c>
      <c r="IM109" s="747">
        <f t="shared" si="115"/>
        <v>44</v>
      </c>
      <c r="IN109" s="750" t="str">
        <f t="shared" si="116"/>
        <v>C</v>
      </c>
      <c r="IO109" s="446">
        <v>1</v>
      </c>
      <c r="IP109" s="902">
        <v>3</v>
      </c>
      <c r="IQ109" s="903">
        <v>0</v>
      </c>
      <c r="IR109" s="993">
        <v>0</v>
      </c>
      <c r="IT109" s="435"/>
      <c r="IU109" s="435"/>
      <c r="IV109" s="435"/>
    </row>
    <row r="110" spans="1:256">
      <c r="A110" s="21">
        <v>108</v>
      </c>
      <c r="B110" s="9"/>
      <c r="C110" s="431" t="s">
        <v>172</v>
      </c>
      <c r="D110" s="424" t="s">
        <v>407</v>
      </c>
      <c r="E110" s="24" t="s">
        <v>12</v>
      </c>
      <c r="F110" s="76" t="s">
        <v>845</v>
      </c>
      <c r="G110" s="102" t="s">
        <v>577</v>
      </c>
      <c r="H110" s="251" t="s">
        <v>2353</v>
      </c>
      <c r="I110" s="95" t="s">
        <v>2354</v>
      </c>
      <c r="J110" s="176">
        <v>2</v>
      </c>
      <c r="K110" s="88">
        <v>1959</v>
      </c>
      <c r="L110" s="371">
        <v>2</v>
      </c>
      <c r="M110" s="240" t="s">
        <v>1834</v>
      </c>
      <c r="N110" s="172" t="s">
        <v>2355</v>
      </c>
      <c r="O110" s="365" t="s">
        <v>2808</v>
      </c>
      <c r="P110" s="378" t="s">
        <v>1993</v>
      </c>
      <c r="Q110" s="370">
        <v>2</v>
      </c>
      <c r="R110" s="370">
        <v>2001</v>
      </c>
      <c r="S110" s="234" t="s">
        <v>1967</v>
      </c>
      <c r="T110" s="176">
        <v>1</v>
      </c>
      <c r="U110" s="370">
        <v>2</v>
      </c>
      <c r="V110" s="176">
        <v>12</v>
      </c>
      <c r="W110" s="369" t="s">
        <v>1822</v>
      </c>
      <c r="X110" s="170">
        <v>1</v>
      </c>
      <c r="Y110" s="369">
        <v>1</v>
      </c>
      <c r="Z110" s="273" t="s">
        <v>2008</v>
      </c>
      <c r="AA110" s="169"/>
      <c r="AB110" s="177">
        <v>1</v>
      </c>
      <c r="AC110" s="171"/>
      <c r="AD110" s="366" t="s">
        <v>3272</v>
      </c>
      <c r="AE110" s="357">
        <v>2001</v>
      </c>
      <c r="AF110" s="357">
        <v>3</v>
      </c>
      <c r="AG110" s="550" t="s">
        <v>5171</v>
      </c>
      <c r="AH110" s="355" t="s">
        <v>2807</v>
      </c>
      <c r="AI110" s="550">
        <v>1</v>
      </c>
      <c r="AJ110" s="550">
        <v>1</v>
      </c>
      <c r="AK110" s="590" t="s">
        <v>145</v>
      </c>
      <c r="AL110" s="387">
        <v>6</v>
      </c>
      <c r="AM110" s="361" t="s">
        <v>2769</v>
      </c>
      <c r="AN110" s="342" t="s">
        <v>145</v>
      </c>
      <c r="AO110" s="170">
        <v>1</v>
      </c>
      <c r="AP110" s="369">
        <v>1</v>
      </c>
      <c r="AQ110" s="365" t="s">
        <v>5262</v>
      </c>
      <c r="AR110" s="378" t="s">
        <v>5263</v>
      </c>
      <c r="AS110" s="55">
        <v>1</v>
      </c>
      <c r="AT110" s="370">
        <v>5</v>
      </c>
      <c r="AU110" s="371">
        <v>1998</v>
      </c>
      <c r="AV110" s="370">
        <v>5</v>
      </c>
      <c r="AW110" s="589">
        <v>1500</v>
      </c>
      <c r="AX110" s="687">
        <v>0</v>
      </c>
      <c r="AY110" s="174" t="s">
        <v>2172</v>
      </c>
      <c r="AZ110" s="550">
        <v>2012</v>
      </c>
      <c r="BA110" s="550">
        <v>1</v>
      </c>
      <c r="BB110" s="550">
        <v>2</v>
      </c>
      <c r="BC110" s="174" t="s">
        <v>4520</v>
      </c>
      <c r="BD110" s="550">
        <v>2013</v>
      </c>
      <c r="BE110" s="550">
        <v>2</v>
      </c>
      <c r="BF110" s="367" t="s">
        <v>4395</v>
      </c>
      <c r="BG110" s="367">
        <v>1</v>
      </c>
      <c r="BH110" s="1" t="s">
        <v>4521</v>
      </c>
      <c r="BI110" s="367">
        <v>2</v>
      </c>
      <c r="BJ110" s="367">
        <v>0</v>
      </c>
      <c r="BK110" s="888">
        <v>30331.007000000001</v>
      </c>
      <c r="BL110" s="925">
        <f t="shared" si="103"/>
        <v>50.4610051357675</v>
      </c>
      <c r="BM110" s="888">
        <v>15025.675999999999</v>
      </c>
      <c r="BN110" s="920">
        <v>15305.331</v>
      </c>
      <c r="BO110" s="888">
        <v>2476.6729999999998</v>
      </c>
      <c r="BP110" s="1158">
        <f t="shared" si="78"/>
        <v>48.609687269978721</v>
      </c>
      <c r="BQ110" s="917">
        <v>1272.77</v>
      </c>
      <c r="BR110" s="920">
        <v>1203.903</v>
      </c>
      <c r="BS110" s="888">
        <v>2329.6320000000001</v>
      </c>
      <c r="BT110" s="1158">
        <f t="shared" si="79"/>
        <v>51.152070369912494</v>
      </c>
      <c r="BU110" s="917">
        <v>1137.9770000000001</v>
      </c>
      <c r="BV110" s="920">
        <v>1191.655</v>
      </c>
      <c r="BW110" s="888">
        <v>2626.2649999999999</v>
      </c>
      <c r="BX110" s="1158">
        <f t="shared" si="80"/>
        <v>51.585845297409058</v>
      </c>
      <c r="BY110" s="917">
        <v>1271.4839999999999</v>
      </c>
      <c r="BZ110" s="920">
        <v>1354.7809999999999</v>
      </c>
      <c r="CA110" s="888">
        <f t="shared" si="81"/>
        <v>22898.437000000002</v>
      </c>
      <c r="CB110" s="1158">
        <f t="shared" si="82"/>
        <v>50.461924540963196</v>
      </c>
      <c r="CC110" s="917">
        <f t="shared" si="83"/>
        <v>11343.444999999998</v>
      </c>
      <c r="CD110" s="920">
        <f t="shared" si="84"/>
        <v>11554.991999999998</v>
      </c>
      <c r="CE110" s="914">
        <v>2015</v>
      </c>
      <c r="CF110" s="910" t="s">
        <v>5630</v>
      </c>
      <c r="CG110" s="931">
        <v>95</v>
      </c>
      <c r="CH110" s="504">
        <v>95</v>
      </c>
      <c r="CI110" s="1008">
        <v>95</v>
      </c>
      <c r="CJ110" s="904" t="s">
        <v>1621</v>
      </c>
      <c r="CK110" s="904" t="s">
        <v>1621</v>
      </c>
      <c r="CL110" s="906">
        <v>2014</v>
      </c>
      <c r="CM110" s="1002" t="s">
        <v>5715</v>
      </c>
      <c r="CN110" s="1044">
        <v>13268.002</v>
      </c>
      <c r="CO110" s="1045">
        <f t="shared" si="104"/>
        <v>43.744020763966063</v>
      </c>
      <c r="CP110" s="1040">
        <f t="shared" si="117"/>
        <v>6572.8348293662657</v>
      </c>
      <c r="CQ110" s="1041">
        <f t="shared" si="118"/>
        <v>6695.1671706337356</v>
      </c>
      <c r="CR110" s="1046">
        <v>2013</v>
      </c>
      <c r="CS110" s="1047" t="s">
        <v>5932</v>
      </c>
      <c r="CT110" s="1068">
        <f t="shared" si="105"/>
        <v>12</v>
      </c>
      <c r="CU110" s="1071">
        <v>21</v>
      </c>
      <c r="CV110" s="1068" t="s">
        <v>5941</v>
      </c>
      <c r="CW110" s="1113">
        <v>13268.002</v>
      </c>
      <c r="CX110" s="1113">
        <v>17883.697</v>
      </c>
      <c r="CY110" s="1113">
        <v>29628.392</v>
      </c>
      <c r="CZ110" s="494">
        <v>1</v>
      </c>
      <c r="DA110" s="1104">
        <v>5</v>
      </c>
      <c r="DB110" s="1050" t="s">
        <v>647</v>
      </c>
      <c r="DC110" s="1146" t="s">
        <v>322</v>
      </c>
      <c r="DD110" s="978">
        <f t="shared" si="91"/>
        <v>10002.063500000002</v>
      </c>
      <c r="DE110" s="979">
        <f t="shared" si="106"/>
        <v>32.976364747797533</v>
      </c>
      <c r="DF110" s="979">
        <f t="shared" si="92"/>
        <v>50.46300475263191</v>
      </c>
      <c r="DG110" s="980">
        <f t="shared" si="93"/>
        <v>4954.7217206337327</v>
      </c>
      <c r="DH110" s="980">
        <f t="shared" si="94"/>
        <v>5047.3417793662629</v>
      </c>
      <c r="DI110" s="979">
        <f t="shared" si="107"/>
        <v>32.975033673251922</v>
      </c>
      <c r="DJ110" s="981">
        <f t="shared" si="108"/>
        <v>32.977671501297571</v>
      </c>
      <c r="DK110" s="984">
        <f t="shared" si="109"/>
        <v>9630.4350000000013</v>
      </c>
      <c r="DL110" s="979">
        <f t="shared" si="95"/>
        <v>50.463191219983962</v>
      </c>
      <c r="DM110" s="980">
        <f t="shared" si="110"/>
        <v>4770.6101706337322</v>
      </c>
      <c r="DN110" s="985">
        <f t="shared" si="111"/>
        <v>4859.8248293662627</v>
      </c>
      <c r="DO110" s="984">
        <f t="shared" si="112"/>
        <v>247.79485000000022</v>
      </c>
      <c r="DP110" s="979">
        <f t="shared" si="96"/>
        <v>51.381939535870089</v>
      </c>
      <c r="DQ110" s="980">
        <f t="shared" si="85"/>
        <v>120.47305000000011</v>
      </c>
      <c r="DR110" s="985">
        <f t="shared" si="86"/>
        <v>127.32180000000011</v>
      </c>
      <c r="DS110" s="984">
        <f t="shared" si="113"/>
        <v>123.83365000000011</v>
      </c>
      <c r="DT110" s="339">
        <f t="shared" si="97"/>
        <v>48.609687269978721</v>
      </c>
      <c r="DU110" s="980">
        <f t="shared" si="87"/>
        <v>63.638500000000057</v>
      </c>
      <c r="DV110" s="985">
        <f t="shared" si="88"/>
        <v>60.195150000000055</v>
      </c>
      <c r="DW110" s="979">
        <f t="shared" si="89"/>
        <v>5.0000000000000044</v>
      </c>
      <c r="DX110" s="981">
        <f t="shared" si="90"/>
        <v>5.0000000000000044</v>
      </c>
      <c r="DY110" s="414">
        <v>0</v>
      </c>
      <c r="DZ110" s="111">
        <v>2009</v>
      </c>
      <c r="EA110" s="118" t="e">
        <f>#REF!*DY110/100</f>
        <v>#REF!</v>
      </c>
      <c r="EB110" s="123">
        <v>3.8</v>
      </c>
      <c r="EC110" s="113">
        <v>2009</v>
      </c>
      <c r="ED110" s="20">
        <v>1096.6478519999998</v>
      </c>
      <c r="EE110" s="414">
        <v>3.8</v>
      </c>
      <c r="EF110" s="111">
        <v>2009</v>
      </c>
      <c r="EG110" s="380">
        <v>93.117881774902301</v>
      </c>
      <c r="EH110" s="24" t="s">
        <v>383</v>
      </c>
      <c r="EI110" s="287">
        <v>0</v>
      </c>
      <c r="EJ110" s="40" t="s">
        <v>145</v>
      </c>
      <c r="EK110" s="35" t="s">
        <v>145</v>
      </c>
      <c r="EL110" s="95" t="s">
        <v>145</v>
      </c>
      <c r="EM110" s="95" t="s">
        <v>145</v>
      </c>
      <c r="EN110" s="35" t="s">
        <v>145</v>
      </c>
      <c r="EO110" s="95" t="s">
        <v>145</v>
      </c>
      <c r="EP110" s="205" t="s">
        <v>145</v>
      </c>
      <c r="EQ110" s="207" t="s">
        <v>145</v>
      </c>
      <c r="ER110" s="517" t="s">
        <v>145</v>
      </c>
      <c r="ES110" s="183"/>
      <c r="ET110" s="183"/>
      <c r="EU110" s="82"/>
      <c r="EV110" s="82"/>
      <c r="EW110" s="82"/>
      <c r="EX110" s="90"/>
      <c r="EY110" s="159"/>
      <c r="EZ110" s="156"/>
      <c r="FA110" s="323"/>
      <c r="FB110" s="323"/>
      <c r="FC110" s="323"/>
      <c r="FD110" s="160"/>
      <c r="FE110" s="156"/>
      <c r="FF110" s="156"/>
      <c r="FG110" s="156"/>
      <c r="FH110" s="157"/>
      <c r="FI110" s="242"/>
      <c r="FJ110" s="240"/>
      <c r="FK110" s="179"/>
      <c r="FL110" s="179"/>
      <c r="FM110" s="179"/>
      <c r="FN110" s="172"/>
      <c r="FO110" s="164"/>
      <c r="FP110" s="255">
        <v>1</v>
      </c>
      <c r="FQ110" s="183" t="s">
        <v>1905</v>
      </c>
      <c r="FR110" s="257"/>
      <c r="FS110" s="82"/>
      <c r="FT110" s="259"/>
      <c r="FU110" s="82"/>
      <c r="FV110" s="259"/>
      <c r="FW110" s="82"/>
      <c r="FX110" s="259"/>
      <c r="FY110" s="82"/>
      <c r="FZ110" s="259"/>
      <c r="GA110" s="82"/>
      <c r="GB110" s="262" t="s">
        <v>1900</v>
      </c>
      <c r="GC110" s="90"/>
      <c r="GD110" s="76">
        <v>3</v>
      </c>
      <c r="GE110" s="445" t="s">
        <v>3436</v>
      </c>
      <c r="GF110" s="447" t="s">
        <v>590</v>
      </c>
      <c r="GG110" s="448">
        <v>4</v>
      </c>
      <c r="GH110" s="449">
        <v>4</v>
      </c>
      <c r="GI110" s="447" t="s">
        <v>590</v>
      </c>
      <c r="GJ110" s="449">
        <v>42</v>
      </c>
      <c r="GK110" s="447">
        <v>8</v>
      </c>
      <c r="GL110" s="448">
        <v>14</v>
      </c>
      <c r="GM110" s="449">
        <v>20</v>
      </c>
      <c r="GN110" s="447" t="s">
        <v>580</v>
      </c>
      <c r="GO110" s="449">
        <v>64</v>
      </c>
      <c r="GP110" s="447">
        <v>24</v>
      </c>
      <c r="GQ110" s="448">
        <v>23</v>
      </c>
      <c r="GR110" s="449">
        <v>17</v>
      </c>
      <c r="GS110" s="446">
        <v>10</v>
      </c>
      <c r="GT110" s="461">
        <v>-0.32052543759346008</v>
      </c>
      <c r="GU110" s="462">
        <v>5.1782149821519852E-2</v>
      </c>
      <c r="GV110" s="462">
        <v>1.1003822088241577</v>
      </c>
      <c r="GW110" s="462">
        <v>0.61653310060501099</v>
      </c>
      <c r="GX110" s="462">
        <v>0.47590911388397217</v>
      </c>
      <c r="GY110" s="463">
        <v>0.40656179189682007</v>
      </c>
      <c r="GZ110" s="10">
        <v>52</v>
      </c>
      <c r="HA110" s="536">
        <v>0.61151999999999995</v>
      </c>
      <c r="HB110" s="536">
        <v>0.52941000000000005</v>
      </c>
      <c r="HC110" s="525">
        <v>0.67715999999999998</v>
      </c>
      <c r="HD110" s="526">
        <v>0.44546000000000002</v>
      </c>
      <c r="HE110" s="527">
        <v>0.71189999999999998</v>
      </c>
      <c r="HF110" s="10">
        <v>71</v>
      </c>
      <c r="HG110" s="532">
        <v>5.2</v>
      </c>
      <c r="HH110" s="545">
        <v>6.58</v>
      </c>
      <c r="HI110" s="546">
        <v>3.16</v>
      </c>
      <c r="HJ110" s="547">
        <v>6.54</v>
      </c>
      <c r="HK110" s="558" t="s">
        <v>3992</v>
      </c>
      <c r="HL110" s="585" t="s">
        <v>4835</v>
      </c>
      <c r="HM110" s="557">
        <v>2010</v>
      </c>
      <c r="HN110" s="557">
        <v>2013</v>
      </c>
      <c r="HO110" s="557" t="s">
        <v>4065</v>
      </c>
      <c r="HP110" s="562" t="s">
        <v>145</v>
      </c>
      <c r="HQ110" s="562" t="s">
        <v>145</v>
      </c>
      <c r="HR110" s="563" t="s">
        <v>145</v>
      </c>
      <c r="HS110" s="545" t="s">
        <v>145</v>
      </c>
      <c r="HT110" s="557" t="s">
        <v>145</v>
      </c>
      <c r="HU110" s="557" t="s">
        <v>145</v>
      </c>
      <c r="HV110" s="581" t="s">
        <v>145</v>
      </c>
      <c r="HW110" s="557" t="s">
        <v>145</v>
      </c>
      <c r="HX110" s="557" t="s">
        <v>145</v>
      </c>
      <c r="HY110" s="557" t="s">
        <v>145</v>
      </c>
      <c r="HZ110" s="557" t="s">
        <v>145</v>
      </c>
      <c r="IA110" s="557" t="s">
        <v>145</v>
      </c>
      <c r="IB110" s="557" t="s">
        <v>145</v>
      </c>
      <c r="IC110" s="547" t="s">
        <v>145</v>
      </c>
      <c r="ID110" s="660"/>
      <c r="IE110" s="550"/>
      <c r="IF110" s="355" t="s">
        <v>5202</v>
      </c>
      <c r="IG110" s="553"/>
      <c r="IH110" s="339"/>
      <c r="II110" s="553" t="s">
        <v>4922</v>
      </c>
      <c r="IJ110" s="424" t="s">
        <v>4926</v>
      </c>
      <c r="IK110" s="24">
        <v>0</v>
      </c>
      <c r="IL110" s="749">
        <f t="shared" si="114"/>
        <v>21</v>
      </c>
      <c r="IM110" s="747">
        <f t="shared" si="115"/>
        <v>84</v>
      </c>
      <c r="IN110" s="750" t="str">
        <f t="shared" si="116"/>
        <v>A</v>
      </c>
      <c r="IO110" s="446"/>
      <c r="IP110" s="902">
        <v>5</v>
      </c>
      <c r="IQ110" s="903">
        <v>0</v>
      </c>
      <c r="IR110" s="993">
        <v>0</v>
      </c>
      <c r="IT110" s="435"/>
      <c r="IU110" s="435"/>
      <c r="IV110" s="435"/>
    </row>
    <row r="111" spans="1:256">
      <c r="A111" s="21">
        <v>109</v>
      </c>
      <c r="B111" s="9"/>
      <c r="C111" s="431" t="s">
        <v>174</v>
      </c>
      <c r="D111" s="423" t="s">
        <v>411</v>
      </c>
      <c r="E111" s="24" t="s">
        <v>12</v>
      </c>
      <c r="F111" s="76" t="s">
        <v>846</v>
      </c>
      <c r="G111" s="102" t="s">
        <v>574</v>
      </c>
      <c r="H111" s="375" t="s">
        <v>2357</v>
      </c>
      <c r="I111" s="95" t="s">
        <v>2358</v>
      </c>
      <c r="J111" s="370">
        <v>5</v>
      </c>
      <c r="K111" s="88">
        <v>1965</v>
      </c>
      <c r="L111" s="371">
        <v>2</v>
      </c>
      <c r="M111" s="373" t="s">
        <v>2151</v>
      </c>
      <c r="N111" s="369" t="s">
        <v>2356</v>
      </c>
      <c r="O111" s="365" t="s">
        <v>2858</v>
      </c>
      <c r="P111" s="362" t="s">
        <v>2859</v>
      </c>
      <c r="Q111" s="370">
        <v>6</v>
      </c>
      <c r="R111" s="370">
        <v>1984</v>
      </c>
      <c r="S111" s="372" t="s">
        <v>1961</v>
      </c>
      <c r="T111" s="370">
        <v>1</v>
      </c>
      <c r="U111" s="370">
        <v>2</v>
      </c>
      <c r="V111" s="370">
        <v>18</v>
      </c>
      <c r="W111" s="369" t="s">
        <v>1822</v>
      </c>
      <c r="X111" s="170">
        <v>0</v>
      </c>
      <c r="Y111" s="369">
        <v>0</v>
      </c>
      <c r="Z111" s="271"/>
      <c r="AA111" s="169">
        <v>1</v>
      </c>
      <c r="AB111" s="177">
        <v>1</v>
      </c>
      <c r="AC111" s="171"/>
      <c r="AD111" s="376" t="s">
        <v>145</v>
      </c>
      <c r="AE111" s="355" t="s">
        <v>145</v>
      </c>
      <c r="AF111" s="357">
        <v>0</v>
      </c>
      <c r="AG111" s="550">
        <v>1</v>
      </c>
      <c r="AH111" s="355" t="s">
        <v>145</v>
      </c>
      <c r="AI111" s="550" t="s">
        <v>145</v>
      </c>
      <c r="AJ111" s="550" t="s">
        <v>145</v>
      </c>
      <c r="AK111" s="590" t="s">
        <v>145</v>
      </c>
      <c r="AL111" s="55">
        <v>0</v>
      </c>
      <c r="AM111" s="360" t="s">
        <v>145</v>
      </c>
      <c r="AN111" s="384" t="s">
        <v>145</v>
      </c>
      <c r="AO111" s="170">
        <v>0</v>
      </c>
      <c r="AP111" s="369">
        <v>0</v>
      </c>
      <c r="AQ111" s="365" t="s">
        <v>5264</v>
      </c>
      <c r="AR111" s="378" t="s">
        <v>5265</v>
      </c>
      <c r="AS111" s="55">
        <v>1</v>
      </c>
      <c r="AT111" s="370">
        <v>5</v>
      </c>
      <c r="AU111" s="371">
        <v>2007</v>
      </c>
      <c r="AV111" s="370">
        <v>5</v>
      </c>
      <c r="AW111" s="589">
        <v>100</v>
      </c>
      <c r="AX111" s="687">
        <v>0</v>
      </c>
      <c r="AY111" s="174" t="s">
        <v>4522</v>
      </c>
      <c r="AZ111" s="550">
        <v>2001</v>
      </c>
      <c r="BA111" s="550">
        <v>1</v>
      </c>
      <c r="BB111" s="550">
        <v>1</v>
      </c>
      <c r="BC111" s="174" t="s">
        <v>4523</v>
      </c>
      <c r="BD111" s="550">
        <v>1996</v>
      </c>
      <c r="BE111" s="55">
        <v>0</v>
      </c>
      <c r="BF111" s="371" t="s">
        <v>145</v>
      </c>
      <c r="BG111" s="371">
        <v>0</v>
      </c>
      <c r="BH111" s="56" t="s">
        <v>145</v>
      </c>
      <c r="BI111" s="371">
        <v>0</v>
      </c>
      <c r="BJ111" s="371">
        <v>1</v>
      </c>
      <c r="BK111" s="888">
        <v>363.65699999999998</v>
      </c>
      <c r="BL111" s="925">
        <f t="shared" si="103"/>
        <v>49.851920903488725</v>
      </c>
      <c r="BM111" s="888">
        <v>182.36699999999999</v>
      </c>
      <c r="BN111" s="920">
        <v>181.29</v>
      </c>
      <c r="BO111" s="888">
        <v>37.363999999999997</v>
      </c>
      <c r="BP111" s="1158">
        <f t="shared" si="78"/>
        <v>47.577882453698756</v>
      </c>
      <c r="BQ111" s="917">
        <v>19.587</v>
      </c>
      <c r="BR111" s="920">
        <v>17.777000000000001</v>
      </c>
      <c r="BS111" s="888">
        <v>32.75</v>
      </c>
      <c r="BT111" s="1158">
        <f t="shared" si="79"/>
        <v>48.549618320610691</v>
      </c>
      <c r="BU111" s="917">
        <v>16.850000000000001</v>
      </c>
      <c r="BV111" s="920">
        <v>15.9</v>
      </c>
      <c r="BW111" s="888">
        <v>29.814</v>
      </c>
      <c r="BX111" s="1158">
        <f t="shared" si="80"/>
        <v>48.792513584222178</v>
      </c>
      <c r="BY111" s="917">
        <v>15.266999999999999</v>
      </c>
      <c r="BZ111" s="920">
        <v>14.547000000000001</v>
      </c>
      <c r="CA111" s="888">
        <f t="shared" si="81"/>
        <v>263.72899999999998</v>
      </c>
      <c r="CB111" s="1158">
        <f t="shared" si="82"/>
        <v>50.455581297468235</v>
      </c>
      <c r="CC111" s="917">
        <f t="shared" si="83"/>
        <v>130.66300000000001</v>
      </c>
      <c r="CD111" s="920">
        <f t="shared" si="84"/>
        <v>133.06599999999997</v>
      </c>
      <c r="CE111" s="914">
        <v>2015</v>
      </c>
      <c r="CF111" s="910" t="s">
        <v>5630</v>
      </c>
      <c r="CG111" s="930">
        <v>92.5</v>
      </c>
      <c r="CH111" s="495">
        <v>92.8</v>
      </c>
      <c r="CI111" s="497">
        <v>92.3</v>
      </c>
      <c r="CJ111" s="904">
        <v>92.6</v>
      </c>
      <c r="CK111" s="904">
        <v>92.4</v>
      </c>
      <c r="CL111" s="904">
        <v>2009</v>
      </c>
      <c r="CM111" s="905" t="s">
        <v>5575</v>
      </c>
      <c r="CN111" s="1044">
        <v>240.65199999999999</v>
      </c>
      <c r="CO111" s="1045">
        <f t="shared" si="104"/>
        <v>66.175544537847472</v>
      </c>
      <c r="CP111" s="1040">
        <f t="shared" si="117"/>
        <v>120.68235530733628</v>
      </c>
      <c r="CQ111" s="1041">
        <f t="shared" si="118"/>
        <v>119.96964469266368</v>
      </c>
      <c r="CR111" s="1046">
        <v>2014</v>
      </c>
      <c r="CS111" s="1047" t="s">
        <v>5933</v>
      </c>
      <c r="CT111" s="1068">
        <f t="shared" si="105"/>
        <v>18</v>
      </c>
      <c r="CU111" s="1071">
        <v>18</v>
      </c>
      <c r="CV111" s="1068" t="s">
        <v>5942</v>
      </c>
      <c r="CW111" s="1113">
        <v>240.65199999999999</v>
      </c>
      <c r="CX111" s="1113">
        <v>247.81899999999999</v>
      </c>
      <c r="CY111" s="1113">
        <v>393.59500000000003</v>
      </c>
      <c r="CZ111" s="494">
        <v>1</v>
      </c>
      <c r="DA111" s="1104">
        <v>4</v>
      </c>
      <c r="DB111" s="1050" t="s">
        <v>647</v>
      </c>
      <c r="DC111" s="1146" t="s">
        <v>322</v>
      </c>
      <c r="DD111" s="978">
        <f t="shared" si="91"/>
        <v>30.571599999999993</v>
      </c>
      <c r="DE111" s="979">
        <f t="shared" si="106"/>
        <v>8.4067129190418441</v>
      </c>
      <c r="DF111" s="979">
        <f t="shared" si="92"/>
        <v>54.984375391985708</v>
      </c>
      <c r="DG111" s="980">
        <f t="shared" si="93"/>
        <v>13.703332692663734</v>
      </c>
      <c r="DH111" s="980">
        <f t="shared" si="94"/>
        <v>16.8096033073363</v>
      </c>
      <c r="DI111" s="979">
        <f t="shared" si="107"/>
        <v>7.5141515146181792</v>
      </c>
      <c r="DJ111" s="981">
        <f t="shared" si="108"/>
        <v>9.2722176111954884</v>
      </c>
      <c r="DK111" s="984">
        <f t="shared" si="109"/>
        <v>23.076999999999998</v>
      </c>
      <c r="DL111" s="979">
        <f t="shared" si="95"/>
        <v>56.750683829511182</v>
      </c>
      <c r="DM111" s="980">
        <f t="shared" si="110"/>
        <v>9.9806446926637307</v>
      </c>
      <c r="DN111" s="985">
        <f t="shared" si="111"/>
        <v>13.096355307336296</v>
      </c>
      <c r="DO111" s="984">
        <f t="shared" si="112"/>
        <v>4.6922999999999977</v>
      </c>
      <c r="DP111" s="979">
        <f t="shared" si="96"/>
        <v>49.963109775589864</v>
      </c>
      <c r="DQ111" s="980">
        <f t="shared" si="85"/>
        <v>2.3124240000000018</v>
      </c>
      <c r="DR111" s="985">
        <f t="shared" si="86"/>
        <v>2.344419000000002</v>
      </c>
      <c r="DS111" s="984">
        <f t="shared" si="113"/>
        <v>2.802299999999998</v>
      </c>
      <c r="DT111" s="339">
        <f t="shared" si="97"/>
        <v>48.846625985797459</v>
      </c>
      <c r="DU111" s="980">
        <f t="shared" si="87"/>
        <v>1.4102640000000013</v>
      </c>
      <c r="DV111" s="985">
        <f t="shared" si="88"/>
        <v>1.3688290000000012</v>
      </c>
      <c r="DW111" s="979">
        <f t="shared" si="89"/>
        <v>7.2000000000000064</v>
      </c>
      <c r="DX111" s="981">
        <f t="shared" si="90"/>
        <v>7.7000000000000064</v>
      </c>
      <c r="DY111" s="414">
        <v>1.48</v>
      </c>
      <c r="DZ111" s="111">
        <v>2004</v>
      </c>
      <c r="EA111" s="118" t="e">
        <f>#REF!*DY111/100</f>
        <v>#REF!</v>
      </c>
      <c r="EB111" s="123" t="s">
        <v>145</v>
      </c>
      <c r="EC111" s="113" t="s">
        <v>145</v>
      </c>
      <c r="ED111" s="20"/>
      <c r="EE111" s="414">
        <v>16</v>
      </c>
      <c r="EF111" s="121">
        <v>2008</v>
      </c>
      <c r="EG111" s="380">
        <v>98.397895812988295</v>
      </c>
      <c r="EH111" s="24" t="s">
        <v>334</v>
      </c>
      <c r="EI111" s="288">
        <v>0</v>
      </c>
      <c r="EJ111" s="40" t="s">
        <v>145</v>
      </c>
      <c r="EK111" s="35" t="s">
        <v>145</v>
      </c>
      <c r="EL111" s="95" t="s">
        <v>145</v>
      </c>
      <c r="EM111" s="95" t="s">
        <v>145</v>
      </c>
      <c r="EN111" s="35" t="s">
        <v>145</v>
      </c>
      <c r="EO111" s="95" t="s">
        <v>145</v>
      </c>
      <c r="EP111" s="205" t="s">
        <v>145</v>
      </c>
      <c r="EQ111" s="207" t="s">
        <v>145</v>
      </c>
      <c r="ER111" s="517" t="s">
        <v>145</v>
      </c>
      <c r="ES111" s="183"/>
      <c r="ET111" s="183"/>
      <c r="EU111" s="82"/>
      <c r="EV111" s="82"/>
      <c r="EW111" s="82"/>
      <c r="EX111" s="90"/>
      <c r="EY111" s="159"/>
      <c r="EZ111" s="156"/>
      <c r="FA111" s="323"/>
      <c r="FB111" s="323"/>
      <c r="FC111" s="323"/>
      <c r="FD111" s="160"/>
      <c r="FE111" s="156"/>
      <c r="FF111" s="156"/>
      <c r="FG111" s="156"/>
      <c r="FH111" s="157"/>
      <c r="FI111" s="242"/>
      <c r="FJ111" s="373"/>
      <c r="FK111" s="179"/>
      <c r="FL111" s="179"/>
      <c r="FM111" s="179"/>
      <c r="FN111" s="369"/>
      <c r="FO111" s="164"/>
      <c r="FP111" s="255">
        <v>1</v>
      </c>
      <c r="FQ111" s="183" t="s">
        <v>1906</v>
      </c>
      <c r="FR111" s="257"/>
      <c r="FS111" s="82"/>
      <c r="FT111" s="259"/>
      <c r="FU111" s="82"/>
      <c r="FV111" s="259"/>
      <c r="FW111" s="82"/>
      <c r="FX111" s="259"/>
      <c r="FY111" s="82"/>
      <c r="FZ111" s="259"/>
      <c r="GA111" s="82"/>
      <c r="GB111" s="261"/>
      <c r="GC111" s="90"/>
      <c r="GD111" s="76">
        <v>3</v>
      </c>
      <c r="GE111" s="445" t="s">
        <v>3426</v>
      </c>
      <c r="GF111" s="447" t="s">
        <v>590</v>
      </c>
      <c r="GG111" s="448">
        <v>4</v>
      </c>
      <c r="GH111" s="449">
        <v>4</v>
      </c>
      <c r="GI111" s="447" t="s">
        <v>145</v>
      </c>
      <c r="GJ111" s="449" t="s">
        <v>145</v>
      </c>
      <c r="GK111" s="447" t="s">
        <v>145</v>
      </c>
      <c r="GL111" s="448" t="s">
        <v>145</v>
      </c>
      <c r="GM111" s="449" t="s">
        <v>145</v>
      </c>
      <c r="GN111" s="447" t="s">
        <v>590</v>
      </c>
      <c r="GO111" s="449">
        <v>55</v>
      </c>
      <c r="GP111" s="447">
        <v>18</v>
      </c>
      <c r="GQ111" s="448">
        <v>21</v>
      </c>
      <c r="GR111" s="449">
        <v>16</v>
      </c>
      <c r="GS111" s="446"/>
      <c r="GT111" s="461">
        <v>-0.42706394195556641</v>
      </c>
      <c r="GU111" s="462">
        <v>0.14191819727420807</v>
      </c>
      <c r="GV111" s="462">
        <v>-0.28050580620765686</v>
      </c>
      <c r="GW111" s="462">
        <v>-0.39384862780570984</v>
      </c>
      <c r="GX111" s="462">
        <v>-0.68204653263092041</v>
      </c>
      <c r="GY111" s="463">
        <v>-0.51175802946090698</v>
      </c>
      <c r="GZ111" s="10">
        <v>94</v>
      </c>
      <c r="HA111" s="536">
        <v>0.48129</v>
      </c>
      <c r="HB111" s="536">
        <v>0.27450000000000002</v>
      </c>
      <c r="HC111" s="525">
        <v>0.36220000000000002</v>
      </c>
      <c r="HD111" s="526">
        <v>0.39516000000000001</v>
      </c>
      <c r="HE111" s="527">
        <v>0.6865</v>
      </c>
      <c r="HF111" s="10">
        <v>85</v>
      </c>
      <c r="HG111" s="532">
        <v>4.71</v>
      </c>
      <c r="HH111" s="545">
        <v>6.05</v>
      </c>
      <c r="HI111" s="546">
        <v>2.66</v>
      </c>
      <c r="HJ111" s="547">
        <v>6.12</v>
      </c>
      <c r="HK111" s="558" t="s">
        <v>145</v>
      </c>
      <c r="HL111" s="82" t="s">
        <v>145</v>
      </c>
      <c r="HM111" s="557" t="s">
        <v>145</v>
      </c>
      <c r="HN111" s="557" t="s">
        <v>145</v>
      </c>
      <c r="HO111" s="557" t="s">
        <v>145</v>
      </c>
      <c r="HP111" s="562" t="s">
        <v>145</v>
      </c>
      <c r="HQ111" s="562" t="s">
        <v>145</v>
      </c>
      <c r="HR111" s="563" t="s">
        <v>145</v>
      </c>
      <c r="HS111" s="545">
        <v>9</v>
      </c>
      <c r="HT111" s="557">
        <v>116</v>
      </c>
      <c r="HU111" s="557">
        <v>2014</v>
      </c>
      <c r="HV111" s="583" t="s">
        <v>4218</v>
      </c>
      <c r="HW111" s="557">
        <v>2</v>
      </c>
      <c r="HX111" s="557">
        <v>28</v>
      </c>
      <c r="HY111" s="557">
        <v>20</v>
      </c>
      <c r="HZ111" s="557">
        <v>17</v>
      </c>
      <c r="IA111" s="557">
        <v>29</v>
      </c>
      <c r="IB111" s="557">
        <v>8</v>
      </c>
      <c r="IC111" s="547">
        <v>12</v>
      </c>
      <c r="ID111" s="40"/>
      <c r="IE111" s="550"/>
      <c r="IF111" s="550"/>
      <c r="IG111" s="553"/>
      <c r="IH111" s="115"/>
      <c r="II111" s="647" t="s">
        <v>4921</v>
      </c>
      <c r="IJ111" s="423"/>
      <c r="IK111" s="10">
        <v>1</v>
      </c>
      <c r="IL111" s="749">
        <f t="shared" si="114"/>
        <v>10</v>
      </c>
      <c r="IM111" s="747">
        <f t="shared" si="115"/>
        <v>40</v>
      </c>
      <c r="IN111" s="750" t="str">
        <f t="shared" si="116"/>
        <v>C</v>
      </c>
      <c r="IO111" s="446"/>
      <c r="IP111" s="902">
        <v>3</v>
      </c>
      <c r="IQ111" s="903">
        <v>0</v>
      </c>
      <c r="IR111" s="993">
        <v>0</v>
      </c>
      <c r="IT111" s="435"/>
      <c r="IU111" s="435"/>
      <c r="IV111" s="435"/>
    </row>
    <row r="112" spans="1:256">
      <c r="A112" s="71">
        <v>110</v>
      </c>
      <c r="B112" s="9"/>
      <c r="C112" s="430" t="s">
        <v>175</v>
      </c>
      <c r="D112" s="423" t="s">
        <v>406</v>
      </c>
      <c r="E112" s="24" t="s">
        <v>9</v>
      </c>
      <c r="F112" s="76" t="s">
        <v>847</v>
      </c>
      <c r="G112" s="102" t="s">
        <v>567</v>
      </c>
      <c r="H112" s="375" t="s">
        <v>2360</v>
      </c>
      <c r="I112" s="95" t="s">
        <v>2359</v>
      </c>
      <c r="J112" s="176">
        <v>6</v>
      </c>
      <c r="K112" s="88">
        <v>1961</v>
      </c>
      <c r="L112" s="371">
        <v>2</v>
      </c>
      <c r="M112" s="240" t="s">
        <v>1825</v>
      </c>
      <c r="N112" s="369" t="s">
        <v>1822</v>
      </c>
      <c r="O112" s="366" t="s">
        <v>3275</v>
      </c>
      <c r="P112" s="362" t="s">
        <v>3276</v>
      </c>
      <c r="Q112" s="370">
        <v>2</v>
      </c>
      <c r="R112" s="370">
        <v>2010</v>
      </c>
      <c r="S112" s="372" t="s">
        <v>3273</v>
      </c>
      <c r="T112" s="176">
        <v>1</v>
      </c>
      <c r="U112" s="370">
        <v>2</v>
      </c>
      <c r="V112" s="176">
        <v>18</v>
      </c>
      <c r="W112" s="369" t="s">
        <v>1822</v>
      </c>
      <c r="X112" s="170">
        <v>1</v>
      </c>
      <c r="Y112" s="369">
        <v>1</v>
      </c>
      <c r="Z112" s="271"/>
      <c r="AA112" s="169"/>
      <c r="AB112" s="177"/>
      <c r="AC112" s="171"/>
      <c r="AD112" s="366" t="s">
        <v>3275</v>
      </c>
      <c r="AE112" s="357">
        <v>2013</v>
      </c>
      <c r="AF112" s="357">
        <v>2</v>
      </c>
      <c r="AG112" s="550" t="s">
        <v>4272</v>
      </c>
      <c r="AH112" s="355" t="s">
        <v>2788</v>
      </c>
      <c r="AI112" s="55">
        <v>0</v>
      </c>
      <c r="AJ112" s="55">
        <v>0</v>
      </c>
      <c r="AK112" s="589">
        <v>8000</v>
      </c>
      <c r="AL112" s="386">
        <v>2</v>
      </c>
      <c r="AM112" s="361" t="s">
        <v>2762</v>
      </c>
      <c r="AN112" s="344" t="s">
        <v>3274</v>
      </c>
      <c r="AO112" s="170">
        <v>1</v>
      </c>
      <c r="AP112" s="369">
        <v>1</v>
      </c>
      <c r="AQ112" s="97" t="s">
        <v>5401</v>
      </c>
      <c r="AR112" s="362" t="s">
        <v>4934</v>
      </c>
      <c r="AS112" s="55">
        <v>1</v>
      </c>
      <c r="AT112" s="370">
        <v>3</v>
      </c>
      <c r="AU112" s="371">
        <v>2007</v>
      </c>
      <c r="AV112" s="370">
        <v>5</v>
      </c>
      <c r="AW112" s="589" t="s">
        <v>145</v>
      </c>
      <c r="AX112" s="687">
        <v>1</v>
      </c>
      <c r="AY112" s="174" t="s">
        <v>4524</v>
      </c>
      <c r="AZ112" s="550">
        <v>2008</v>
      </c>
      <c r="BA112" s="550">
        <v>1</v>
      </c>
      <c r="BB112" s="550">
        <v>1</v>
      </c>
      <c r="BC112" s="174" t="s">
        <v>4525</v>
      </c>
      <c r="BD112" s="550">
        <v>2009</v>
      </c>
      <c r="BE112" s="55">
        <v>0</v>
      </c>
      <c r="BF112" s="371" t="s">
        <v>145</v>
      </c>
      <c r="BG112" s="371">
        <v>0</v>
      </c>
      <c r="BH112" s="56" t="s">
        <v>145</v>
      </c>
      <c r="BI112" s="371">
        <v>1</v>
      </c>
      <c r="BJ112" s="371">
        <v>0</v>
      </c>
      <c r="BK112" s="888">
        <v>17599.694</v>
      </c>
      <c r="BL112" s="925">
        <f t="shared" si="103"/>
        <v>49.517929118540359</v>
      </c>
      <c r="BM112" s="888">
        <v>8884.69</v>
      </c>
      <c r="BN112" s="920">
        <v>8715.0040000000008</v>
      </c>
      <c r="BO112" s="888">
        <v>3271.2559999999999</v>
      </c>
      <c r="BP112" s="1158">
        <f t="shared" si="78"/>
        <v>49.215989210260524</v>
      </c>
      <c r="BQ112" s="917">
        <v>1661.2750000000001</v>
      </c>
      <c r="BR112" s="920">
        <v>1609.981</v>
      </c>
      <c r="BS112" s="888">
        <v>2802.5320000000002</v>
      </c>
      <c r="BT112" s="1158">
        <f t="shared" si="79"/>
        <v>48.906310436419638</v>
      </c>
      <c r="BU112" s="917">
        <v>1431.9169999999999</v>
      </c>
      <c r="BV112" s="920">
        <v>1370.615</v>
      </c>
      <c r="BW112" s="888">
        <v>2290.6750000000002</v>
      </c>
      <c r="BX112" s="1158">
        <f t="shared" si="80"/>
        <v>48.883276763399437</v>
      </c>
      <c r="BY112" s="917">
        <v>1170.9179999999999</v>
      </c>
      <c r="BZ112" s="920">
        <v>1119.7570000000001</v>
      </c>
      <c r="CA112" s="888">
        <f t="shared" si="81"/>
        <v>9235.2309999999998</v>
      </c>
      <c r="CB112" s="1158">
        <f t="shared" si="82"/>
        <v>49.967900099087956</v>
      </c>
      <c r="CC112" s="917">
        <f t="shared" si="83"/>
        <v>4620.5800000000017</v>
      </c>
      <c r="CD112" s="920">
        <f t="shared" si="84"/>
        <v>4614.6510000000017</v>
      </c>
      <c r="CE112" s="914">
        <v>2015</v>
      </c>
      <c r="CF112" s="910" t="s">
        <v>5630</v>
      </c>
      <c r="CG112" s="930">
        <v>80.8</v>
      </c>
      <c r="CH112" s="495">
        <v>81.400000000000006</v>
      </c>
      <c r="CI112" s="497">
        <v>80.2</v>
      </c>
      <c r="CJ112" s="904">
        <v>92.4</v>
      </c>
      <c r="CK112" s="904">
        <v>77.099999999999994</v>
      </c>
      <c r="CL112" s="904">
        <v>2010</v>
      </c>
      <c r="CM112" s="905" t="s">
        <v>5573</v>
      </c>
      <c r="CN112" s="1044">
        <v>6829.6959999999999</v>
      </c>
      <c r="CO112" s="1045">
        <f t="shared" si="104"/>
        <v>38.805765600242822</v>
      </c>
      <c r="CP112" s="1040">
        <f t="shared" si="117"/>
        <v>3447.7719757082136</v>
      </c>
      <c r="CQ112" s="1041">
        <f t="shared" si="118"/>
        <v>3381.9240242917858</v>
      </c>
      <c r="CR112" s="1046">
        <v>2013</v>
      </c>
      <c r="CS112" s="1047" t="s">
        <v>5818</v>
      </c>
      <c r="CT112" s="1068">
        <f t="shared" si="105"/>
        <v>18</v>
      </c>
      <c r="CU112" s="1071">
        <v>18</v>
      </c>
      <c r="CV112" s="1068" t="s">
        <v>5943</v>
      </c>
      <c r="CW112" s="1113">
        <v>6829.6959999999999</v>
      </c>
      <c r="CX112" s="1113">
        <v>7487.808</v>
      </c>
      <c r="CY112" s="1113">
        <v>15968.882</v>
      </c>
      <c r="CZ112" s="494">
        <v>1</v>
      </c>
      <c r="DA112" s="1104">
        <v>4</v>
      </c>
      <c r="DB112" s="1050" t="s">
        <v>5753</v>
      </c>
      <c r="DC112" s="1143" t="s">
        <v>320</v>
      </c>
      <c r="DD112" s="978">
        <f t="shared" si="91"/>
        <v>4011.5118960000004</v>
      </c>
      <c r="DE112" s="979">
        <f t="shared" si="106"/>
        <v>22.793077516006814</v>
      </c>
      <c r="DF112" s="979">
        <f t="shared" si="92"/>
        <v>50.968236483280663</v>
      </c>
      <c r="DG112" s="980">
        <f t="shared" si="93"/>
        <v>1965.9324842917879</v>
      </c>
      <c r="DH112" s="980">
        <f t="shared" si="94"/>
        <v>2044.5968697082158</v>
      </c>
      <c r="DI112" s="979">
        <f t="shared" si="107"/>
        <v>22.127192780972525</v>
      </c>
      <c r="DJ112" s="981">
        <f t="shared" si="108"/>
        <v>23.460653256248829</v>
      </c>
      <c r="DK112" s="984">
        <f t="shared" si="109"/>
        <v>2405.5349999999999</v>
      </c>
      <c r="DL112" s="979">
        <f t="shared" si="95"/>
        <v>51.245439193701856</v>
      </c>
      <c r="DM112" s="980">
        <f t="shared" si="110"/>
        <v>1172.8080242917881</v>
      </c>
      <c r="DN112" s="985">
        <f t="shared" si="111"/>
        <v>1232.7269757082158</v>
      </c>
      <c r="DO112" s="984">
        <f t="shared" si="112"/>
        <v>977.89574400000038</v>
      </c>
      <c r="DP112" s="979">
        <f t="shared" si="96"/>
        <v>50.423949488014109</v>
      </c>
      <c r="DQ112" s="980">
        <f t="shared" si="85"/>
        <v>484.12730999999985</v>
      </c>
      <c r="DR112" s="985">
        <f t="shared" si="86"/>
        <v>493.0936559999999</v>
      </c>
      <c r="DS112" s="984">
        <f t="shared" si="113"/>
        <v>628.0811520000002</v>
      </c>
      <c r="DT112" s="339">
        <f t="shared" si="97"/>
        <v>50.753988873081134</v>
      </c>
      <c r="DU112" s="980">
        <f t="shared" si="87"/>
        <v>308.99714999999992</v>
      </c>
      <c r="DV112" s="985">
        <f t="shared" si="88"/>
        <v>318.77623799999992</v>
      </c>
      <c r="DW112" s="979">
        <f t="shared" si="89"/>
        <v>18.599999999999994</v>
      </c>
      <c r="DX112" s="981">
        <f t="shared" si="90"/>
        <v>19.799999999999997</v>
      </c>
      <c r="DY112" s="414">
        <v>50.43</v>
      </c>
      <c r="DZ112" s="111">
        <v>2010</v>
      </c>
      <c r="EA112" s="118">
        <v>7983.127152</v>
      </c>
      <c r="EB112" s="123">
        <v>43.6</v>
      </c>
      <c r="EC112" s="113">
        <v>2010</v>
      </c>
      <c r="ED112" s="20">
        <v>6906.0385680000009</v>
      </c>
      <c r="EE112" s="414">
        <v>36.1</v>
      </c>
      <c r="EF112" s="111">
        <v>2005</v>
      </c>
      <c r="EG112" s="380">
        <v>33.560939788818402</v>
      </c>
      <c r="EH112" s="24" t="s">
        <v>372</v>
      </c>
      <c r="EI112" s="287">
        <v>2</v>
      </c>
      <c r="EJ112" s="40">
        <v>3</v>
      </c>
      <c r="EK112" s="35" t="s">
        <v>145</v>
      </c>
      <c r="EL112" s="95" t="s">
        <v>145</v>
      </c>
      <c r="EM112" s="95" t="s">
        <v>145</v>
      </c>
      <c r="EN112" s="35" t="s">
        <v>145</v>
      </c>
      <c r="EO112" s="95" t="s">
        <v>1646</v>
      </c>
      <c r="EP112" s="205">
        <v>0.81</v>
      </c>
      <c r="EQ112" s="207" t="s">
        <v>145</v>
      </c>
      <c r="ER112" s="517" t="s">
        <v>145</v>
      </c>
      <c r="ES112" s="183"/>
      <c r="ET112" s="183"/>
      <c r="EU112" s="82"/>
      <c r="EV112" s="82"/>
      <c r="EW112" s="82"/>
      <c r="EX112" s="90"/>
      <c r="EY112" s="159"/>
      <c r="EZ112" s="156"/>
      <c r="FA112" s="323"/>
      <c r="FB112" s="323"/>
      <c r="FC112" s="323"/>
      <c r="FD112" s="160"/>
      <c r="FE112" s="156"/>
      <c r="FF112" s="156"/>
      <c r="FG112" s="156"/>
      <c r="FH112" s="157"/>
      <c r="FI112" s="242"/>
      <c r="FJ112" s="240"/>
      <c r="FK112" s="179"/>
      <c r="FL112" s="179"/>
      <c r="FM112" s="179"/>
      <c r="FN112" s="369"/>
      <c r="FO112" s="164"/>
      <c r="FP112" s="255"/>
      <c r="FQ112" s="183"/>
      <c r="FR112" s="257"/>
      <c r="FS112" s="82"/>
      <c r="FT112" s="259"/>
      <c r="FU112" s="82"/>
      <c r="FV112" s="259"/>
      <c r="FW112" s="82"/>
      <c r="FX112" s="259"/>
      <c r="FY112" s="82"/>
      <c r="FZ112" s="259"/>
      <c r="GA112" s="82"/>
      <c r="GB112" s="261"/>
      <c r="GC112" s="90"/>
      <c r="GD112" s="76">
        <v>1</v>
      </c>
      <c r="GE112" s="445" t="s">
        <v>3424</v>
      </c>
      <c r="GF112" s="447" t="s">
        <v>590</v>
      </c>
      <c r="GG112" s="448">
        <v>5</v>
      </c>
      <c r="GH112" s="449">
        <v>4</v>
      </c>
      <c r="GI112" s="447" t="s">
        <v>145</v>
      </c>
      <c r="GJ112" s="449" t="s">
        <v>145</v>
      </c>
      <c r="GK112" s="447" t="s">
        <v>145</v>
      </c>
      <c r="GL112" s="448" t="s">
        <v>145</v>
      </c>
      <c r="GM112" s="449" t="s">
        <v>145</v>
      </c>
      <c r="GN112" s="447" t="s">
        <v>590</v>
      </c>
      <c r="GO112" s="449">
        <v>37</v>
      </c>
      <c r="GP112" s="447">
        <v>9</v>
      </c>
      <c r="GQ112" s="448">
        <v>20</v>
      </c>
      <c r="GR112" s="449">
        <v>8</v>
      </c>
      <c r="GS112" s="446">
        <v>7</v>
      </c>
      <c r="GT112" s="461">
        <v>-0.30246958136558533</v>
      </c>
      <c r="GU112" s="462">
        <v>-1.6854244470596313</v>
      </c>
      <c r="GV112" s="462">
        <v>-0.83902931213378906</v>
      </c>
      <c r="GW112" s="462">
        <v>-0.50220733880996704</v>
      </c>
      <c r="GX112" s="462">
        <v>-0.74970912933349609</v>
      </c>
      <c r="GY112" s="463">
        <v>-0.72532027959823608</v>
      </c>
      <c r="GZ112" s="10">
        <v>181</v>
      </c>
      <c r="HA112" s="536">
        <v>0.16335</v>
      </c>
      <c r="HB112" s="536">
        <v>0.15686</v>
      </c>
      <c r="HC112" s="525">
        <v>0.13385</v>
      </c>
      <c r="HD112" s="526">
        <v>0.13500999999999999</v>
      </c>
      <c r="HE112" s="527">
        <v>0.22120000000000001</v>
      </c>
      <c r="HF112" s="10">
        <v>143</v>
      </c>
      <c r="HG112" s="532">
        <v>2.04</v>
      </c>
      <c r="HH112" s="545">
        <v>3.55</v>
      </c>
      <c r="HI112" s="546">
        <v>0.14000000000000001</v>
      </c>
      <c r="HJ112" s="547">
        <v>2.85</v>
      </c>
      <c r="HK112" s="558" t="s">
        <v>4004</v>
      </c>
      <c r="HL112" s="23" t="s">
        <v>4856</v>
      </c>
      <c r="HM112" s="448">
        <v>2011</v>
      </c>
      <c r="HN112" s="809" t="s">
        <v>145</v>
      </c>
      <c r="HO112" s="448" t="s">
        <v>3985</v>
      </c>
      <c r="HP112" s="560" t="s">
        <v>145</v>
      </c>
      <c r="HQ112" s="560" t="s">
        <v>145</v>
      </c>
      <c r="HR112" s="561" t="s">
        <v>145</v>
      </c>
      <c r="HS112" s="447" t="s">
        <v>145</v>
      </c>
      <c r="HT112" s="448" t="s">
        <v>145</v>
      </c>
      <c r="HU112" s="448" t="s">
        <v>145</v>
      </c>
      <c r="HV112" s="445" t="s">
        <v>145</v>
      </c>
      <c r="HW112" s="448" t="s">
        <v>145</v>
      </c>
      <c r="HX112" s="448" t="s">
        <v>145</v>
      </c>
      <c r="HY112" s="448" t="s">
        <v>145</v>
      </c>
      <c r="HZ112" s="448" t="s">
        <v>145</v>
      </c>
      <c r="IA112" s="448" t="s">
        <v>145</v>
      </c>
      <c r="IB112" s="448" t="s">
        <v>145</v>
      </c>
      <c r="IC112" s="449" t="s">
        <v>145</v>
      </c>
      <c r="ID112" s="40"/>
      <c r="IE112" s="550"/>
      <c r="IF112" s="550"/>
      <c r="IG112" s="553">
        <v>1</v>
      </c>
      <c r="IH112" s="115"/>
      <c r="II112" s="647" t="s">
        <v>4921</v>
      </c>
      <c r="IJ112" s="423" t="s">
        <v>4918</v>
      </c>
      <c r="IK112" s="10">
        <v>0</v>
      </c>
      <c r="IL112" s="749">
        <f t="shared" si="114"/>
        <v>13</v>
      </c>
      <c r="IM112" s="747">
        <f t="shared" si="115"/>
        <v>52</v>
      </c>
      <c r="IN112" s="750" t="str">
        <f t="shared" si="116"/>
        <v>B</v>
      </c>
      <c r="IO112" s="446">
        <v>1</v>
      </c>
      <c r="IP112" s="902">
        <v>3</v>
      </c>
      <c r="IQ112" s="903">
        <v>0</v>
      </c>
      <c r="IR112" s="993">
        <v>0</v>
      </c>
      <c r="IT112" s="435"/>
      <c r="IU112" s="435"/>
      <c r="IV112" s="435"/>
    </row>
    <row r="113" spans="1:256">
      <c r="A113" s="21">
        <v>111</v>
      </c>
      <c r="B113" s="9"/>
      <c r="C113" s="430" t="s">
        <v>176</v>
      </c>
      <c r="D113" s="423" t="s">
        <v>410</v>
      </c>
      <c r="E113" s="24" t="s">
        <v>17</v>
      </c>
      <c r="F113" s="76" t="s">
        <v>848</v>
      </c>
      <c r="G113" s="102" t="s">
        <v>572</v>
      </c>
      <c r="H113" s="375" t="s">
        <v>2362</v>
      </c>
      <c r="I113" s="95" t="s">
        <v>2361</v>
      </c>
      <c r="J113" s="176">
        <v>2</v>
      </c>
      <c r="K113" s="88">
        <v>1889</v>
      </c>
      <c r="L113" s="371">
        <v>2</v>
      </c>
      <c r="M113" s="240" t="s">
        <v>2322</v>
      </c>
      <c r="N113" s="172" t="s">
        <v>1822</v>
      </c>
      <c r="O113" s="365" t="s">
        <v>3277</v>
      </c>
      <c r="P113" s="378" t="s">
        <v>2101</v>
      </c>
      <c r="Q113" s="176">
        <v>2</v>
      </c>
      <c r="R113" s="370">
        <v>1959</v>
      </c>
      <c r="S113" s="372" t="s">
        <v>2073</v>
      </c>
      <c r="T113" s="176">
        <v>1</v>
      </c>
      <c r="U113" s="370">
        <v>2</v>
      </c>
      <c r="V113" s="176">
        <v>14</v>
      </c>
      <c r="W113" s="369" t="s">
        <v>2105</v>
      </c>
      <c r="X113" s="170">
        <v>0</v>
      </c>
      <c r="Y113" s="369">
        <v>0</v>
      </c>
      <c r="Z113" s="271"/>
      <c r="AA113" s="169"/>
      <c r="AB113" s="177"/>
      <c r="AC113" s="171"/>
      <c r="AD113" s="366" t="s">
        <v>2873</v>
      </c>
      <c r="AE113" s="357">
        <v>2014</v>
      </c>
      <c r="AF113" s="357">
        <v>3</v>
      </c>
      <c r="AG113" s="550" t="s">
        <v>5171</v>
      </c>
      <c r="AH113" s="355" t="s">
        <v>2874</v>
      </c>
      <c r="AI113" s="550">
        <v>1</v>
      </c>
      <c r="AJ113" s="550">
        <v>1</v>
      </c>
      <c r="AK113" s="590" t="s">
        <v>145</v>
      </c>
      <c r="AL113" s="387">
        <v>9</v>
      </c>
      <c r="AM113" s="361" t="s">
        <v>3278</v>
      </c>
      <c r="AN113" s="384" t="s">
        <v>145</v>
      </c>
      <c r="AO113" s="170">
        <v>0</v>
      </c>
      <c r="AP113" s="369">
        <v>0</v>
      </c>
      <c r="AQ113" s="365" t="s">
        <v>5266</v>
      </c>
      <c r="AR113" s="378" t="s">
        <v>5267</v>
      </c>
      <c r="AS113" s="55">
        <v>2</v>
      </c>
      <c r="AT113" s="370">
        <v>2</v>
      </c>
      <c r="AU113" s="371">
        <v>2008</v>
      </c>
      <c r="AV113" s="370">
        <v>10</v>
      </c>
      <c r="AW113" s="589">
        <v>40</v>
      </c>
      <c r="AX113" s="687">
        <v>1</v>
      </c>
      <c r="AY113" s="174" t="s">
        <v>4526</v>
      </c>
      <c r="AZ113" s="550">
        <v>2002</v>
      </c>
      <c r="BA113" s="550">
        <v>1</v>
      </c>
      <c r="BB113" s="550">
        <v>1</v>
      </c>
      <c r="BC113" s="174" t="s">
        <v>4527</v>
      </c>
      <c r="BD113" s="550">
        <v>2003</v>
      </c>
      <c r="BE113" s="55">
        <v>0</v>
      </c>
      <c r="BF113" s="371" t="s">
        <v>145</v>
      </c>
      <c r="BG113" s="367">
        <v>0</v>
      </c>
      <c r="BH113" s="56" t="s">
        <v>145</v>
      </c>
      <c r="BI113" s="367">
        <v>3</v>
      </c>
      <c r="BJ113" s="367">
        <v>1</v>
      </c>
      <c r="BK113" s="888">
        <v>418.67</v>
      </c>
      <c r="BL113" s="925">
        <f t="shared" si="103"/>
        <v>50.200396493658495</v>
      </c>
      <c r="BM113" s="888">
        <v>208.49600000000001</v>
      </c>
      <c r="BN113" s="920">
        <v>210.17400000000001</v>
      </c>
      <c r="BO113" s="888">
        <v>18.631</v>
      </c>
      <c r="BP113" s="1158">
        <f t="shared" si="78"/>
        <v>48.574955718963018</v>
      </c>
      <c r="BQ113" s="917">
        <v>9.5809999999999995</v>
      </c>
      <c r="BR113" s="920">
        <v>9.0500000000000007</v>
      </c>
      <c r="BS113" s="888">
        <v>19.716999999999999</v>
      </c>
      <c r="BT113" s="1158">
        <f t="shared" si="79"/>
        <v>48.455647410863726</v>
      </c>
      <c r="BU113" s="917">
        <v>10.163</v>
      </c>
      <c r="BV113" s="920">
        <v>9.5540000000000003</v>
      </c>
      <c r="BW113" s="888">
        <v>22.074999999999999</v>
      </c>
      <c r="BX113" s="1158">
        <f t="shared" si="80"/>
        <v>51.687429218573044</v>
      </c>
      <c r="BY113" s="917">
        <v>10.664999999999999</v>
      </c>
      <c r="BZ113" s="920">
        <v>11.41</v>
      </c>
      <c r="CA113" s="888">
        <f t="shared" si="81"/>
        <v>358.24700000000001</v>
      </c>
      <c r="CB113" s="1158">
        <f t="shared" si="82"/>
        <v>50.289325521218601</v>
      </c>
      <c r="CC113" s="917">
        <f t="shared" si="83"/>
        <v>178.08700000000002</v>
      </c>
      <c r="CD113" s="920">
        <f t="shared" si="84"/>
        <v>180.16</v>
      </c>
      <c r="CE113" s="914">
        <v>2015</v>
      </c>
      <c r="CF113" s="910" t="s">
        <v>5630</v>
      </c>
      <c r="CG113" s="930">
        <v>100</v>
      </c>
      <c r="CH113" s="1005">
        <v>100</v>
      </c>
      <c r="CI113" s="1006">
        <v>100</v>
      </c>
      <c r="CJ113" s="904" t="s">
        <v>1621</v>
      </c>
      <c r="CK113" s="904" t="s">
        <v>1621</v>
      </c>
      <c r="CL113" s="904">
        <v>2011</v>
      </c>
      <c r="CM113" s="905" t="s">
        <v>5576</v>
      </c>
      <c r="CN113" s="1044">
        <v>338.45</v>
      </c>
      <c r="CO113" s="1045">
        <f t="shared" si="104"/>
        <v>80.839324527670954</v>
      </c>
      <c r="CP113" s="1040">
        <f t="shared" si="117"/>
        <v>168.54675806721281</v>
      </c>
      <c r="CQ113" s="1041">
        <f t="shared" si="118"/>
        <v>169.90324193278718</v>
      </c>
      <c r="CR113" s="1046">
        <v>2015</v>
      </c>
      <c r="CS113" s="1047" t="s">
        <v>5935</v>
      </c>
      <c r="CT113" s="1068">
        <f t="shared" si="105"/>
        <v>14</v>
      </c>
      <c r="CU113" s="1071">
        <v>18</v>
      </c>
      <c r="CV113" s="1117" t="s">
        <v>5934</v>
      </c>
      <c r="CW113" s="1113">
        <v>338.45</v>
      </c>
      <c r="CX113" s="1113">
        <v>337.54</v>
      </c>
      <c r="CY113" s="1113">
        <v>412.65499999999997</v>
      </c>
      <c r="CZ113" s="494">
        <v>1</v>
      </c>
      <c r="DA113" s="1104">
        <v>4</v>
      </c>
      <c r="DB113" s="1050" t="s">
        <v>647</v>
      </c>
      <c r="DC113" s="1146" t="s">
        <v>322</v>
      </c>
      <c r="DD113" s="978">
        <f t="shared" si="91"/>
        <v>19.797000000000025</v>
      </c>
      <c r="DE113" s="979">
        <f t="shared" si="106"/>
        <v>4.7285451548952695</v>
      </c>
      <c r="DF113" s="979">
        <f t="shared" si="92"/>
        <v>51.80965836850433</v>
      </c>
      <c r="DG113" s="980">
        <f t="shared" si="93"/>
        <v>9.540241932787211</v>
      </c>
      <c r="DH113" s="980">
        <f t="shared" si="94"/>
        <v>10.256758067212814</v>
      </c>
      <c r="DI113" s="979">
        <f t="shared" si="107"/>
        <v>4.5757433873010562</v>
      </c>
      <c r="DJ113" s="981">
        <f t="shared" si="108"/>
        <v>4.8801269744177747</v>
      </c>
      <c r="DK113" s="984">
        <f t="shared" si="109"/>
        <v>19.797000000000025</v>
      </c>
      <c r="DL113" s="979">
        <f t="shared" si="95"/>
        <v>51.80965836850433</v>
      </c>
      <c r="DM113" s="980">
        <f t="shared" si="110"/>
        <v>9.540241932787211</v>
      </c>
      <c r="DN113" s="985">
        <f t="shared" si="111"/>
        <v>10.256758067212814</v>
      </c>
      <c r="DO113" s="984">
        <f t="shared" si="112"/>
        <v>0</v>
      </c>
      <c r="DP113" s="979">
        <f t="shared" si="96"/>
        <v>0</v>
      </c>
      <c r="DQ113" s="980">
        <f t="shared" si="85"/>
        <v>0</v>
      </c>
      <c r="DR113" s="985">
        <f t="shared" si="86"/>
        <v>0</v>
      </c>
      <c r="DS113" s="984">
        <f t="shared" si="113"/>
        <v>0</v>
      </c>
      <c r="DT113" s="339">
        <f t="shared" si="97"/>
        <v>0</v>
      </c>
      <c r="DU113" s="980">
        <f t="shared" si="87"/>
        <v>0</v>
      </c>
      <c r="DV113" s="985">
        <f t="shared" si="88"/>
        <v>0</v>
      </c>
      <c r="DW113" s="979">
        <f t="shared" si="89"/>
        <v>0</v>
      </c>
      <c r="DX113" s="981">
        <f t="shared" si="90"/>
        <v>0</v>
      </c>
      <c r="DY113" s="414" t="s">
        <v>145</v>
      </c>
      <c r="DZ113" s="111" t="s">
        <v>145</v>
      </c>
      <c r="EA113" s="118"/>
      <c r="EB113" s="123" t="s">
        <v>145</v>
      </c>
      <c r="EC113" s="113" t="s">
        <v>145</v>
      </c>
      <c r="ED113" s="20"/>
      <c r="EE113" s="414">
        <v>15.1</v>
      </c>
      <c r="EF113" s="121">
        <v>2012</v>
      </c>
      <c r="EG113" s="380">
        <v>92.363090515136705</v>
      </c>
      <c r="EH113" s="24" t="s">
        <v>350</v>
      </c>
      <c r="EI113" s="288">
        <v>0</v>
      </c>
      <c r="EJ113" s="40" t="s">
        <v>145</v>
      </c>
      <c r="EK113" s="35" t="s">
        <v>145</v>
      </c>
      <c r="EL113" s="95" t="s">
        <v>145</v>
      </c>
      <c r="EM113" s="95" t="s">
        <v>145</v>
      </c>
      <c r="EN113" s="35" t="s">
        <v>145</v>
      </c>
      <c r="EO113" s="95" t="s">
        <v>145</v>
      </c>
      <c r="EP113" s="205" t="s">
        <v>145</v>
      </c>
      <c r="EQ113" s="207" t="s">
        <v>145</v>
      </c>
      <c r="ER113" s="517" t="s">
        <v>145</v>
      </c>
      <c r="ES113" s="183"/>
      <c r="ET113" s="183"/>
      <c r="EU113" s="82"/>
      <c r="EV113" s="82"/>
      <c r="EW113" s="82"/>
      <c r="EX113" s="90"/>
      <c r="EY113" s="159"/>
      <c r="EZ113" s="156"/>
      <c r="FA113" s="323"/>
      <c r="FB113" s="323"/>
      <c r="FC113" s="323"/>
      <c r="FD113" s="160"/>
      <c r="FE113" s="156"/>
      <c r="FF113" s="156"/>
      <c r="FG113" s="156"/>
      <c r="FH113" s="157"/>
      <c r="FI113" s="242"/>
      <c r="FJ113" s="240"/>
      <c r="FK113" s="179"/>
      <c r="FL113" s="179"/>
      <c r="FM113" s="179"/>
      <c r="FN113" s="369"/>
      <c r="FO113" s="164"/>
      <c r="FP113" s="255"/>
      <c r="FQ113" s="183"/>
      <c r="FR113" s="257"/>
      <c r="FS113" s="82"/>
      <c r="FT113" s="259"/>
      <c r="FU113" s="82"/>
      <c r="FV113" s="259"/>
      <c r="FW113" s="82"/>
      <c r="FX113" s="259"/>
      <c r="FY113" s="82"/>
      <c r="FZ113" s="259"/>
      <c r="GA113" s="82"/>
      <c r="GB113" s="261"/>
      <c r="GC113" s="90"/>
      <c r="GD113" s="76">
        <v>1</v>
      </c>
      <c r="GE113" s="445" t="s">
        <v>3431</v>
      </c>
      <c r="GF113" s="447" t="s">
        <v>10</v>
      </c>
      <c r="GG113" s="448">
        <v>1</v>
      </c>
      <c r="GH113" s="449">
        <v>1</v>
      </c>
      <c r="GI113" s="447" t="s">
        <v>145</v>
      </c>
      <c r="GJ113" s="449" t="s">
        <v>145</v>
      </c>
      <c r="GK113" s="447" t="s">
        <v>145</v>
      </c>
      <c r="GL113" s="448" t="s">
        <v>145</v>
      </c>
      <c r="GM113" s="449" t="s">
        <v>145</v>
      </c>
      <c r="GN113" s="447" t="s">
        <v>10</v>
      </c>
      <c r="GO113" s="449">
        <v>23</v>
      </c>
      <c r="GP113" s="447">
        <v>5</v>
      </c>
      <c r="GQ113" s="448">
        <v>9</v>
      </c>
      <c r="GR113" s="449">
        <v>9</v>
      </c>
      <c r="GS113" s="446"/>
      <c r="GT113" s="461">
        <v>1.1348001956939697</v>
      </c>
      <c r="GU113" s="462">
        <v>1.0066624879837036</v>
      </c>
      <c r="GV113" s="462">
        <v>1.2482212781906128</v>
      </c>
      <c r="GW113" s="462">
        <v>1.2872507572174072</v>
      </c>
      <c r="GX113" s="462">
        <v>1.3218344449996948</v>
      </c>
      <c r="GY113" s="463">
        <v>0.99050706624984741</v>
      </c>
      <c r="GZ113" s="10">
        <v>40</v>
      </c>
      <c r="HA113" s="536">
        <v>0.65180000000000005</v>
      </c>
      <c r="HB113" s="536">
        <v>0.47058</v>
      </c>
      <c r="HC113" s="525">
        <v>0.40156999999999998</v>
      </c>
      <c r="HD113" s="526">
        <v>0.76834000000000002</v>
      </c>
      <c r="HE113" s="527">
        <v>0.78549999999999998</v>
      </c>
      <c r="HF113" s="10">
        <v>30</v>
      </c>
      <c r="HG113" s="532">
        <v>7.25</v>
      </c>
      <c r="HH113" s="545">
        <v>8.98</v>
      </c>
      <c r="HI113" s="546">
        <v>5.48</v>
      </c>
      <c r="HJ113" s="547">
        <v>7.32</v>
      </c>
      <c r="HK113" s="558" t="s">
        <v>3991</v>
      </c>
      <c r="HL113" s="585" t="s">
        <v>4836</v>
      </c>
      <c r="HM113" s="557">
        <v>2001</v>
      </c>
      <c r="HN113" s="557">
        <v>2001</v>
      </c>
      <c r="HO113" s="557" t="s">
        <v>3985</v>
      </c>
      <c r="HP113" s="562" t="s">
        <v>4000</v>
      </c>
      <c r="HQ113" s="639" t="s">
        <v>4837</v>
      </c>
      <c r="HR113" s="563" t="s">
        <v>4034</v>
      </c>
      <c r="HS113" s="545">
        <v>59</v>
      </c>
      <c r="HT113" s="557">
        <v>78</v>
      </c>
      <c r="HU113" s="557">
        <v>2008</v>
      </c>
      <c r="HV113" s="583" t="s">
        <v>4219</v>
      </c>
      <c r="HW113" s="557">
        <v>0</v>
      </c>
      <c r="HX113" s="557">
        <v>19</v>
      </c>
      <c r="HY113" s="557">
        <v>21</v>
      </c>
      <c r="HZ113" s="557">
        <v>12</v>
      </c>
      <c r="IA113" s="557">
        <v>10</v>
      </c>
      <c r="IB113" s="557">
        <v>2</v>
      </c>
      <c r="IC113" s="547">
        <v>14</v>
      </c>
      <c r="ID113" s="40" t="s">
        <v>5199</v>
      </c>
      <c r="IE113" s="550"/>
      <c r="IF113" s="550"/>
      <c r="IG113" s="553"/>
      <c r="IH113" s="115"/>
      <c r="II113" s="647" t="s">
        <v>4920</v>
      </c>
      <c r="IJ113" s="423" t="s">
        <v>4925</v>
      </c>
      <c r="IK113" s="10">
        <v>1</v>
      </c>
      <c r="IL113" s="749">
        <f t="shared" si="114"/>
        <v>20</v>
      </c>
      <c r="IM113" s="747">
        <f t="shared" si="115"/>
        <v>80</v>
      </c>
      <c r="IN113" s="750" t="str">
        <f t="shared" si="116"/>
        <v>A</v>
      </c>
      <c r="IO113" s="446"/>
      <c r="IP113" s="902">
        <v>3</v>
      </c>
      <c r="IQ113" s="903">
        <v>0</v>
      </c>
      <c r="IR113" s="993">
        <v>0</v>
      </c>
      <c r="IT113" s="435"/>
      <c r="IU113" s="435"/>
      <c r="IV113" s="435"/>
    </row>
    <row r="114" spans="1:256">
      <c r="A114" s="21">
        <v>112</v>
      </c>
      <c r="B114" s="9"/>
      <c r="C114" s="430" t="s">
        <v>177</v>
      </c>
      <c r="D114" s="424" t="s">
        <v>407</v>
      </c>
      <c r="E114" s="697" t="s">
        <v>12</v>
      </c>
      <c r="F114" s="76" t="s">
        <v>849</v>
      </c>
      <c r="G114" s="102" t="s">
        <v>565</v>
      </c>
      <c r="H114" s="375" t="s">
        <v>2368</v>
      </c>
      <c r="I114" s="364" t="s">
        <v>2367</v>
      </c>
      <c r="J114" s="370">
        <v>2</v>
      </c>
      <c r="K114" s="88">
        <v>1952</v>
      </c>
      <c r="L114" s="371">
        <v>2</v>
      </c>
      <c r="M114" s="373" t="s">
        <v>145</v>
      </c>
      <c r="N114" s="369" t="s">
        <v>1822</v>
      </c>
      <c r="O114" s="365" t="s">
        <v>3279</v>
      </c>
      <c r="P114" s="362" t="s">
        <v>2348</v>
      </c>
      <c r="Q114" s="370">
        <v>2</v>
      </c>
      <c r="R114" s="370">
        <v>1979</v>
      </c>
      <c r="S114" s="372" t="s">
        <v>1961</v>
      </c>
      <c r="T114" s="370">
        <v>1</v>
      </c>
      <c r="U114" s="370">
        <v>2</v>
      </c>
      <c r="V114" s="370">
        <v>18</v>
      </c>
      <c r="W114" s="369" t="s">
        <v>1822</v>
      </c>
      <c r="X114" s="170">
        <v>0</v>
      </c>
      <c r="Y114" s="369">
        <v>0</v>
      </c>
      <c r="Z114" s="271"/>
      <c r="AA114" s="169"/>
      <c r="AB114" s="177"/>
      <c r="AC114" s="171"/>
      <c r="AD114" s="376" t="s">
        <v>145</v>
      </c>
      <c r="AE114" s="355" t="s">
        <v>145</v>
      </c>
      <c r="AF114" s="357">
        <v>0</v>
      </c>
      <c r="AG114" s="550">
        <v>1</v>
      </c>
      <c r="AH114" s="355" t="s">
        <v>145</v>
      </c>
      <c r="AI114" s="550" t="s">
        <v>145</v>
      </c>
      <c r="AJ114" s="550" t="s">
        <v>145</v>
      </c>
      <c r="AK114" s="590" t="s">
        <v>145</v>
      </c>
      <c r="AL114" s="357">
        <v>0</v>
      </c>
      <c r="AM114" s="360" t="s">
        <v>145</v>
      </c>
      <c r="AN114" s="384" t="s">
        <v>145</v>
      </c>
      <c r="AO114" s="170">
        <v>0</v>
      </c>
      <c r="AP114" s="369">
        <v>0</v>
      </c>
      <c r="AQ114" s="365" t="s">
        <v>5402</v>
      </c>
      <c r="AR114" s="362" t="s">
        <v>5403</v>
      </c>
      <c r="AS114" s="55">
        <v>0</v>
      </c>
      <c r="AT114" s="370">
        <v>1</v>
      </c>
      <c r="AU114" s="371">
        <v>2003</v>
      </c>
      <c r="AV114" s="370">
        <v>5</v>
      </c>
      <c r="AW114" s="589" t="s">
        <v>145</v>
      </c>
      <c r="AX114" s="687">
        <v>0</v>
      </c>
      <c r="AY114" s="174" t="s">
        <v>4528</v>
      </c>
      <c r="AZ114" s="550">
        <v>2004</v>
      </c>
      <c r="BA114" s="550">
        <v>1</v>
      </c>
      <c r="BB114" s="550">
        <v>1</v>
      </c>
      <c r="BC114" s="174" t="s">
        <v>4529</v>
      </c>
      <c r="BD114" s="550">
        <v>2008</v>
      </c>
      <c r="BE114" s="55">
        <v>0</v>
      </c>
      <c r="BF114" s="371" t="s">
        <v>145</v>
      </c>
      <c r="BG114" s="371">
        <v>0</v>
      </c>
      <c r="BH114" s="56" t="s">
        <v>145</v>
      </c>
      <c r="BI114" s="371">
        <v>0</v>
      </c>
      <c r="BJ114" s="371">
        <v>0</v>
      </c>
      <c r="BK114" s="888">
        <v>70.972999999999999</v>
      </c>
      <c r="BL114" s="925">
        <f t="shared" si="103"/>
        <v>49.104589069082607</v>
      </c>
      <c r="BM114" s="911">
        <v>36.122</v>
      </c>
      <c r="BN114" s="921">
        <v>34.850999999999999</v>
      </c>
      <c r="BO114" s="911">
        <v>9.1939999999999991</v>
      </c>
      <c r="BP114" s="1159">
        <f t="shared" si="78"/>
        <v>48.94496410702633</v>
      </c>
      <c r="BQ114" s="918">
        <v>4.694</v>
      </c>
      <c r="BR114" s="921">
        <v>4.5</v>
      </c>
      <c r="BS114" s="911">
        <v>8.8410000000000011</v>
      </c>
      <c r="BT114" s="1159">
        <f t="shared" si="79"/>
        <v>49.100780454699688</v>
      </c>
      <c r="BU114" s="918">
        <v>4.5</v>
      </c>
      <c r="BV114" s="921">
        <v>4.3410000000000002</v>
      </c>
      <c r="BW114" s="911">
        <v>7.9499999999999993</v>
      </c>
      <c r="BX114" s="1159">
        <f t="shared" si="80"/>
        <v>49.056603773584911</v>
      </c>
      <c r="BY114" s="918">
        <v>4.05</v>
      </c>
      <c r="BZ114" s="921">
        <v>3.9</v>
      </c>
      <c r="CA114" s="911">
        <f t="shared" si="81"/>
        <v>44.988</v>
      </c>
      <c r="CB114" s="1159">
        <f t="shared" si="82"/>
        <v>49.146439050413441</v>
      </c>
      <c r="CC114" s="918">
        <f t="shared" si="83"/>
        <v>22.878</v>
      </c>
      <c r="CD114" s="921">
        <f t="shared" si="84"/>
        <v>22.11</v>
      </c>
      <c r="CE114" s="927">
        <v>2014</v>
      </c>
      <c r="CF114" s="926" t="s">
        <v>5686</v>
      </c>
      <c r="CG114" s="930">
        <v>95.9</v>
      </c>
      <c r="CH114" s="495">
        <v>95.8</v>
      </c>
      <c r="CI114" s="497">
        <v>96</v>
      </c>
      <c r="CJ114" s="904">
        <v>96.1</v>
      </c>
      <c r="CK114" s="904">
        <v>95.5</v>
      </c>
      <c r="CL114" s="904">
        <v>2007</v>
      </c>
      <c r="CM114" s="905" t="s">
        <v>5575</v>
      </c>
      <c r="CN114" s="1044">
        <v>44.588000000000001</v>
      </c>
      <c r="CO114" s="1045">
        <f t="shared" si="104"/>
        <v>62.823890775365285</v>
      </c>
      <c r="CP114" s="1040">
        <f t="shared" si="117"/>
        <v>22.693245825877447</v>
      </c>
      <c r="CQ114" s="1041">
        <f t="shared" si="118"/>
        <v>21.894754174122554</v>
      </c>
      <c r="CR114" s="1046">
        <v>2015</v>
      </c>
      <c r="CS114" s="1047" t="s">
        <v>5944</v>
      </c>
      <c r="CT114" s="1068">
        <f t="shared" si="105"/>
        <v>18</v>
      </c>
      <c r="CU114" s="1071">
        <v>18</v>
      </c>
      <c r="CV114" s="1068" t="s">
        <v>5948</v>
      </c>
      <c r="CW114" s="1113">
        <v>44.588000000000001</v>
      </c>
      <c r="CX114" s="1113">
        <v>41.606000000000002</v>
      </c>
      <c r="CY114" s="1113">
        <v>72.191000000000003</v>
      </c>
      <c r="CZ114" s="494">
        <v>1</v>
      </c>
      <c r="DA114" s="1104">
        <v>4</v>
      </c>
      <c r="DB114" s="1050" t="s">
        <v>647</v>
      </c>
      <c r="DC114" s="1146" t="s">
        <v>322</v>
      </c>
      <c r="DD114" s="978">
        <f t="shared" si="91"/>
        <v>1.4653849999999966</v>
      </c>
      <c r="DE114" s="979">
        <f t="shared" si="106"/>
        <v>2.0647077057472512</v>
      </c>
      <c r="DF114" s="979">
        <f t="shared" si="92"/>
        <v>49.467261223326844</v>
      </c>
      <c r="DG114" s="980">
        <f t="shared" si="93"/>
        <v>0.7410021741225532</v>
      </c>
      <c r="DH114" s="980">
        <f t="shared" si="94"/>
        <v>0.72488582587744632</v>
      </c>
      <c r="DI114" s="979">
        <f t="shared" si="107"/>
        <v>2.0513874484318508</v>
      </c>
      <c r="DJ114" s="981">
        <f t="shared" si="108"/>
        <v>2.0799570338797921</v>
      </c>
      <c r="DK114" s="984">
        <f t="shared" si="109"/>
        <v>0.39999999999999858</v>
      </c>
      <c r="DL114" s="979">
        <f t="shared" si="95"/>
        <v>53.811456469361666</v>
      </c>
      <c r="DM114" s="980">
        <f t="shared" si="110"/>
        <v>0.18475417412255268</v>
      </c>
      <c r="DN114" s="985">
        <f t="shared" si="111"/>
        <v>0.2152458258774459</v>
      </c>
      <c r="DO114" s="984">
        <f t="shared" si="112"/>
        <v>0.68843099999999868</v>
      </c>
      <c r="DP114" s="979">
        <f t="shared" si="96"/>
        <v>47.88279435411841</v>
      </c>
      <c r="DQ114" s="980">
        <f t="shared" si="85"/>
        <v>0.35910000000000031</v>
      </c>
      <c r="DR114" s="985">
        <f t="shared" si="86"/>
        <v>0.32964000000000027</v>
      </c>
      <c r="DS114" s="984">
        <f t="shared" si="113"/>
        <v>0.37695399999999929</v>
      </c>
      <c r="DT114" s="339">
        <f t="shared" si="97"/>
        <v>47.75118449465996</v>
      </c>
      <c r="DU114" s="980">
        <f t="shared" si="87"/>
        <v>0.19714800000000018</v>
      </c>
      <c r="DV114" s="985">
        <f t="shared" si="88"/>
        <v>0.18000000000000016</v>
      </c>
      <c r="DW114" s="979">
        <f t="shared" si="89"/>
        <v>4.2000000000000037</v>
      </c>
      <c r="DX114" s="981">
        <f t="shared" si="90"/>
        <v>4.0000000000000036</v>
      </c>
      <c r="DY114" s="414" t="s">
        <v>145</v>
      </c>
      <c r="DZ114" s="111" t="s">
        <v>145</v>
      </c>
      <c r="EA114" s="118"/>
      <c r="EB114" s="123" t="s">
        <v>145</v>
      </c>
      <c r="EC114" s="113" t="s">
        <v>145</v>
      </c>
      <c r="ED114" s="20"/>
      <c r="EE114" s="414" t="s">
        <v>145</v>
      </c>
      <c r="EF114" s="111" t="s">
        <v>145</v>
      </c>
      <c r="EG114" s="380" t="s">
        <v>145</v>
      </c>
      <c r="EH114" s="24" t="s">
        <v>335</v>
      </c>
      <c r="EI114" s="287">
        <v>0</v>
      </c>
      <c r="EJ114" s="40" t="s">
        <v>145</v>
      </c>
      <c r="EK114" s="35" t="s">
        <v>145</v>
      </c>
      <c r="EL114" s="95" t="s">
        <v>145</v>
      </c>
      <c r="EM114" s="95" t="s">
        <v>145</v>
      </c>
      <c r="EN114" s="35" t="s">
        <v>145</v>
      </c>
      <c r="EO114" s="95" t="s">
        <v>145</v>
      </c>
      <c r="EP114" s="205" t="s">
        <v>145</v>
      </c>
      <c r="EQ114" s="207" t="s">
        <v>145</v>
      </c>
      <c r="ER114" s="517" t="s">
        <v>145</v>
      </c>
      <c r="ES114" s="183"/>
      <c r="ET114" s="183"/>
      <c r="EU114" s="82"/>
      <c r="EV114" s="82"/>
      <c r="EW114" s="82"/>
      <c r="EX114" s="90"/>
      <c r="EY114" s="159"/>
      <c r="EZ114" s="156"/>
      <c r="FA114" s="323"/>
      <c r="FB114" s="323"/>
      <c r="FC114" s="323"/>
      <c r="FD114" s="160"/>
      <c r="FE114" s="156"/>
      <c r="FF114" s="156"/>
      <c r="FG114" s="156"/>
      <c r="FH114" s="157"/>
      <c r="FI114" s="242"/>
      <c r="FJ114" s="373"/>
      <c r="FK114" s="179"/>
      <c r="FL114" s="179"/>
      <c r="FM114" s="179"/>
      <c r="FN114" s="369"/>
      <c r="FO114" s="164"/>
      <c r="FP114" s="255"/>
      <c r="FQ114" s="183"/>
      <c r="FR114" s="257"/>
      <c r="FS114" s="82"/>
      <c r="FT114" s="259"/>
      <c r="FU114" s="82"/>
      <c r="FV114" s="259"/>
      <c r="FW114" s="82"/>
      <c r="FX114" s="259"/>
      <c r="FY114" s="82"/>
      <c r="FZ114" s="259"/>
      <c r="GA114" s="82"/>
      <c r="GB114" s="261"/>
      <c r="GC114" s="90"/>
      <c r="GD114" s="76">
        <v>2</v>
      </c>
      <c r="GE114" s="445" t="s">
        <v>3425</v>
      </c>
      <c r="GF114" s="447" t="s">
        <v>10</v>
      </c>
      <c r="GG114" s="448">
        <v>1</v>
      </c>
      <c r="GH114" s="449">
        <v>1</v>
      </c>
      <c r="GI114" s="447" t="s">
        <v>145</v>
      </c>
      <c r="GJ114" s="449" t="s">
        <v>145</v>
      </c>
      <c r="GK114" s="447" t="s">
        <v>145</v>
      </c>
      <c r="GL114" s="448" t="s">
        <v>145</v>
      </c>
      <c r="GM114" s="449" t="s">
        <v>145</v>
      </c>
      <c r="GN114" s="447" t="s">
        <v>10</v>
      </c>
      <c r="GO114" s="449">
        <v>17</v>
      </c>
      <c r="GP114" s="447">
        <v>2</v>
      </c>
      <c r="GQ114" s="448">
        <v>6</v>
      </c>
      <c r="GR114" s="449">
        <v>9</v>
      </c>
      <c r="GS114" s="446"/>
      <c r="GT114" s="461">
        <v>1.1968603134155273</v>
      </c>
      <c r="GU114" s="462">
        <v>1.0969746112823486</v>
      </c>
      <c r="GV114" s="462">
        <v>-1.5806890726089478</v>
      </c>
      <c r="GW114" s="462">
        <v>-1.1039924621582031</v>
      </c>
      <c r="GX114" s="462">
        <v>0.12508969008922577</v>
      </c>
      <c r="GY114" s="463">
        <v>-2.007962204515934E-2</v>
      </c>
      <c r="GZ114" s="10">
        <v>142</v>
      </c>
      <c r="HA114" s="536">
        <v>0.28505999999999998</v>
      </c>
      <c r="HB114" s="536">
        <v>0.25490000000000002</v>
      </c>
      <c r="HC114" s="525">
        <v>0.11022999999999999</v>
      </c>
      <c r="HD114" s="526">
        <v>4.48E-2</v>
      </c>
      <c r="HE114" s="527">
        <v>0.70020000000000004</v>
      </c>
      <c r="HF114" s="10" t="s">
        <v>145</v>
      </c>
      <c r="HG114" s="532" t="s">
        <v>145</v>
      </c>
      <c r="HH114" s="524" t="s">
        <v>145</v>
      </c>
      <c r="HI114" s="525" t="s">
        <v>145</v>
      </c>
      <c r="HJ114" s="527" t="s">
        <v>145</v>
      </c>
      <c r="HK114" s="558" t="s">
        <v>145</v>
      </c>
      <c r="HL114" s="82" t="s">
        <v>145</v>
      </c>
      <c r="HM114" s="557" t="s">
        <v>145</v>
      </c>
      <c r="HN114" s="557" t="s">
        <v>145</v>
      </c>
      <c r="HO114" s="526" t="s">
        <v>145</v>
      </c>
      <c r="HP114" s="564" t="s">
        <v>145</v>
      </c>
      <c r="HQ114" s="564" t="s">
        <v>145</v>
      </c>
      <c r="HR114" s="565" t="s">
        <v>145</v>
      </c>
      <c r="HS114" s="524" t="s">
        <v>145</v>
      </c>
      <c r="HT114" s="526" t="s">
        <v>145</v>
      </c>
      <c r="HU114" s="526" t="s">
        <v>145</v>
      </c>
      <c r="HV114" s="582" t="s">
        <v>145</v>
      </c>
      <c r="HW114" s="526" t="s">
        <v>145</v>
      </c>
      <c r="HX114" s="526" t="s">
        <v>145</v>
      </c>
      <c r="HY114" s="526" t="s">
        <v>145</v>
      </c>
      <c r="HZ114" s="526" t="s">
        <v>145</v>
      </c>
      <c r="IA114" s="526" t="s">
        <v>145</v>
      </c>
      <c r="IB114" s="526" t="s">
        <v>145</v>
      </c>
      <c r="IC114" s="527" t="s">
        <v>145</v>
      </c>
      <c r="ID114" s="660"/>
      <c r="IE114" s="550"/>
      <c r="IF114" s="550"/>
      <c r="IG114" s="553">
        <v>1</v>
      </c>
      <c r="IH114" s="339"/>
      <c r="II114" s="553" t="s">
        <v>4921</v>
      </c>
      <c r="IJ114" s="424" t="s">
        <v>4926</v>
      </c>
      <c r="IK114" s="24">
        <v>1</v>
      </c>
      <c r="IL114" s="749">
        <f t="shared" si="114"/>
        <v>8</v>
      </c>
      <c r="IM114" s="747">
        <f t="shared" si="115"/>
        <v>32</v>
      </c>
      <c r="IN114" s="750" t="str">
        <f t="shared" si="116"/>
        <v>C</v>
      </c>
      <c r="IO114" s="446"/>
      <c r="IP114" s="902">
        <v>4</v>
      </c>
      <c r="IQ114" s="903">
        <v>0</v>
      </c>
      <c r="IR114" s="993">
        <v>0</v>
      </c>
      <c r="IT114" s="435"/>
      <c r="IU114" s="435"/>
      <c r="IV114" s="435"/>
    </row>
    <row r="115" spans="1:256">
      <c r="A115" s="21">
        <v>113</v>
      </c>
      <c r="B115" s="9"/>
      <c r="C115" s="430" t="s">
        <v>178</v>
      </c>
      <c r="D115" s="423" t="s">
        <v>406</v>
      </c>
      <c r="E115" s="697" t="s">
        <v>20</v>
      </c>
      <c r="F115" s="76" t="s">
        <v>850</v>
      </c>
      <c r="G115" s="102" t="s">
        <v>571</v>
      </c>
      <c r="H115" s="251" t="s">
        <v>2365</v>
      </c>
      <c r="I115" s="95" t="s">
        <v>1957</v>
      </c>
      <c r="J115" s="176">
        <v>1</v>
      </c>
      <c r="K115" s="359">
        <v>1960</v>
      </c>
      <c r="L115" s="371">
        <v>2</v>
      </c>
      <c r="M115" s="240" t="s">
        <v>2322</v>
      </c>
      <c r="N115" s="369" t="s">
        <v>1822</v>
      </c>
      <c r="O115" s="337" t="s">
        <v>958</v>
      </c>
      <c r="P115" s="399" t="s">
        <v>3280</v>
      </c>
      <c r="Q115" s="176">
        <v>2</v>
      </c>
      <c r="R115" s="176">
        <v>2001</v>
      </c>
      <c r="S115" s="234" t="s">
        <v>1961</v>
      </c>
      <c r="T115" s="176">
        <v>1</v>
      </c>
      <c r="U115" s="176">
        <v>1</v>
      </c>
      <c r="V115" s="176">
        <v>18</v>
      </c>
      <c r="W115" s="369" t="s">
        <v>1822</v>
      </c>
      <c r="X115" s="170">
        <v>1</v>
      </c>
      <c r="Y115" s="369">
        <v>1</v>
      </c>
      <c r="Z115" s="271"/>
      <c r="AA115" s="1099"/>
      <c r="AB115" s="1100"/>
      <c r="AC115" s="1101"/>
      <c r="AD115" s="366" t="s">
        <v>958</v>
      </c>
      <c r="AE115" s="357">
        <v>2012</v>
      </c>
      <c r="AF115" s="804">
        <v>2</v>
      </c>
      <c r="AG115" s="550" t="s">
        <v>5171</v>
      </c>
      <c r="AH115" s="550" t="s">
        <v>4630</v>
      </c>
      <c r="AI115" s="550">
        <v>0</v>
      </c>
      <c r="AJ115" s="550">
        <v>0</v>
      </c>
      <c r="AK115" s="590">
        <v>2000</v>
      </c>
      <c r="AL115" s="387">
        <v>2</v>
      </c>
      <c r="AM115" s="361" t="s">
        <v>2761</v>
      </c>
      <c r="AN115" s="344" t="s">
        <v>3274</v>
      </c>
      <c r="AO115" s="170">
        <v>1</v>
      </c>
      <c r="AP115" s="172">
        <v>1</v>
      </c>
      <c r="AQ115" s="704" t="s">
        <v>5268</v>
      </c>
      <c r="AR115" s="686" t="s">
        <v>2572</v>
      </c>
      <c r="AS115" s="55">
        <v>2</v>
      </c>
      <c r="AT115" s="370">
        <v>1</v>
      </c>
      <c r="AU115" s="371">
        <v>2014</v>
      </c>
      <c r="AV115" s="370">
        <v>5</v>
      </c>
      <c r="AW115" s="589" t="s">
        <v>145</v>
      </c>
      <c r="AX115" s="687">
        <v>0</v>
      </c>
      <c r="AY115" s="174" t="s">
        <v>4583</v>
      </c>
      <c r="AZ115" s="550">
        <v>2005</v>
      </c>
      <c r="BA115" s="550">
        <v>1</v>
      </c>
      <c r="BB115" s="550">
        <v>1</v>
      </c>
      <c r="BC115" s="174" t="s">
        <v>4530</v>
      </c>
      <c r="BD115" s="550">
        <v>2000</v>
      </c>
      <c r="BE115" s="550">
        <v>0</v>
      </c>
      <c r="BF115" s="371" t="s">
        <v>145</v>
      </c>
      <c r="BG115" s="367">
        <v>0</v>
      </c>
      <c r="BH115" s="56" t="s">
        <v>145</v>
      </c>
      <c r="BI115" s="367">
        <v>0</v>
      </c>
      <c r="BJ115" s="367">
        <v>0</v>
      </c>
      <c r="BK115" s="888">
        <v>4067.5639999999999</v>
      </c>
      <c r="BL115" s="925">
        <f t="shared" si="103"/>
        <v>49.680422975520486</v>
      </c>
      <c r="BM115" s="888">
        <v>2046.7809999999999</v>
      </c>
      <c r="BN115" s="920">
        <v>2020.7829999999999</v>
      </c>
      <c r="BO115" s="888">
        <v>601.08199999999999</v>
      </c>
      <c r="BP115" s="1158">
        <f t="shared" si="78"/>
        <v>49.17997877161519</v>
      </c>
      <c r="BQ115" s="917">
        <v>305.47000000000003</v>
      </c>
      <c r="BR115" s="920">
        <v>295.61200000000002</v>
      </c>
      <c r="BS115" s="888">
        <v>542.44100000000003</v>
      </c>
      <c r="BT115" s="1158">
        <f t="shared" si="79"/>
        <v>49.248858401190176</v>
      </c>
      <c r="BU115" s="917">
        <v>275.29500000000002</v>
      </c>
      <c r="BV115" s="920">
        <v>267.14600000000002</v>
      </c>
      <c r="BW115" s="888">
        <v>484.17</v>
      </c>
      <c r="BX115" s="1158">
        <f t="shared" si="80"/>
        <v>49.274221864221239</v>
      </c>
      <c r="BY115" s="917">
        <v>245.59899999999999</v>
      </c>
      <c r="BZ115" s="920">
        <v>238.571</v>
      </c>
      <c r="CA115" s="888">
        <f t="shared" si="81"/>
        <v>2439.8710000000001</v>
      </c>
      <c r="CB115" s="1158">
        <f t="shared" si="82"/>
        <v>49.980265350094328</v>
      </c>
      <c r="CC115" s="917">
        <f t="shared" si="83"/>
        <v>1220.4169999999999</v>
      </c>
      <c r="CD115" s="920">
        <f t="shared" si="84"/>
        <v>1219.454</v>
      </c>
      <c r="CE115" s="914">
        <v>2015</v>
      </c>
      <c r="CF115" s="910" t="s">
        <v>5630</v>
      </c>
      <c r="CG115" s="1026">
        <v>58.8</v>
      </c>
      <c r="CH115" s="495">
        <v>60.1</v>
      </c>
      <c r="CI115" s="497">
        <v>57.6</v>
      </c>
      <c r="CJ115" s="904">
        <v>75.2</v>
      </c>
      <c r="CK115" s="904">
        <v>48.6</v>
      </c>
      <c r="CL115" s="904">
        <v>2011</v>
      </c>
      <c r="CM115" s="905" t="s">
        <v>5573</v>
      </c>
      <c r="CN115" s="1044">
        <v>1328.1679999999999</v>
      </c>
      <c r="CO115" s="1045">
        <f t="shared" si="104"/>
        <v>32.652663854828099</v>
      </c>
      <c r="CP115" s="1040">
        <f t="shared" si="117"/>
        <v>668.328519774489</v>
      </c>
      <c r="CQ115" s="1041">
        <f t="shared" si="118"/>
        <v>659.8394802255109</v>
      </c>
      <c r="CR115" s="1046">
        <v>2014</v>
      </c>
      <c r="CS115" s="1047" t="s">
        <v>5945</v>
      </c>
      <c r="CT115" s="1068">
        <f t="shared" si="105"/>
        <v>18</v>
      </c>
      <c r="CU115" s="1071">
        <v>18</v>
      </c>
      <c r="CV115" s="1068" t="s">
        <v>5949</v>
      </c>
      <c r="CW115" s="1113">
        <v>1328.1679999999999</v>
      </c>
      <c r="CX115" s="1113">
        <v>1859.595</v>
      </c>
      <c r="CY115" s="1113">
        <v>3516.806</v>
      </c>
      <c r="CZ115" s="494">
        <v>1</v>
      </c>
      <c r="DA115" s="1104">
        <v>4</v>
      </c>
      <c r="DB115" s="1050" t="s">
        <v>647</v>
      </c>
      <c r="DC115" s="1143" t="s">
        <v>320</v>
      </c>
      <c r="DD115" s="978">
        <f t="shared" si="91"/>
        <v>1782.3125160000002</v>
      </c>
      <c r="DE115" s="979">
        <f t="shared" si="106"/>
        <v>43.81768832647748</v>
      </c>
      <c r="DF115" s="979">
        <f t="shared" si="92"/>
        <v>50.461297202408737</v>
      </c>
      <c r="DG115" s="980">
        <f t="shared" si="93"/>
        <v>881.80771622551094</v>
      </c>
      <c r="DH115" s="980">
        <f t="shared" si="94"/>
        <v>899.37801577448897</v>
      </c>
      <c r="DI115" s="979">
        <f t="shared" si="107"/>
        <v>43.082660833059862</v>
      </c>
      <c r="DJ115" s="981">
        <f t="shared" si="108"/>
        <v>44.506412404225934</v>
      </c>
      <c r="DK115" s="984">
        <f t="shared" si="109"/>
        <v>1111.7030000000002</v>
      </c>
      <c r="DL115" s="979">
        <f t="shared" si="95"/>
        <v>50.338491465300436</v>
      </c>
      <c r="DM115" s="980">
        <f t="shared" si="110"/>
        <v>552.08848022551092</v>
      </c>
      <c r="DN115" s="985">
        <f t="shared" si="111"/>
        <v>559.61451977448905</v>
      </c>
      <c r="DO115" s="984">
        <f t="shared" si="112"/>
        <v>422.96373200000005</v>
      </c>
      <c r="DP115" s="979">
        <f t="shared" si="96"/>
        <v>50.695601484810041</v>
      </c>
      <c r="DQ115" s="980">
        <f t="shared" si="85"/>
        <v>207.83670599999999</v>
      </c>
      <c r="DR115" s="985">
        <f t="shared" si="86"/>
        <v>214.42400799999996</v>
      </c>
      <c r="DS115" s="984">
        <f t="shared" si="113"/>
        <v>247.64578400000002</v>
      </c>
      <c r="DT115" s="339">
        <f t="shared" si="97"/>
        <v>50.612405337778732</v>
      </c>
      <c r="DU115" s="980">
        <f t="shared" si="87"/>
        <v>121.88253000000002</v>
      </c>
      <c r="DV115" s="985">
        <f t="shared" si="88"/>
        <v>125.33948799999999</v>
      </c>
      <c r="DW115" s="979">
        <f t="shared" si="89"/>
        <v>39.900000000000006</v>
      </c>
      <c r="DX115" s="981">
        <f t="shared" si="90"/>
        <v>42.399999999999991</v>
      </c>
      <c r="DY115" s="414">
        <v>23.43</v>
      </c>
      <c r="DZ115" s="111">
        <v>2008</v>
      </c>
      <c r="EA115" s="118">
        <v>828.72035999999991</v>
      </c>
      <c r="EB115" s="123">
        <v>42</v>
      </c>
      <c r="EC115" s="113">
        <v>2008</v>
      </c>
      <c r="ED115" s="20">
        <v>1487.4467999999999</v>
      </c>
      <c r="EE115" s="414">
        <v>40</v>
      </c>
      <c r="EF115" s="111">
        <v>2004</v>
      </c>
      <c r="EG115" s="380">
        <v>45.5037841796875</v>
      </c>
      <c r="EH115" s="24" t="s">
        <v>372</v>
      </c>
      <c r="EI115" s="287">
        <v>2</v>
      </c>
      <c r="EJ115" s="40">
        <v>3</v>
      </c>
      <c r="EK115" s="35" t="s">
        <v>145</v>
      </c>
      <c r="EL115" s="95" t="s">
        <v>145</v>
      </c>
      <c r="EM115" s="95" t="s">
        <v>145</v>
      </c>
      <c r="EN115" s="35" t="s">
        <v>145</v>
      </c>
      <c r="EO115" s="95" t="s">
        <v>1646</v>
      </c>
      <c r="EP115" s="205">
        <v>0.56000000000000005</v>
      </c>
      <c r="EQ115" s="207" t="s">
        <v>145</v>
      </c>
      <c r="ER115" s="517">
        <v>4</v>
      </c>
      <c r="ES115" s="183" t="s">
        <v>3817</v>
      </c>
      <c r="ET115" s="183" t="s">
        <v>3818</v>
      </c>
      <c r="EU115" s="82" t="s">
        <v>3918</v>
      </c>
      <c r="EV115" s="82" t="s">
        <v>3844</v>
      </c>
      <c r="EW115" s="82" t="s">
        <v>3918</v>
      </c>
      <c r="EX115" s="360" t="s">
        <v>3919</v>
      </c>
      <c r="EY115" s="159"/>
      <c r="EZ115" s="156"/>
      <c r="FA115" s="323"/>
      <c r="FB115" s="323"/>
      <c r="FC115" s="323"/>
      <c r="FD115" s="160"/>
      <c r="FE115" s="156"/>
      <c r="FF115" s="156"/>
      <c r="FG115" s="156"/>
      <c r="FH115" s="157"/>
      <c r="FI115" s="242"/>
      <c r="FJ115" s="240"/>
      <c r="FK115" s="179"/>
      <c r="FL115" s="179"/>
      <c r="FM115" s="179"/>
      <c r="FN115" s="369"/>
      <c r="FO115" s="164"/>
      <c r="FP115" s="255"/>
      <c r="FQ115" s="183"/>
      <c r="FR115" s="257"/>
      <c r="FS115" s="82"/>
      <c r="FT115" s="259"/>
      <c r="FU115" s="82"/>
      <c r="FV115" s="259"/>
      <c r="FW115" s="82"/>
      <c r="FX115" s="259"/>
      <c r="FY115" s="82"/>
      <c r="FZ115" s="259"/>
      <c r="GA115" s="82"/>
      <c r="GB115" s="261"/>
      <c r="GC115" s="90"/>
      <c r="GD115" s="76">
        <v>3</v>
      </c>
      <c r="GE115" s="445" t="s">
        <v>3430</v>
      </c>
      <c r="GF115" s="447" t="s">
        <v>580</v>
      </c>
      <c r="GG115" s="448">
        <v>6</v>
      </c>
      <c r="GH115" s="449">
        <v>5</v>
      </c>
      <c r="GI115" s="447" t="s">
        <v>145</v>
      </c>
      <c r="GJ115" s="449" t="s">
        <v>145</v>
      </c>
      <c r="GK115" s="447" t="s">
        <v>145</v>
      </c>
      <c r="GL115" s="448" t="s">
        <v>145</v>
      </c>
      <c r="GM115" s="449" t="s">
        <v>145</v>
      </c>
      <c r="GN115" s="447" t="s">
        <v>590</v>
      </c>
      <c r="GO115" s="449">
        <v>48</v>
      </c>
      <c r="GP115" s="447">
        <v>14</v>
      </c>
      <c r="GQ115" s="448">
        <v>19</v>
      </c>
      <c r="GR115" s="449">
        <v>15</v>
      </c>
      <c r="GS115" s="446">
        <v>4</v>
      </c>
      <c r="GT115" s="461">
        <v>-0.93083661794662476</v>
      </c>
      <c r="GU115" s="462">
        <v>-1.0169016122817993</v>
      </c>
      <c r="GV115" s="462">
        <v>-0.90269047021865845</v>
      </c>
      <c r="GW115" s="462">
        <v>-0.69623476266860962</v>
      </c>
      <c r="GX115" s="462">
        <v>-0.94676613807678223</v>
      </c>
      <c r="GY115" s="463">
        <v>-0.67925357818603516</v>
      </c>
      <c r="GZ115" s="10">
        <v>174</v>
      </c>
      <c r="HA115" s="536">
        <v>0.1893</v>
      </c>
      <c r="HB115" s="536">
        <v>7.843E-2</v>
      </c>
      <c r="HC115" s="525">
        <v>4.7239999999999997E-2</v>
      </c>
      <c r="HD115" s="526">
        <v>0.16256000000000001</v>
      </c>
      <c r="HE115" s="527">
        <v>0.35809999999999997</v>
      </c>
      <c r="HF115" s="10">
        <v>147</v>
      </c>
      <c r="HG115" s="532">
        <v>1.91</v>
      </c>
      <c r="HH115" s="545">
        <v>3.08</v>
      </c>
      <c r="HI115" s="546">
        <v>0.4</v>
      </c>
      <c r="HJ115" s="547">
        <v>2.58</v>
      </c>
      <c r="HK115" s="558" t="s">
        <v>145</v>
      </c>
      <c r="HL115" s="82" t="s">
        <v>145</v>
      </c>
      <c r="HM115" s="557" t="s">
        <v>145</v>
      </c>
      <c r="HN115" s="557" t="s">
        <v>145</v>
      </c>
      <c r="HO115" s="557" t="s">
        <v>145</v>
      </c>
      <c r="HP115" s="562" t="s">
        <v>145</v>
      </c>
      <c r="HQ115" s="562" t="s">
        <v>145</v>
      </c>
      <c r="HR115" s="563" t="s">
        <v>145</v>
      </c>
      <c r="HS115" s="545" t="s">
        <v>145</v>
      </c>
      <c r="HT115" s="557" t="s">
        <v>145</v>
      </c>
      <c r="HU115" s="557" t="s">
        <v>145</v>
      </c>
      <c r="HV115" s="581" t="s">
        <v>145</v>
      </c>
      <c r="HW115" s="557" t="s">
        <v>145</v>
      </c>
      <c r="HX115" s="557" t="s">
        <v>145</v>
      </c>
      <c r="HY115" s="557" t="s">
        <v>145</v>
      </c>
      <c r="HZ115" s="557" t="s">
        <v>145</v>
      </c>
      <c r="IA115" s="557" t="s">
        <v>145</v>
      </c>
      <c r="IB115" s="557" t="s">
        <v>145</v>
      </c>
      <c r="IC115" s="547" t="s">
        <v>145</v>
      </c>
      <c r="ID115" s="40"/>
      <c r="IE115" s="550"/>
      <c r="IF115" s="550"/>
      <c r="IG115" s="553"/>
      <c r="IH115" s="115">
        <v>21.2</v>
      </c>
      <c r="II115" s="647" t="s">
        <v>4921</v>
      </c>
      <c r="IJ115" s="423" t="s">
        <v>4918</v>
      </c>
      <c r="IK115" s="10">
        <v>0</v>
      </c>
      <c r="IL115" s="749">
        <f t="shared" si="114"/>
        <v>14</v>
      </c>
      <c r="IM115" s="747">
        <f t="shared" si="115"/>
        <v>56.000000000000007</v>
      </c>
      <c r="IN115" s="750" t="str">
        <f t="shared" si="116"/>
        <v>B</v>
      </c>
      <c r="IO115" s="446">
        <v>1</v>
      </c>
      <c r="IP115" s="902">
        <v>3</v>
      </c>
      <c r="IQ115" s="903">
        <v>0</v>
      </c>
      <c r="IR115" s="993">
        <v>0</v>
      </c>
      <c r="IT115" s="435"/>
      <c r="IU115" s="435"/>
      <c r="IV115" s="435"/>
    </row>
    <row r="116" spans="1:256">
      <c r="A116" s="21">
        <v>114</v>
      </c>
      <c r="B116" s="9"/>
      <c r="C116" s="430" t="s">
        <v>179</v>
      </c>
      <c r="D116" s="423" t="s">
        <v>406</v>
      </c>
      <c r="E116" s="24" t="s">
        <v>12</v>
      </c>
      <c r="F116" s="76" t="s">
        <v>851</v>
      </c>
      <c r="G116" s="102" t="s">
        <v>573</v>
      </c>
      <c r="H116" s="251" t="s">
        <v>2364</v>
      </c>
      <c r="I116" s="95" t="s">
        <v>2363</v>
      </c>
      <c r="J116" s="176">
        <v>6</v>
      </c>
      <c r="K116" s="359">
        <v>1793</v>
      </c>
      <c r="L116" s="371">
        <v>2</v>
      </c>
      <c r="M116" s="240" t="s">
        <v>2129</v>
      </c>
      <c r="N116" s="369" t="s">
        <v>1822</v>
      </c>
      <c r="O116" s="365" t="s">
        <v>2901</v>
      </c>
      <c r="P116" s="362" t="s">
        <v>2904</v>
      </c>
      <c r="Q116" s="370">
        <v>6</v>
      </c>
      <c r="R116" s="370">
        <v>2001</v>
      </c>
      <c r="S116" s="234" t="s">
        <v>1961</v>
      </c>
      <c r="T116" s="176">
        <v>1</v>
      </c>
      <c r="U116" s="370">
        <v>2</v>
      </c>
      <c r="V116" s="176">
        <v>18</v>
      </c>
      <c r="W116" s="369" t="s">
        <v>2036</v>
      </c>
      <c r="X116" s="170">
        <v>1</v>
      </c>
      <c r="Y116" s="369">
        <v>1</v>
      </c>
      <c r="Z116" s="271"/>
      <c r="AA116" s="169">
        <v>1</v>
      </c>
      <c r="AB116" s="177">
        <v>1</v>
      </c>
      <c r="AC116" s="171"/>
      <c r="AD116" s="366" t="s">
        <v>3281</v>
      </c>
      <c r="AE116" s="357">
        <v>2013</v>
      </c>
      <c r="AF116" s="357">
        <v>2</v>
      </c>
      <c r="AG116" s="550" t="s">
        <v>5171</v>
      </c>
      <c r="AH116" s="355" t="s">
        <v>2785</v>
      </c>
      <c r="AI116" s="55">
        <v>0</v>
      </c>
      <c r="AJ116" s="550">
        <v>0</v>
      </c>
      <c r="AK116" s="590" t="s">
        <v>145</v>
      </c>
      <c r="AL116" s="386">
        <v>9</v>
      </c>
      <c r="AM116" s="361" t="s">
        <v>2881</v>
      </c>
      <c r="AN116" s="344">
        <v>3</v>
      </c>
      <c r="AO116" s="170">
        <v>0</v>
      </c>
      <c r="AP116" s="369">
        <v>0</v>
      </c>
      <c r="AQ116" s="365" t="s">
        <v>5404</v>
      </c>
      <c r="AR116" s="362" t="s">
        <v>5405</v>
      </c>
      <c r="AS116" s="55">
        <v>0</v>
      </c>
      <c r="AT116" s="370">
        <v>5</v>
      </c>
      <c r="AU116" s="371">
        <v>2007</v>
      </c>
      <c r="AV116" s="370">
        <v>5</v>
      </c>
      <c r="AW116" s="589" t="s">
        <v>145</v>
      </c>
      <c r="AX116" s="687">
        <v>0</v>
      </c>
      <c r="AY116" s="174" t="s">
        <v>4531</v>
      </c>
      <c r="AZ116" s="550">
        <v>2009</v>
      </c>
      <c r="BA116" s="550">
        <v>1</v>
      </c>
      <c r="BB116" s="550">
        <v>2</v>
      </c>
      <c r="BC116" s="174" t="s">
        <v>4532</v>
      </c>
      <c r="BD116" s="550">
        <v>2002</v>
      </c>
      <c r="BE116" s="550">
        <v>2</v>
      </c>
      <c r="BF116" s="367" t="s">
        <v>4395</v>
      </c>
      <c r="BG116" s="367">
        <v>0</v>
      </c>
      <c r="BH116" s="56" t="s">
        <v>145</v>
      </c>
      <c r="BI116" s="367">
        <v>3</v>
      </c>
      <c r="BJ116" s="367">
        <v>0</v>
      </c>
      <c r="BK116" s="888">
        <v>1273.212</v>
      </c>
      <c r="BL116" s="925">
        <f t="shared" si="103"/>
        <v>50.609874867657545</v>
      </c>
      <c r="BM116" s="888">
        <v>628.84100000000001</v>
      </c>
      <c r="BN116" s="920">
        <v>644.37099999999998</v>
      </c>
      <c r="BO116" s="888">
        <v>70.623999999999995</v>
      </c>
      <c r="BP116" s="1158">
        <f t="shared" si="78"/>
        <v>49.038570457634805</v>
      </c>
      <c r="BQ116" s="917">
        <v>35.991</v>
      </c>
      <c r="BR116" s="920">
        <v>34.633000000000003</v>
      </c>
      <c r="BS116" s="888">
        <v>80.641000000000005</v>
      </c>
      <c r="BT116" s="1158">
        <f t="shared" si="79"/>
        <v>49.040810505822094</v>
      </c>
      <c r="BU116" s="917">
        <v>41.094000000000001</v>
      </c>
      <c r="BV116" s="920">
        <v>39.546999999999997</v>
      </c>
      <c r="BW116" s="888">
        <v>94.747</v>
      </c>
      <c r="BX116" s="1158">
        <f t="shared" si="80"/>
        <v>49.041130589886755</v>
      </c>
      <c r="BY116" s="917">
        <v>48.281999999999996</v>
      </c>
      <c r="BZ116" s="920">
        <v>46.465000000000003</v>
      </c>
      <c r="CA116" s="888">
        <f t="shared" si="81"/>
        <v>1027.1999999999998</v>
      </c>
      <c r="CB116" s="1158">
        <f t="shared" si="82"/>
        <v>50.985786604361373</v>
      </c>
      <c r="CC116" s="917">
        <f t="shared" si="83"/>
        <v>503.47399999999999</v>
      </c>
      <c r="CD116" s="920">
        <f t="shared" si="84"/>
        <v>523.72599999999989</v>
      </c>
      <c r="CE116" s="914">
        <v>2015</v>
      </c>
      <c r="CF116" s="910" t="s">
        <v>5630</v>
      </c>
      <c r="CG116" s="931">
        <v>100</v>
      </c>
      <c r="CH116" s="504">
        <v>100</v>
      </c>
      <c r="CI116" s="1008">
        <v>100</v>
      </c>
      <c r="CJ116" s="904" t="s">
        <v>1621</v>
      </c>
      <c r="CK116" s="904" t="s">
        <v>1621</v>
      </c>
      <c r="CL116" s="906">
        <v>2013</v>
      </c>
      <c r="CM116" s="1002" t="s">
        <v>5716</v>
      </c>
      <c r="CN116" s="1044">
        <v>936.97500000000002</v>
      </c>
      <c r="CO116" s="1045">
        <f t="shared" si="104"/>
        <v>73.591436461484818</v>
      </c>
      <c r="CP116" s="1040">
        <f t="shared" si="117"/>
        <v>462.77312495876572</v>
      </c>
      <c r="CQ116" s="1041">
        <f t="shared" si="118"/>
        <v>474.2018750412343</v>
      </c>
      <c r="CR116" s="1046">
        <v>2014</v>
      </c>
      <c r="CS116" s="1047" t="s">
        <v>5946</v>
      </c>
      <c r="CT116" s="1068">
        <f t="shared" si="105"/>
        <v>18</v>
      </c>
      <c r="CU116" s="1071">
        <v>18</v>
      </c>
      <c r="CV116" s="1068" t="s">
        <v>5950</v>
      </c>
      <c r="CW116" s="1113">
        <v>936.97500000000002</v>
      </c>
      <c r="CX116" s="1113">
        <v>978.88699999999994</v>
      </c>
      <c r="CY116" s="1113">
        <v>1331.155</v>
      </c>
      <c r="CZ116" s="494">
        <v>1</v>
      </c>
      <c r="DA116" s="1104">
        <v>4</v>
      </c>
      <c r="DB116" s="1050" t="s">
        <v>647</v>
      </c>
      <c r="DC116" s="1146" t="s">
        <v>322</v>
      </c>
      <c r="DD116" s="978">
        <f t="shared" si="91"/>
        <v>90.224999999999795</v>
      </c>
      <c r="DE116" s="979">
        <f t="shared" si="106"/>
        <v>7.0864082336641347</v>
      </c>
      <c r="DF116" s="979">
        <f t="shared" si="92"/>
        <v>54.889581555850029</v>
      </c>
      <c r="DG116" s="980">
        <f t="shared" si="93"/>
        <v>40.700875041234269</v>
      </c>
      <c r="DH116" s="980">
        <f t="shared" si="94"/>
        <v>49.524124958765583</v>
      </c>
      <c r="DI116" s="979">
        <f t="shared" si="107"/>
        <v>6.472363449780512</v>
      </c>
      <c r="DJ116" s="981">
        <f t="shared" si="108"/>
        <v>7.6856539103661694</v>
      </c>
      <c r="DK116" s="984">
        <f t="shared" si="109"/>
        <v>90.224999999999795</v>
      </c>
      <c r="DL116" s="979">
        <f t="shared" si="95"/>
        <v>54.889581555850029</v>
      </c>
      <c r="DM116" s="980">
        <f t="shared" si="110"/>
        <v>40.700875041234269</v>
      </c>
      <c r="DN116" s="985">
        <f t="shared" si="111"/>
        <v>49.524124958765583</v>
      </c>
      <c r="DO116" s="984">
        <f t="shared" si="112"/>
        <v>0</v>
      </c>
      <c r="DP116" s="979">
        <f t="shared" si="96"/>
        <v>0</v>
      </c>
      <c r="DQ116" s="980">
        <f t="shared" si="85"/>
        <v>0</v>
      </c>
      <c r="DR116" s="985">
        <f t="shared" si="86"/>
        <v>0</v>
      </c>
      <c r="DS116" s="984">
        <f t="shared" si="113"/>
        <v>0</v>
      </c>
      <c r="DT116" s="339">
        <f t="shared" si="97"/>
        <v>0</v>
      </c>
      <c r="DU116" s="980">
        <f t="shared" si="87"/>
        <v>0</v>
      </c>
      <c r="DV116" s="985">
        <f t="shared" si="88"/>
        <v>0</v>
      </c>
      <c r="DW116" s="979">
        <f t="shared" si="89"/>
        <v>0</v>
      </c>
      <c r="DX116" s="981">
        <f t="shared" si="90"/>
        <v>0</v>
      </c>
      <c r="DY116" s="414" t="s">
        <v>145</v>
      </c>
      <c r="DZ116" s="111" t="s">
        <v>145</v>
      </c>
      <c r="EA116" s="118"/>
      <c r="EB116" s="123" t="s">
        <v>145</v>
      </c>
      <c r="EC116" s="113" t="s">
        <v>145</v>
      </c>
      <c r="ED116" s="20"/>
      <c r="EE116" s="414">
        <v>8</v>
      </c>
      <c r="EF116" s="111">
        <v>2006</v>
      </c>
      <c r="EG116" s="380">
        <v>89.249832153320298</v>
      </c>
      <c r="EH116" s="24" t="s">
        <v>335</v>
      </c>
      <c r="EI116" s="287">
        <v>0</v>
      </c>
      <c r="EJ116" s="227" t="s">
        <v>145</v>
      </c>
      <c r="EK116" s="35" t="s">
        <v>145</v>
      </c>
      <c r="EL116" s="95" t="s">
        <v>145</v>
      </c>
      <c r="EM116" s="95" t="s">
        <v>145</v>
      </c>
      <c r="EN116" s="35" t="s">
        <v>145</v>
      </c>
      <c r="EO116" s="95" t="s">
        <v>145</v>
      </c>
      <c r="EP116" s="205" t="s">
        <v>145</v>
      </c>
      <c r="EQ116" s="207" t="s">
        <v>145</v>
      </c>
      <c r="ER116" s="517" t="s">
        <v>145</v>
      </c>
      <c r="ES116" s="183"/>
      <c r="ET116" s="183"/>
      <c r="EU116" s="82"/>
      <c r="EV116" s="82"/>
      <c r="EW116" s="82"/>
      <c r="EX116" s="90"/>
      <c r="EY116" s="159"/>
      <c r="EZ116" s="156"/>
      <c r="FA116" s="323"/>
      <c r="FB116" s="323"/>
      <c r="FC116" s="323"/>
      <c r="FD116" s="160"/>
      <c r="FE116" s="156"/>
      <c r="FF116" s="156"/>
      <c r="FG116" s="156"/>
      <c r="FH116" s="157"/>
      <c r="FI116" s="242"/>
      <c r="FJ116" s="240"/>
      <c r="FK116" s="179"/>
      <c r="FL116" s="179"/>
      <c r="FM116" s="179"/>
      <c r="FN116" s="172"/>
      <c r="FO116" s="164"/>
      <c r="FP116" s="255"/>
      <c r="FQ116" s="183"/>
      <c r="FR116" s="257"/>
      <c r="FS116" s="82"/>
      <c r="FT116" s="259"/>
      <c r="FU116" s="82"/>
      <c r="FV116" s="259"/>
      <c r="FW116" s="82"/>
      <c r="FX116" s="259"/>
      <c r="FY116" s="82"/>
      <c r="FZ116" s="259"/>
      <c r="GA116" s="82"/>
      <c r="GB116" s="261"/>
      <c r="GC116" s="90"/>
      <c r="GD116" s="76">
        <v>1</v>
      </c>
      <c r="GE116" s="445" t="s">
        <v>3424</v>
      </c>
      <c r="GF116" s="447" t="s">
        <v>10</v>
      </c>
      <c r="GG116" s="448">
        <v>1</v>
      </c>
      <c r="GH116" s="449">
        <v>2</v>
      </c>
      <c r="GI116" s="447" t="s">
        <v>145</v>
      </c>
      <c r="GJ116" s="449" t="s">
        <v>145</v>
      </c>
      <c r="GK116" s="447" t="s">
        <v>145</v>
      </c>
      <c r="GL116" s="448" t="s">
        <v>145</v>
      </c>
      <c r="GM116" s="449" t="s">
        <v>145</v>
      </c>
      <c r="GN116" s="447" t="s">
        <v>10</v>
      </c>
      <c r="GO116" s="449">
        <v>30</v>
      </c>
      <c r="GP116" s="447">
        <v>7</v>
      </c>
      <c r="GQ116" s="448">
        <v>10</v>
      </c>
      <c r="GR116" s="449">
        <v>13</v>
      </c>
      <c r="GS116" s="446">
        <v>10</v>
      </c>
      <c r="GT116" s="461">
        <v>0.89152544736862183</v>
      </c>
      <c r="GU116" s="462">
        <v>0.93599307537078857</v>
      </c>
      <c r="GV116" s="462">
        <v>0.87730324268341064</v>
      </c>
      <c r="GW116" s="462">
        <v>0.93892079591751099</v>
      </c>
      <c r="GX116" s="462">
        <v>0.90168052911758423</v>
      </c>
      <c r="GY116" s="463">
        <v>0.30249342322349548</v>
      </c>
      <c r="GZ116" s="10">
        <v>76</v>
      </c>
      <c r="HA116" s="536">
        <v>0.53374999999999995</v>
      </c>
      <c r="HB116" s="536">
        <v>0.52941000000000005</v>
      </c>
      <c r="HC116" s="525">
        <v>0.47244000000000003</v>
      </c>
      <c r="HD116" s="526">
        <v>0.44061</v>
      </c>
      <c r="HE116" s="527">
        <v>0.68820000000000003</v>
      </c>
      <c r="HF116" s="10">
        <v>70</v>
      </c>
      <c r="HG116" s="532">
        <v>5.22</v>
      </c>
      <c r="HH116" s="545">
        <v>6.32</v>
      </c>
      <c r="HI116" s="546">
        <v>2.97</v>
      </c>
      <c r="HJ116" s="547">
        <v>7.51</v>
      </c>
      <c r="HK116" s="558" t="s">
        <v>3991</v>
      </c>
      <c r="HL116" s="585" t="s">
        <v>4838</v>
      </c>
      <c r="HM116" s="557">
        <v>2004</v>
      </c>
      <c r="HN116" s="557">
        <v>2004</v>
      </c>
      <c r="HO116" s="557" t="s">
        <v>3985</v>
      </c>
      <c r="HP116" s="562" t="s">
        <v>4049</v>
      </c>
      <c r="HQ116" s="639" t="s">
        <v>4857</v>
      </c>
      <c r="HR116" s="563" t="s">
        <v>4010</v>
      </c>
      <c r="HS116" s="545" t="s">
        <v>145</v>
      </c>
      <c r="HT116" s="557" t="s">
        <v>145</v>
      </c>
      <c r="HU116" s="557" t="s">
        <v>145</v>
      </c>
      <c r="HV116" s="581" t="s">
        <v>145</v>
      </c>
      <c r="HW116" s="557" t="s">
        <v>145</v>
      </c>
      <c r="HX116" s="557" t="s">
        <v>145</v>
      </c>
      <c r="HY116" s="557" t="s">
        <v>145</v>
      </c>
      <c r="HZ116" s="557" t="s">
        <v>145</v>
      </c>
      <c r="IA116" s="557" t="s">
        <v>145</v>
      </c>
      <c r="IB116" s="557" t="s">
        <v>145</v>
      </c>
      <c r="IC116" s="547" t="s">
        <v>145</v>
      </c>
      <c r="ID116" s="40"/>
      <c r="IE116" s="550"/>
      <c r="IF116" s="550"/>
      <c r="IG116" s="553"/>
      <c r="IH116" s="115"/>
      <c r="II116" s="647" t="s">
        <v>4922</v>
      </c>
      <c r="IJ116" s="423" t="s">
        <v>4926</v>
      </c>
      <c r="IK116" s="10">
        <v>0</v>
      </c>
      <c r="IL116" s="749">
        <f t="shared" si="114"/>
        <v>19</v>
      </c>
      <c r="IM116" s="747">
        <f t="shared" si="115"/>
        <v>76</v>
      </c>
      <c r="IN116" s="750" t="str">
        <f t="shared" si="116"/>
        <v>A</v>
      </c>
      <c r="IO116" s="446">
        <v>1</v>
      </c>
      <c r="IP116" s="902">
        <v>3</v>
      </c>
      <c r="IQ116" s="903">
        <v>0</v>
      </c>
      <c r="IR116" s="993">
        <v>0</v>
      </c>
      <c r="IT116" s="435"/>
      <c r="IU116" s="435"/>
      <c r="IV116" s="435"/>
    </row>
    <row r="117" spans="1:256">
      <c r="A117" s="21">
        <v>115</v>
      </c>
      <c r="B117" s="9"/>
      <c r="C117" s="430" t="s">
        <v>180</v>
      </c>
      <c r="D117" s="424" t="s">
        <v>409</v>
      </c>
      <c r="E117" s="24" t="s">
        <v>12</v>
      </c>
      <c r="F117" s="76" t="s">
        <v>852</v>
      </c>
      <c r="G117" s="102" t="s">
        <v>576</v>
      </c>
      <c r="H117" s="375" t="s">
        <v>1775</v>
      </c>
      <c r="I117" s="364" t="s">
        <v>2095</v>
      </c>
      <c r="J117" s="176">
        <v>2</v>
      </c>
      <c r="K117" s="88">
        <v>1859</v>
      </c>
      <c r="L117" s="371">
        <v>2</v>
      </c>
      <c r="M117" s="240" t="s">
        <v>1841</v>
      </c>
      <c r="N117" s="172" t="s">
        <v>1822</v>
      </c>
      <c r="O117" s="365" t="s">
        <v>3282</v>
      </c>
      <c r="P117" s="362" t="s">
        <v>2086</v>
      </c>
      <c r="Q117" s="370">
        <v>4</v>
      </c>
      <c r="R117" s="176">
        <v>1960</v>
      </c>
      <c r="S117" s="234" t="s">
        <v>1842</v>
      </c>
      <c r="T117" s="176">
        <v>1</v>
      </c>
      <c r="U117" s="176">
        <v>1</v>
      </c>
      <c r="V117" s="176">
        <v>18</v>
      </c>
      <c r="W117" s="369" t="s">
        <v>1822</v>
      </c>
      <c r="X117" s="170">
        <v>1</v>
      </c>
      <c r="Y117" s="369">
        <v>0</v>
      </c>
      <c r="Z117" s="271"/>
      <c r="AA117" s="169">
        <v>1</v>
      </c>
      <c r="AB117" s="177">
        <v>1</v>
      </c>
      <c r="AC117" s="171"/>
      <c r="AD117" s="366" t="s">
        <v>3283</v>
      </c>
      <c r="AE117" s="357">
        <v>2015</v>
      </c>
      <c r="AF117" s="357">
        <v>2</v>
      </c>
      <c r="AG117" s="550" t="s">
        <v>4272</v>
      </c>
      <c r="AH117" s="355" t="s">
        <v>2802</v>
      </c>
      <c r="AI117" s="55">
        <v>0</v>
      </c>
      <c r="AJ117" s="550">
        <v>0</v>
      </c>
      <c r="AK117" s="590" t="s">
        <v>145</v>
      </c>
      <c r="AL117" s="391">
        <v>10</v>
      </c>
      <c r="AM117" s="361" t="s">
        <v>2810</v>
      </c>
      <c r="AN117" s="342" t="s">
        <v>145</v>
      </c>
      <c r="AO117" s="170">
        <v>1</v>
      </c>
      <c r="AP117" s="172">
        <v>1</v>
      </c>
      <c r="AQ117" s="365" t="s">
        <v>5406</v>
      </c>
      <c r="AR117" s="362" t="s">
        <v>4934</v>
      </c>
      <c r="AS117" s="55">
        <v>1</v>
      </c>
      <c r="AT117" s="370">
        <v>3</v>
      </c>
      <c r="AU117" s="371">
        <v>2008</v>
      </c>
      <c r="AV117" s="370">
        <v>5</v>
      </c>
      <c r="AW117" s="589" t="s">
        <v>145</v>
      </c>
      <c r="AX117" s="687">
        <v>0</v>
      </c>
      <c r="AY117" s="174" t="s">
        <v>4533</v>
      </c>
      <c r="AZ117" s="550">
        <v>1996</v>
      </c>
      <c r="BA117" s="550">
        <v>1</v>
      </c>
      <c r="BB117" s="550">
        <v>2</v>
      </c>
      <c r="BC117" s="174" t="s">
        <v>4534</v>
      </c>
      <c r="BD117" s="550">
        <v>2005</v>
      </c>
      <c r="BE117" s="550">
        <v>1</v>
      </c>
      <c r="BF117" s="367" t="s">
        <v>323</v>
      </c>
      <c r="BG117" s="367">
        <v>0</v>
      </c>
      <c r="BH117" s="56" t="s">
        <v>145</v>
      </c>
      <c r="BI117" s="367">
        <v>3</v>
      </c>
      <c r="BJ117" s="367">
        <v>1</v>
      </c>
      <c r="BK117" s="888">
        <v>127017.224</v>
      </c>
      <c r="BL117" s="925">
        <f t="shared" si="103"/>
        <v>50.257575303330512</v>
      </c>
      <c r="BM117" s="888">
        <v>63181.447</v>
      </c>
      <c r="BN117" s="920">
        <v>63835.777000000002</v>
      </c>
      <c r="BO117" s="888">
        <v>11616.909</v>
      </c>
      <c r="BP117" s="1158">
        <f t="shared" si="78"/>
        <v>48.912804602325799</v>
      </c>
      <c r="BQ117" s="917">
        <v>5934.7529999999997</v>
      </c>
      <c r="BR117" s="920">
        <v>5682.1559999999999</v>
      </c>
      <c r="BS117" s="888">
        <v>11606.866</v>
      </c>
      <c r="BT117" s="1158">
        <f t="shared" si="79"/>
        <v>48.887942705636476</v>
      </c>
      <c r="BU117" s="917">
        <v>5932.5079999999998</v>
      </c>
      <c r="BV117" s="920">
        <v>5674.3580000000002</v>
      </c>
      <c r="BW117" s="888">
        <v>11839.884</v>
      </c>
      <c r="BX117" s="1158">
        <f t="shared" si="80"/>
        <v>49.0865028745214</v>
      </c>
      <c r="BY117" s="917">
        <v>6028.0990000000002</v>
      </c>
      <c r="BZ117" s="920">
        <v>5811.7849999999999</v>
      </c>
      <c r="CA117" s="888">
        <f t="shared" si="81"/>
        <v>91953.565000000002</v>
      </c>
      <c r="CB117" s="1158">
        <f t="shared" si="82"/>
        <v>50.751135097372249</v>
      </c>
      <c r="CC117" s="917">
        <f t="shared" si="83"/>
        <v>45286.087</v>
      </c>
      <c r="CD117" s="920">
        <f t="shared" si="84"/>
        <v>46667.478000000003</v>
      </c>
      <c r="CE117" s="914">
        <v>2015</v>
      </c>
      <c r="CF117" s="910" t="s">
        <v>5630</v>
      </c>
      <c r="CG117" s="930">
        <v>93.4</v>
      </c>
      <c r="CH117" s="504">
        <v>93.4</v>
      </c>
      <c r="CI117" s="1008">
        <v>93.4</v>
      </c>
      <c r="CJ117" s="904">
        <v>97.7</v>
      </c>
      <c r="CK117" s="904">
        <v>82.4</v>
      </c>
      <c r="CL117" s="904">
        <v>2009</v>
      </c>
      <c r="CM117" s="905" t="s">
        <v>5584</v>
      </c>
      <c r="CN117" s="1044">
        <f>CP117+CQ117</f>
        <v>80086.543999999994</v>
      </c>
      <c r="CO117" s="1045">
        <f t="shared" si="104"/>
        <v>63.051719662838792</v>
      </c>
      <c r="CP117" s="1049">
        <v>38529.932999999997</v>
      </c>
      <c r="CQ117" s="1050">
        <v>41556.610999999997</v>
      </c>
      <c r="CR117" s="1046">
        <v>2016</v>
      </c>
      <c r="CS117" s="1047" t="s">
        <v>5947</v>
      </c>
      <c r="CT117" s="1068">
        <f t="shared" si="105"/>
        <v>18</v>
      </c>
      <c r="CU117" s="1071">
        <v>18</v>
      </c>
      <c r="CV117" s="1068" t="s">
        <v>5951</v>
      </c>
      <c r="CW117" s="1113">
        <v>83563.19</v>
      </c>
      <c r="CX117" s="1113">
        <v>81488.135999999999</v>
      </c>
      <c r="CY117" s="1113">
        <v>121736.80899999999</v>
      </c>
      <c r="CZ117" s="1048">
        <v>10</v>
      </c>
      <c r="DA117" s="1104">
        <v>4</v>
      </c>
      <c r="DB117" s="1050" t="s">
        <v>647</v>
      </c>
      <c r="DC117" s="1146" t="s">
        <v>322</v>
      </c>
      <c r="DD117" s="978">
        <f t="shared" si="91"/>
        <v>14181.222494000007</v>
      </c>
      <c r="DE117" s="979">
        <f t="shared" si="106"/>
        <v>11.164802731005999</v>
      </c>
      <c r="DF117" s="979">
        <f t="shared" si="92"/>
        <v>44.02987638507043</v>
      </c>
      <c r="DG117" s="980">
        <f t="shared" si="93"/>
        <v>7937.247760000002</v>
      </c>
      <c r="DH117" s="980">
        <f t="shared" si="94"/>
        <v>6243.9747340000049</v>
      </c>
      <c r="DI117" s="979">
        <f t="shared" si="107"/>
        <v>12.562624214668592</v>
      </c>
      <c r="DJ117" s="981">
        <f t="shared" si="108"/>
        <v>9.7813092084709883</v>
      </c>
      <c r="DK117" s="984">
        <f t="shared" si="109"/>
        <v>11867.021000000008</v>
      </c>
      <c r="DL117" s="979">
        <f t="shared" si="95"/>
        <v>43.067817946896717</v>
      </c>
      <c r="DM117" s="980">
        <f t="shared" si="110"/>
        <v>6756.1540000000023</v>
      </c>
      <c r="DN117" s="985">
        <f t="shared" si="111"/>
        <v>5110.8670000000056</v>
      </c>
      <c r="DO117" s="984">
        <f t="shared" si="112"/>
        <v>1547.4854999999989</v>
      </c>
      <c r="DP117" s="979">
        <f t="shared" si="96"/>
        <v>48.988209453335749</v>
      </c>
      <c r="DQ117" s="980">
        <f t="shared" si="85"/>
        <v>789.40006199999937</v>
      </c>
      <c r="DR117" s="985">
        <f t="shared" si="86"/>
        <v>758.08543799999939</v>
      </c>
      <c r="DS117" s="984">
        <f t="shared" si="113"/>
        <v>766.71599399999934</v>
      </c>
      <c r="DT117" s="339">
        <f t="shared" si="97"/>
        <v>48.912804602325807</v>
      </c>
      <c r="DU117" s="980">
        <f t="shared" si="87"/>
        <v>391.69369799999964</v>
      </c>
      <c r="DV117" s="985">
        <f t="shared" si="88"/>
        <v>375.0222959999997</v>
      </c>
      <c r="DW117" s="979">
        <f t="shared" si="89"/>
        <v>6.5999999999999943</v>
      </c>
      <c r="DX117" s="981">
        <f t="shared" si="90"/>
        <v>6.5999999999999943</v>
      </c>
      <c r="DY117" s="414">
        <v>0.72</v>
      </c>
      <c r="DZ117" s="111">
        <v>2010</v>
      </c>
      <c r="EA117" s="118" t="e">
        <f>#REF!*DY117/100</f>
        <v>#REF!</v>
      </c>
      <c r="EB117" s="123">
        <v>51.3</v>
      </c>
      <c r="EC117" s="113">
        <v>2010</v>
      </c>
      <c r="ED117" s="20">
        <v>58888.983932999996</v>
      </c>
      <c r="EE117" s="414">
        <v>52.3</v>
      </c>
      <c r="EF117" s="111" t="s">
        <v>145</v>
      </c>
      <c r="EG117" s="380">
        <v>94.228401184082003</v>
      </c>
      <c r="EH117" s="24" t="s">
        <v>358</v>
      </c>
      <c r="EI117" s="287">
        <v>3</v>
      </c>
      <c r="EJ117" s="40">
        <v>3</v>
      </c>
      <c r="EK117" s="35" t="s">
        <v>145</v>
      </c>
      <c r="EL117" s="95" t="s">
        <v>145</v>
      </c>
      <c r="EM117" s="95" t="s">
        <v>145</v>
      </c>
      <c r="EN117" s="35" t="s">
        <v>145</v>
      </c>
      <c r="EO117" s="95" t="s">
        <v>1657</v>
      </c>
      <c r="EP117" s="205">
        <v>0</v>
      </c>
      <c r="EQ117" s="207">
        <v>0.93</v>
      </c>
      <c r="ER117" s="517">
        <v>1</v>
      </c>
      <c r="ES117" s="183" t="s">
        <v>145</v>
      </c>
      <c r="ET117" s="183" t="s">
        <v>3799</v>
      </c>
      <c r="EU117" s="82" t="s">
        <v>145</v>
      </c>
      <c r="EV117" s="82" t="s">
        <v>145</v>
      </c>
      <c r="EW117" s="82" t="s">
        <v>145</v>
      </c>
      <c r="EX117" s="360" t="s">
        <v>145</v>
      </c>
      <c r="EY117" s="159">
        <v>103263388</v>
      </c>
      <c r="EZ117" s="156">
        <v>2005</v>
      </c>
      <c r="FA117" s="323">
        <v>76.5</v>
      </c>
      <c r="FB117" s="323">
        <v>23.5</v>
      </c>
      <c r="FC117" s="323">
        <v>47</v>
      </c>
      <c r="FD117" s="231" t="s">
        <v>1774</v>
      </c>
      <c r="FE117" s="156">
        <v>91.6</v>
      </c>
      <c r="FF117" s="156" t="s">
        <v>1673</v>
      </c>
      <c r="FG117" s="156">
        <v>14.2</v>
      </c>
      <c r="FH117" s="157" t="s">
        <v>318</v>
      </c>
      <c r="FI117" s="242">
        <v>4</v>
      </c>
      <c r="FJ117" s="240" t="s">
        <v>1841</v>
      </c>
      <c r="FK117" s="179" t="s">
        <v>145</v>
      </c>
      <c r="FL117" s="236" t="s">
        <v>1842</v>
      </c>
      <c r="FM117" s="179" t="s">
        <v>1822</v>
      </c>
      <c r="FN117" s="351" t="s">
        <v>1842</v>
      </c>
      <c r="FO117" s="366" t="s">
        <v>1776</v>
      </c>
      <c r="FP117" s="255">
        <v>1</v>
      </c>
      <c r="FQ117" s="183" t="s">
        <v>1907</v>
      </c>
      <c r="FR117" s="257">
        <v>1</v>
      </c>
      <c r="FS117" s="82" t="s">
        <v>1702</v>
      </c>
      <c r="FT117" s="259">
        <v>1</v>
      </c>
      <c r="FU117" s="82" t="s">
        <v>1908</v>
      </c>
      <c r="FV117" s="259"/>
      <c r="FW117" s="82"/>
      <c r="FX117" s="259">
        <v>1</v>
      </c>
      <c r="FY117" s="82" t="s">
        <v>1909</v>
      </c>
      <c r="FZ117" s="259"/>
      <c r="GA117" s="82"/>
      <c r="GB117" s="261">
        <v>1</v>
      </c>
      <c r="GC117" s="90" t="s">
        <v>1910</v>
      </c>
      <c r="GD117" s="76">
        <v>1</v>
      </c>
      <c r="GE117" s="445" t="s">
        <v>3424</v>
      </c>
      <c r="GF117" s="447" t="s">
        <v>590</v>
      </c>
      <c r="GG117" s="448">
        <v>3</v>
      </c>
      <c r="GH117" s="449">
        <v>3</v>
      </c>
      <c r="GI117" s="447" t="s">
        <v>590</v>
      </c>
      <c r="GJ117" s="449">
        <v>39</v>
      </c>
      <c r="GK117" s="447">
        <v>10</v>
      </c>
      <c r="GL117" s="448">
        <v>10</v>
      </c>
      <c r="GM117" s="449">
        <v>19</v>
      </c>
      <c r="GN117" s="447" t="s">
        <v>580</v>
      </c>
      <c r="GO117" s="449">
        <v>61</v>
      </c>
      <c r="GP117" s="447">
        <v>16</v>
      </c>
      <c r="GQ117" s="448">
        <v>31</v>
      </c>
      <c r="GR117" s="449">
        <v>14</v>
      </c>
      <c r="GS117" s="446">
        <v>8</v>
      </c>
      <c r="GT117" s="461">
        <v>7.9359062016010284E-2</v>
      </c>
      <c r="GU117" s="462">
        <v>-0.73759126663208008</v>
      </c>
      <c r="GV117" s="462">
        <v>0.30737176537513733</v>
      </c>
      <c r="GW117" s="462">
        <v>0.45819807052612305</v>
      </c>
      <c r="GX117" s="462">
        <v>-0.57790684700012207</v>
      </c>
      <c r="GY117" s="463">
        <v>-0.47636392712593079</v>
      </c>
      <c r="GZ117" s="10">
        <v>63</v>
      </c>
      <c r="HA117" s="536">
        <v>0.57330000000000003</v>
      </c>
      <c r="HB117" s="536">
        <v>0.60784000000000005</v>
      </c>
      <c r="HC117" s="525">
        <v>0.66141000000000005</v>
      </c>
      <c r="HD117" s="526">
        <v>0.31392999999999999</v>
      </c>
      <c r="HE117" s="527">
        <v>0.74450000000000005</v>
      </c>
      <c r="HF117" s="10">
        <v>95</v>
      </c>
      <c r="HG117" s="532">
        <v>4.29</v>
      </c>
      <c r="HH117" s="545">
        <v>4.8</v>
      </c>
      <c r="HI117" s="546">
        <v>2.4500000000000002</v>
      </c>
      <c r="HJ117" s="547">
        <v>6.96</v>
      </c>
      <c r="HK117" s="558" t="s">
        <v>4083</v>
      </c>
      <c r="HL117" s="585" t="s">
        <v>4839</v>
      </c>
      <c r="HM117" s="557">
        <v>2010</v>
      </c>
      <c r="HN117" s="557">
        <v>2010</v>
      </c>
      <c r="HO117" s="557" t="s">
        <v>3985</v>
      </c>
      <c r="HP117" s="562" t="s">
        <v>4084</v>
      </c>
      <c r="HQ117" s="639" t="s">
        <v>4840</v>
      </c>
      <c r="HR117" s="563" t="s">
        <v>4085</v>
      </c>
      <c r="HS117" s="545">
        <v>7</v>
      </c>
      <c r="HT117" s="557">
        <v>117</v>
      </c>
      <c r="HU117" s="557">
        <v>2002</v>
      </c>
      <c r="HV117" s="583" t="s">
        <v>4220</v>
      </c>
      <c r="HW117" s="557">
        <v>6</v>
      </c>
      <c r="HX117" s="557">
        <v>22</v>
      </c>
      <c r="HY117" s="557">
        <v>23</v>
      </c>
      <c r="HZ117" s="557">
        <v>22</v>
      </c>
      <c r="IA117" s="557">
        <v>26</v>
      </c>
      <c r="IB117" s="557">
        <v>2</v>
      </c>
      <c r="IC117" s="547">
        <v>16</v>
      </c>
      <c r="ID117" s="660"/>
      <c r="IE117" s="355" t="s">
        <v>5200</v>
      </c>
      <c r="IF117" s="355" t="s">
        <v>5202</v>
      </c>
      <c r="IG117" s="553"/>
      <c r="IH117" s="339"/>
      <c r="II117" s="553" t="s">
        <v>4922</v>
      </c>
      <c r="IJ117" s="424" t="s">
        <v>4926</v>
      </c>
      <c r="IK117" s="24">
        <v>0</v>
      </c>
      <c r="IL117" s="749">
        <f t="shared" si="114"/>
        <v>17</v>
      </c>
      <c r="IM117" s="747">
        <f t="shared" si="115"/>
        <v>68</v>
      </c>
      <c r="IN117" s="750" t="str">
        <f t="shared" si="116"/>
        <v>B</v>
      </c>
      <c r="IO117" s="446"/>
      <c r="IP117" s="902">
        <v>3</v>
      </c>
      <c r="IQ117" s="903">
        <v>2</v>
      </c>
      <c r="IR117" s="993">
        <v>1</v>
      </c>
      <c r="IT117" s="435"/>
      <c r="IU117" s="435"/>
      <c r="IV117" s="435"/>
    </row>
    <row r="118" spans="1:256">
      <c r="A118" s="21">
        <v>116</v>
      </c>
      <c r="B118" s="9"/>
      <c r="C118" s="430" t="s">
        <v>182</v>
      </c>
      <c r="D118" s="424" t="s">
        <v>407</v>
      </c>
      <c r="E118" s="24" t="s">
        <v>20</v>
      </c>
      <c r="F118" s="76" t="s">
        <v>853</v>
      </c>
      <c r="G118" s="102" t="s">
        <v>501</v>
      </c>
      <c r="H118" s="375" t="s">
        <v>2370</v>
      </c>
      <c r="I118" s="364" t="s">
        <v>2371</v>
      </c>
      <c r="J118" s="370">
        <v>1</v>
      </c>
      <c r="K118" s="359">
        <v>1979</v>
      </c>
      <c r="L118" s="371">
        <v>2</v>
      </c>
      <c r="M118" s="373" t="s">
        <v>2369</v>
      </c>
      <c r="N118" s="369" t="s">
        <v>1822</v>
      </c>
      <c r="O118" s="379" t="s">
        <v>145</v>
      </c>
      <c r="P118" s="362" t="s">
        <v>145</v>
      </c>
      <c r="Q118" s="370">
        <v>0</v>
      </c>
      <c r="R118" s="370" t="s">
        <v>145</v>
      </c>
      <c r="S118" s="372" t="s">
        <v>145</v>
      </c>
      <c r="T118" s="370">
        <v>0</v>
      </c>
      <c r="U118" s="370">
        <v>0</v>
      </c>
      <c r="V118" s="370" t="s">
        <v>145</v>
      </c>
      <c r="W118" s="369" t="s">
        <v>145</v>
      </c>
      <c r="X118" s="170">
        <v>0</v>
      </c>
      <c r="Y118" s="369">
        <v>0</v>
      </c>
      <c r="Z118" s="271"/>
      <c r="AA118" s="169"/>
      <c r="AB118" s="177"/>
      <c r="AC118" s="171"/>
      <c r="AD118" s="376" t="s">
        <v>145</v>
      </c>
      <c r="AE118" s="355" t="s">
        <v>145</v>
      </c>
      <c r="AF118" s="357">
        <v>0</v>
      </c>
      <c r="AG118" s="550">
        <v>0</v>
      </c>
      <c r="AH118" s="355" t="s">
        <v>145</v>
      </c>
      <c r="AI118" s="550" t="s">
        <v>145</v>
      </c>
      <c r="AJ118" s="550" t="s">
        <v>145</v>
      </c>
      <c r="AK118" s="590" t="s">
        <v>145</v>
      </c>
      <c r="AL118" s="357">
        <v>0</v>
      </c>
      <c r="AM118" s="360" t="s">
        <v>145</v>
      </c>
      <c r="AN118" s="384" t="s">
        <v>145</v>
      </c>
      <c r="AO118" s="170">
        <v>0</v>
      </c>
      <c r="AP118" s="369">
        <v>0</v>
      </c>
      <c r="AQ118" s="365" t="s">
        <v>5407</v>
      </c>
      <c r="AR118" s="362" t="s">
        <v>5408</v>
      </c>
      <c r="AS118" s="55">
        <v>1</v>
      </c>
      <c r="AT118" s="370">
        <v>1</v>
      </c>
      <c r="AU118" s="371">
        <v>2007</v>
      </c>
      <c r="AV118" s="370">
        <v>5</v>
      </c>
      <c r="AW118" s="589" t="s">
        <v>145</v>
      </c>
      <c r="AX118" s="687">
        <v>0</v>
      </c>
      <c r="AY118" s="174" t="s">
        <v>4535</v>
      </c>
      <c r="AZ118" s="550">
        <v>2010</v>
      </c>
      <c r="BA118" s="550">
        <v>1</v>
      </c>
      <c r="BB118" s="550">
        <v>0</v>
      </c>
      <c r="BC118" s="108" t="s">
        <v>145</v>
      </c>
      <c r="BD118" s="550" t="s">
        <v>145</v>
      </c>
      <c r="BE118" s="550">
        <v>0</v>
      </c>
      <c r="BF118" s="371" t="s">
        <v>145</v>
      </c>
      <c r="BG118" s="371">
        <v>0</v>
      </c>
      <c r="BH118" s="56" t="s">
        <v>145</v>
      </c>
      <c r="BI118" s="371">
        <v>0</v>
      </c>
      <c r="BJ118" s="371">
        <v>0</v>
      </c>
      <c r="BK118" s="888">
        <v>104.46</v>
      </c>
      <c r="BL118" s="925">
        <f t="shared" si="103"/>
        <v>48.774650583955584</v>
      </c>
      <c r="BM118" s="888">
        <v>53.51</v>
      </c>
      <c r="BN118" s="920">
        <v>50.95</v>
      </c>
      <c r="BO118" s="888">
        <v>11.57</v>
      </c>
      <c r="BP118" s="1158">
        <f t="shared" si="78"/>
        <v>48.28867761452031</v>
      </c>
      <c r="BQ118" s="917">
        <v>5.9829999999999997</v>
      </c>
      <c r="BR118" s="920">
        <v>5.5869999999999997</v>
      </c>
      <c r="BS118" s="888">
        <v>11.557</v>
      </c>
      <c r="BT118" s="1158">
        <f t="shared" si="79"/>
        <v>48.169940295924548</v>
      </c>
      <c r="BU118" s="917">
        <v>5.99</v>
      </c>
      <c r="BV118" s="920">
        <v>5.5670000000000002</v>
      </c>
      <c r="BW118" s="888">
        <v>12.461</v>
      </c>
      <c r="BX118" s="1158">
        <f t="shared" si="80"/>
        <v>48.238504132894633</v>
      </c>
      <c r="BY118" s="917">
        <v>6.45</v>
      </c>
      <c r="BZ118" s="920">
        <v>6.0110000000000001</v>
      </c>
      <c r="CA118" s="888">
        <f t="shared" si="81"/>
        <v>68.871999999999986</v>
      </c>
      <c r="CB118" s="1158">
        <f t="shared" si="82"/>
        <v>49.054768265768388</v>
      </c>
      <c r="CC118" s="917">
        <f t="shared" si="83"/>
        <v>35.086999999999996</v>
      </c>
      <c r="CD118" s="920">
        <f t="shared" si="84"/>
        <v>33.784999999999997</v>
      </c>
      <c r="CE118" s="914">
        <v>2015</v>
      </c>
      <c r="CF118" s="910" t="s">
        <v>5630</v>
      </c>
      <c r="CG118" s="931">
        <v>20</v>
      </c>
      <c r="CH118" s="504">
        <v>20</v>
      </c>
      <c r="CI118" s="1008">
        <v>20</v>
      </c>
      <c r="CJ118" s="906" t="s">
        <v>1621</v>
      </c>
      <c r="CK118" s="906" t="s">
        <v>1621</v>
      </c>
      <c r="CL118" s="906">
        <v>2014</v>
      </c>
      <c r="CM118" s="1002" t="s">
        <v>5717</v>
      </c>
      <c r="CN118" s="1125">
        <v>63.353999999999999</v>
      </c>
      <c r="CO118" s="1045">
        <f t="shared" si="104"/>
        <v>60.649052268811033</v>
      </c>
      <c r="CP118" s="1040">
        <f>IF(OR(CZ118=1,CZ118=10),CN118*(1-BL118/100),IF(DA118=6,CN118*(1-BL118/100),CN118*(1-CB118/100)))</f>
        <v>32.453307869040778</v>
      </c>
      <c r="CQ118" s="1041">
        <f>IF(OR(CZ118=1,CZ118=10),CN118*BL118/100,IF(DA118=6,CN118*BL118/100,CN118*CB118/100))</f>
        <v>30.900692130959218</v>
      </c>
      <c r="CR118" s="1046">
        <v>2013</v>
      </c>
      <c r="CS118" s="1047" t="s">
        <v>5952</v>
      </c>
      <c r="CT118" s="1068" t="str">
        <f t="shared" si="105"/>
        <v>-</v>
      </c>
      <c r="CU118" s="1071">
        <v>18</v>
      </c>
      <c r="CV118" s="1068" t="s">
        <v>5957</v>
      </c>
      <c r="CW118" s="1113">
        <v>92</v>
      </c>
      <c r="CX118" s="1113">
        <v>63.353999999999999</v>
      </c>
      <c r="CY118" s="1113">
        <v>106.104</v>
      </c>
      <c r="CZ118" s="494">
        <v>1</v>
      </c>
      <c r="DA118" s="1104">
        <v>4</v>
      </c>
      <c r="DB118" s="1050" t="s">
        <v>647</v>
      </c>
      <c r="DC118" s="1146" t="s">
        <v>322</v>
      </c>
      <c r="DD118" s="978">
        <f t="shared" si="91"/>
        <v>33.988399999999992</v>
      </c>
      <c r="DE118" s="979">
        <f t="shared" si="106"/>
        <v>32.537239134596966</v>
      </c>
      <c r="DF118" s="979">
        <f t="shared" si="92"/>
        <v>48.888173226867949</v>
      </c>
      <c r="DG118" s="980">
        <f t="shared" si="93"/>
        <v>17.372092130959221</v>
      </c>
      <c r="DH118" s="980">
        <f t="shared" si="94"/>
        <v>16.616307869040781</v>
      </c>
      <c r="DI118" s="979">
        <f t="shared" si="107"/>
        <v>32.465131995812413</v>
      </c>
      <c r="DJ118" s="981">
        <f t="shared" si="108"/>
        <v>32.612969320982884</v>
      </c>
      <c r="DK118" s="984">
        <f t="shared" si="109"/>
        <v>5.5179999999999865</v>
      </c>
      <c r="DL118" s="979">
        <f t="shared" si="95"/>
        <v>52.270892878593436</v>
      </c>
      <c r="DM118" s="980">
        <f t="shared" si="110"/>
        <v>2.6336921309592185</v>
      </c>
      <c r="DN118" s="985">
        <f t="shared" si="111"/>
        <v>2.8843078690407786</v>
      </c>
      <c r="DO118" s="984">
        <f t="shared" si="112"/>
        <v>19.214400000000005</v>
      </c>
      <c r="DP118" s="979">
        <f t="shared" si="96"/>
        <v>48.205512532267456</v>
      </c>
      <c r="DQ118" s="980">
        <f t="shared" si="85"/>
        <v>9.9520000000000017</v>
      </c>
      <c r="DR118" s="985">
        <f t="shared" si="86"/>
        <v>9.2624000000000013</v>
      </c>
      <c r="DS118" s="984">
        <f t="shared" si="113"/>
        <v>9.2560000000000002</v>
      </c>
      <c r="DT118" s="339">
        <f t="shared" si="97"/>
        <v>48.28867761452031</v>
      </c>
      <c r="DU118" s="980">
        <f t="shared" si="87"/>
        <v>4.7863999999999995</v>
      </c>
      <c r="DV118" s="985">
        <f t="shared" si="88"/>
        <v>4.4695999999999998</v>
      </c>
      <c r="DW118" s="979">
        <f t="shared" si="89"/>
        <v>80</v>
      </c>
      <c r="DX118" s="981">
        <f t="shared" si="90"/>
        <v>80</v>
      </c>
      <c r="DY118" s="414">
        <v>31.2</v>
      </c>
      <c r="DZ118" s="111">
        <v>2000</v>
      </c>
      <c r="EA118" s="368">
        <v>34.801104000000002</v>
      </c>
      <c r="EB118" s="123" t="s">
        <v>145</v>
      </c>
      <c r="EC118" s="113" t="s">
        <v>145</v>
      </c>
      <c r="ED118" s="20"/>
      <c r="EE118" s="414">
        <v>26.7</v>
      </c>
      <c r="EF118" s="121">
        <v>2000</v>
      </c>
      <c r="EG118" s="380" t="s">
        <v>145</v>
      </c>
      <c r="EH118" s="24" t="s">
        <v>335</v>
      </c>
      <c r="EI118" s="288">
        <v>0</v>
      </c>
      <c r="EJ118" s="40" t="s">
        <v>145</v>
      </c>
      <c r="EK118" s="355" t="s">
        <v>145</v>
      </c>
      <c r="EL118" s="364" t="s">
        <v>145</v>
      </c>
      <c r="EM118" s="364" t="s">
        <v>145</v>
      </c>
      <c r="EN118" s="355" t="s">
        <v>145</v>
      </c>
      <c r="EO118" s="364" t="s">
        <v>145</v>
      </c>
      <c r="EP118" s="205" t="s">
        <v>145</v>
      </c>
      <c r="EQ118" s="207" t="s">
        <v>145</v>
      </c>
      <c r="ER118" s="517" t="s">
        <v>145</v>
      </c>
      <c r="ES118" s="183"/>
      <c r="ET118" s="183"/>
      <c r="EU118" s="82"/>
      <c r="EV118" s="82"/>
      <c r="EW118" s="82"/>
      <c r="EX118" s="360"/>
      <c r="EY118" s="159"/>
      <c r="EZ118" s="156"/>
      <c r="FA118" s="323"/>
      <c r="FB118" s="323"/>
      <c r="FC118" s="323"/>
      <c r="FD118" s="160"/>
      <c r="FE118" s="156"/>
      <c r="FF118" s="156"/>
      <c r="FG118" s="156"/>
      <c r="FH118" s="157"/>
      <c r="FI118" s="242"/>
      <c r="FJ118" s="373"/>
      <c r="FK118" s="179"/>
      <c r="FL118" s="179"/>
      <c r="FM118" s="179"/>
      <c r="FN118" s="369"/>
      <c r="FO118" s="164"/>
      <c r="FP118" s="255"/>
      <c r="FQ118" s="183"/>
      <c r="FR118" s="257"/>
      <c r="FS118" s="82"/>
      <c r="FT118" s="259"/>
      <c r="FU118" s="82"/>
      <c r="FV118" s="259"/>
      <c r="FW118" s="82"/>
      <c r="FX118" s="259"/>
      <c r="FY118" s="82"/>
      <c r="FZ118" s="259"/>
      <c r="GA118" s="82"/>
      <c r="GB118" s="261"/>
      <c r="GC118" s="360"/>
      <c r="GD118" s="76">
        <v>2</v>
      </c>
      <c r="GE118" s="445" t="s">
        <v>3433</v>
      </c>
      <c r="GF118" s="447" t="s">
        <v>10</v>
      </c>
      <c r="GG118" s="448">
        <v>1</v>
      </c>
      <c r="GH118" s="449">
        <v>1</v>
      </c>
      <c r="GI118" s="447" t="s">
        <v>145</v>
      </c>
      <c r="GJ118" s="449" t="s">
        <v>145</v>
      </c>
      <c r="GK118" s="447" t="s">
        <v>145</v>
      </c>
      <c r="GL118" s="448" t="s">
        <v>145</v>
      </c>
      <c r="GM118" s="449" t="s">
        <v>145</v>
      </c>
      <c r="GN118" s="447" t="s">
        <v>10</v>
      </c>
      <c r="GO118" s="449">
        <v>21</v>
      </c>
      <c r="GP118" s="447">
        <v>2</v>
      </c>
      <c r="GQ118" s="448">
        <v>8</v>
      </c>
      <c r="GR118" s="449">
        <v>11</v>
      </c>
      <c r="GS118" s="446"/>
      <c r="GT118" s="461">
        <v>1.0192474126815796</v>
      </c>
      <c r="GU118" s="462">
        <v>1.1106219291687012</v>
      </c>
      <c r="GV118" s="462">
        <v>-0.55926614999771118</v>
      </c>
      <c r="GW118" s="462">
        <v>-0.96833431720733643</v>
      </c>
      <c r="GX118" s="462">
        <v>7.4277207255363464E-2</v>
      </c>
      <c r="GY118" s="463">
        <v>-0.16874107718467712</v>
      </c>
      <c r="GZ118" s="10">
        <v>130</v>
      </c>
      <c r="HA118" s="536">
        <v>0.33371000000000001</v>
      </c>
      <c r="HB118" s="536">
        <v>0.25490000000000002</v>
      </c>
      <c r="HC118" s="525">
        <v>0.18897</v>
      </c>
      <c r="HD118" s="526">
        <v>0.10985</v>
      </c>
      <c r="HE118" s="527">
        <v>0.70230000000000004</v>
      </c>
      <c r="HF118" s="10" t="s">
        <v>145</v>
      </c>
      <c r="HG118" s="532" t="s">
        <v>145</v>
      </c>
      <c r="HH118" s="524" t="s">
        <v>145</v>
      </c>
      <c r="HI118" s="525" t="s">
        <v>145</v>
      </c>
      <c r="HJ118" s="527" t="s">
        <v>145</v>
      </c>
      <c r="HK118" s="558" t="s">
        <v>145</v>
      </c>
      <c r="HL118" s="82" t="s">
        <v>145</v>
      </c>
      <c r="HM118" s="557" t="s">
        <v>145</v>
      </c>
      <c r="HN118" s="557" t="s">
        <v>145</v>
      </c>
      <c r="HO118" s="526" t="s">
        <v>145</v>
      </c>
      <c r="HP118" s="564" t="s">
        <v>145</v>
      </c>
      <c r="HQ118" s="564" t="s">
        <v>145</v>
      </c>
      <c r="HR118" s="565" t="s">
        <v>145</v>
      </c>
      <c r="HS118" s="524" t="s">
        <v>145</v>
      </c>
      <c r="HT118" s="526" t="s">
        <v>145</v>
      </c>
      <c r="HU118" s="526" t="s">
        <v>145</v>
      </c>
      <c r="HV118" s="582" t="s">
        <v>145</v>
      </c>
      <c r="HW118" s="526" t="s">
        <v>145</v>
      </c>
      <c r="HX118" s="526" t="s">
        <v>145</v>
      </c>
      <c r="HY118" s="526" t="s">
        <v>145</v>
      </c>
      <c r="HZ118" s="526" t="s">
        <v>145</v>
      </c>
      <c r="IA118" s="526" t="s">
        <v>145</v>
      </c>
      <c r="IB118" s="526" t="s">
        <v>145</v>
      </c>
      <c r="IC118" s="527" t="s">
        <v>145</v>
      </c>
      <c r="ID118" s="660"/>
      <c r="IE118" s="550"/>
      <c r="IF118" s="550"/>
      <c r="IG118" s="553">
        <v>1</v>
      </c>
      <c r="IH118" s="339"/>
      <c r="II118" s="553" t="s">
        <v>4921</v>
      </c>
      <c r="IJ118" s="424" t="s">
        <v>4926</v>
      </c>
      <c r="IK118" s="24">
        <v>1</v>
      </c>
      <c r="IL118" s="749">
        <f t="shared" si="114"/>
        <v>4</v>
      </c>
      <c r="IM118" s="747">
        <f t="shared" si="115"/>
        <v>16</v>
      </c>
      <c r="IN118" s="750" t="str">
        <f t="shared" si="116"/>
        <v>D</v>
      </c>
      <c r="IO118" s="446"/>
      <c r="IP118" s="902">
        <v>1</v>
      </c>
      <c r="IQ118" s="903">
        <v>0</v>
      </c>
      <c r="IR118" s="993">
        <v>0</v>
      </c>
      <c r="IT118" s="435"/>
      <c r="IU118" s="435"/>
      <c r="IV118" s="435"/>
    </row>
    <row r="119" spans="1:256">
      <c r="A119" s="21">
        <v>117</v>
      </c>
      <c r="B119" s="9"/>
      <c r="C119" s="431" t="s">
        <v>183</v>
      </c>
      <c r="D119" s="424" t="s">
        <v>408</v>
      </c>
      <c r="E119" s="24" t="s">
        <v>20</v>
      </c>
      <c r="F119" s="76" t="s">
        <v>854</v>
      </c>
      <c r="G119" s="102" t="s">
        <v>563</v>
      </c>
      <c r="H119" s="365" t="s">
        <v>2372</v>
      </c>
      <c r="I119" s="364" t="s">
        <v>2373</v>
      </c>
      <c r="J119" s="370">
        <v>6</v>
      </c>
      <c r="K119" s="359">
        <v>1993</v>
      </c>
      <c r="L119" s="371">
        <v>2</v>
      </c>
      <c r="M119" s="373" t="s">
        <v>2322</v>
      </c>
      <c r="N119" s="369" t="s">
        <v>1822</v>
      </c>
      <c r="O119" s="365" t="s">
        <v>2035</v>
      </c>
      <c r="P119" s="378" t="s">
        <v>2033</v>
      </c>
      <c r="Q119" s="370">
        <v>5</v>
      </c>
      <c r="R119" s="370">
        <v>1996</v>
      </c>
      <c r="S119" s="372" t="s">
        <v>2074</v>
      </c>
      <c r="T119" s="370">
        <v>2</v>
      </c>
      <c r="U119" s="370">
        <v>2</v>
      </c>
      <c r="V119" s="370">
        <v>0</v>
      </c>
      <c r="W119" s="351" t="s">
        <v>2037</v>
      </c>
      <c r="X119" s="170">
        <v>0</v>
      </c>
      <c r="Y119" s="369">
        <v>0</v>
      </c>
      <c r="Z119" s="273" t="s">
        <v>2034</v>
      </c>
      <c r="AA119" s="169"/>
      <c r="AB119" s="177"/>
      <c r="AC119" s="171"/>
      <c r="AD119" s="365" t="s">
        <v>2035</v>
      </c>
      <c r="AE119" s="357">
        <v>2010</v>
      </c>
      <c r="AF119" s="357">
        <v>2</v>
      </c>
      <c r="AG119" s="550" t="s">
        <v>4272</v>
      </c>
      <c r="AH119" s="355" t="s">
        <v>2899</v>
      </c>
      <c r="AI119" s="550">
        <v>0</v>
      </c>
      <c r="AJ119" s="550">
        <v>0</v>
      </c>
      <c r="AK119" s="590" t="s">
        <v>145</v>
      </c>
      <c r="AL119" s="395">
        <v>9</v>
      </c>
      <c r="AM119" s="361" t="s">
        <v>2900</v>
      </c>
      <c r="AN119" s="342" t="s">
        <v>145</v>
      </c>
      <c r="AO119" s="170">
        <v>0</v>
      </c>
      <c r="AP119" s="369">
        <v>0</v>
      </c>
      <c r="AQ119" s="365" t="s">
        <v>5269</v>
      </c>
      <c r="AR119" s="378" t="s">
        <v>5270</v>
      </c>
      <c r="AS119" s="55">
        <v>2</v>
      </c>
      <c r="AT119" s="370">
        <v>5</v>
      </c>
      <c r="AU119" s="371">
        <v>2008</v>
      </c>
      <c r="AV119" s="370">
        <v>5</v>
      </c>
      <c r="AW119" s="589" t="s">
        <v>145</v>
      </c>
      <c r="AX119" s="687">
        <v>1</v>
      </c>
      <c r="AY119" s="174" t="s">
        <v>4536</v>
      </c>
      <c r="AZ119" s="550">
        <v>2007</v>
      </c>
      <c r="BA119" s="550">
        <v>1</v>
      </c>
      <c r="BB119" s="550">
        <v>2</v>
      </c>
      <c r="BC119" s="174" t="s">
        <v>4537</v>
      </c>
      <c r="BD119" s="550">
        <v>2006</v>
      </c>
      <c r="BE119" s="550">
        <v>2</v>
      </c>
      <c r="BF119" s="371" t="s">
        <v>2748</v>
      </c>
      <c r="BG119" s="371">
        <v>1</v>
      </c>
      <c r="BH119" s="1" t="s">
        <v>4538</v>
      </c>
      <c r="BI119" s="371">
        <v>3</v>
      </c>
      <c r="BJ119" s="371">
        <v>1</v>
      </c>
      <c r="BK119" s="888">
        <v>4068.8969999999999</v>
      </c>
      <c r="BL119" s="925">
        <f t="shared" si="103"/>
        <v>51.931469388387072</v>
      </c>
      <c r="BM119" s="888">
        <v>1955.8589999999999</v>
      </c>
      <c r="BN119" s="920">
        <v>2113.038</v>
      </c>
      <c r="BO119" s="888">
        <v>222.93100000000001</v>
      </c>
      <c r="BP119" s="1158">
        <f t="shared" si="78"/>
        <v>48.364292090377738</v>
      </c>
      <c r="BQ119" s="917">
        <v>115.11199999999999</v>
      </c>
      <c r="BR119" s="920">
        <v>107.819</v>
      </c>
      <c r="BS119" s="888">
        <v>216.04300000000001</v>
      </c>
      <c r="BT119" s="1158">
        <f t="shared" si="79"/>
        <v>48.677809510143817</v>
      </c>
      <c r="BU119" s="917">
        <v>110.878</v>
      </c>
      <c r="BV119" s="920">
        <v>105.16500000000001</v>
      </c>
      <c r="BW119" s="888">
        <v>201.202</v>
      </c>
      <c r="BX119" s="1158">
        <f t="shared" si="80"/>
        <v>48.331527519607157</v>
      </c>
      <c r="BY119" s="917">
        <v>103.958</v>
      </c>
      <c r="BZ119" s="920">
        <v>97.244</v>
      </c>
      <c r="CA119" s="888">
        <f t="shared" si="81"/>
        <v>3428.7209999999995</v>
      </c>
      <c r="CB119" s="1158">
        <f t="shared" si="82"/>
        <v>52.579664545467551</v>
      </c>
      <c r="CC119" s="917">
        <f t="shared" si="83"/>
        <v>1625.9109999999998</v>
      </c>
      <c r="CD119" s="920">
        <f t="shared" si="84"/>
        <v>1802.8100000000002</v>
      </c>
      <c r="CE119" s="914">
        <v>2015</v>
      </c>
      <c r="CF119" s="910" t="s">
        <v>5630</v>
      </c>
      <c r="CG119" s="930">
        <v>99.6</v>
      </c>
      <c r="CH119" s="495">
        <v>99.2</v>
      </c>
      <c r="CI119" s="497">
        <v>99.9</v>
      </c>
      <c r="CJ119" s="904">
        <v>99.7</v>
      </c>
      <c r="CK119" s="904">
        <v>99.5</v>
      </c>
      <c r="CL119" s="904">
        <v>2012</v>
      </c>
      <c r="CM119" s="905" t="s">
        <v>5573</v>
      </c>
      <c r="CN119" s="1044">
        <v>3938.404</v>
      </c>
      <c r="CO119" s="1045">
        <f t="shared" si="104"/>
        <v>96.792914640011773</v>
      </c>
      <c r="CP119" s="1049">
        <v>1895.443</v>
      </c>
      <c r="CQ119" s="1050">
        <v>2042.961</v>
      </c>
      <c r="CR119" s="1046">
        <v>2016</v>
      </c>
      <c r="CS119" s="1047" t="s">
        <v>5649</v>
      </c>
      <c r="CT119" s="1068">
        <f t="shared" si="105"/>
        <v>0</v>
      </c>
      <c r="CU119" s="1071">
        <v>18</v>
      </c>
      <c r="CV119" s="1117" t="s">
        <v>5953</v>
      </c>
      <c r="CW119" s="1113">
        <v>2956.27</v>
      </c>
      <c r="CX119" s="1113">
        <v>2804.0889999999999</v>
      </c>
      <c r="CY119" s="1113">
        <v>3583.288</v>
      </c>
      <c r="CZ119" s="1048">
        <v>20</v>
      </c>
      <c r="DA119" s="1104">
        <v>6</v>
      </c>
      <c r="DB119" s="1050" t="s">
        <v>647</v>
      </c>
      <c r="DC119" s="1146" t="s">
        <v>322</v>
      </c>
      <c r="DD119" s="978">
        <f t="shared" si="91"/>
        <v>130.49299999999994</v>
      </c>
      <c r="DE119" s="979">
        <f t="shared" si="106"/>
        <v>3.2070853599882216</v>
      </c>
      <c r="DF119" s="979">
        <f t="shared" si="92"/>
        <v>53.701731127340189</v>
      </c>
      <c r="DG119" s="980">
        <f t="shared" si="93"/>
        <v>60.41599999999994</v>
      </c>
      <c r="DH119" s="980">
        <f t="shared" si="94"/>
        <v>70.076999999999998</v>
      </c>
      <c r="DI119" s="979">
        <f t="shared" si="107"/>
        <v>3.0889752277643705</v>
      </c>
      <c r="DJ119" s="981">
        <f t="shared" si="108"/>
        <v>3.3164098326674676</v>
      </c>
      <c r="DK119" s="984">
        <f t="shared" si="109"/>
        <v>127.93229599999994</v>
      </c>
      <c r="DL119" s="979">
        <f t="shared" si="95"/>
        <v>54.534135774441253</v>
      </c>
      <c r="DM119" s="980">
        <f t="shared" si="110"/>
        <v>57.776415999999941</v>
      </c>
      <c r="DN119" s="985">
        <f t="shared" si="111"/>
        <v>69.766772000000032</v>
      </c>
      <c r="DO119" s="984">
        <f t="shared" si="112"/>
        <v>1.6689800000000017</v>
      </c>
      <c r="DP119" s="979">
        <f t="shared" si="96"/>
        <v>12.127706743039312</v>
      </c>
      <c r="DQ119" s="980">
        <f t="shared" si="85"/>
        <v>1.7186880000000015</v>
      </c>
      <c r="DR119" s="985">
        <f t="shared" si="86"/>
        <v>0.20240899999997769</v>
      </c>
      <c r="DS119" s="984">
        <f t="shared" si="113"/>
        <v>0.89172400000000085</v>
      </c>
      <c r="DT119" s="339">
        <f t="shared" si="97"/>
        <v>12.091073022593092</v>
      </c>
      <c r="DU119" s="980">
        <f t="shared" si="87"/>
        <v>0.92089600000000083</v>
      </c>
      <c r="DV119" s="985">
        <f t="shared" si="88"/>
        <v>0.10781899999998813</v>
      </c>
      <c r="DW119" s="979">
        <f t="shared" si="89"/>
        <v>0.80000000000000071</v>
      </c>
      <c r="DX119" s="981">
        <f t="shared" si="90"/>
        <v>9.9999999999988987E-2</v>
      </c>
      <c r="DY119" s="414">
        <v>0.39</v>
      </c>
      <c r="DZ119" s="111">
        <v>2010</v>
      </c>
      <c r="EA119" s="368">
        <v>14</v>
      </c>
      <c r="EB119" s="123">
        <v>21.9</v>
      </c>
      <c r="EC119" s="113">
        <v>2010</v>
      </c>
      <c r="ED119" s="20">
        <v>779.42099999999994</v>
      </c>
      <c r="EE119" s="414">
        <v>21.9</v>
      </c>
      <c r="EF119" s="111">
        <v>2010</v>
      </c>
      <c r="EG119" s="380">
        <v>99.068099975585895</v>
      </c>
      <c r="EH119" s="24" t="s">
        <v>355</v>
      </c>
      <c r="EI119" s="287">
        <v>3</v>
      </c>
      <c r="EJ119" s="40" t="s">
        <v>145</v>
      </c>
      <c r="EK119" s="355" t="s">
        <v>145</v>
      </c>
      <c r="EL119" s="364" t="s">
        <v>145</v>
      </c>
      <c r="EM119" s="364" t="s">
        <v>145</v>
      </c>
      <c r="EN119" s="355" t="s">
        <v>145</v>
      </c>
      <c r="EO119" s="364" t="s">
        <v>145</v>
      </c>
      <c r="EP119" s="205" t="s">
        <v>145</v>
      </c>
      <c r="EQ119" s="207" t="s">
        <v>145</v>
      </c>
      <c r="ER119" s="517">
        <v>3</v>
      </c>
      <c r="ES119" s="183" t="s">
        <v>145</v>
      </c>
      <c r="ET119" s="183" t="s">
        <v>145</v>
      </c>
      <c r="EU119" s="82" t="s">
        <v>3826</v>
      </c>
      <c r="EV119" s="82" t="s">
        <v>145</v>
      </c>
      <c r="EW119" s="82" t="s">
        <v>3858</v>
      </c>
      <c r="EX119" s="360" t="s">
        <v>3790</v>
      </c>
      <c r="EY119" s="159"/>
      <c r="EZ119" s="156"/>
      <c r="FA119" s="323"/>
      <c r="FB119" s="323"/>
      <c r="FC119" s="323"/>
      <c r="FD119" s="160"/>
      <c r="FE119" s="156"/>
      <c r="FF119" s="156"/>
      <c r="FG119" s="156"/>
      <c r="FH119" s="157"/>
      <c r="FI119" s="242"/>
      <c r="FJ119" s="373"/>
      <c r="FK119" s="179"/>
      <c r="FL119" s="179"/>
      <c r="FM119" s="179"/>
      <c r="FN119" s="369"/>
      <c r="FO119" s="164"/>
      <c r="FP119" s="255"/>
      <c r="FQ119" s="183"/>
      <c r="FR119" s="257"/>
      <c r="FS119" s="82"/>
      <c r="FT119" s="259"/>
      <c r="FU119" s="82"/>
      <c r="FV119" s="259"/>
      <c r="FW119" s="82"/>
      <c r="FX119" s="259"/>
      <c r="FY119" s="82"/>
      <c r="FZ119" s="259"/>
      <c r="GA119" s="82"/>
      <c r="GB119" s="261"/>
      <c r="GC119" s="360"/>
      <c r="GD119" s="76">
        <v>1</v>
      </c>
      <c r="GE119" s="445" t="s">
        <v>3424</v>
      </c>
      <c r="GF119" s="447" t="s">
        <v>590</v>
      </c>
      <c r="GG119" s="448">
        <v>3</v>
      </c>
      <c r="GH119" s="449">
        <v>3</v>
      </c>
      <c r="GI119" s="447" t="s">
        <v>145</v>
      </c>
      <c r="GJ119" s="449" t="s">
        <v>145</v>
      </c>
      <c r="GK119" s="447" t="s">
        <v>145</v>
      </c>
      <c r="GL119" s="448" t="s">
        <v>145</v>
      </c>
      <c r="GM119" s="449" t="s">
        <v>145</v>
      </c>
      <c r="GN119" s="447" t="s">
        <v>590</v>
      </c>
      <c r="GO119" s="449">
        <v>53</v>
      </c>
      <c r="GP119" s="447">
        <v>16</v>
      </c>
      <c r="GQ119" s="448">
        <v>18</v>
      </c>
      <c r="GR119" s="449">
        <v>19</v>
      </c>
      <c r="GS119" s="446">
        <v>9</v>
      </c>
      <c r="GT119" s="461">
        <v>-0.10569439828395844</v>
      </c>
      <c r="GU119" s="462">
        <v>-3.3760715276002884E-2</v>
      </c>
      <c r="GV119" s="462">
        <v>-0.39882823824882507</v>
      </c>
      <c r="GW119" s="462">
        <v>-8.6876533925533295E-2</v>
      </c>
      <c r="GX119" s="462">
        <v>-0.41016432642936707</v>
      </c>
      <c r="GY119" s="463">
        <v>-0.73916435241699219</v>
      </c>
      <c r="GZ119" s="10">
        <v>66</v>
      </c>
      <c r="HA119" s="536">
        <v>0.55708000000000002</v>
      </c>
      <c r="HB119" s="536">
        <v>0.62744999999999995</v>
      </c>
      <c r="HC119" s="525">
        <v>0.52754999999999996</v>
      </c>
      <c r="HD119" s="526">
        <v>0.42354999999999998</v>
      </c>
      <c r="HE119" s="527">
        <v>0.72009999999999996</v>
      </c>
      <c r="HF119" s="10">
        <v>61</v>
      </c>
      <c r="HG119" s="532">
        <v>5.72</v>
      </c>
      <c r="HH119" s="545">
        <v>6.56</v>
      </c>
      <c r="HI119" s="546">
        <v>3.94</v>
      </c>
      <c r="HJ119" s="547">
        <v>7.57</v>
      </c>
      <c r="HK119" s="558" t="s">
        <v>4050</v>
      </c>
      <c r="HL119" s="585" t="s">
        <v>4797</v>
      </c>
      <c r="HM119" s="557">
        <v>2007</v>
      </c>
      <c r="HN119" s="557">
        <v>2007</v>
      </c>
      <c r="HO119" s="557" t="s">
        <v>3985</v>
      </c>
      <c r="HP119" s="562" t="s">
        <v>4086</v>
      </c>
      <c r="HQ119" s="639" t="s">
        <v>4798</v>
      </c>
      <c r="HR119" s="563" t="s">
        <v>4087</v>
      </c>
      <c r="HS119" s="545">
        <v>16</v>
      </c>
      <c r="HT119" s="557">
        <v>110</v>
      </c>
      <c r="HU119" s="557">
        <v>2000</v>
      </c>
      <c r="HV119" s="583" t="s">
        <v>4221</v>
      </c>
      <c r="HW119" s="557">
        <v>5</v>
      </c>
      <c r="HX119" s="557">
        <v>28</v>
      </c>
      <c r="HY119" s="557">
        <v>23</v>
      </c>
      <c r="HZ119" s="557">
        <v>23</v>
      </c>
      <c r="IA119" s="557">
        <v>17</v>
      </c>
      <c r="IB119" s="557">
        <v>4</v>
      </c>
      <c r="IC119" s="547">
        <v>10</v>
      </c>
      <c r="ID119" s="660"/>
      <c r="IE119" s="550"/>
      <c r="IF119" s="550"/>
      <c r="IG119" s="553"/>
      <c r="IH119" s="339"/>
      <c r="II119" s="553" t="s">
        <v>4923</v>
      </c>
      <c r="IJ119" s="424" t="s">
        <v>4926</v>
      </c>
      <c r="IK119" s="24">
        <v>0</v>
      </c>
      <c r="IL119" s="749">
        <f t="shared" si="114"/>
        <v>22</v>
      </c>
      <c r="IM119" s="747">
        <f t="shared" si="115"/>
        <v>88</v>
      </c>
      <c r="IN119" s="750" t="str">
        <f t="shared" si="116"/>
        <v>A</v>
      </c>
      <c r="IO119" s="446"/>
      <c r="IP119" s="902">
        <v>6</v>
      </c>
      <c r="IQ119" s="903">
        <v>0</v>
      </c>
      <c r="IR119" s="993">
        <v>0</v>
      </c>
      <c r="IT119" s="435"/>
      <c r="IU119" s="435"/>
      <c r="IV119" s="435"/>
    </row>
    <row r="120" spans="1:256">
      <c r="A120" s="21">
        <v>118</v>
      </c>
      <c r="B120" s="9"/>
      <c r="C120" s="430" t="s">
        <v>185</v>
      </c>
      <c r="D120" s="424"/>
      <c r="E120" s="24" t="s">
        <v>17</v>
      </c>
      <c r="F120" s="76" t="s">
        <v>855</v>
      </c>
      <c r="G120" s="102" t="s">
        <v>562</v>
      </c>
      <c r="H120" s="375" t="s">
        <v>2375</v>
      </c>
      <c r="I120" s="95" t="s">
        <v>2376</v>
      </c>
      <c r="J120" s="370">
        <v>5</v>
      </c>
      <c r="K120" s="88">
        <v>1861</v>
      </c>
      <c r="L120" s="371">
        <v>2</v>
      </c>
      <c r="M120" s="373" t="s">
        <v>2374</v>
      </c>
      <c r="N120" s="369" t="s">
        <v>1822</v>
      </c>
      <c r="O120" s="365" t="s">
        <v>2860</v>
      </c>
      <c r="P120" s="362" t="s">
        <v>2861</v>
      </c>
      <c r="Q120" s="370">
        <v>6</v>
      </c>
      <c r="R120" s="370">
        <v>2009</v>
      </c>
      <c r="S120" s="372" t="s">
        <v>3284</v>
      </c>
      <c r="T120" s="370">
        <v>1</v>
      </c>
      <c r="U120" s="370">
        <v>1</v>
      </c>
      <c r="V120" s="370">
        <v>18</v>
      </c>
      <c r="W120" s="369" t="s">
        <v>1822</v>
      </c>
      <c r="X120" s="170">
        <v>0</v>
      </c>
      <c r="Y120" s="369">
        <v>0</v>
      </c>
      <c r="Z120" s="273" t="s">
        <v>2038</v>
      </c>
      <c r="AA120" s="169">
        <v>1</v>
      </c>
      <c r="AB120" s="177">
        <v>1</v>
      </c>
      <c r="AC120" s="171"/>
      <c r="AD120" s="366" t="s">
        <v>3285</v>
      </c>
      <c r="AE120" s="357">
        <v>2009</v>
      </c>
      <c r="AF120" s="804">
        <v>2</v>
      </c>
      <c r="AG120" s="550">
        <v>4</v>
      </c>
      <c r="AH120" s="355" t="s">
        <v>2787</v>
      </c>
      <c r="AI120" s="55">
        <v>0</v>
      </c>
      <c r="AJ120" s="550">
        <v>0</v>
      </c>
      <c r="AK120" s="590" t="s">
        <v>145</v>
      </c>
      <c r="AL120" s="391">
        <v>3</v>
      </c>
      <c r="AM120" s="361" t="s">
        <v>3286</v>
      </c>
      <c r="AN120" s="384" t="s">
        <v>145</v>
      </c>
      <c r="AO120" s="170">
        <v>0</v>
      </c>
      <c r="AP120" s="369">
        <v>0</v>
      </c>
      <c r="AQ120" s="365" t="s">
        <v>5271</v>
      </c>
      <c r="AR120" s="378" t="s">
        <v>5272</v>
      </c>
      <c r="AS120" s="55">
        <v>2</v>
      </c>
      <c r="AT120" s="370">
        <v>2</v>
      </c>
      <c r="AU120" s="371">
        <v>2005</v>
      </c>
      <c r="AV120" s="370">
        <v>5</v>
      </c>
      <c r="AW120" s="589">
        <v>18</v>
      </c>
      <c r="AX120" s="687">
        <v>1</v>
      </c>
      <c r="AY120" s="174" t="s">
        <v>4462</v>
      </c>
      <c r="AZ120" s="550">
        <v>2011</v>
      </c>
      <c r="BA120" s="550">
        <v>1</v>
      </c>
      <c r="BB120" s="550">
        <v>2</v>
      </c>
      <c r="BC120" s="174" t="s">
        <v>4539</v>
      </c>
      <c r="BD120" s="550">
        <v>2008</v>
      </c>
      <c r="BE120" s="550">
        <v>2</v>
      </c>
      <c r="BF120" s="371" t="s">
        <v>4396</v>
      </c>
      <c r="BG120" s="371">
        <v>1</v>
      </c>
      <c r="BH120" s="1" t="s">
        <v>4540</v>
      </c>
      <c r="BI120" s="371">
        <v>3</v>
      </c>
      <c r="BJ120" s="371">
        <v>0</v>
      </c>
      <c r="BK120" s="888">
        <v>37.799999999999997</v>
      </c>
      <c r="BL120" s="925">
        <f t="shared" si="103"/>
        <v>55.7</v>
      </c>
      <c r="BM120" s="911">
        <v>16.745399999999997</v>
      </c>
      <c r="BN120" s="921">
        <v>21.054600000000001</v>
      </c>
      <c r="BO120" s="911">
        <v>1.028</v>
      </c>
      <c r="BP120" s="1159">
        <f t="shared" si="78"/>
        <v>48.638132295719842</v>
      </c>
      <c r="BQ120" s="918">
        <v>0.52800000000000002</v>
      </c>
      <c r="BR120" s="921">
        <v>0.5</v>
      </c>
      <c r="BS120" s="911">
        <v>1.18</v>
      </c>
      <c r="BT120" s="1159">
        <f t="shared" si="79"/>
        <v>49.152542372881349</v>
      </c>
      <c r="BU120" s="918">
        <v>0.6</v>
      </c>
      <c r="BV120" s="921">
        <v>0.57999999999999996</v>
      </c>
      <c r="BW120" s="911">
        <v>1.3599999999999999</v>
      </c>
      <c r="BX120" s="1159">
        <f t="shared" si="80"/>
        <v>48.529411764705884</v>
      </c>
      <c r="BY120" s="918">
        <v>0.7</v>
      </c>
      <c r="BZ120" s="921">
        <v>0.66</v>
      </c>
      <c r="CA120" s="911">
        <f t="shared" si="81"/>
        <v>34.231999999999999</v>
      </c>
      <c r="CB120" s="1159">
        <f t="shared" si="82"/>
        <v>56.42264547791541</v>
      </c>
      <c r="CC120" s="918">
        <f t="shared" si="83"/>
        <v>14.917399999999999</v>
      </c>
      <c r="CD120" s="921">
        <f t="shared" si="84"/>
        <v>19.314600000000002</v>
      </c>
      <c r="CE120" s="927">
        <v>2014</v>
      </c>
      <c r="CF120" s="926" t="s">
        <v>5687</v>
      </c>
      <c r="CG120" s="930">
        <v>100</v>
      </c>
      <c r="CH120" s="1005">
        <v>100</v>
      </c>
      <c r="CI120" s="1006">
        <v>100</v>
      </c>
      <c r="CJ120" s="904" t="s">
        <v>1621</v>
      </c>
      <c r="CK120" s="904" t="s">
        <v>1621</v>
      </c>
      <c r="CL120" s="904">
        <v>2006</v>
      </c>
      <c r="CM120" s="905" t="s">
        <v>5576</v>
      </c>
      <c r="CN120" s="1044">
        <v>6.8250000000000002</v>
      </c>
      <c r="CO120" s="1045">
        <f t="shared" si="104"/>
        <v>18.055555555555557</v>
      </c>
      <c r="CP120" s="1040">
        <f t="shared" ref="CP120:CP125" si="119">IF(OR(CZ120=1,CZ120=10),CN120*(1-BL120/100),IF(DA120=6,CN120*(1-BL120/100),CN120*(1-CB120/100)))</f>
        <v>3.0234749999999999</v>
      </c>
      <c r="CQ120" s="1041">
        <f t="shared" ref="CQ120:CQ125" si="120">IF(OR(CZ120=1,CZ120=10),CN120*BL120/100,IF(DA120=6,CN120*BL120/100,CN120*CB120/100))</f>
        <v>3.8015250000000003</v>
      </c>
      <c r="CR120" s="1046">
        <v>2013</v>
      </c>
      <c r="CS120" s="1047" t="s">
        <v>5954</v>
      </c>
      <c r="CT120" s="1068">
        <f t="shared" si="105"/>
        <v>18</v>
      </c>
      <c r="CU120" s="1071">
        <v>18</v>
      </c>
      <c r="CV120" s="1068" t="s">
        <v>5958</v>
      </c>
      <c r="CW120" s="1113">
        <v>6.8250000000000002</v>
      </c>
      <c r="CX120" s="1113">
        <v>25.597000000000001</v>
      </c>
      <c r="CY120" s="1113">
        <v>30.51</v>
      </c>
      <c r="CZ120" s="494">
        <v>1</v>
      </c>
      <c r="DA120" s="1104">
        <v>4</v>
      </c>
      <c r="DB120" s="1050" t="s">
        <v>647</v>
      </c>
      <c r="DC120" s="1145" t="s">
        <v>323</v>
      </c>
      <c r="DD120" s="1131">
        <f t="shared" si="91"/>
        <v>27.407</v>
      </c>
      <c r="DE120" s="1132">
        <f t="shared" si="106"/>
        <v>72.505291005290999</v>
      </c>
      <c r="DF120" s="1132">
        <f t="shared" si="92"/>
        <v>56.602601525157816</v>
      </c>
      <c r="DG120" s="1133">
        <f t="shared" si="93"/>
        <v>11.893924999999999</v>
      </c>
      <c r="DH120" s="1133">
        <f t="shared" si="94"/>
        <v>15.513075000000002</v>
      </c>
      <c r="DI120" s="1132">
        <f t="shared" si="107"/>
        <v>71.028013663453862</v>
      </c>
      <c r="DJ120" s="1134">
        <f t="shared" si="108"/>
        <v>73.680217149696517</v>
      </c>
      <c r="DK120" s="1135">
        <f t="shared" si="109"/>
        <v>27.407</v>
      </c>
      <c r="DL120" s="1132">
        <f t="shared" si="95"/>
        <v>56.602601525157816</v>
      </c>
      <c r="DM120" s="1133">
        <f t="shared" si="110"/>
        <v>11.893924999999999</v>
      </c>
      <c r="DN120" s="1136">
        <f t="shared" si="111"/>
        <v>15.513075000000002</v>
      </c>
      <c r="DO120" s="1135">
        <f t="shared" si="112"/>
        <v>0</v>
      </c>
      <c r="DP120" s="1132">
        <f t="shared" si="96"/>
        <v>0</v>
      </c>
      <c r="DQ120" s="1133">
        <f t="shared" si="85"/>
        <v>0</v>
      </c>
      <c r="DR120" s="1136">
        <f t="shared" si="86"/>
        <v>0</v>
      </c>
      <c r="DS120" s="1135">
        <f t="shared" si="113"/>
        <v>0</v>
      </c>
      <c r="DT120" s="1137">
        <f t="shared" si="97"/>
        <v>0</v>
      </c>
      <c r="DU120" s="1133">
        <f t="shared" si="87"/>
        <v>0</v>
      </c>
      <c r="DV120" s="1136">
        <f t="shared" si="88"/>
        <v>0</v>
      </c>
      <c r="DW120" s="1132">
        <f t="shared" si="89"/>
        <v>0</v>
      </c>
      <c r="DX120" s="1134">
        <f t="shared" si="90"/>
        <v>0</v>
      </c>
      <c r="DY120" s="414" t="s">
        <v>145</v>
      </c>
      <c r="DZ120" s="111" t="s">
        <v>145</v>
      </c>
      <c r="EA120" s="118"/>
      <c r="EB120" s="123" t="s">
        <v>145</v>
      </c>
      <c r="EC120" s="113" t="s">
        <v>145</v>
      </c>
      <c r="ED120" s="20"/>
      <c r="EE120" s="414" t="s">
        <v>145</v>
      </c>
      <c r="EF120" s="111" t="s">
        <v>145</v>
      </c>
      <c r="EG120" s="380" t="s">
        <v>145</v>
      </c>
      <c r="EH120" s="24" t="s">
        <v>372</v>
      </c>
      <c r="EI120" s="287">
        <v>0</v>
      </c>
      <c r="EJ120" s="40" t="s">
        <v>145</v>
      </c>
      <c r="EK120" s="35" t="s">
        <v>145</v>
      </c>
      <c r="EL120" s="95" t="s">
        <v>145</v>
      </c>
      <c r="EM120" s="95" t="s">
        <v>145</v>
      </c>
      <c r="EN120" s="35" t="s">
        <v>145</v>
      </c>
      <c r="EO120" s="95" t="s">
        <v>145</v>
      </c>
      <c r="EP120" s="205" t="s">
        <v>145</v>
      </c>
      <c r="EQ120" s="207" t="s">
        <v>145</v>
      </c>
      <c r="ER120" s="517" t="s">
        <v>145</v>
      </c>
      <c r="ES120" s="183"/>
      <c r="ET120" s="183"/>
      <c r="EU120" s="82"/>
      <c r="EV120" s="82"/>
      <c r="EW120" s="82"/>
      <c r="EX120" s="90"/>
      <c r="EY120" s="159"/>
      <c r="EZ120" s="156"/>
      <c r="FA120" s="323"/>
      <c r="FB120" s="323"/>
      <c r="FC120" s="323"/>
      <c r="FD120" s="160"/>
      <c r="FE120" s="156"/>
      <c r="FF120" s="156"/>
      <c r="FG120" s="156"/>
      <c r="FH120" s="157"/>
      <c r="FI120" s="242"/>
      <c r="FJ120" s="373"/>
      <c r="FK120" s="179"/>
      <c r="FL120" s="179"/>
      <c r="FM120" s="179"/>
      <c r="FN120" s="369"/>
      <c r="FO120" s="164"/>
      <c r="FP120" s="255"/>
      <c r="FQ120" s="183"/>
      <c r="FR120" s="257"/>
      <c r="FS120" s="82"/>
      <c r="FT120" s="259"/>
      <c r="FU120" s="82"/>
      <c r="FV120" s="259"/>
      <c r="FW120" s="82"/>
      <c r="FX120" s="259"/>
      <c r="FY120" s="82"/>
      <c r="FZ120" s="259"/>
      <c r="GA120" s="82"/>
      <c r="GB120" s="261"/>
      <c r="GC120" s="90"/>
      <c r="GD120" s="76">
        <v>1</v>
      </c>
      <c r="GE120" s="445" t="s">
        <v>3424</v>
      </c>
      <c r="GF120" s="447" t="s">
        <v>10</v>
      </c>
      <c r="GG120" s="448">
        <v>2</v>
      </c>
      <c r="GH120" s="449">
        <v>1</v>
      </c>
      <c r="GI120" s="447" t="s">
        <v>145</v>
      </c>
      <c r="GJ120" s="449" t="s">
        <v>145</v>
      </c>
      <c r="GK120" s="447" t="s">
        <v>145</v>
      </c>
      <c r="GL120" s="448" t="s">
        <v>145</v>
      </c>
      <c r="GM120" s="449" t="s">
        <v>145</v>
      </c>
      <c r="GN120" s="447" t="s">
        <v>10</v>
      </c>
      <c r="GO120" s="449">
        <v>15</v>
      </c>
      <c r="GP120" s="447">
        <v>3</v>
      </c>
      <c r="GQ120" s="448">
        <v>6</v>
      </c>
      <c r="GR120" s="449">
        <v>6</v>
      </c>
      <c r="GS120" s="446"/>
      <c r="GT120" s="461">
        <v>0.83401262760162354</v>
      </c>
      <c r="GU120" s="462">
        <v>1.0605484247207642</v>
      </c>
      <c r="GV120" s="462" t="e">
        <v>#N/A</v>
      </c>
      <c r="GW120" s="462" t="e">
        <v>#N/A</v>
      </c>
      <c r="GX120" s="462">
        <v>0.94137513637542725</v>
      </c>
      <c r="GY120" s="463" t="e">
        <v>#N/A</v>
      </c>
      <c r="GZ120" s="10">
        <v>38</v>
      </c>
      <c r="HA120" s="536">
        <v>0.67147999999999997</v>
      </c>
      <c r="HB120" s="536">
        <v>9.8030000000000006E-2</v>
      </c>
      <c r="HC120" s="525">
        <v>0.22047</v>
      </c>
      <c r="HD120" s="526">
        <v>1</v>
      </c>
      <c r="HE120" s="527">
        <v>0.79400000000000004</v>
      </c>
      <c r="HF120" s="10">
        <v>15</v>
      </c>
      <c r="HG120" s="532">
        <v>7.93</v>
      </c>
      <c r="HH120" s="545">
        <v>8.31</v>
      </c>
      <c r="HI120" s="546">
        <v>7.29</v>
      </c>
      <c r="HJ120" s="547">
        <v>8.4499999999999993</v>
      </c>
      <c r="HK120" s="558" t="s">
        <v>4088</v>
      </c>
      <c r="HL120" s="585" t="s">
        <v>4799</v>
      </c>
      <c r="HM120" s="557">
        <v>1993</v>
      </c>
      <c r="HN120" s="557">
        <v>2009</v>
      </c>
      <c r="HO120" s="557" t="s">
        <v>3985</v>
      </c>
      <c r="HP120" s="562" t="s">
        <v>4089</v>
      </c>
      <c r="HQ120" s="639" t="s">
        <v>4858</v>
      </c>
      <c r="HR120" s="563" t="s">
        <v>4010</v>
      </c>
      <c r="HS120" s="545" t="s">
        <v>145</v>
      </c>
      <c r="HT120" s="557" t="s">
        <v>145</v>
      </c>
      <c r="HU120" s="557" t="s">
        <v>145</v>
      </c>
      <c r="HV120" s="581" t="s">
        <v>145</v>
      </c>
      <c r="HW120" s="557" t="s">
        <v>145</v>
      </c>
      <c r="HX120" s="557" t="s">
        <v>145</v>
      </c>
      <c r="HY120" s="557" t="s">
        <v>145</v>
      </c>
      <c r="HZ120" s="557" t="s">
        <v>145</v>
      </c>
      <c r="IA120" s="557" t="s">
        <v>145</v>
      </c>
      <c r="IB120" s="557" t="s">
        <v>145</v>
      </c>
      <c r="IC120" s="547" t="s">
        <v>145</v>
      </c>
      <c r="ID120" s="660" t="s">
        <v>5020</v>
      </c>
      <c r="IE120" s="550"/>
      <c r="IF120" s="550"/>
      <c r="IG120" s="553"/>
      <c r="IH120" s="339"/>
      <c r="II120" s="553" t="s">
        <v>4920</v>
      </c>
      <c r="IJ120" s="424" t="s">
        <v>4926</v>
      </c>
      <c r="IK120" s="24">
        <v>1</v>
      </c>
      <c r="IL120" s="749">
        <f t="shared" si="114"/>
        <v>21</v>
      </c>
      <c r="IM120" s="747">
        <f t="shared" si="115"/>
        <v>84</v>
      </c>
      <c r="IN120" s="750" t="str">
        <f t="shared" si="116"/>
        <v>A</v>
      </c>
      <c r="IO120" s="446"/>
      <c r="IP120" s="902">
        <v>4</v>
      </c>
      <c r="IQ120" s="903">
        <v>0</v>
      </c>
      <c r="IR120" s="993">
        <v>0</v>
      </c>
      <c r="IT120" s="435"/>
      <c r="IU120" s="435"/>
      <c r="IV120" s="435"/>
    </row>
    <row r="121" spans="1:256">
      <c r="A121" s="21">
        <v>119</v>
      </c>
      <c r="B121" s="9"/>
      <c r="C121" s="430" t="s">
        <v>186</v>
      </c>
      <c r="D121" s="424" t="s">
        <v>407</v>
      </c>
      <c r="E121" s="24" t="s">
        <v>20</v>
      </c>
      <c r="F121" s="76" t="s">
        <v>856</v>
      </c>
      <c r="G121" s="102" t="s">
        <v>569</v>
      </c>
      <c r="H121" s="375" t="s">
        <v>2377</v>
      </c>
      <c r="I121" s="364" t="s">
        <v>2379</v>
      </c>
      <c r="J121" s="176">
        <v>1</v>
      </c>
      <c r="K121" s="88">
        <v>1918</v>
      </c>
      <c r="L121" s="371">
        <v>2</v>
      </c>
      <c r="M121" s="240" t="s">
        <v>2378</v>
      </c>
      <c r="N121" s="369" t="s">
        <v>1822</v>
      </c>
      <c r="O121" s="365" t="s">
        <v>3287</v>
      </c>
      <c r="P121" s="364" t="s">
        <v>2379</v>
      </c>
      <c r="Q121" s="176">
        <v>1</v>
      </c>
      <c r="R121" s="370">
        <v>1999</v>
      </c>
      <c r="S121" s="234" t="s">
        <v>1961</v>
      </c>
      <c r="T121" s="176">
        <v>1</v>
      </c>
      <c r="U121" s="370">
        <v>2</v>
      </c>
      <c r="V121" s="176">
        <v>16</v>
      </c>
      <c r="W121" s="369" t="s">
        <v>1822</v>
      </c>
      <c r="X121" s="170">
        <v>1</v>
      </c>
      <c r="Y121" s="369">
        <v>1</v>
      </c>
      <c r="Z121" s="271"/>
      <c r="AA121" s="169"/>
      <c r="AB121" s="177"/>
      <c r="AC121" s="171"/>
      <c r="AD121" s="366" t="s">
        <v>3288</v>
      </c>
      <c r="AE121" s="357">
        <v>2012</v>
      </c>
      <c r="AF121" s="804">
        <v>2</v>
      </c>
      <c r="AG121" s="550" t="s">
        <v>5171</v>
      </c>
      <c r="AH121" s="355" t="s">
        <v>2789</v>
      </c>
      <c r="AI121" s="55">
        <v>0</v>
      </c>
      <c r="AJ121" s="550">
        <v>0</v>
      </c>
      <c r="AK121" s="590" t="s">
        <v>145</v>
      </c>
      <c r="AL121" s="386">
        <v>1</v>
      </c>
      <c r="AM121" s="361" t="s">
        <v>2777</v>
      </c>
      <c r="AN121" s="342" t="s">
        <v>145</v>
      </c>
      <c r="AO121" s="170">
        <v>0</v>
      </c>
      <c r="AP121" s="172">
        <v>0</v>
      </c>
      <c r="AQ121" s="365" t="s">
        <v>5387</v>
      </c>
      <c r="AR121" s="281" t="s">
        <v>4934</v>
      </c>
      <c r="AS121" s="55">
        <v>1</v>
      </c>
      <c r="AT121" s="370">
        <v>3</v>
      </c>
      <c r="AU121" s="371">
        <v>2002</v>
      </c>
      <c r="AV121" s="370">
        <v>5</v>
      </c>
      <c r="AW121" s="589" t="s">
        <v>145</v>
      </c>
      <c r="AX121" s="687">
        <v>0</v>
      </c>
      <c r="AY121" s="174" t="s">
        <v>4463</v>
      </c>
      <c r="AZ121" s="550">
        <v>2007</v>
      </c>
      <c r="BA121" s="550">
        <v>1</v>
      </c>
      <c r="BB121" s="550">
        <v>0</v>
      </c>
      <c r="BC121" s="108" t="s">
        <v>145</v>
      </c>
      <c r="BD121" s="550" t="s">
        <v>145</v>
      </c>
      <c r="BE121" s="550">
        <v>0</v>
      </c>
      <c r="BF121" s="371" t="s">
        <v>145</v>
      </c>
      <c r="BG121" s="371">
        <v>0</v>
      </c>
      <c r="BH121" s="56" t="s">
        <v>145</v>
      </c>
      <c r="BI121" s="371">
        <v>0</v>
      </c>
      <c r="BJ121" s="371">
        <v>1</v>
      </c>
      <c r="BK121" s="888">
        <v>2959.134</v>
      </c>
      <c r="BL121" s="925">
        <f t="shared" si="103"/>
        <v>50.500416675959926</v>
      </c>
      <c r="BM121" s="888">
        <v>1464.759</v>
      </c>
      <c r="BN121" s="920">
        <v>1494.375</v>
      </c>
      <c r="BO121" s="888">
        <v>337.86399999999998</v>
      </c>
      <c r="BP121" s="1158">
        <f t="shared" si="78"/>
        <v>49.408637795089149</v>
      </c>
      <c r="BQ121" s="917">
        <v>170.93</v>
      </c>
      <c r="BR121" s="920">
        <v>166.934</v>
      </c>
      <c r="BS121" s="888">
        <v>278.39299999999997</v>
      </c>
      <c r="BT121" s="1158">
        <f t="shared" si="79"/>
        <v>49.440179889580563</v>
      </c>
      <c r="BU121" s="917">
        <v>140.755</v>
      </c>
      <c r="BV121" s="920">
        <v>137.63800000000001</v>
      </c>
      <c r="BW121" s="888">
        <v>219.04400000000001</v>
      </c>
      <c r="BX121" s="1158">
        <f t="shared" si="80"/>
        <v>49.506035317105237</v>
      </c>
      <c r="BY121" s="917">
        <v>110.604</v>
      </c>
      <c r="BZ121" s="920">
        <v>108.44</v>
      </c>
      <c r="CA121" s="888">
        <f t="shared" si="81"/>
        <v>2123.8330000000001</v>
      </c>
      <c r="CB121" s="1158">
        <f t="shared" si="82"/>
        <v>50.915632255455115</v>
      </c>
      <c r="CC121" s="917">
        <f t="shared" si="83"/>
        <v>1042.47</v>
      </c>
      <c r="CD121" s="920">
        <f t="shared" si="84"/>
        <v>1081.3630000000001</v>
      </c>
      <c r="CE121" s="914">
        <v>2015</v>
      </c>
      <c r="CF121" s="910" t="s">
        <v>5630</v>
      </c>
      <c r="CG121" s="930">
        <v>99</v>
      </c>
      <c r="CH121" s="495">
        <v>98.8</v>
      </c>
      <c r="CI121" s="497">
        <v>99.2</v>
      </c>
      <c r="CJ121" s="904">
        <v>98.9</v>
      </c>
      <c r="CK121" s="904">
        <v>99.1</v>
      </c>
      <c r="CL121" s="904">
        <v>2010</v>
      </c>
      <c r="CM121" s="905" t="s">
        <v>5573</v>
      </c>
      <c r="CN121" s="1044">
        <v>1856.19</v>
      </c>
      <c r="CO121" s="1045">
        <f t="shared" si="104"/>
        <v>62.72747364600589</v>
      </c>
      <c r="CP121" s="1040">
        <f t="shared" si="119"/>
        <v>918.80631570249955</v>
      </c>
      <c r="CQ121" s="1041">
        <f t="shared" si="120"/>
        <v>937.38368429750062</v>
      </c>
      <c r="CR121" s="1046">
        <v>2013</v>
      </c>
      <c r="CS121" s="1047" t="s">
        <v>5955</v>
      </c>
      <c r="CT121" s="1068">
        <f t="shared" si="105"/>
        <v>16</v>
      </c>
      <c r="CU121" s="1071">
        <v>18</v>
      </c>
      <c r="CV121" s="1068" t="s">
        <v>5959</v>
      </c>
      <c r="CW121" s="1113">
        <v>1856.19</v>
      </c>
      <c r="CX121" s="1113">
        <v>2120.4070000000002</v>
      </c>
      <c r="CY121" s="1113">
        <v>3226.5160000000001</v>
      </c>
      <c r="CZ121" s="494">
        <v>1</v>
      </c>
      <c r="DA121" s="1104">
        <v>4</v>
      </c>
      <c r="DB121" s="1050" t="s">
        <v>647</v>
      </c>
      <c r="DC121" s="1146" t="s">
        <v>322</v>
      </c>
      <c r="DD121" s="978">
        <f t="shared" si="91"/>
        <v>275.99601000000007</v>
      </c>
      <c r="DE121" s="979">
        <f t="shared" si="106"/>
        <v>9.3269182808213493</v>
      </c>
      <c r="DF121" s="979">
        <f t="shared" si="92"/>
        <v>53.364326427218792</v>
      </c>
      <c r="DG121" s="980">
        <f t="shared" si="93"/>
        <v>128.7311522975005</v>
      </c>
      <c r="DH121" s="980">
        <f t="shared" si="94"/>
        <v>147.28341170249945</v>
      </c>
      <c r="DI121" s="979">
        <f t="shared" si="107"/>
        <v>8.7885551341552084</v>
      </c>
      <c r="DJ121" s="981">
        <f t="shared" si="108"/>
        <v>9.8558535643663383</v>
      </c>
      <c r="DK121" s="984">
        <f t="shared" si="109"/>
        <v>267.64300000000003</v>
      </c>
      <c r="DL121" s="979">
        <f t="shared" si="95"/>
        <v>53.79528539976738</v>
      </c>
      <c r="DM121" s="980">
        <f t="shared" si="110"/>
        <v>123.66368429750048</v>
      </c>
      <c r="DN121" s="985">
        <f t="shared" si="111"/>
        <v>143.97931570249943</v>
      </c>
      <c r="DO121" s="984">
        <f t="shared" si="112"/>
        <v>4.974370000000004</v>
      </c>
      <c r="DP121" s="979">
        <f t="shared" si="96"/>
        <v>39.575343209290828</v>
      </c>
      <c r="DQ121" s="980">
        <f t="shared" si="85"/>
        <v>3.0163080000000022</v>
      </c>
      <c r="DR121" s="985">
        <f t="shared" si="86"/>
        <v>1.9686240000000017</v>
      </c>
      <c r="DS121" s="984">
        <f t="shared" si="113"/>
        <v>3.378640000000003</v>
      </c>
      <c r="DT121" s="339">
        <f t="shared" si="97"/>
        <v>39.526910236071316</v>
      </c>
      <c r="DU121" s="980">
        <f t="shared" si="87"/>
        <v>2.0511600000000021</v>
      </c>
      <c r="DV121" s="985">
        <f t="shared" si="88"/>
        <v>1.3354720000000011</v>
      </c>
      <c r="DW121" s="979">
        <f t="shared" si="89"/>
        <v>1.2000000000000013</v>
      </c>
      <c r="DX121" s="981">
        <f t="shared" si="90"/>
        <v>0.80000000000000071</v>
      </c>
      <c r="DY121" s="414" t="s">
        <v>145</v>
      </c>
      <c r="DZ121" s="111" t="s">
        <v>145</v>
      </c>
      <c r="EA121" s="118"/>
      <c r="EB121" s="123">
        <v>27.4</v>
      </c>
      <c r="EC121" s="113">
        <v>2012</v>
      </c>
      <c r="ED121" s="20" t="e">
        <f>#REF!*EB121/100</f>
        <v>#REF!</v>
      </c>
      <c r="EE121" s="414">
        <v>29.8</v>
      </c>
      <c r="EF121" s="111">
        <v>2011</v>
      </c>
      <c r="EG121" s="380">
        <v>98.257003784179702</v>
      </c>
      <c r="EH121" s="24" t="s">
        <v>356</v>
      </c>
      <c r="EI121" s="287">
        <v>3</v>
      </c>
      <c r="EJ121" s="40" t="s">
        <v>145</v>
      </c>
      <c r="EK121" s="35" t="s">
        <v>145</v>
      </c>
      <c r="EL121" s="95" t="s">
        <v>145</v>
      </c>
      <c r="EM121" s="95" t="s">
        <v>145</v>
      </c>
      <c r="EN121" s="35" t="s">
        <v>145</v>
      </c>
      <c r="EO121" s="95" t="s">
        <v>145</v>
      </c>
      <c r="EP121" s="205" t="s">
        <v>145</v>
      </c>
      <c r="EQ121" s="207" t="s">
        <v>145</v>
      </c>
      <c r="ER121" s="517">
        <v>1</v>
      </c>
      <c r="ES121" s="183" t="s">
        <v>145</v>
      </c>
      <c r="ET121" s="183" t="s">
        <v>145</v>
      </c>
      <c r="EU121" s="82" t="s">
        <v>145</v>
      </c>
      <c r="EV121" s="82" t="s">
        <v>145</v>
      </c>
      <c r="EW121" s="82" t="s">
        <v>3851</v>
      </c>
      <c r="EX121" s="360" t="s">
        <v>145</v>
      </c>
      <c r="EY121" s="159"/>
      <c r="EZ121" s="156"/>
      <c r="FA121" s="323"/>
      <c r="FB121" s="323"/>
      <c r="FC121" s="323"/>
      <c r="FD121" s="160"/>
      <c r="FE121" s="156"/>
      <c r="FF121" s="156"/>
      <c r="FG121" s="156"/>
      <c r="FH121" s="157"/>
      <c r="FI121" s="242"/>
      <c r="FJ121" s="240"/>
      <c r="FK121" s="179"/>
      <c r="FL121" s="179"/>
      <c r="FM121" s="179"/>
      <c r="FN121" s="369"/>
      <c r="FO121" s="164"/>
      <c r="FP121" s="255"/>
      <c r="FQ121" s="183"/>
      <c r="FR121" s="257"/>
      <c r="FS121" s="82"/>
      <c r="FT121" s="259"/>
      <c r="FU121" s="82"/>
      <c r="FV121" s="259"/>
      <c r="FW121" s="82"/>
      <c r="FX121" s="259"/>
      <c r="FY121" s="82"/>
      <c r="FZ121" s="259"/>
      <c r="GA121" s="82"/>
      <c r="GB121" s="261"/>
      <c r="GC121" s="90"/>
      <c r="GD121" s="76">
        <v>1</v>
      </c>
      <c r="GE121" s="445" t="s">
        <v>3424</v>
      </c>
      <c r="GF121" s="447" t="s">
        <v>10</v>
      </c>
      <c r="GG121" s="448">
        <v>1</v>
      </c>
      <c r="GH121" s="449">
        <v>2</v>
      </c>
      <c r="GI121" s="447" t="s">
        <v>145</v>
      </c>
      <c r="GJ121" s="449" t="s">
        <v>145</v>
      </c>
      <c r="GK121" s="447" t="s">
        <v>145</v>
      </c>
      <c r="GL121" s="448" t="s">
        <v>145</v>
      </c>
      <c r="GM121" s="449" t="s">
        <v>145</v>
      </c>
      <c r="GN121" s="447" t="s">
        <v>590</v>
      </c>
      <c r="GO121" s="449">
        <v>37</v>
      </c>
      <c r="GP121" s="447">
        <v>13</v>
      </c>
      <c r="GQ121" s="448">
        <v>12</v>
      </c>
      <c r="GR121" s="449">
        <v>12</v>
      </c>
      <c r="GS121" s="446">
        <v>10</v>
      </c>
      <c r="GT121" s="461">
        <v>7.2999700903892517E-2</v>
      </c>
      <c r="GU121" s="462">
        <v>0.49927636981010437</v>
      </c>
      <c r="GV121" s="462">
        <v>-0.54106253385543823</v>
      </c>
      <c r="GW121" s="462">
        <v>-0.28594869375228882</v>
      </c>
      <c r="GX121" s="462">
        <v>-0.36965698003768921</v>
      </c>
      <c r="GY121" s="463">
        <v>-0.46223738789558411</v>
      </c>
      <c r="GZ121" s="10">
        <v>65</v>
      </c>
      <c r="HA121" s="536">
        <v>0.55808000000000002</v>
      </c>
      <c r="HB121" s="536">
        <v>0.68627000000000005</v>
      </c>
      <c r="HC121" s="525">
        <v>0.61416999999999999</v>
      </c>
      <c r="HD121" s="526">
        <v>0.27138000000000001</v>
      </c>
      <c r="HE121" s="527">
        <v>0.78869999999999996</v>
      </c>
      <c r="HF121" s="10">
        <v>92</v>
      </c>
      <c r="HG121" s="532">
        <v>4.32</v>
      </c>
      <c r="HH121" s="545">
        <v>4.79</v>
      </c>
      <c r="HI121" s="546">
        <v>1.69</v>
      </c>
      <c r="HJ121" s="547">
        <v>8.64</v>
      </c>
      <c r="HK121" s="558" t="s">
        <v>145</v>
      </c>
      <c r="HL121" s="82" t="s">
        <v>145</v>
      </c>
      <c r="HM121" s="557" t="s">
        <v>145</v>
      </c>
      <c r="HN121" s="557" t="s">
        <v>145</v>
      </c>
      <c r="HO121" s="557" t="s">
        <v>145</v>
      </c>
      <c r="HP121" s="562" t="s">
        <v>145</v>
      </c>
      <c r="HQ121" s="562" t="s">
        <v>145</v>
      </c>
      <c r="HR121" s="563" t="s">
        <v>145</v>
      </c>
      <c r="HS121" s="545">
        <v>56</v>
      </c>
      <c r="HT121" s="557">
        <v>80</v>
      </c>
      <c r="HU121" s="557">
        <v>2011</v>
      </c>
      <c r="HV121" s="583" t="s">
        <v>4222</v>
      </c>
      <c r="HW121" s="557">
        <v>4</v>
      </c>
      <c r="HX121" s="557">
        <v>23</v>
      </c>
      <c r="HY121" s="557">
        <v>18</v>
      </c>
      <c r="HZ121" s="557">
        <v>6</v>
      </c>
      <c r="IA121" s="557">
        <v>23</v>
      </c>
      <c r="IB121" s="557">
        <v>2</v>
      </c>
      <c r="IC121" s="547">
        <v>4</v>
      </c>
      <c r="ID121" s="660"/>
      <c r="IE121" s="550"/>
      <c r="IF121" s="550"/>
      <c r="IG121" s="553"/>
      <c r="IH121" s="339"/>
      <c r="II121" s="553" t="s">
        <v>4923</v>
      </c>
      <c r="IJ121" s="424" t="s">
        <v>4926</v>
      </c>
      <c r="IK121" s="24">
        <v>0</v>
      </c>
      <c r="IL121" s="749">
        <f t="shared" si="114"/>
        <v>14</v>
      </c>
      <c r="IM121" s="747">
        <f t="shared" si="115"/>
        <v>56.000000000000007</v>
      </c>
      <c r="IN121" s="750" t="str">
        <f t="shared" si="116"/>
        <v>B</v>
      </c>
      <c r="IO121" s="446"/>
      <c r="IP121" s="902">
        <v>4</v>
      </c>
      <c r="IQ121" s="903">
        <v>0</v>
      </c>
      <c r="IR121" s="993">
        <v>0</v>
      </c>
      <c r="IT121" s="435"/>
      <c r="IU121" s="435"/>
      <c r="IV121" s="435"/>
    </row>
    <row r="122" spans="1:256">
      <c r="A122" s="21">
        <v>120</v>
      </c>
      <c r="B122" s="9"/>
      <c r="C122" s="430" t="s">
        <v>188</v>
      </c>
      <c r="D122" s="424" t="s">
        <v>408</v>
      </c>
      <c r="E122" s="24" t="s">
        <v>12</v>
      </c>
      <c r="F122" s="76" t="s">
        <v>857</v>
      </c>
      <c r="G122" s="102" t="s">
        <v>1604</v>
      </c>
      <c r="H122" s="365" t="s">
        <v>2381</v>
      </c>
      <c r="I122" s="364" t="s">
        <v>2380</v>
      </c>
      <c r="J122" s="176">
        <v>2</v>
      </c>
      <c r="K122" s="88">
        <v>1878</v>
      </c>
      <c r="L122" s="371">
        <v>2</v>
      </c>
      <c r="M122" s="240" t="s">
        <v>2322</v>
      </c>
      <c r="N122" s="369" t="s">
        <v>1822</v>
      </c>
      <c r="O122" s="365" t="s">
        <v>2381</v>
      </c>
      <c r="P122" s="362" t="s">
        <v>2862</v>
      </c>
      <c r="Q122" s="370">
        <v>2</v>
      </c>
      <c r="R122" s="370">
        <v>2008</v>
      </c>
      <c r="S122" s="234" t="s">
        <v>2062</v>
      </c>
      <c r="T122" s="176">
        <v>1</v>
      </c>
      <c r="U122" s="370">
        <v>2</v>
      </c>
      <c r="V122" s="176">
        <v>16</v>
      </c>
      <c r="W122" s="728">
        <v>5</v>
      </c>
      <c r="X122" s="170">
        <v>0</v>
      </c>
      <c r="Y122" s="369">
        <v>0</v>
      </c>
      <c r="Z122" s="273" t="s">
        <v>2039</v>
      </c>
      <c r="AA122" s="169"/>
      <c r="AB122" s="177">
        <v>1</v>
      </c>
      <c r="AC122" s="171"/>
      <c r="AD122" s="366" t="s">
        <v>2381</v>
      </c>
      <c r="AE122" s="357">
        <v>2012</v>
      </c>
      <c r="AF122" s="357">
        <v>2</v>
      </c>
      <c r="AG122" s="55">
        <v>2</v>
      </c>
      <c r="AH122" s="355" t="s">
        <v>3289</v>
      </c>
      <c r="AI122" s="55">
        <v>0</v>
      </c>
      <c r="AJ122" s="55">
        <v>0</v>
      </c>
      <c r="AK122" s="590" t="s">
        <v>145</v>
      </c>
      <c r="AL122" s="391">
        <v>5</v>
      </c>
      <c r="AM122" s="361" t="s">
        <v>3056</v>
      </c>
      <c r="AN122" s="384" t="s">
        <v>145</v>
      </c>
      <c r="AO122" s="170">
        <v>0</v>
      </c>
      <c r="AP122" s="369">
        <v>0</v>
      </c>
      <c r="AQ122" s="365" t="s">
        <v>5273</v>
      </c>
      <c r="AR122" s="378" t="s">
        <v>2798</v>
      </c>
      <c r="AS122" s="55">
        <v>2</v>
      </c>
      <c r="AT122" s="370">
        <v>2</v>
      </c>
      <c r="AU122" s="371">
        <v>2008</v>
      </c>
      <c r="AV122" s="370">
        <v>5</v>
      </c>
      <c r="AW122" s="589">
        <v>70</v>
      </c>
      <c r="AX122" s="687">
        <v>0</v>
      </c>
      <c r="AY122" s="174" t="s">
        <v>4464</v>
      </c>
      <c r="AZ122" s="55">
        <v>2006</v>
      </c>
      <c r="BA122" s="55">
        <v>1</v>
      </c>
      <c r="BB122" s="55">
        <v>1</v>
      </c>
      <c r="BC122" s="174" t="s">
        <v>5347</v>
      </c>
      <c r="BD122" s="55">
        <v>2002</v>
      </c>
      <c r="BE122" s="55">
        <v>1</v>
      </c>
      <c r="BF122" s="371" t="s">
        <v>323</v>
      </c>
      <c r="BG122" s="371">
        <v>0</v>
      </c>
      <c r="BH122" s="56" t="s">
        <v>145</v>
      </c>
      <c r="BI122" s="371">
        <v>3</v>
      </c>
      <c r="BJ122" s="371">
        <v>1</v>
      </c>
      <c r="BK122" s="888">
        <v>625.78099999999995</v>
      </c>
      <c r="BL122" s="925">
        <f t="shared" si="103"/>
        <v>50.587985253627068</v>
      </c>
      <c r="BM122" s="888">
        <v>309.21100000000001</v>
      </c>
      <c r="BN122" s="920">
        <v>316.57</v>
      </c>
      <c r="BO122" s="888">
        <v>36.773000000000003</v>
      </c>
      <c r="BP122" s="1158">
        <f t="shared" si="78"/>
        <v>48.334375764827456</v>
      </c>
      <c r="BQ122" s="917">
        <v>18.998999999999999</v>
      </c>
      <c r="BR122" s="920">
        <v>17.774000000000001</v>
      </c>
      <c r="BS122" s="888">
        <v>39.744</v>
      </c>
      <c r="BT122" s="1158">
        <f t="shared" si="79"/>
        <v>48.115438808373597</v>
      </c>
      <c r="BU122" s="917">
        <v>20.620999999999999</v>
      </c>
      <c r="BV122" s="920">
        <v>19.123000000000001</v>
      </c>
      <c r="BW122" s="888">
        <v>40.222000000000001</v>
      </c>
      <c r="BX122" s="1158">
        <f t="shared" si="80"/>
        <v>48.18507284570633</v>
      </c>
      <c r="BY122" s="917">
        <v>20.841000000000001</v>
      </c>
      <c r="BZ122" s="920">
        <v>19.381</v>
      </c>
      <c r="CA122" s="888">
        <f t="shared" si="81"/>
        <v>509.04199999999992</v>
      </c>
      <c r="CB122" s="1158">
        <f t="shared" si="82"/>
        <v>51.133698201720115</v>
      </c>
      <c r="CC122" s="917">
        <f t="shared" si="83"/>
        <v>248.75</v>
      </c>
      <c r="CD122" s="920">
        <f t="shared" si="84"/>
        <v>260.29200000000003</v>
      </c>
      <c r="CE122" s="914">
        <v>2015</v>
      </c>
      <c r="CF122" s="910" t="s">
        <v>5630</v>
      </c>
      <c r="CG122" s="930">
        <v>98.9</v>
      </c>
      <c r="CH122" s="495">
        <v>98.5</v>
      </c>
      <c r="CI122" s="497">
        <v>99.3</v>
      </c>
      <c r="CJ122" s="904">
        <v>99</v>
      </c>
      <c r="CK122" s="904">
        <v>98.8</v>
      </c>
      <c r="CL122" s="904" t="s">
        <v>5600</v>
      </c>
      <c r="CM122" s="905" t="s">
        <v>5573</v>
      </c>
      <c r="CN122" s="1125">
        <v>501</v>
      </c>
      <c r="CO122" s="1045">
        <f t="shared" si="104"/>
        <v>80.059957077635787</v>
      </c>
      <c r="CP122" s="1040">
        <f t="shared" si="119"/>
        <v>247.55419387932841</v>
      </c>
      <c r="CQ122" s="1041">
        <f t="shared" si="120"/>
        <v>253.44580612067162</v>
      </c>
      <c r="CR122" s="1046">
        <v>2013</v>
      </c>
      <c r="CS122" s="1047" t="s">
        <v>5956</v>
      </c>
      <c r="CT122" s="1068">
        <f t="shared" si="105"/>
        <v>16</v>
      </c>
      <c r="CU122" s="1071">
        <v>18</v>
      </c>
      <c r="CV122" s="1068" t="s">
        <v>5960</v>
      </c>
      <c r="CW122" s="1113">
        <v>511.40499999999997</v>
      </c>
      <c r="CX122" s="1113">
        <v>507.74900000000002</v>
      </c>
      <c r="CY122" s="1113">
        <v>653.47400000000005</v>
      </c>
      <c r="CZ122" s="494">
        <v>1</v>
      </c>
      <c r="DA122" s="1104">
        <v>4</v>
      </c>
      <c r="DB122" s="1050" t="s">
        <v>647</v>
      </c>
      <c r="DC122" s="1146" t="s">
        <v>322</v>
      </c>
      <c r="DD122" s="978">
        <f t="shared" si="91"/>
        <v>9.326128999999904</v>
      </c>
      <c r="DE122" s="979">
        <f t="shared" si="106"/>
        <v>1.4903183382045644</v>
      </c>
      <c r="DF122" s="979">
        <f t="shared" si="92"/>
        <v>77.632851522089013</v>
      </c>
      <c r="DG122" s="980">
        <f t="shared" si="93"/>
        <v>2.1027211206715917</v>
      </c>
      <c r="DH122" s="980">
        <f t="shared" si="94"/>
        <v>7.2401398793284111</v>
      </c>
      <c r="DI122" s="979">
        <f t="shared" si="107"/>
        <v>0.68002791642974914</v>
      </c>
      <c r="DJ122" s="981">
        <f t="shared" si="108"/>
        <v>2.2870581164761066</v>
      </c>
      <c r="DK122" s="984">
        <f t="shared" si="109"/>
        <v>8.0419999999999163</v>
      </c>
      <c r="DL122" s="979">
        <f t="shared" si="95"/>
        <v>85.130488427362366</v>
      </c>
      <c r="DM122" s="980">
        <f t="shared" si="110"/>
        <v>1.1958061206715911</v>
      </c>
      <c r="DN122" s="985">
        <f t="shared" si="111"/>
        <v>6.8461938793284105</v>
      </c>
      <c r="DO122" s="984">
        <f t="shared" si="112"/>
        <v>0.87962599999999191</v>
      </c>
      <c r="DP122" s="979">
        <f t="shared" si="96"/>
        <v>30.641204330022383</v>
      </c>
      <c r="DQ122" s="980">
        <f t="shared" si="85"/>
        <v>0.62193000000000054</v>
      </c>
      <c r="DR122" s="985">
        <f t="shared" si="86"/>
        <v>0.26952800000000021</v>
      </c>
      <c r="DS122" s="984">
        <f t="shared" si="113"/>
        <v>0.40450299999999634</v>
      </c>
      <c r="DT122" s="339">
        <f t="shared" si="97"/>
        <v>30.758239123072322</v>
      </c>
      <c r="DU122" s="980">
        <f t="shared" si="87"/>
        <v>0.28498500000000021</v>
      </c>
      <c r="DV122" s="985">
        <f t="shared" si="88"/>
        <v>0.12441800000000011</v>
      </c>
      <c r="DW122" s="979">
        <f t="shared" si="89"/>
        <v>1.5000000000000011</v>
      </c>
      <c r="DX122" s="981">
        <f t="shared" si="90"/>
        <v>0.70000000000000062</v>
      </c>
      <c r="DY122" s="414">
        <v>0</v>
      </c>
      <c r="DZ122" s="111">
        <v>2010</v>
      </c>
      <c r="EA122" s="118">
        <v>1</v>
      </c>
      <c r="EB122" s="123">
        <v>9.3000000000000007</v>
      </c>
      <c r="EC122" s="113">
        <v>2011</v>
      </c>
      <c r="ED122" s="20">
        <v>58.800272999999997</v>
      </c>
      <c r="EE122" s="414">
        <v>6.6</v>
      </c>
      <c r="EF122" s="111">
        <v>2010</v>
      </c>
      <c r="EG122" s="380">
        <v>98.442207336425795</v>
      </c>
      <c r="EH122" s="24" t="s">
        <v>388</v>
      </c>
      <c r="EI122" s="287">
        <v>0</v>
      </c>
      <c r="EJ122" s="40" t="s">
        <v>145</v>
      </c>
      <c r="EK122" s="35" t="s">
        <v>145</v>
      </c>
      <c r="EL122" s="95" t="s">
        <v>145</v>
      </c>
      <c r="EM122" s="95" t="s">
        <v>145</v>
      </c>
      <c r="EN122" s="35" t="s">
        <v>145</v>
      </c>
      <c r="EO122" s="95" t="s">
        <v>145</v>
      </c>
      <c r="EP122" s="205" t="s">
        <v>145</v>
      </c>
      <c r="EQ122" s="207" t="s">
        <v>145</v>
      </c>
      <c r="ER122" s="517">
        <v>1</v>
      </c>
      <c r="ES122" s="183" t="s">
        <v>145</v>
      </c>
      <c r="ET122" s="183" t="s">
        <v>145</v>
      </c>
      <c r="EU122" s="82" t="s">
        <v>3827</v>
      </c>
      <c r="EV122" s="82" t="s">
        <v>145</v>
      </c>
      <c r="EW122" s="82" t="s">
        <v>145</v>
      </c>
      <c r="EX122" s="360" t="s">
        <v>145</v>
      </c>
      <c r="EY122" s="159"/>
      <c r="EZ122" s="156"/>
      <c r="FA122" s="323"/>
      <c r="FB122" s="323"/>
      <c r="FC122" s="323"/>
      <c r="FD122" s="160"/>
      <c r="FE122" s="156"/>
      <c r="FF122" s="156"/>
      <c r="FG122" s="156"/>
      <c r="FH122" s="157"/>
      <c r="FI122" s="242"/>
      <c r="FJ122" s="240"/>
      <c r="FK122" s="179"/>
      <c r="FL122" s="179"/>
      <c r="FM122" s="179"/>
      <c r="FN122" s="369"/>
      <c r="FO122" s="164"/>
      <c r="FP122" s="255"/>
      <c r="FQ122" s="183"/>
      <c r="FR122" s="257"/>
      <c r="FS122" s="82"/>
      <c r="FT122" s="259"/>
      <c r="FU122" s="82"/>
      <c r="FV122" s="259"/>
      <c r="FW122" s="82"/>
      <c r="FX122" s="259"/>
      <c r="FY122" s="82"/>
      <c r="FZ122" s="259"/>
      <c r="GA122" s="82"/>
      <c r="GB122" s="261"/>
      <c r="GC122" s="90"/>
      <c r="GD122" s="76">
        <v>1</v>
      </c>
      <c r="GE122" s="445" t="s">
        <v>3424</v>
      </c>
      <c r="GF122" s="447" t="s">
        <v>10</v>
      </c>
      <c r="GG122" s="448">
        <v>3</v>
      </c>
      <c r="GH122" s="449">
        <v>2</v>
      </c>
      <c r="GI122" s="447" t="s">
        <v>145</v>
      </c>
      <c r="GJ122" s="449" t="s">
        <v>145</v>
      </c>
      <c r="GK122" s="447" t="s">
        <v>145</v>
      </c>
      <c r="GL122" s="448" t="s">
        <v>145</v>
      </c>
      <c r="GM122" s="449" t="s">
        <v>145</v>
      </c>
      <c r="GN122" s="447" t="s">
        <v>590</v>
      </c>
      <c r="GO122" s="449">
        <v>39</v>
      </c>
      <c r="GP122" s="447">
        <v>10</v>
      </c>
      <c r="GQ122" s="448">
        <v>18</v>
      </c>
      <c r="GR122" s="449">
        <v>11</v>
      </c>
      <c r="GS122" s="446">
        <v>9</v>
      </c>
      <c r="GT122" s="461">
        <v>0.18188983201980591</v>
      </c>
      <c r="GU122" s="462">
        <v>0.4850037693977356</v>
      </c>
      <c r="GV122" s="462">
        <v>0.15703344345092773</v>
      </c>
      <c r="GW122" s="462">
        <v>4.9160495400428772E-2</v>
      </c>
      <c r="GX122" s="462">
        <v>2.008335292339325E-2</v>
      </c>
      <c r="GY122" s="463">
        <v>-0.2474798709154129</v>
      </c>
      <c r="GZ122" s="10">
        <v>45</v>
      </c>
      <c r="HA122" s="536">
        <v>0.63454999999999995</v>
      </c>
      <c r="HB122" s="536">
        <v>0.58823000000000003</v>
      </c>
      <c r="HC122" s="525">
        <v>0.52754999999999996</v>
      </c>
      <c r="HD122" s="526">
        <v>0.54813999999999996</v>
      </c>
      <c r="HE122" s="527">
        <v>0.82789999999999997</v>
      </c>
      <c r="HF122" s="10">
        <v>63</v>
      </c>
      <c r="HG122" s="532">
        <v>5.67</v>
      </c>
      <c r="HH122" s="545">
        <v>6.74</v>
      </c>
      <c r="HI122" s="546">
        <v>3.37</v>
      </c>
      <c r="HJ122" s="547">
        <v>8.15</v>
      </c>
      <c r="HK122" s="558" t="s">
        <v>4050</v>
      </c>
      <c r="HL122" s="585" t="s">
        <v>4800</v>
      </c>
      <c r="HM122" s="557">
        <v>2008</v>
      </c>
      <c r="HN122" s="557">
        <v>2008</v>
      </c>
      <c r="HO122" s="557" t="s">
        <v>3985</v>
      </c>
      <c r="HP122" s="562" t="s">
        <v>4090</v>
      </c>
      <c r="HQ122" s="639" t="s">
        <v>4801</v>
      </c>
      <c r="HR122" s="563" t="s">
        <v>4091</v>
      </c>
      <c r="HS122" s="545">
        <v>46</v>
      </c>
      <c r="HT122" s="557">
        <v>89</v>
      </c>
      <c r="HU122" s="557">
        <v>2005</v>
      </c>
      <c r="HV122" s="583" t="s">
        <v>4223</v>
      </c>
      <c r="HW122" s="557">
        <v>5</v>
      </c>
      <c r="HX122" s="557">
        <v>30</v>
      </c>
      <c r="HY122" s="557">
        <v>22</v>
      </c>
      <c r="HZ122" s="557">
        <v>21</v>
      </c>
      <c r="IA122" s="557">
        <v>4</v>
      </c>
      <c r="IB122" s="557">
        <v>2</v>
      </c>
      <c r="IC122" s="547">
        <v>5</v>
      </c>
      <c r="ID122" s="660"/>
      <c r="IE122" s="550"/>
      <c r="IF122" s="550"/>
      <c r="IG122" s="553"/>
      <c r="IH122" s="339"/>
      <c r="II122" s="553" t="s">
        <v>4922</v>
      </c>
      <c r="IJ122" s="424" t="s">
        <v>4926</v>
      </c>
      <c r="IK122" s="24">
        <v>0</v>
      </c>
      <c r="IL122" s="749">
        <f t="shared" si="114"/>
        <v>18</v>
      </c>
      <c r="IM122" s="747">
        <f t="shared" si="115"/>
        <v>72</v>
      </c>
      <c r="IN122" s="750" t="str">
        <f t="shared" si="116"/>
        <v>B</v>
      </c>
      <c r="IO122" s="446"/>
      <c r="IP122" s="902">
        <v>4</v>
      </c>
      <c r="IQ122" s="903">
        <v>0</v>
      </c>
      <c r="IR122" s="993">
        <v>0</v>
      </c>
      <c r="IT122" s="435"/>
      <c r="IU122" s="435"/>
      <c r="IV122" s="435"/>
    </row>
    <row r="123" spans="1:256">
      <c r="A123" s="21">
        <v>121</v>
      </c>
      <c r="B123" s="9"/>
      <c r="C123" s="430" t="s">
        <v>189</v>
      </c>
      <c r="D123" s="423" t="s">
        <v>410</v>
      </c>
      <c r="E123" s="24" t="s">
        <v>20</v>
      </c>
      <c r="F123" s="76" t="s">
        <v>858</v>
      </c>
      <c r="G123" s="102" t="s">
        <v>561</v>
      </c>
      <c r="H123" s="375" t="s">
        <v>2382</v>
      </c>
      <c r="I123" s="364" t="s">
        <v>1677</v>
      </c>
      <c r="J123" s="370">
        <v>2</v>
      </c>
      <c r="K123" s="359">
        <v>1912</v>
      </c>
      <c r="L123" s="371">
        <v>2</v>
      </c>
      <c r="M123" s="373" t="s">
        <v>1825</v>
      </c>
      <c r="N123" s="369" t="s">
        <v>1822</v>
      </c>
      <c r="O123" s="365" t="s">
        <v>3290</v>
      </c>
      <c r="P123" s="362" t="s">
        <v>2798</v>
      </c>
      <c r="Q123" s="370">
        <v>2</v>
      </c>
      <c r="R123" s="370">
        <v>2009</v>
      </c>
      <c r="S123" s="372" t="s">
        <v>2889</v>
      </c>
      <c r="T123" s="370">
        <v>1</v>
      </c>
      <c r="U123" s="370">
        <v>2</v>
      </c>
      <c r="V123" s="370">
        <v>16</v>
      </c>
      <c r="W123" s="369" t="s">
        <v>2863</v>
      </c>
      <c r="X123" s="170">
        <v>1</v>
      </c>
      <c r="Y123" s="369">
        <v>1</v>
      </c>
      <c r="Z123" s="271"/>
      <c r="AA123" s="169">
        <v>1</v>
      </c>
      <c r="AB123" s="177">
        <v>1</v>
      </c>
      <c r="AC123" s="171">
        <v>1</v>
      </c>
      <c r="AD123" s="366" t="s">
        <v>2888</v>
      </c>
      <c r="AE123" s="357">
        <v>2009</v>
      </c>
      <c r="AF123" s="357">
        <v>1</v>
      </c>
      <c r="AG123" s="550" t="s">
        <v>5171</v>
      </c>
      <c r="AH123" s="355" t="s">
        <v>323</v>
      </c>
      <c r="AI123" s="55">
        <v>0</v>
      </c>
      <c r="AJ123" s="55">
        <v>0</v>
      </c>
      <c r="AK123" s="589">
        <v>20000</v>
      </c>
      <c r="AL123" s="386">
        <v>2</v>
      </c>
      <c r="AM123" s="361" t="s">
        <v>2946</v>
      </c>
      <c r="AN123" s="342" t="s">
        <v>145</v>
      </c>
      <c r="AO123" s="170">
        <v>0</v>
      </c>
      <c r="AP123" s="369">
        <v>0</v>
      </c>
      <c r="AQ123" s="365" t="s">
        <v>5274</v>
      </c>
      <c r="AR123" s="378" t="s">
        <v>5275</v>
      </c>
      <c r="AS123" s="55">
        <v>2</v>
      </c>
      <c r="AT123" s="370">
        <v>5</v>
      </c>
      <c r="AU123" s="371">
        <v>2010</v>
      </c>
      <c r="AV123" s="370">
        <v>5</v>
      </c>
      <c r="AW123" s="589">
        <v>150</v>
      </c>
      <c r="AX123" s="687">
        <v>0</v>
      </c>
      <c r="AY123" s="174" t="s">
        <v>4465</v>
      </c>
      <c r="AZ123" s="55">
        <v>2004</v>
      </c>
      <c r="BA123" s="55">
        <v>1</v>
      </c>
      <c r="BB123" s="55">
        <v>1</v>
      </c>
      <c r="BC123" s="174" t="s">
        <v>4466</v>
      </c>
      <c r="BD123" s="55">
        <v>1951</v>
      </c>
      <c r="BE123" s="55">
        <v>0</v>
      </c>
      <c r="BF123" s="371" t="s">
        <v>145</v>
      </c>
      <c r="BG123" s="371">
        <v>0</v>
      </c>
      <c r="BH123" s="56" t="s">
        <v>145</v>
      </c>
      <c r="BI123" s="371">
        <v>3</v>
      </c>
      <c r="BJ123" s="371">
        <v>1</v>
      </c>
      <c r="BK123" s="888">
        <v>34377.510999999999</v>
      </c>
      <c r="BL123" s="925">
        <f t="shared" si="103"/>
        <v>50.580296520012745</v>
      </c>
      <c r="BM123" s="888">
        <v>16989.263999999999</v>
      </c>
      <c r="BN123" s="920">
        <v>17388.246999999999</v>
      </c>
      <c r="BO123" s="888">
        <v>3420.7339999999999</v>
      </c>
      <c r="BP123" s="1158">
        <f t="shared" si="78"/>
        <v>48.667712835900126</v>
      </c>
      <c r="BQ123" s="917">
        <v>1755.941</v>
      </c>
      <c r="BR123" s="920">
        <v>1664.7929999999999</v>
      </c>
      <c r="BS123" s="888">
        <v>3085.7310000000002</v>
      </c>
      <c r="BT123" s="1158">
        <f t="shared" si="79"/>
        <v>48.733087880959161</v>
      </c>
      <c r="BU123" s="917">
        <v>1581.9590000000001</v>
      </c>
      <c r="BV123" s="920">
        <v>1503.7719999999999</v>
      </c>
      <c r="BW123" s="888">
        <v>2851.8020000000001</v>
      </c>
      <c r="BX123" s="1158">
        <f t="shared" si="80"/>
        <v>48.727190737645884</v>
      </c>
      <c r="BY123" s="917">
        <v>1462.1990000000001</v>
      </c>
      <c r="BZ123" s="920">
        <v>1389.6030000000001</v>
      </c>
      <c r="CA123" s="888">
        <f t="shared" si="81"/>
        <v>25019.243999999999</v>
      </c>
      <c r="CB123" s="1158">
        <f t="shared" si="82"/>
        <v>51.280842059016663</v>
      </c>
      <c r="CC123" s="917">
        <f t="shared" si="83"/>
        <v>12189.164999999997</v>
      </c>
      <c r="CD123" s="920">
        <f t="shared" si="84"/>
        <v>12830.079000000002</v>
      </c>
      <c r="CE123" s="914">
        <v>2015</v>
      </c>
      <c r="CF123" s="910" t="s">
        <v>5630</v>
      </c>
      <c r="CG123" s="930">
        <v>94</v>
      </c>
      <c r="CH123" s="495">
        <v>93.9</v>
      </c>
      <c r="CI123" s="497">
        <v>94.2</v>
      </c>
      <c r="CJ123" s="904">
        <v>96.8</v>
      </c>
      <c r="CK123" s="904">
        <v>91.3</v>
      </c>
      <c r="CL123" s="904" t="s">
        <v>5572</v>
      </c>
      <c r="CM123" s="905" t="s">
        <v>5601</v>
      </c>
      <c r="CN123" s="1044">
        <v>13475.434999999999</v>
      </c>
      <c r="CO123" s="1045">
        <f t="shared" si="104"/>
        <v>39.198402118175458</v>
      </c>
      <c r="CP123" s="1040">
        <f t="shared" si="119"/>
        <v>6659.5200196384203</v>
      </c>
      <c r="CQ123" s="1041">
        <f t="shared" si="120"/>
        <v>6815.9149803615792</v>
      </c>
      <c r="CR123" s="1046">
        <v>2011</v>
      </c>
      <c r="CS123" s="1047" t="s">
        <v>5819</v>
      </c>
      <c r="CT123" s="1068">
        <f t="shared" si="105"/>
        <v>16</v>
      </c>
      <c r="CU123" s="1071">
        <v>18</v>
      </c>
      <c r="CV123" s="1068" t="s">
        <v>5961</v>
      </c>
      <c r="CW123" s="1113">
        <v>13475.434999999999</v>
      </c>
      <c r="CX123" s="1113">
        <v>21356.830999999998</v>
      </c>
      <c r="CY123" s="1113">
        <v>31968.361000000001</v>
      </c>
      <c r="CZ123" s="494">
        <v>1</v>
      </c>
      <c r="DA123" s="1104">
        <v>4</v>
      </c>
      <c r="DB123" s="1050" t="s">
        <v>647</v>
      </c>
      <c r="DC123" s="1143" t="s">
        <v>320</v>
      </c>
      <c r="DD123" s="978">
        <f t="shared" si="91"/>
        <v>12105.30502</v>
      </c>
      <c r="DE123" s="979">
        <f t="shared" si="106"/>
        <v>35.212860582024099</v>
      </c>
      <c r="DF123" s="979">
        <f t="shared" si="92"/>
        <v>51.86600216405305</v>
      </c>
      <c r="DG123" s="980">
        <f t="shared" si="93"/>
        <v>5822.451019361577</v>
      </c>
      <c r="DH123" s="980">
        <f t="shared" si="94"/>
        <v>6278.5377636384219</v>
      </c>
      <c r="DI123" s="979">
        <f t="shared" si="107"/>
        <v>34.271355247417297</v>
      </c>
      <c r="DJ123" s="981">
        <f t="shared" si="108"/>
        <v>36.107939826472574</v>
      </c>
      <c r="DK123" s="984">
        <f t="shared" si="109"/>
        <v>11543.808999999999</v>
      </c>
      <c r="DL123" s="979">
        <f t="shared" si="95"/>
        <v>52.098609909765678</v>
      </c>
      <c r="DM123" s="980">
        <f t="shared" si="110"/>
        <v>5529.6449803615769</v>
      </c>
      <c r="DN123" s="985">
        <f t="shared" si="111"/>
        <v>6014.1640196384224</v>
      </c>
      <c r="DO123" s="984">
        <f t="shared" si="112"/>
        <v>356.25198000000034</v>
      </c>
      <c r="DP123" s="979">
        <f t="shared" si="96"/>
        <v>47.10591362888696</v>
      </c>
      <c r="DQ123" s="980">
        <f t="shared" si="85"/>
        <v>185.69363799999985</v>
      </c>
      <c r="DR123" s="985">
        <f t="shared" si="86"/>
        <v>167.81574999999981</v>
      </c>
      <c r="DS123" s="984">
        <f t="shared" si="113"/>
        <v>205.24404000000018</v>
      </c>
      <c r="DT123" s="339">
        <f t="shared" si="97"/>
        <v>47.045455741370034</v>
      </c>
      <c r="DU123" s="980">
        <f t="shared" si="87"/>
        <v>107.11240099999991</v>
      </c>
      <c r="DV123" s="985">
        <f t="shared" si="88"/>
        <v>96.557993999999894</v>
      </c>
      <c r="DW123" s="979">
        <f t="shared" si="89"/>
        <v>6.0999999999999943</v>
      </c>
      <c r="DX123" s="981">
        <f t="shared" si="90"/>
        <v>5.7999999999999936</v>
      </c>
      <c r="DY123" s="414">
        <v>2.52</v>
      </c>
      <c r="DZ123" s="111">
        <v>2007</v>
      </c>
      <c r="EA123" s="368">
        <v>806.82434999999998</v>
      </c>
      <c r="EB123" s="123">
        <v>9</v>
      </c>
      <c r="EC123" s="113">
        <v>2007</v>
      </c>
      <c r="ED123" s="20">
        <v>2904.5676600000002</v>
      </c>
      <c r="EE123" s="414">
        <v>15</v>
      </c>
      <c r="EF123" s="111">
        <v>2007</v>
      </c>
      <c r="EG123" s="380">
        <v>67.084159851074205</v>
      </c>
      <c r="EH123" s="24" t="s">
        <v>328</v>
      </c>
      <c r="EI123" s="287">
        <v>3</v>
      </c>
      <c r="EJ123" s="40">
        <v>1</v>
      </c>
      <c r="EK123" s="355" t="s">
        <v>728</v>
      </c>
      <c r="EL123" s="364" t="s">
        <v>1638</v>
      </c>
      <c r="EM123" s="364" t="s">
        <v>1639</v>
      </c>
      <c r="EN123" s="355" t="s">
        <v>145</v>
      </c>
      <c r="EO123" s="364" t="s">
        <v>1650</v>
      </c>
      <c r="EP123" s="205">
        <v>0.85</v>
      </c>
      <c r="EQ123" s="207">
        <v>0.27</v>
      </c>
      <c r="ER123" s="517">
        <v>1</v>
      </c>
      <c r="ES123" s="183" t="s">
        <v>145</v>
      </c>
      <c r="ET123" s="183" t="s">
        <v>145</v>
      </c>
      <c r="EU123" s="82" t="s">
        <v>145</v>
      </c>
      <c r="EV123" s="82" t="s">
        <v>3803</v>
      </c>
      <c r="EW123" s="82" t="s">
        <v>145</v>
      </c>
      <c r="EX123" s="360" t="s">
        <v>3803</v>
      </c>
      <c r="EY123" s="159"/>
      <c r="EZ123" s="156"/>
      <c r="FA123" s="323"/>
      <c r="FB123" s="323"/>
      <c r="FC123" s="323"/>
      <c r="FD123" s="160"/>
      <c r="FE123" s="156"/>
      <c r="FF123" s="156"/>
      <c r="FG123" s="156"/>
      <c r="FH123" s="157"/>
      <c r="FI123" s="242"/>
      <c r="FJ123" s="373"/>
      <c r="FK123" s="179"/>
      <c r="FL123" s="179"/>
      <c r="FM123" s="179"/>
      <c r="FN123" s="369"/>
      <c r="FO123" s="232"/>
      <c r="FP123" s="255">
        <v>1</v>
      </c>
      <c r="FQ123" s="183" t="s">
        <v>1612</v>
      </c>
      <c r="FR123" s="257"/>
      <c r="FS123" s="82"/>
      <c r="FT123" s="259">
        <v>1</v>
      </c>
      <c r="FU123" s="82" t="s">
        <v>1911</v>
      </c>
      <c r="FV123" s="259"/>
      <c r="FW123" s="82"/>
      <c r="FX123" s="259"/>
      <c r="FY123" s="82"/>
      <c r="FZ123" s="259"/>
      <c r="GA123" s="82"/>
      <c r="GB123" s="261"/>
      <c r="GC123" s="360"/>
      <c r="GD123" s="76">
        <v>3</v>
      </c>
      <c r="GE123" s="445" t="s">
        <v>3430</v>
      </c>
      <c r="GF123" s="447" t="s">
        <v>590</v>
      </c>
      <c r="GG123" s="448">
        <v>5</v>
      </c>
      <c r="GH123" s="449">
        <v>4</v>
      </c>
      <c r="GI123" s="447" t="s">
        <v>590</v>
      </c>
      <c r="GJ123" s="449">
        <v>44</v>
      </c>
      <c r="GK123" s="447">
        <v>11</v>
      </c>
      <c r="GL123" s="448">
        <v>10</v>
      </c>
      <c r="GM123" s="449">
        <v>23</v>
      </c>
      <c r="GN123" s="447" t="s">
        <v>580</v>
      </c>
      <c r="GO123" s="449">
        <v>66</v>
      </c>
      <c r="GP123" s="447">
        <v>24</v>
      </c>
      <c r="GQ123" s="448">
        <v>24</v>
      </c>
      <c r="GR123" s="449">
        <v>18</v>
      </c>
      <c r="GS123" s="446">
        <v>-3</v>
      </c>
      <c r="GT123" s="461">
        <v>-0.7224433422088623</v>
      </c>
      <c r="GU123" s="462">
        <v>-0.49997618794441223</v>
      </c>
      <c r="GV123" s="462">
        <v>-7.3494531214237213E-2</v>
      </c>
      <c r="GW123" s="462">
        <v>-0.16925565898418427</v>
      </c>
      <c r="GX123" s="462">
        <v>-0.24764178693294525</v>
      </c>
      <c r="GY123" s="463">
        <v>-0.35616001486778259</v>
      </c>
      <c r="GZ123" s="10">
        <v>82</v>
      </c>
      <c r="HA123" s="536">
        <v>0.50597999999999999</v>
      </c>
      <c r="HB123" s="536">
        <v>0.80391999999999997</v>
      </c>
      <c r="HC123" s="525">
        <v>0.69291000000000003</v>
      </c>
      <c r="HD123" s="526">
        <v>0.33499000000000001</v>
      </c>
      <c r="HE123" s="527">
        <v>0.49009999999999998</v>
      </c>
      <c r="HF123" s="10">
        <v>96</v>
      </c>
      <c r="HG123" s="532">
        <v>4.2699999999999996</v>
      </c>
      <c r="HH123" s="545">
        <v>5.63</v>
      </c>
      <c r="HI123" s="546">
        <v>2.5</v>
      </c>
      <c r="HJ123" s="547">
        <v>5.07</v>
      </c>
      <c r="HK123" s="558" t="s">
        <v>4092</v>
      </c>
      <c r="HL123" s="585" t="s">
        <v>4802</v>
      </c>
      <c r="HM123" s="557">
        <v>2009</v>
      </c>
      <c r="HN123" s="557">
        <v>2009</v>
      </c>
      <c r="HO123" s="557" t="s">
        <v>3985</v>
      </c>
      <c r="HP123" s="562" t="s">
        <v>4093</v>
      </c>
      <c r="HQ123" s="639" t="s">
        <v>4858</v>
      </c>
      <c r="HR123" s="563" t="s">
        <v>4010</v>
      </c>
      <c r="HS123" s="545" t="s">
        <v>145</v>
      </c>
      <c r="HT123" s="557" t="s">
        <v>145</v>
      </c>
      <c r="HU123" s="696">
        <v>2014</v>
      </c>
      <c r="HV123" s="656" t="s">
        <v>4891</v>
      </c>
      <c r="HW123" s="557" t="s">
        <v>145</v>
      </c>
      <c r="HX123" s="557" t="s">
        <v>145</v>
      </c>
      <c r="HY123" s="557" t="s">
        <v>145</v>
      </c>
      <c r="HZ123" s="557" t="s">
        <v>145</v>
      </c>
      <c r="IA123" s="557" t="s">
        <v>145</v>
      </c>
      <c r="IB123" s="557" t="s">
        <v>145</v>
      </c>
      <c r="IC123" s="547" t="s">
        <v>145</v>
      </c>
      <c r="ID123" s="40"/>
      <c r="IE123" s="550"/>
      <c r="IF123" s="550"/>
      <c r="IG123" s="553"/>
      <c r="IH123" s="115"/>
      <c r="II123" s="647" t="s">
        <v>4922</v>
      </c>
      <c r="IJ123" s="423" t="s">
        <v>4926</v>
      </c>
      <c r="IK123" s="10">
        <v>0</v>
      </c>
      <c r="IL123" s="749">
        <f t="shared" si="114"/>
        <v>18</v>
      </c>
      <c r="IM123" s="747">
        <f t="shared" si="115"/>
        <v>72</v>
      </c>
      <c r="IN123" s="750" t="str">
        <f t="shared" si="116"/>
        <v>B</v>
      </c>
      <c r="IO123" s="446"/>
      <c r="IP123" s="902">
        <v>3</v>
      </c>
      <c r="IQ123" s="903">
        <v>0</v>
      </c>
      <c r="IR123" s="993">
        <v>0</v>
      </c>
      <c r="IT123" s="435"/>
      <c r="IU123" s="435"/>
      <c r="IV123" s="435"/>
    </row>
    <row r="124" spans="1:256">
      <c r="A124" s="21">
        <v>122</v>
      </c>
      <c r="B124" s="9"/>
      <c r="C124" s="430" t="s">
        <v>191</v>
      </c>
      <c r="D124" s="423" t="s">
        <v>406</v>
      </c>
      <c r="E124" s="24" t="s">
        <v>9</v>
      </c>
      <c r="F124" s="76" t="s">
        <v>859</v>
      </c>
      <c r="G124" s="102" t="s">
        <v>578</v>
      </c>
      <c r="H124" s="375" t="s">
        <v>2383</v>
      </c>
      <c r="I124" s="364" t="s">
        <v>2124</v>
      </c>
      <c r="J124" s="370">
        <v>1</v>
      </c>
      <c r="K124" s="88">
        <v>1930</v>
      </c>
      <c r="L124" s="371">
        <v>2</v>
      </c>
      <c r="M124" s="373" t="s">
        <v>1825</v>
      </c>
      <c r="N124" s="369" t="s">
        <v>1822</v>
      </c>
      <c r="O124" s="365" t="s">
        <v>2384</v>
      </c>
      <c r="P124" s="362" t="s">
        <v>2905</v>
      </c>
      <c r="Q124" s="370">
        <v>2</v>
      </c>
      <c r="R124" s="370">
        <v>1980</v>
      </c>
      <c r="S124" s="234" t="s">
        <v>1972</v>
      </c>
      <c r="T124" s="176">
        <v>2</v>
      </c>
      <c r="U124" s="370">
        <v>2</v>
      </c>
      <c r="V124" s="176">
        <v>0</v>
      </c>
      <c r="W124" s="369" t="s">
        <v>2036</v>
      </c>
      <c r="X124" s="170">
        <v>0</v>
      </c>
      <c r="Y124" s="369">
        <v>0</v>
      </c>
      <c r="Z124" s="273" t="s">
        <v>1973</v>
      </c>
      <c r="AA124" s="169">
        <v>1</v>
      </c>
      <c r="AB124" s="177">
        <v>1</v>
      </c>
      <c r="AC124" s="171"/>
      <c r="AD124" s="366" t="s">
        <v>2906</v>
      </c>
      <c r="AE124" s="357">
        <v>2009</v>
      </c>
      <c r="AF124" s="357">
        <v>1</v>
      </c>
      <c r="AG124" s="55">
        <v>2</v>
      </c>
      <c r="AH124" s="355" t="s">
        <v>323</v>
      </c>
      <c r="AI124" s="55">
        <v>0</v>
      </c>
      <c r="AJ124" s="55">
        <v>0</v>
      </c>
      <c r="AK124" s="590" t="s">
        <v>145</v>
      </c>
      <c r="AL124" s="386">
        <v>8</v>
      </c>
      <c r="AM124" s="361" t="s">
        <v>2878</v>
      </c>
      <c r="AN124" s="342" t="s">
        <v>145</v>
      </c>
      <c r="AO124" s="170">
        <v>0</v>
      </c>
      <c r="AP124" s="369">
        <v>0</v>
      </c>
      <c r="AQ124" s="365" t="s">
        <v>5276</v>
      </c>
      <c r="AR124" s="378" t="s">
        <v>5277</v>
      </c>
      <c r="AS124" s="55">
        <v>2</v>
      </c>
      <c r="AT124" s="370">
        <v>3</v>
      </c>
      <c r="AU124" s="371">
        <v>2011</v>
      </c>
      <c r="AV124" s="370">
        <v>5</v>
      </c>
      <c r="AW124" s="589">
        <v>20</v>
      </c>
      <c r="AX124" s="687">
        <v>1</v>
      </c>
      <c r="AY124" s="174" t="s">
        <v>4467</v>
      </c>
      <c r="AZ124" s="55">
        <v>2005</v>
      </c>
      <c r="BA124" s="55">
        <v>1</v>
      </c>
      <c r="BB124" s="55">
        <v>1</v>
      </c>
      <c r="BC124" s="174" t="s">
        <v>4468</v>
      </c>
      <c r="BD124" s="55">
        <v>2005</v>
      </c>
      <c r="BE124" s="55">
        <v>0</v>
      </c>
      <c r="BF124" s="371" t="s">
        <v>145</v>
      </c>
      <c r="BG124" s="371">
        <v>0</v>
      </c>
      <c r="BH124" s="56" t="s">
        <v>145</v>
      </c>
      <c r="BI124" s="371">
        <v>0</v>
      </c>
      <c r="BJ124" s="371">
        <v>1</v>
      </c>
      <c r="BK124" s="888">
        <v>27977.863000000001</v>
      </c>
      <c r="BL124" s="925">
        <f t="shared" si="103"/>
        <v>51.153524484697066</v>
      </c>
      <c r="BM124" s="888">
        <v>13666.2</v>
      </c>
      <c r="BN124" s="920">
        <v>14311.663</v>
      </c>
      <c r="BO124" s="888">
        <v>4816.0630000000001</v>
      </c>
      <c r="BP124" s="1158">
        <f t="shared" si="78"/>
        <v>49.631369024865322</v>
      </c>
      <c r="BQ124" s="917">
        <v>2425.7849999999999</v>
      </c>
      <c r="BR124" s="920">
        <v>2390.2779999999998</v>
      </c>
      <c r="BS124" s="888">
        <v>4203.5240000000003</v>
      </c>
      <c r="BT124" s="1158">
        <f t="shared" si="79"/>
        <v>49.805948532707319</v>
      </c>
      <c r="BU124" s="917">
        <v>2109.9189999999999</v>
      </c>
      <c r="BV124" s="920">
        <v>2093.605</v>
      </c>
      <c r="BW124" s="888">
        <v>3655.3690000000001</v>
      </c>
      <c r="BX124" s="1158">
        <f t="shared" si="80"/>
        <v>49.936791607085354</v>
      </c>
      <c r="BY124" s="917">
        <v>1829.9949999999999</v>
      </c>
      <c r="BZ124" s="920">
        <v>1825.374</v>
      </c>
      <c r="CA124" s="888">
        <f t="shared" si="81"/>
        <v>15302.907000000001</v>
      </c>
      <c r="CB124" s="1158">
        <f t="shared" si="82"/>
        <v>52.293371448967186</v>
      </c>
      <c r="CC124" s="917">
        <f t="shared" si="83"/>
        <v>7300.5010000000011</v>
      </c>
      <c r="CD124" s="920">
        <f t="shared" si="84"/>
        <v>8002.4060000000009</v>
      </c>
      <c r="CE124" s="914">
        <v>2015</v>
      </c>
      <c r="CF124" s="910" t="s">
        <v>5630</v>
      </c>
      <c r="CG124" s="1026">
        <v>47.9</v>
      </c>
      <c r="CH124" s="495">
        <v>47.8</v>
      </c>
      <c r="CI124" s="497">
        <v>47.9</v>
      </c>
      <c r="CJ124" s="904">
        <v>50.6</v>
      </c>
      <c r="CK124" s="904">
        <v>46.8</v>
      </c>
      <c r="CL124" s="904">
        <v>2011</v>
      </c>
      <c r="CM124" s="905" t="s">
        <v>5575</v>
      </c>
      <c r="CN124" s="1044">
        <v>10886.195</v>
      </c>
      <c r="CO124" s="1045">
        <f t="shared" si="104"/>
        <v>38.910030405109922</v>
      </c>
      <c r="CP124" s="1040">
        <f t="shared" si="119"/>
        <v>5317.5225752231318</v>
      </c>
      <c r="CQ124" s="1041">
        <f t="shared" si="120"/>
        <v>5568.672424776867</v>
      </c>
      <c r="CR124" s="1046">
        <v>2014</v>
      </c>
      <c r="CS124" s="1047" t="s">
        <v>5820</v>
      </c>
      <c r="CT124" s="1068">
        <f t="shared" si="105"/>
        <v>0</v>
      </c>
      <c r="CU124" s="1071">
        <v>18</v>
      </c>
      <c r="CV124" s="1068" t="s">
        <v>5962</v>
      </c>
      <c r="CW124" s="1113">
        <v>10886.195</v>
      </c>
      <c r="CX124" s="1113">
        <v>11850.615</v>
      </c>
      <c r="CY124" s="1113">
        <v>24692.144</v>
      </c>
      <c r="CZ124" s="494">
        <v>1</v>
      </c>
      <c r="DA124" s="1104">
        <v>6</v>
      </c>
      <c r="DB124" s="1050" t="s">
        <v>5753</v>
      </c>
      <c r="DC124" s="1143" t="s">
        <v>320</v>
      </c>
      <c r="DD124" s="978">
        <f t="shared" si="91"/>
        <v>11020.364076000002</v>
      </c>
      <c r="DE124" s="979">
        <f t="shared" si="106"/>
        <v>39.389584815680891</v>
      </c>
      <c r="DF124" s="979">
        <f t="shared" si="92"/>
        <v>51.911683069363711</v>
      </c>
      <c r="DG124" s="980">
        <f t="shared" si="93"/>
        <v>5305.8733027768694</v>
      </c>
      <c r="DH124" s="980">
        <f t="shared" si="94"/>
        <v>5720.856472223134</v>
      </c>
      <c r="DI124" s="979">
        <f t="shared" si="107"/>
        <v>38.824788915549817</v>
      </c>
      <c r="DJ124" s="981">
        <f t="shared" si="108"/>
        <v>39.97338724523582</v>
      </c>
      <c r="DK124" s="984">
        <f t="shared" si="109"/>
        <v>4416.7120000000014</v>
      </c>
      <c r="DL124" s="979">
        <f t="shared" si="95"/>
        <v>55.102836119337937</v>
      </c>
      <c r="DM124" s="980">
        <f t="shared" si="110"/>
        <v>1982.9784247768694</v>
      </c>
      <c r="DN124" s="985">
        <f t="shared" si="111"/>
        <v>2433.7335752231338</v>
      </c>
      <c r="DO124" s="984">
        <f t="shared" si="112"/>
        <v>4094.4832530000003</v>
      </c>
      <c r="DP124" s="979">
        <f t="shared" si="96"/>
        <v>49.866806940875762</v>
      </c>
      <c r="DQ124" s="980">
        <f t="shared" si="85"/>
        <v>2056.6351079999999</v>
      </c>
      <c r="DR124" s="985">
        <f t="shared" si="86"/>
        <v>2041.788059</v>
      </c>
      <c r="DS124" s="984">
        <f t="shared" si="113"/>
        <v>2509.168823</v>
      </c>
      <c r="DT124" s="339">
        <f t="shared" si="97"/>
        <v>49.631369024865329</v>
      </c>
      <c r="DU124" s="980">
        <f t="shared" si="87"/>
        <v>1266.2597699999999</v>
      </c>
      <c r="DV124" s="985">
        <f t="shared" si="88"/>
        <v>1245.334838</v>
      </c>
      <c r="DW124" s="979">
        <f t="shared" si="89"/>
        <v>52.2</v>
      </c>
      <c r="DX124" s="981">
        <f t="shared" si="90"/>
        <v>52.1</v>
      </c>
      <c r="DY124" s="414">
        <v>59.58</v>
      </c>
      <c r="DZ124" s="111">
        <v>2008</v>
      </c>
      <c r="EA124" s="118">
        <v>14262.105968</v>
      </c>
      <c r="EB124" s="123">
        <v>54.7</v>
      </c>
      <c r="EC124" s="113">
        <v>2009</v>
      </c>
      <c r="ED124" s="20">
        <v>13089.550276</v>
      </c>
      <c r="EE124" s="414">
        <v>52</v>
      </c>
      <c r="EF124" s="111">
        <v>2009</v>
      </c>
      <c r="EG124" s="380">
        <v>50.583812713622997</v>
      </c>
      <c r="EH124" s="24" t="s">
        <v>354</v>
      </c>
      <c r="EI124" s="287">
        <v>1</v>
      </c>
      <c r="EJ124" s="40">
        <v>1</v>
      </c>
      <c r="EK124" s="35" t="s">
        <v>145</v>
      </c>
      <c r="EL124" s="95" t="s">
        <v>1645</v>
      </c>
      <c r="EM124" s="95" t="s">
        <v>1645</v>
      </c>
      <c r="EN124" s="35" t="s">
        <v>728</v>
      </c>
      <c r="EO124" s="95" t="s">
        <v>1646</v>
      </c>
      <c r="EP124" s="205">
        <v>0.31</v>
      </c>
      <c r="EQ124" s="207" t="s">
        <v>145</v>
      </c>
      <c r="ER124" s="517">
        <v>1</v>
      </c>
      <c r="ES124" s="183" t="s">
        <v>145</v>
      </c>
      <c r="ET124" s="183" t="s">
        <v>3767</v>
      </c>
      <c r="EU124" s="82" t="s">
        <v>145</v>
      </c>
      <c r="EV124" s="82" t="s">
        <v>145</v>
      </c>
      <c r="EW124" s="82" t="s">
        <v>145</v>
      </c>
      <c r="EX124" s="360" t="s">
        <v>145</v>
      </c>
      <c r="EY124" s="159"/>
      <c r="EZ124" s="156"/>
      <c r="FA124" s="323"/>
      <c r="FB124" s="323"/>
      <c r="FC124" s="323"/>
      <c r="FD124" s="160"/>
      <c r="FE124" s="156"/>
      <c r="FF124" s="156"/>
      <c r="FG124" s="156"/>
      <c r="FH124" s="157"/>
      <c r="FI124" s="242"/>
      <c r="FJ124" s="373"/>
      <c r="FK124" s="179"/>
      <c r="FL124" s="179"/>
      <c r="FM124" s="179"/>
      <c r="FN124" s="369"/>
      <c r="FO124" s="164"/>
      <c r="FP124" s="255"/>
      <c r="FQ124" s="183"/>
      <c r="FR124" s="257">
        <v>1</v>
      </c>
      <c r="FS124" s="82" t="s">
        <v>1702</v>
      </c>
      <c r="FT124" s="259"/>
      <c r="FU124" s="82"/>
      <c r="FV124" s="259"/>
      <c r="FW124" s="82"/>
      <c r="FX124" s="259"/>
      <c r="FY124" s="82"/>
      <c r="FZ124" s="259">
        <v>1</v>
      </c>
      <c r="GA124" s="82" t="s">
        <v>1912</v>
      </c>
      <c r="GB124" s="261"/>
      <c r="GC124" s="90"/>
      <c r="GD124" s="76">
        <v>1</v>
      </c>
      <c r="GE124" s="445" t="s">
        <v>3424</v>
      </c>
      <c r="GF124" s="447" t="s">
        <v>590</v>
      </c>
      <c r="GG124" s="448">
        <v>4</v>
      </c>
      <c r="GH124" s="449">
        <v>3</v>
      </c>
      <c r="GI124" s="447" t="s">
        <v>145</v>
      </c>
      <c r="GJ124" s="449" t="s">
        <v>145</v>
      </c>
      <c r="GK124" s="447" t="s">
        <v>145</v>
      </c>
      <c r="GL124" s="448" t="s">
        <v>145</v>
      </c>
      <c r="GM124" s="449" t="s">
        <v>145</v>
      </c>
      <c r="GN124" s="447" t="s">
        <v>590</v>
      </c>
      <c r="GO124" s="449">
        <v>45</v>
      </c>
      <c r="GP124" s="447">
        <v>13</v>
      </c>
      <c r="GQ124" s="448">
        <v>17</v>
      </c>
      <c r="GR124" s="449">
        <v>15</v>
      </c>
      <c r="GS124" s="446">
        <v>5</v>
      </c>
      <c r="GT124" s="461">
        <v>-0.28672105073928833</v>
      </c>
      <c r="GU124" s="462">
        <v>-0.27105963230133057</v>
      </c>
      <c r="GV124" s="462">
        <v>-0.6487811803817749</v>
      </c>
      <c r="GW124" s="462">
        <v>-0.41240876913070679</v>
      </c>
      <c r="GX124" s="462">
        <v>-0.84657299518585205</v>
      </c>
      <c r="GY124" s="463">
        <v>-0.64969909191131592</v>
      </c>
      <c r="GZ124" s="10">
        <v>164</v>
      </c>
      <c r="HA124" s="536">
        <v>0.23837</v>
      </c>
      <c r="HB124" s="536">
        <v>0.33333000000000002</v>
      </c>
      <c r="HC124" s="525">
        <v>0.31496000000000002</v>
      </c>
      <c r="HD124" s="526">
        <v>5.4489999999999997E-2</v>
      </c>
      <c r="HE124" s="527">
        <v>0.34570000000000001</v>
      </c>
      <c r="HF124" s="10">
        <v>159</v>
      </c>
      <c r="HG124" s="532">
        <v>1.52</v>
      </c>
      <c r="HH124" s="545">
        <v>2.21</v>
      </c>
      <c r="HI124" s="546">
        <v>0.24</v>
      </c>
      <c r="HJ124" s="547">
        <v>2.71</v>
      </c>
      <c r="HK124" s="558" t="s">
        <v>145</v>
      </c>
      <c r="HL124" s="82" t="s">
        <v>145</v>
      </c>
      <c r="HM124" s="557" t="s">
        <v>145</v>
      </c>
      <c r="HN124" s="557" t="s">
        <v>145</v>
      </c>
      <c r="HO124" s="557" t="s">
        <v>145</v>
      </c>
      <c r="HP124" s="562" t="s">
        <v>145</v>
      </c>
      <c r="HQ124" s="562" t="s">
        <v>145</v>
      </c>
      <c r="HR124" s="563" t="s">
        <v>145</v>
      </c>
      <c r="HS124" s="545" t="s">
        <v>145</v>
      </c>
      <c r="HT124" s="557" t="s">
        <v>145</v>
      </c>
      <c r="HU124" s="696">
        <v>2014</v>
      </c>
      <c r="HV124" s="656" t="s">
        <v>4892</v>
      </c>
      <c r="HW124" s="557" t="s">
        <v>145</v>
      </c>
      <c r="HX124" s="557" t="s">
        <v>145</v>
      </c>
      <c r="HY124" s="557" t="s">
        <v>145</v>
      </c>
      <c r="HZ124" s="557" t="s">
        <v>145</v>
      </c>
      <c r="IA124" s="557" t="s">
        <v>145</v>
      </c>
      <c r="IB124" s="557" t="s">
        <v>145</v>
      </c>
      <c r="IC124" s="547" t="s">
        <v>145</v>
      </c>
      <c r="ID124" s="40"/>
      <c r="IE124" s="550"/>
      <c r="IF124" s="550"/>
      <c r="IG124" s="553"/>
      <c r="IH124" s="115"/>
      <c r="II124" s="647" t="s">
        <v>4921</v>
      </c>
      <c r="IJ124" s="423" t="s">
        <v>4918</v>
      </c>
      <c r="IK124" s="10">
        <v>0</v>
      </c>
      <c r="IL124" s="749">
        <f t="shared" si="114"/>
        <v>14</v>
      </c>
      <c r="IM124" s="747">
        <f t="shared" si="115"/>
        <v>56.000000000000007</v>
      </c>
      <c r="IN124" s="750" t="str">
        <f t="shared" si="116"/>
        <v>B</v>
      </c>
      <c r="IO124" s="446">
        <v>1</v>
      </c>
      <c r="IP124" s="902">
        <v>6</v>
      </c>
      <c r="IQ124" s="903">
        <v>0</v>
      </c>
      <c r="IR124" s="993">
        <v>0</v>
      </c>
      <c r="IT124" s="435"/>
      <c r="IU124" s="435"/>
      <c r="IV124" s="435"/>
    </row>
    <row r="125" spans="1:256">
      <c r="A125" s="21">
        <v>123</v>
      </c>
      <c r="B125" s="9"/>
      <c r="C125" s="431" t="s">
        <v>192</v>
      </c>
      <c r="D125" s="424" t="s">
        <v>407</v>
      </c>
      <c r="E125" s="24" t="s">
        <v>9</v>
      </c>
      <c r="F125" s="76" t="s">
        <v>860</v>
      </c>
      <c r="G125" s="102" t="s">
        <v>568</v>
      </c>
      <c r="H125" s="375" t="s">
        <v>2385</v>
      </c>
      <c r="I125" s="95" t="s">
        <v>2386</v>
      </c>
      <c r="J125" s="370">
        <v>6</v>
      </c>
      <c r="K125" s="88">
        <v>1948</v>
      </c>
      <c r="L125" s="371">
        <v>2</v>
      </c>
      <c r="M125" s="373" t="s">
        <v>145</v>
      </c>
      <c r="N125" s="369" t="s">
        <v>1822</v>
      </c>
      <c r="O125" s="375" t="s">
        <v>2385</v>
      </c>
      <c r="P125" s="362" t="s">
        <v>2959</v>
      </c>
      <c r="Q125" s="370">
        <v>6</v>
      </c>
      <c r="R125" s="370">
        <v>1982</v>
      </c>
      <c r="S125" s="372" t="s">
        <v>1994</v>
      </c>
      <c r="T125" s="370">
        <v>1</v>
      </c>
      <c r="U125" s="370">
        <v>2</v>
      </c>
      <c r="V125" s="370">
        <v>12</v>
      </c>
      <c r="W125" s="369" t="s">
        <v>1822</v>
      </c>
      <c r="X125" s="170">
        <v>1</v>
      </c>
      <c r="Y125" s="369">
        <v>1</v>
      </c>
      <c r="Z125" s="273" t="s">
        <v>2007</v>
      </c>
      <c r="AA125" s="169"/>
      <c r="AB125" s="177"/>
      <c r="AC125" s="171"/>
      <c r="AD125" s="376" t="s">
        <v>145</v>
      </c>
      <c r="AE125" s="355" t="s">
        <v>145</v>
      </c>
      <c r="AF125" s="357">
        <v>0</v>
      </c>
      <c r="AG125" s="550">
        <v>1</v>
      </c>
      <c r="AH125" s="355" t="s">
        <v>145</v>
      </c>
      <c r="AI125" s="550" t="s">
        <v>145</v>
      </c>
      <c r="AJ125" s="550" t="s">
        <v>145</v>
      </c>
      <c r="AK125" s="590" t="s">
        <v>145</v>
      </c>
      <c r="AL125" s="386">
        <v>0</v>
      </c>
      <c r="AM125" s="360" t="s">
        <v>145</v>
      </c>
      <c r="AN125" s="384">
        <v>3</v>
      </c>
      <c r="AO125" s="170">
        <v>0</v>
      </c>
      <c r="AP125" s="369">
        <v>0</v>
      </c>
      <c r="AQ125" s="282" t="s">
        <v>5388</v>
      </c>
      <c r="AR125" s="362" t="s">
        <v>5267</v>
      </c>
      <c r="AS125" s="55">
        <v>1</v>
      </c>
      <c r="AT125" s="370">
        <v>2</v>
      </c>
      <c r="AU125" s="371">
        <v>2010</v>
      </c>
      <c r="AV125" s="370">
        <v>5</v>
      </c>
      <c r="AW125" s="589" t="s">
        <v>145</v>
      </c>
      <c r="AX125" s="687">
        <v>0</v>
      </c>
      <c r="AY125" s="174" t="s">
        <v>4444</v>
      </c>
      <c r="AZ125" s="55">
        <v>2014</v>
      </c>
      <c r="BA125" s="55">
        <v>1</v>
      </c>
      <c r="BB125" s="55">
        <v>2</v>
      </c>
      <c r="BC125" s="174" t="s">
        <v>4445</v>
      </c>
      <c r="BD125" s="55">
        <v>1957</v>
      </c>
      <c r="BE125" s="55">
        <v>1</v>
      </c>
      <c r="BF125" s="371" t="s">
        <v>323</v>
      </c>
      <c r="BG125" s="371">
        <v>0</v>
      </c>
      <c r="BH125" s="56" t="s">
        <v>145</v>
      </c>
      <c r="BI125" s="371">
        <v>0</v>
      </c>
      <c r="BJ125" s="371">
        <v>0</v>
      </c>
      <c r="BK125" s="888">
        <v>53897.154000000002</v>
      </c>
      <c r="BL125" s="925">
        <f t="shared" si="103"/>
        <v>51.138451577610198</v>
      </c>
      <c r="BM125" s="888">
        <v>26334.984</v>
      </c>
      <c r="BN125" s="920">
        <v>27562.17</v>
      </c>
      <c r="BO125" s="888">
        <v>4564.9129999999996</v>
      </c>
      <c r="BP125" s="1158">
        <f t="shared" si="78"/>
        <v>49.5921389958582</v>
      </c>
      <c r="BQ125" s="917">
        <v>2301.0749999999998</v>
      </c>
      <c r="BR125" s="920">
        <v>2263.8380000000002</v>
      </c>
      <c r="BS125" s="888">
        <v>4988.2730000000001</v>
      </c>
      <c r="BT125" s="1158">
        <f t="shared" si="79"/>
        <v>49.657466622215743</v>
      </c>
      <c r="BU125" s="917">
        <v>2511.223</v>
      </c>
      <c r="BV125" s="920">
        <v>2477.0500000000002</v>
      </c>
      <c r="BW125" s="888">
        <v>5295.8040000000001</v>
      </c>
      <c r="BX125" s="1158">
        <f t="shared" si="80"/>
        <v>49.738415545590428</v>
      </c>
      <c r="BY125" s="917">
        <v>2661.7550000000001</v>
      </c>
      <c r="BZ125" s="920">
        <v>2634.049</v>
      </c>
      <c r="CA125" s="888">
        <f t="shared" si="81"/>
        <v>39048.164000000004</v>
      </c>
      <c r="CB125" s="1158">
        <f t="shared" si="82"/>
        <v>51.698289835086733</v>
      </c>
      <c r="CC125" s="917">
        <f t="shared" si="83"/>
        <v>18860.931</v>
      </c>
      <c r="CD125" s="920">
        <f t="shared" si="84"/>
        <v>20187.233</v>
      </c>
      <c r="CE125" s="914">
        <v>2015</v>
      </c>
      <c r="CF125" s="910" t="s">
        <v>5630</v>
      </c>
      <c r="CG125" s="930">
        <v>72.400000000000006</v>
      </c>
      <c r="CH125" s="495">
        <v>72.7</v>
      </c>
      <c r="CI125" s="497">
        <v>72.099999999999994</v>
      </c>
      <c r="CJ125" s="904">
        <v>93.5</v>
      </c>
      <c r="CK125" s="904">
        <v>63.5</v>
      </c>
      <c r="CL125" s="904" t="s">
        <v>5602</v>
      </c>
      <c r="CM125" s="905" t="s">
        <v>5573</v>
      </c>
      <c r="CN125" s="1044">
        <v>34295.334000000003</v>
      </c>
      <c r="CO125" s="1045">
        <f t="shared" si="104"/>
        <v>63.631066679327816</v>
      </c>
      <c r="CP125" s="1040">
        <f t="shared" si="119"/>
        <v>16757.231229030313</v>
      </c>
      <c r="CQ125" s="1041">
        <f t="shared" si="120"/>
        <v>17538.10277096969</v>
      </c>
      <c r="CR125" s="1046">
        <v>2015</v>
      </c>
      <c r="CS125" s="1047" t="s">
        <v>5821</v>
      </c>
      <c r="CT125" s="1068">
        <f t="shared" si="105"/>
        <v>12</v>
      </c>
      <c r="CU125" s="1071">
        <v>18</v>
      </c>
      <c r="CV125" s="1068" t="s">
        <v>5963</v>
      </c>
      <c r="CW125" s="1113">
        <v>34295.334000000003</v>
      </c>
      <c r="CX125" s="1113">
        <v>38646.398000000001</v>
      </c>
      <c r="CY125" s="1113">
        <v>56320.205999999998</v>
      </c>
      <c r="CZ125" s="494">
        <v>1</v>
      </c>
      <c r="DA125" s="1104">
        <v>4</v>
      </c>
      <c r="DB125" s="1050" t="s">
        <v>647</v>
      </c>
      <c r="DC125" s="1143" t="s">
        <v>320</v>
      </c>
      <c r="DD125" s="978">
        <f t="shared" si="91"/>
        <v>8851.1512399999992</v>
      </c>
      <c r="DE125" s="979">
        <f t="shared" si="106"/>
        <v>16.422297993693689</v>
      </c>
      <c r="DF125" s="979">
        <f t="shared" si="92"/>
        <v>53.176558895069917</v>
      </c>
      <c r="DG125" s="980">
        <f t="shared" si="93"/>
        <v>4144.1162399696877</v>
      </c>
      <c r="DH125" s="980">
        <f t="shared" si="94"/>
        <v>4706.7376520303105</v>
      </c>
      <c r="DI125" s="979">
        <f t="shared" si="107"/>
        <v>15.736163879840168</v>
      </c>
      <c r="DJ125" s="981">
        <f t="shared" si="108"/>
        <v>17.076803648008525</v>
      </c>
      <c r="DK125" s="984">
        <f t="shared" si="109"/>
        <v>4752.8300000000017</v>
      </c>
      <c r="DL125" s="979">
        <f t="shared" si="95"/>
        <v>55.737954629774457</v>
      </c>
      <c r="DM125" s="980">
        <f t="shared" si="110"/>
        <v>2103.699770969688</v>
      </c>
      <c r="DN125" s="985">
        <f t="shared" si="111"/>
        <v>2649.1302290303101</v>
      </c>
      <c r="DO125" s="984">
        <f t="shared" si="112"/>
        <v>2838.4052519999991</v>
      </c>
      <c r="DP125" s="979">
        <f t="shared" si="96"/>
        <v>50.239359583879484</v>
      </c>
      <c r="DQ125" s="980">
        <f t="shared" si="85"/>
        <v>1412.2229940000002</v>
      </c>
      <c r="DR125" s="985">
        <f t="shared" si="86"/>
        <v>1425.9966210000002</v>
      </c>
      <c r="DS125" s="984">
        <f t="shared" si="113"/>
        <v>1259.9159879999995</v>
      </c>
      <c r="DT125" s="339">
        <f t="shared" si="97"/>
        <v>50.13118398494364</v>
      </c>
      <c r="DU125" s="980">
        <f t="shared" si="87"/>
        <v>628.19347500000003</v>
      </c>
      <c r="DV125" s="985">
        <f t="shared" si="88"/>
        <v>631.61080200000015</v>
      </c>
      <c r="DW125" s="979">
        <f t="shared" si="89"/>
        <v>27.3</v>
      </c>
      <c r="DX125" s="981">
        <f t="shared" si="90"/>
        <v>27.900000000000002</v>
      </c>
      <c r="DY125" s="123">
        <v>25</v>
      </c>
      <c r="DZ125" s="111">
        <v>2012</v>
      </c>
      <c r="EA125" s="118" t="e">
        <f>#REF!*DY125/100</f>
        <v>#REF!</v>
      </c>
      <c r="EB125" s="123">
        <v>35</v>
      </c>
      <c r="EC125" s="113">
        <v>2013</v>
      </c>
      <c r="ED125" s="20" t="e">
        <f>#REF!*EB125/100</f>
        <v>#REF!</v>
      </c>
      <c r="EE125" s="414">
        <v>32.700000000000003</v>
      </c>
      <c r="EF125" s="111">
        <v>2007</v>
      </c>
      <c r="EG125" s="380">
        <v>92.625183105468807</v>
      </c>
      <c r="EH125" s="24" t="s">
        <v>386</v>
      </c>
      <c r="EI125" s="287">
        <v>1</v>
      </c>
      <c r="EJ125" s="40">
        <v>2</v>
      </c>
      <c r="EK125" s="35" t="s">
        <v>145</v>
      </c>
      <c r="EL125" s="95" t="s">
        <v>931</v>
      </c>
      <c r="EM125" s="95" t="s">
        <v>145</v>
      </c>
      <c r="EN125" s="35" t="s">
        <v>145</v>
      </c>
      <c r="EO125" s="95" t="s">
        <v>1725</v>
      </c>
      <c r="EP125" s="205">
        <v>0.72</v>
      </c>
      <c r="EQ125" s="207" t="s">
        <v>145</v>
      </c>
      <c r="ER125" s="517">
        <v>3</v>
      </c>
      <c r="ES125" s="183" t="s">
        <v>145</v>
      </c>
      <c r="ET125" s="183" t="s">
        <v>3822</v>
      </c>
      <c r="EU125" s="82" t="s">
        <v>3774</v>
      </c>
      <c r="EV125" s="82" t="s">
        <v>3774</v>
      </c>
      <c r="EW125" s="82" t="s">
        <v>145</v>
      </c>
      <c r="EX125" s="360" t="s">
        <v>3920</v>
      </c>
      <c r="EY125" s="159"/>
      <c r="EZ125" s="156"/>
      <c r="FA125" s="323"/>
      <c r="FB125" s="323"/>
      <c r="FC125" s="323"/>
      <c r="FD125" s="160"/>
      <c r="FE125" s="156"/>
      <c r="FF125" s="156"/>
      <c r="FG125" s="156"/>
      <c r="FH125" s="157"/>
      <c r="FI125" s="242"/>
      <c r="FJ125" s="373"/>
      <c r="FK125" s="179"/>
      <c r="FL125" s="179"/>
      <c r="FM125" s="179"/>
      <c r="FN125" s="369"/>
      <c r="FO125" s="164"/>
      <c r="FP125" s="255"/>
      <c r="FQ125" s="183"/>
      <c r="FR125" s="257"/>
      <c r="FS125" s="82"/>
      <c r="FT125" s="259"/>
      <c r="FU125" s="82"/>
      <c r="FV125" s="259"/>
      <c r="FW125" s="82"/>
      <c r="FX125" s="259"/>
      <c r="FY125" s="82"/>
      <c r="FZ125" s="259"/>
      <c r="GA125" s="82"/>
      <c r="GB125" s="261"/>
      <c r="GC125" s="90"/>
      <c r="GD125" s="76">
        <v>2</v>
      </c>
      <c r="GE125" s="445" t="s">
        <v>3425</v>
      </c>
      <c r="GF125" s="447" t="s">
        <v>580</v>
      </c>
      <c r="GG125" s="448">
        <v>6</v>
      </c>
      <c r="GH125" s="449">
        <v>5</v>
      </c>
      <c r="GI125" s="447" t="s">
        <v>590</v>
      </c>
      <c r="GJ125" s="449">
        <v>60</v>
      </c>
      <c r="GK125" s="447">
        <v>19</v>
      </c>
      <c r="GL125" s="448">
        <v>16</v>
      </c>
      <c r="GM125" s="449">
        <v>25</v>
      </c>
      <c r="GN125" s="447" t="s">
        <v>580</v>
      </c>
      <c r="GO125" s="449">
        <v>70</v>
      </c>
      <c r="GP125" s="447">
        <v>22</v>
      </c>
      <c r="GQ125" s="448">
        <v>24</v>
      </c>
      <c r="GR125" s="449">
        <v>24</v>
      </c>
      <c r="GS125" s="446">
        <v>8</v>
      </c>
      <c r="GT125" s="461">
        <v>-1.4973899126052856</v>
      </c>
      <c r="GU125" s="462">
        <v>-1.1548423767089844</v>
      </c>
      <c r="GV125" s="462">
        <v>-1.5096619129180908</v>
      </c>
      <c r="GW125" s="462">
        <v>-1.509480357170105</v>
      </c>
      <c r="GX125" s="462">
        <v>-1.2201098203659058</v>
      </c>
      <c r="GY125" s="463">
        <v>-1.06778883934021</v>
      </c>
      <c r="GZ125" s="10">
        <v>175</v>
      </c>
      <c r="HA125" s="536">
        <v>0.18694</v>
      </c>
      <c r="HB125" s="536">
        <v>7.843E-2</v>
      </c>
      <c r="HC125" s="525">
        <v>2.3619999999999999E-2</v>
      </c>
      <c r="HD125" s="526">
        <v>8.3599999999999994E-3</v>
      </c>
      <c r="HE125" s="527">
        <v>0.52880000000000005</v>
      </c>
      <c r="HF125" s="10">
        <v>150</v>
      </c>
      <c r="HG125" s="532">
        <v>1.82</v>
      </c>
      <c r="HH125" s="545">
        <v>1.85</v>
      </c>
      <c r="HI125" s="546">
        <v>0.08</v>
      </c>
      <c r="HJ125" s="547">
        <v>5.22</v>
      </c>
      <c r="HK125" s="558" t="s">
        <v>145</v>
      </c>
      <c r="HL125" s="82" t="s">
        <v>145</v>
      </c>
      <c r="HM125" s="557" t="s">
        <v>145</v>
      </c>
      <c r="HN125" s="557" t="s">
        <v>145</v>
      </c>
      <c r="HO125" s="557" t="s">
        <v>145</v>
      </c>
      <c r="HP125" s="562" t="s">
        <v>145</v>
      </c>
      <c r="HQ125" s="562" t="s">
        <v>145</v>
      </c>
      <c r="HR125" s="563" t="s">
        <v>145</v>
      </c>
      <c r="HS125" s="545" t="s">
        <v>145</v>
      </c>
      <c r="HT125" s="557" t="s">
        <v>145</v>
      </c>
      <c r="HU125" s="557" t="s">
        <v>145</v>
      </c>
      <c r="HV125" s="581" t="s">
        <v>145</v>
      </c>
      <c r="HW125" s="557" t="s">
        <v>145</v>
      </c>
      <c r="HX125" s="557" t="s">
        <v>145</v>
      </c>
      <c r="HY125" s="557" t="s">
        <v>145</v>
      </c>
      <c r="HZ125" s="557" t="s">
        <v>145</v>
      </c>
      <c r="IA125" s="557" t="s">
        <v>145</v>
      </c>
      <c r="IB125" s="557" t="s">
        <v>145</v>
      </c>
      <c r="IC125" s="547" t="s">
        <v>145</v>
      </c>
      <c r="ID125" s="660"/>
      <c r="IE125" s="550"/>
      <c r="IF125" s="550"/>
      <c r="IG125" s="553">
        <v>1</v>
      </c>
      <c r="IH125" s="339"/>
      <c r="II125" s="553" t="s">
        <v>4921</v>
      </c>
      <c r="IJ125" s="424"/>
      <c r="IK125" s="24">
        <v>0</v>
      </c>
      <c r="IL125" s="749">
        <f t="shared" si="114"/>
        <v>11</v>
      </c>
      <c r="IM125" s="747">
        <f t="shared" si="115"/>
        <v>44</v>
      </c>
      <c r="IN125" s="750" t="str">
        <f t="shared" si="116"/>
        <v>C</v>
      </c>
      <c r="IO125" s="446"/>
      <c r="IP125" s="902">
        <v>3</v>
      </c>
      <c r="IQ125" s="903">
        <v>0</v>
      </c>
      <c r="IR125" s="993">
        <v>0</v>
      </c>
      <c r="IT125" s="435"/>
      <c r="IU125" s="435"/>
      <c r="IV125" s="435"/>
    </row>
    <row r="126" spans="1:256">
      <c r="A126" s="21">
        <v>124</v>
      </c>
      <c r="B126" s="9"/>
      <c r="C126" s="430" t="s">
        <v>193</v>
      </c>
      <c r="D126" s="423" t="s">
        <v>406</v>
      </c>
      <c r="E126" s="24" t="s">
        <v>12</v>
      </c>
      <c r="F126" s="76" t="s">
        <v>861</v>
      </c>
      <c r="G126" s="102" t="s">
        <v>394</v>
      </c>
      <c r="H126" s="375" t="s">
        <v>2388</v>
      </c>
      <c r="I126" s="95" t="s">
        <v>2387</v>
      </c>
      <c r="J126" s="370">
        <v>2</v>
      </c>
      <c r="K126" s="88">
        <v>1986</v>
      </c>
      <c r="L126" s="371">
        <v>2</v>
      </c>
      <c r="M126" s="373" t="s">
        <v>2907</v>
      </c>
      <c r="N126" s="369" t="s">
        <v>1822</v>
      </c>
      <c r="O126" s="365" t="s">
        <v>2864</v>
      </c>
      <c r="P126" s="362" t="s">
        <v>2908</v>
      </c>
      <c r="Q126" s="370">
        <v>2</v>
      </c>
      <c r="R126" s="370">
        <v>1986</v>
      </c>
      <c r="S126" s="372" t="s">
        <v>2849</v>
      </c>
      <c r="T126" s="370">
        <v>1</v>
      </c>
      <c r="U126" s="370">
        <v>2</v>
      </c>
      <c r="V126" s="370">
        <v>16</v>
      </c>
      <c r="W126" s="369" t="s">
        <v>2036</v>
      </c>
      <c r="X126" s="170">
        <v>0</v>
      </c>
      <c r="Y126" s="369">
        <v>0</v>
      </c>
      <c r="Z126" s="271"/>
      <c r="AA126" s="169">
        <v>1</v>
      </c>
      <c r="AB126" s="177">
        <v>1</v>
      </c>
      <c r="AC126" s="171"/>
      <c r="AD126" s="366" t="s">
        <v>3291</v>
      </c>
      <c r="AE126" s="357">
        <v>2002</v>
      </c>
      <c r="AF126" s="357">
        <v>1</v>
      </c>
      <c r="AG126" s="55">
        <v>2</v>
      </c>
      <c r="AH126" s="355" t="s">
        <v>323</v>
      </c>
      <c r="AI126" s="55">
        <v>0</v>
      </c>
      <c r="AJ126" s="55">
        <v>0</v>
      </c>
      <c r="AK126" s="590" t="s">
        <v>145</v>
      </c>
      <c r="AL126" s="391">
        <v>4</v>
      </c>
      <c r="AM126" s="361" t="s">
        <v>2750</v>
      </c>
      <c r="AN126" s="342" t="s">
        <v>145</v>
      </c>
      <c r="AO126" s="170">
        <v>0</v>
      </c>
      <c r="AP126" s="369">
        <v>0</v>
      </c>
      <c r="AQ126" s="365" t="s">
        <v>5422</v>
      </c>
      <c r="AR126" s="362" t="s">
        <v>5267</v>
      </c>
      <c r="AS126" s="695">
        <v>1</v>
      </c>
      <c r="AT126" s="370">
        <v>2</v>
      </c>
      <c r="AU126" s="724">
        <v>2004</v>
      </c>
      <c r="AV126" s="370">
        <v>5</v>
      </c>
      <c r="AW126" s="589" t="s">
        <v>145</v>
      </c>
      <c r="AX126" s="687">
        <v>0</v>
      </c>
      <c r="AY126" s="174" t="s">
        <v>4446</v>
      </c>
      <c r="AZ126" s="55">
        <v>2010</v>
      </c>
      <c r="BA126" s="55">
        <v>1</v>
      </c>
      <c r="BB126" s="55">
        <v>1</v>
      </c>
      <c r="BC126" s="174" t="s">
        <v>4447</v>
      </c>
      <c r="BD126" s="55">
        <v>1949</v>
      </c>
      <c r="BE126" s="55">
        <v>0</v>
      </c>
      <c r="BF126" s="371" t="s">
        <v>145</v>
      </c>
      <c r="BG126" s="371">
        <v>0</v>
      </c>
      <c r="BH126" s="56" t="s">
        <v>145</v>
      </c>
      <c r="BI126" s="371">
        <v>0</v>
      </c>
      <c r="BJ126" s="371">
        <v>0</v>
      </c>
      <c r="BK126" s="888">
        <v>2458.83</v>
      </c>
      <c r="BL126" s="925">
        <f t="shared" si="103"/>
        <v>51.326931914772466</v>
      </c>
      <c r="BM126" s="888">
        <v>1196.788</v>
      </c>
      <c r="BN126" s="920">
        <v>1262.0419999999999</v>
      </c>
      <c r="BO126" s="888">
        <v>338.24099999999999</v>
      </c>
      <c r="BP126" s="1158">
        <f t="shared" si="78"/>
        <v>49.640640844841407</v>
      </c>
      <c r="BQ126" s="917">
        <v>170.33600000000001</v>
      </c>
      <c r="BR126" s="920">
        <v>167.905</v>
      </c>
      <c r="BS126" s="888">
        <v>292.26900000000001</v>
      </c>
      <c r="BT126" s="1158">
        <f t="shared" si="79"/>
        <v>49.766140096965458</v>
      </c>
      <c r="BU126" s="917">
        <v>146.81800000000001</v>
      </c>
      <c r="BV126" s="920">
        <v>145.45099999999999</v>
      </c>
      <c r="BW126" s="888">
        <v>271.63799999999998</v>
      </c>
      <c r="BX126" s="1158">
        <f t="shared" si="80"/>
        <v>49.89324026829825</v>
      </c>
      <c r="BY126" s="917">
        <v>136.10900000000001</v>
      </c>
      <c r="BZ126" s="920">
        <v>135.529</v>
      </c>
      <c r="CA126" s="888">
        <f t="shared" si="81"/>
        <v>1556.682</v>
      </c>
      <c r="CB126" s="1158">
        <f t="shared" si="82"/>
        <v>52.236551845527856</v>
      </c>
      <c r="CC126" s="917">
        <f t="shared" si="83"/>
        <v>743.52499999999998</v>
      </c>
      <c r="CD126" s="920">
        <f t="shared" si="84"/>
        <v>813.15699999999993</v>
      </c>
      <c r="CE126" s="914">
        <v>2015</v>
      </c>
      <c r="CF126" s="910" t="s">
        <v>5630</v>
      </c>
      <c r="CG126" s="930">
        <v>78</v>
      </c>
      <c r="CH126" s="504">
        <v>78</v>
      </c>
      <c r="CI126" s="1008">
        <v>78</v>
      </c>
      <c r="CJ126" s="904" t="s">
        <v>1621</v>
      </c>
      <c r="CK126" s="904" t="s">
        <v>1621</v>
      </c>
      <c r="CL126" s="904">
        <v>2011</v>
      </c>
      <c r="CM126" s="905" t="s">
        <v>5603</v>
      </c>
      <c r="CN126" s="1044">
        <v>1162.366</v>
      </c>
      <c r="CO126" s="1045">
        <f t="shared" si="104"/>
        <v>47.273133970221608</v>
      </c>
      <c r="CP126" s="1049">
        <v>546.31201999999996</v>
      </c>
      <c r="CQ126" s="1050">
        <v>616.05398000000002</v>
      </c>
      <c r="CR126" s="1046">
        <v>2014</v>
      </c>
      <c r="CS126" s="1047" t="s">
        <v>5964</v>
      </c>
      <c r="CT126" s="1068">
        <f t="shared" si="105"/>
        <v>16</v>
      </c>
      <c r="CU126" s="1071">
        <v>18</v>
      </c>
      <c r="CV126" s="1068" t="s">
        <v>5972</v>
      </c>
      <c r="CW126" s="1113">
        <v>1241.194</v>
      </c>
      <c r="CX126" s="1113">
        <v>1207.703</v>
      </c>
      <c r="CY126" s="1113">
        <v>2198.4059999999999</v>
      </c>
      <c r="CZ126" s="1048">
        <v>10</v>
      </c>
      <c r="DA126" s="1104">
        <v>4</v>
      </c>
      <c r="DB126" s="1050" t="s">
        <v>647</v>
      </c>
      <c r="DC126" s="1146" t="s">
        <v>322</v>
      </c>
      <c r="DD126" s="978">
        <f t="shared" si="91"/>
        <v>592.78855999999996</v>
      </c>
      <c r="DE126" s="979">
        <f t="shared" si="106"/>
        <v>24.108562202348271</v>
      </c>
      <c r="DF126" s="979">
        <f t="shared" si="92"/>
        <v>49.909485432714817</v>
      </c>
      <c r="DG126" s="980">
        <f t="shared" si="93"/>
        <v>296.93084000000005</v>
      </c>
      <c r="DH126" s="980">
        <f t="shared" si="94"/>
        <v>295.85771999999992</v>
      </c>
      <c r="DI126" s="979">
        <f t="shared" si="107"/>
        <v>24.810646497123972</v>
      </c>
      <c r="DJ126" s="981">
        <f t="shared" si="108"/>
        <v>23.442779241895273</v>
      </c>
      <c r="DK126" s="984">
        <f t="shared" si="109"/>
        <v>394.31600000000003</v>
      </c>
      <c r="DL126" s="979">
        <f t="shared" si="95"/>
        <v>49.986056868095609</v>
      </c>
      <c r="DM126" s="980">
        <f t="shared" si="110"/>
        <v>197.21298000000002</v>
      </c>
      <c r="DN126" s="985">
        <f t="shared" si="111"/>
        <v>197.1030199999999</v>
      </c>
      <c r="DO126" s="984">
        <f t="shared" si="112"/>
        <v>124.05953999999997</v>
      </c>
      <c r="DP126" s="979">
        <f t="shared" si="96"/>
        <v>49.827365150636545</v>
      </c>
      <c r="DQ126" s="980">
        <f t="shared" si="85"/>
        <v>62.243939999999995</v>
      </c>
      <c r="DR126" s="985">
        <f t="shared" si="86"/>
        <v>61.815599999999989</v>
      </c>
      <c r="DS126" s="984">
        <f t="shared" si="113"/>
        <v>74.413019999999989</v>
      </c>
      <c r="DT126" s="339">
        <f t="shared" si="97"/>
        <v>49.640640844841407</v>
      </c>
      <c r="DU126" s="980">
        <f t="shared" si="87"/>
        <v>37.47392</v>
      </c>
      <c r="DV126" s="985">
        <f t="shared" si="88"/>
        <v>36.939099999999996</v>
      </c>
      <c r="DW126" s="979">
        <f t="shared" si="89"/>
        <v>21.999999999999996</v>
      </c>
      <c r="DX126" s="981">
        <f t="shared" si="90"/>
        <v>21.999999999999996</v>
      </c>
      <c r="DY126" s="414">
        <v>31.9</v>
      </c>
      <c r="DZ126" s="111">
        <v>2004</v>
      </c>
      <c r="EA126" s="118">
        <v>741.35727599999996</v>
      </c>
      <c r="EB126" s="123">
        <v>28.7</v>
      </c>
      <c r="EC126" s="113">
        <v>2009</v>
      </c>
      <c r="ED126" s="20">
        <v>666.989148</v>
      </c>
      <c r="EE126" s="414">
        <v>28.7</v>
      </c>
      <c r="EF126" s="111">
        <v>2009</v>
      </c>
      <c r="EG126" s="380">
        <v>76.486595153808594</v>
      </c>
      <c r="EH126" s="24" t="s">
        <v>335</v>
      </c>
      <c r="EI126" s="287">
        <v>1</v>
      </c>
      <c r="EJ126" s="40" t="s">
        <v>145</v>
      </c>
      <c r="EK126" s="35" t="s">
        <v>145</v>
      </c>
      <c r="EL126" s="95" t="s">
        <v>145</v>
      </c>
      <c r="EM126" s="95" t="s">
        <v>145</v>
      </c>
      <c r="EN126" s="35" t="s">
        <v>145</v>
      </c>
      <c r="EO126" s="95" t="s">
        <v>145</v>
      </c>
      <c r="EP126" s="205" t="s">
        <v>145</v>
      </c>
      <c r="EQ126" s="207" t="s">
        <v>145</v>
      </c>
      <c r="ER126" s="517" t="s">
        <v>145</v>
      </c>
      <c r="ES126" s="183"/>
      <c r="ET126" s="183"/>
      <c r="EU126" s="82"/>
      <c r="EV126" s="82"/>
      <c r="EW126" s="82"/>
      <c r="EX126" s="90"/>
      <c r="EY126" s="159"/>
      <c r="EZ126" s="156"/>
      <c r="FA126" s="323"/>
      <c r="FB126" s="323"/>
      <c r="FC126" s="323"/>
      <c r="FD126" s="160"/>
      <c r="FE126" s="156"/>
      <c r="FF126" s="156"/>
      <c r="FG126" s="156"/>
      <c r="FH126" s="157"/>
      <c r="FI126" s="242"/>
      <c r="FJ126" s="373"/>
      <c r="FK126" s="179"/>
      <c r="FL126" s="179"/>
      <c r="FM126" s="179"/>
      <c r="FN126" s="369"/>
      <c r="FO126" s="164"/>
      <c r="FP126" s="255"/>
      <c r="FQ126" s="183"/>
      <c r="FR126" s="257"/>
      <c r="FS126" s="82"/>
      <c r="FT126" s="259">
        <v>1</v>
      </c>
      <c r="FU126" s="82" t="s">
        <v>1913</v>
      </c>
      <c r="FV126" s="259"/>
      <c r="FW126" s="82"/>
      <c r="FX126" s="259"/>
      <c r="FY126" s="82"/>
      <c r="FZ126" s="259"/>
      <c r="GA126" s="82"/>
      <c r="GB126" s="261"/>
      <c r="GC126" s="90"/>
      <c r="GD126" s="76">
        <v>2</v>
      </c>
      <c r="GE126" s="445" t="s">
        <v>3431</v>
      </c>
      <c r="GF126" s="447" t="s">
        <v>10</v>
      </c>
      <c r="GG126" s="448">
        <v>2</v>
      </c>
      <c r="GH126" s="449">
        <v>2</v>
      </c>
      <c r="GI126" s="447" t="s">
        <v>145</v>
      </c>
      <c r="GJ126" s="449" t="s">
        <v>145</v>
      </c>
      <c r="GK126" s="447" t="s">
        <v>145</v>
      </c>
      <c r="GL126" s="448" t="s">
        <v>145</v>
      </c>
      <c r="GM126" s="449" t="s">
        <v>145</v>
      </c>
      <c r="GN126" s="447" t="s">
        <v>590</v>
      </c>
      <c r="GO126" s="449">
        <v>31</v>
      </c>
      <c r="GP126" s="447">
        <v>9</v>
      </c>
      <c r="GQ126" s="448">
        <v>12</v>
      </c>
      <c r="GR126" s="449">
        <v>10</v>
      </c>
      <c r="GS126" s="446">
        <v>6</v>
      </c>
      <c r="GT126" s="461">
        <v>0.38683396577835083</v>
      </c>
      <c r="GU126" s="462">
        <v>0.92943793535232544</v>
      </c>
      <c r="GV126" s="462">
        <v>0.19342300295829773</v>
      </c>
      <c r="GW126" s="462">
        <v>5.2132133394479752E-2</v>
      </c>
      <c r="GX126" s="462">
        <v>0.24934184551239014</v>
      </c>
      <c r="GY126" s="463">
        <v>0.29580089449882507</v>
      </c>
      <c r="GZ126" s="10">
        <v>117</v>
      </c>
      <c r="HA126" s="536">
        <v>0.38799</v>
      </c>
      <c r="HB126" s="536">
        <v>0.33333000000000002</v>
      </c>
      <c r="HC126" s="525">
        <v>0.32283000000000001</v>
      </c>
      <c r="HD126" s="526">
        <v>0.27187</v>
      </c>
      <c r="HE126" s="527">
        <v>0.56930000000000003</v>
      </c>
      <c r="HF126" s="10">
        <v>117</v>
      </c>
      <c r="HG126" s="532">
        <v>3.24</v>
      </c>
      <c r="HH126" s="545">
        <v>3.93</v>
      </c>
      <c r="HI126" s="546">
        <v>1.67</v>
      </c>
      <c r="HJ126" s="547">
        <v>5.0199999999999996</v>
      </c>
      <c r="HK126" s="558" t="s">
        <v>145</v>
      </c>
      <c r="HL126" s="82" t="s">
        <v>145</v>
      </c>
      <c r="HM126" s="557" t="s">
        <v>145</v>
      </c>
      <c r="HN126" s="557" t="s">
        <v>145</v>
      </c>
      <c r="HO126" s="557" t="s">
        <v>145</v>
      </c>
      <c r="HP126" s="562" t="s">
        <v>145</v>
      </c>
      <c r="HQ126" s="562" t="s">
        <v>145</v>
      </c>
      <c r="HR126" s="563" t="s">
        <v>145</v>
      </c>
      <c r="HS126" s="545" t="s">
        <v>145</v>
      </c>
      <c r="HT126" s="557" t="s">
        <v>145</v>
      </c>
      <c r="HU126" s="557" t="s">
        <v>145</v>
      </c>
      <c r="HV126" s="581" t="s">
        <v>145</v>
      </c>
      <c r="HW126" s="557" t="s">
        <v>145</v>
      </c>
      <c r="HX126" s="557" t="s">
        <v>145</v>
      </c>
      <c r="HY126" s="557" t="s">
        <v>145</v>
      </c>
      <c r="HZ126" s="557" t="s">
        <v>145</v>
      </c>
      <c r="IA126" s="557" t="s">
        <v>145</v>
      </c>
      <c r="IB126" s="557" t="s">
        <v>145</v>
      </c>
      <c r="IC126" s="547" t="s">
        <v>145</v>
      </c>
      <c r="ID126" s="40"/>
      <c r="IE126" s="550"/>
      <c r="IF126" s="550"/>
      <c r="IG126" s="553"/>
      <c r="IH126" s="115"/>
      <c r="II126" s="647" t="s">
        <v>4922</v>
      </c>
      <c r="IJ126" s="423" t="s">
        <v>4926</v>
      </c>
      <c r="IK126" s="10">
        <v>0</v>
      </c>
      <c r="IL126" s="749">
        <f t="shared" si="114"/>
        <v>11</v>
      </c>
      <c r="IM126" s="747">
        <f t="shared" si="115"/>
        <v>44</v>
      </c>
      <c r="IN126" s="750" t="str">
        <f t="shared" si="116"/>
        <v>C</v>
      </c>
      <c r="IO126" s="446">
        <v>1</v>
      </c>
      <c r="IP126" s="902">
        <v>4</v>
      </c>
      <c r="IQ126" s="903">
        <v>0</v>
      </c>
      <c r="IR126" s="993">
        <v>0</v>
      </c>
      <c r="IT126" s="435"/>
      <c r="IU126" s="435"/>
      <c r="IV126" s="435"/>
    </row>
    <row r="127" spans="1:256">
      <c r="A127" s="21">
        <v>125</v>
      </c>
      <c r="B127" s="9"/>
      <c r="C127" s="430" t="s">
        <v>195</v>
      </c>
      <c r="D127" s="424" t="s">
        <v>407</v>
      </c>
      <c r="E127" s="697" t="s">
        <v>12</v>
      </c>
      <c r="F127" s="76" t="s">
        <v>745</v>
      </c>
      <c r="G127" s="102" t="s">
        <v>393</v>
      </c>
      <c r="H127" s="251" t="s">
        <v>2390</v>
      </c>
      <c r="I127" s="364" t="s">
        <v>2389</v>
      </c>
      <c r="J127" s="370">
        <v>1</v>
      </c>
      <c r="K127" s="88">
        <v>1919</v>
      </c>
      <c r="L127" s="371">
        <v>2</v>
      </c>
      <c r="M127" s="373" t="s">
        <v>1809</v>
      </c>
      <c r="N127" s="369" t="s">
        <v>1822</v>
      </c>
      <c r="O127" s="379" t="s">
        <v>145</v>
      </c>
      <c r="P127" s="362" t="s">
        <v>145</v>
      </c>
      <c r="Q127" s="370">
        <v>0</v>
      </c>
      <c r="R127" s="370" t="s">
        <v>145</v>
      </c>
      <c r="S127" s="372" t="s">
        <v>145</v>
      </c>
      <c r="T127" s="370">
        <v>0</v>
      </c>
      <c r="U127" s="370">
        <v>0</v>
      </c>
      <c r="V127" s="370" t="s">
        <v>145</v>
      </c>
      <c r="W127" s="369" t="s">
        <v>145</v>
      </c>
      <c r="X127" s="170">
        <v>0</v>
      </c>
      <c r="Y127" s="369">
        <v>0</v>
      </c>
      <c r="Z127" s="271"/>
      <c r="AA127" s="169"/>
      <c r="AB127" s="177"/>
      <c r="AC127" s="171"/>
      <c r="AD127" s="376" t="s">
        <v>145</v>
      </c>
      <c r="AE127" s="355" t="s">
        <v>145</v>
      </c>
      <c r="AF127" s="357">
        <v>0</v>
      </c>
      <c r="AG127" s="550">
        <v>0</v>
      </c>
      <c r="AH127" s="355" t="s">
        <v>145</v>
      </c>
      <c r="AI127" s="550" t="s">
        <v>145</v>
      </c>
      <c r="AJ127" s="550" t="s">
        <v>145</v>
      </c>
      <c r="AK127" s="590" t="s">
        <v>145</v>
      </c>
      <c r="AL127" s="355">
        <v>0</v>
      </c>
      <c r="AM127" s="360" t="s">
        <v>145</v>
      </c>
      <c r="AN127" s="384" t="s">
        <v>145</v>
      </c>
      <c r="AO127" s="170">
        <v>0</v>
      </c>
      <c r="AP127" s="369">
        <v>0</v>
      </c>
      <c r="AQ127" s="365" t="s">
        <v>5389</v>
      </c>
      <c r="AR127" s="362" t="s">
        <v>5267</v>
      </c>
      <c r="AS127" s="55">
        <v>1</v>
      </c>
      <c r="AT127" s="370">
        <v>2</v>
      </c>
      <c r="AU127" s="371">
        <v>2012</v>
      </c>
      <c r="AV127" s="370">
        <v>5</v>
      </c>
      <c r="AW127" s="589" t="s">
        <v>145</v>
      </c>
      <c r="AX127" s="687">
        <v>0</v>
      </c>
      <c r="AY127" s="174" t="s">
        <v>4584</v>
      </c>
      <c r="AZ127" s="55">
        <v>1972</v>
      </c>
      <c r="BA127" s="55">
        <v>0</v>
      </c>
      <c r="BB127" s="55">
        <v>0</v>
      </c>
      <c r="BC127" s="108" t="s">
        <v>145</v>
      </c>
      <c r="BD127" s="55" t="s">
        <v>145</v>
      </c>
      <c r="BE127" s="55">
        <v>0</v>
      </c>
      <c r="BF127" s="371" t="s">
        <v>145</v>
      </c>
      <c r="BG127" s="371">
        <v>0</v>
      </c>
      <c r="BH127" s="56" t="s">
        <v>145</v>
      </c>
      <c r="BI127" s="371">
        <v>0</v>
      </c>
      <c r="BJ127" s="371">
        <v>0</v>
      </c>
      <c r="BK127" s="888">
        <v>9.4879999999999995</v>
      </c>
      <c r="BL127" s="925">
        <f t="shared" si="103"/>
        <v>52.571669477234394</v>
      </c>
      <c r="BM127" s="911">
        <v>4.5</v>
      </c>
      <c r="BN127" s="921">
        <v>4.9879999999999995</v>
      </c>
      <c r="BO127" s="911">
        <v>1.1800000000000002</v>
      </c>
      <c r="BP127" s="1159">
        <f t="shared" si="78"/>
        <v>55.084745762711862</v>
      </c>
      <c r="BQ127" s="918">
        <v>0.53</v>
      </c>
      <c r="BR127" s="921">
        <v>0.65</v>
      </c>
      <c r="BS127" s="911">
        <v>0.98</v>
      </c>
      <c r="BT127" s="1159">
        <f t="shared" si="79"/>
        <v>57.142857142857153</v>
      </c>
      <c r="BU127" s="918">
        <v>0.42</v>
      </c>
      <c r="BV127" s="921">
        <v>0.56000000000000005</v>
      </c>
      <c r="BW127" s="911">
        <v>0.91999999999999993</v>
      </c>
      <c r="BX127" s="1159">
        <f t="shared" si="80"/>
        <v>55.434782608695656</v>
      </c>
      <c r="BY127" s="918">
        <v>0.41</v>
      </c>
      <c r="BZ127" s="921">
        <v>0.51</v>
      </c>
      <c r="CA127" s="911">
        <f t="shared" si="81"/>
        <v>6.4079999999999995</v>
      </c>
      <c r="CB127" s="1159">
        <f t="shared" si="82"/>
        <v>50.998751560549302</v>
      </c>
      <c r="CC127" s="918">
        <f t="shared" si="83"/>
        <v>3.1399999999999997</v>
      </c>
      <c r="CD127" s="921">
        <f t="shared" si="84"/>
        <v>3.2679999999999989</v>
      </c>
      <c r="CE127" s="927">
        <v>2014</v>
      </c>
      <c r="CF127" s="926" t="s">
        <v>5688</v>
      </c>
      <c r="CG127" s="930">
        <v>82.6</v>
      </c>
      <c r="CH127" s="495">
        <v>79.3</v>
      </c>
      <c r="CI127" s="497">
        <v>85.5</v>
      </c>
      <c r="CJ127" s="904" t="s">
        <v>1621</v>
      </c>
      <c r="CK127" s="904" t="s">
        <v>1621</v>
      </c>
      <c r="CL127" s="904">
        <v>2007</v>
      </c>
      <c r="CM127" s="905" t="s">
        <v>5575</v>
      </c>
      <c r="CN127" s="1044">
        <v>5.7039999999999997</v>
      </c>
      <c r="CO127" s="1045">
        <f t="shared" si="104"/>
        <v>60.118043844856658</v>
      </c>
      <c r="CP127" s="1040">
        <f>IF(OR(CZ127=1,CZ127=10),CN127*(1-BL127/100),IF(DA127=6,CN127*(1-BL127/100),CN127*(1-CB127/100)))</f>
        <v>2.7053119730185502</v>
      </c>
      <c r="CQ127" s="1041">
        <f>IF(OR(CZ127=1,CZ127=10),CN127*BL127/100,IF(DA127=6,CN127*BL127/100,CN127*CB127/100))</f>
        <v>2.9986880269814495</v>
      </c>
      <c r="CR127" s="1046">
        <v>2013</v>
      </c>
      <c r="CS127" s="1047" t="s">
        <v>5965</v>
      </c>
      <c r="CT127" s="1068" t="str">
        <f t="shared" si="105"/>
        <v>-</v>
      </c>
      <c r="CU127" s="1071">
        <v>20</v>
      </c>
      <c r="CV127" s="1068" t="s">
        <v>5973</v>
      </c>
      <c r="CW127" s="1113">
        <v>5.7039999999999997</v>
      </c>
      <c r="CX127" s="1113">
        <v>5.71</v>
      </c>
      <c r="CY127" s="1113">
        <v>9.4339999999999993</v>
      </c>
      <c r="CZ127" s="494">
        <v>1</v>
      </c>
      <c r="DA127" s="1104">
        <v>4</v>
      </c>
      <c r="DB127" s="1050" t="s">
        <v>647</v>
      </c>
      <c r="DC127" s="1146" t="s">
        <v>322</v>
      </c>
      <c r="DD127" s="978">
        <f t="shared" si="91"/>
        <v>1.2399199999999999</v>
      </c>
      <c r="DE127" s="979">
        <f t="shared" si="106"/>
        <v>13.068296795952783</v>
      </c>
      <c r="DF127" s="979">
        <f t="shared" si="92"/>
        <v>41.834309715025924</v>
      </c>
      <c r="DG127" s="980">
        <f t="shared" si="93"/>
        <v>0.71620802698144959</v>
      </c>
      <c r="DH127" s="980">
        <f t="shared" si="94"/>
        <v>0.51871197301854943</v>
      </c>
      <c r="DI127" s="979">
        <f t="shared" si="107"/>
        <v>15.915733932921103</v>
      </c>
      <c r="DJ127" s="981">
        <f t="shared" si="108"/>
        <v>10.399197534453679</v>
      </c>
      <c r="DK127" s="984">
        <f t="shared" si="109"/>
        <v>0.70399999999999974</v>
      </c>
      <c r="DL127" s="979">
        <f t="shared" si="95"/>
        <v>38.254541621953045</v>
      </c>
      <c r="DM127" s="980">
        <f t="shared" si="110"/>
        <v>0.43468802698144948</v>
      </c>
      <c r="DN127" s="985">
        <f t="shared" si="111"/>
        <v>0.26931197301854937</v>
      </c>
      <c r="DO127" s="984">
        <f t="shared" si="112"/>
        <v>0.33060000000000006</v>
      </c>
      <c r="DP127" s="979">
        <f t="shared" si="96"/>
        <v>46.929824561403507</v>
      </c>
      <c r="DQ127" s="980">
        <f t="shared" si="85"/>
        <v>0.17181000000000007</v>
      </c>
      <c r="DR127" s="985">
        <f t="shared" si="86"/>
        <v>0.15515000000000004</v>
      </c>
      <c r="DS127" s="984">
        <f t="shared" si="113"/>
        <v>0.20532000000000009</v>
      </c>
      <c r="DT127" s="339">
        <f t="shared" si="97"/>
        <v>45.903954802259875</v>
      </c>
      <c r="DU127" s="980">
        <f t="shared" si="87"/>
        <v>0.10971000000000004</v>
      </c>
      <c r="DV127" s="985">
        <f t="shared" si="88"/>
        <v>9.4250000000000014E-2</v>
      </c>
      <c r="DW127" s="979">
        <f t="shared" si="89"/>
        <v>20.700000000000006</v>
      </c>
      <c r="DX127" s="981">
        <f t="shared" si="90"/>
        <v>14.500000000000002</v>
      </c>
      <c r="DY127" s="414" t="s">
        <v>145</v>
      </c>
      <c r="DZ127" s="111" t="s">
        <v>145</v>
      </c>
      <c r="EA127" s="118"/>
      <c r="EB127" s="123" t="s">
        <v>145</v>
      </c>
      <c r="EC127" s="113" t="s">
        <v>145</v>
      </c>
      <c r="ED127" s="20"/>
      <c r="EE127" s="414" t="s">
        <v>145</v>
      </c>
      <c r="EF127" s="111" t="s">
        <v>145</v>
      </c>
      <c r="EG127" s="380" t="s">
        <v>145</v>
      </c>
      <c r="EH127" s="24" t="s">
        <v>335</v>
      </c>
      <c r="EI127" s="287">
        <v>0</v>
      </c>
      <c r="EJ127" s="40" t="s">
        <v>145</v>
      </c>
      <c r="EK127" s="35" t="s">
        <v>145</v>
      </c>
      <c r="EL127" s="95" t="s">
        <v>145</v>
      </c>
      <c r="EM127" s="95" t="s">
        <v>145</v>
      </c>
      <c r="EN127" s="35" t="s">
        <v>145</v>
      </c>
      <c r="EO127" s="95" t="s">
        <v>145</v>
      </c>
      <c r="EP127" s="205" t="s">
        <v>145</v>
      </c>
      <c r="EQ127" s="207" t="s">
        <v>145</v>
      </c>
      <c r="ER127" s="517" t="s">
        <v>145</v>
      </c>
      <c r="ES127" s="183"/>
      <c r="ET127" s="183"/>
      <c r="EU127" s="82"/>
      <c r="EV127" s="82"/>
      <c r="EW127" s="82"/>
      <c r="EX127" s="90"/>
      <c r="EY127" s="159"/>
      <c r="EZ127" s="156"/>
      <c r="FA127" s="323"/>
      <c r="FB127" s="323"/>
      <c r="FC127" s="323"/>
      <c r="FD127" s="160"/>
      <c r="FE127" s="156"/>
      <c r="FF127" s="156"/>
      <c r="FG127" s="156"/>
      <c r="FH127" s="157"/>
      <c r="FI127" s="242"/>
      <c r="FJ127" s="373"/>
      <c r="FK127" s="179"/>
      <c r="FL127" s="179"/>
      <c r="FM127" s="179"/>
      <c r="FN127" s="369"/>
      <c r="FO127" s="164"/>
      <c r="FP127" s="255"/>
      <c r="FQ127" s="183"/>
      <c r="FR127" s="257"/>
      <c r="FS127" s="82"/>
      <c r="FT127" s="259"/>
      <c r="FU127" s="82"/>
      <c r="FV127" s="259"/>
      <c r="FW127" s="82"/>
      <c r="FX127" s="259"/>
      <c r="FY127" s="82"/>
      <c r="FZ127" s="259"/>
      <c r="GA127" s="82"/>
      <c r="GB127" s="261"/>
      <c r="GC127" s="90"/>
      <c r="GD127" s="76">
        <v>2</v>
      </c>
      <c r="GE127" s="445" t="s">
        <v>3425</v>
      </c>
      <c r="GF127" s="447" t="s">
        <v>10</v>
      </c>
      <c r="GG127" s="448">
        <v>1</v>
      </c>
      <c r="GH127" s="449">
        <v>1</v>
      </c>
      <c r="GI127" s="447" t="s">
        <v>145</v>
      </c>
      <c r="GJ127" s="449" t="s">
        <v>145</v>
      </c>
      <c r="GK127" s="447" t="s">
        <v>145</v>
      </c>
      <c r="GL127" s="448" t="s">
        <v>145</v>
      </c>
      <c r="GM127" s="449" t="s">
        <v>145</v>
      </c>
      <c r="GN127" s="447" t="s">
        <v>590</v>
      </c>
      <c r="GO127" s="449">
        <v>31</v>
      </c>
      <c r="GP127" s="447">
        <v>5</v>
      </c>
      <c r="GQ127" s="448">
        <v>12</v>
      </c>
      <c r="GR127" s="449">
        <v>14</v>
      </c>
      <c r="GS127" s="446"/>
      <c r="GT127" s="461">
        <v>1.0658317804336548</v>
      </c>
      <c r="GU127" s="462">
        <v>1.0969746112823486</v>
      </c>
      <c r="GV127" s="462">
        <v>-0.58807927370071411</v>
      </c>
      <c r="GW127" s="462">
        <v>-1.3881545066833496</v>
      </c>
      <c r="GX127" s="462">
        <v>0.58017295598983765</v>
      </c>
      <c r="GY127" s="463">
        <v>-0.57633638381958008</v>
      </c>
      <c r="GZ127" s="10">
        <v>145</v>
      </c>
      <c r="HA127" s="536">
        <v>0.27755000000000002</v>
      </c>
      <c r="HB127" s="536">
        <v>7.843E-2</v>
      </c>
      <c r="HC127" s="525">
        <v>5.5109999999999999E-2</v>
      </c>
      <c r="HD127" s="526">
        <v>0.21584999999999999</v>
      </c>
      <c r="HE127" s="527">
        <v>0.56169999999999998</v>
      </c>
      <c r="HF127" s="10" t="s">
        <v>145</v>
      </c>
      <c r="HG127" s="532" t="s">
        <v>145</v>
      </c>
      <c r="HH127" s="524" t="s">
        <v>145</v>
      </c>
      <c r="HI127" s="525" t="s">
        <v>145</v>
      </c>
      <c r="HJ127" s="527" t="s">
        <v>145</v>
      </c>
      <c r="HK127" s="558" t="s">
        <v>145</v>
      </c>
      <c r="HL127" s="82" t="s">
        <v>145</v>
      </c>
      <c r="HM127" s="557" t="s">
        <v>145</v>
      </c>
      <c r="HN127" s="557" t="s">
        <v>145</v>
      </c>
      <c r="HO127" s="526" t="s">
        <v>145</v>
      </c>
      <c r="HP127" s="564" t="s">
        <v>145</v>
      </c>
      <c r="HQ127" s="564" t="s">
        <v>145</v>
      </c>
      <c r="HR127" s="565" t="s">
        <v>145</v>
      </c>
      <c r="HS127" s="524" t="s">
        <v>145</v>
      </c>
      <c r="HT127" s="526" t="s">
        <v>145</v>
      </c>
      <c r="HU127" s="526" t="s">
        <v>145</v>
      </c>
      <c r="HV127" s="582" t="s">
        <v>145</v>
      </c>
      <c r="HW127" s="526" t="s">
        <v>145</v>
      </c>
      <c r="HX127" s="526" t="s">
        <v>145</v>
      </c>
      <c r="HY127" s="526" t="s">
        <v>145</v>
      </c>
      <c r="HZ127" s="526" t="s">
        <v>145</v>
      </c>
      <c r="IA127" s="526" t="s">
        <v>145</v>
      </c>
      <c r="IB127" s="526" t="s">
        <v>145</v>
      </c>
      <c r="IC127" s="527" t="s">
        <v>145</v>
      </c>
      <c r="ID127" s="660"/>
      <c r="IE127" s="550"/>
      <c r="IF127" s="550"/>
      <c r="IG127" s="553"/>
      <c r="IH127" s="339"/>
      <c r="II127" s="553" t="s">
        <v>4920</v>
      </c>
      <c r="IJ127" s="424"/>
      <c r="IK127" s="24">
        <v>1</v>
      </c>
      <c r="IL127" s="749">
        <f t="shared" si="114"/>
        <v>3</v>
      </c>
      <c r="IM127" s="747">
        <f t="shared" si="115"/>
        <v>12</v>
      </c>
      <c r="IN127" s="750" t="str">
        <f t="shared" si="116"/>
        <v>D</v>
      </c>
      <c r="IO127" s="446"/>
      <c r="IP127" s="902">
        <v>1</v>
      </c>
      <c r="IQ127" s="903">
        <v>0</v>
      </c>
      <c r="IR127" s="993">
        <v>0</v>
      </c>
      <c r="IT127" s="435"/>
      <c r="IU127" s="435"/>
      <c r="IV127" s="435"/>
    </row>
    <row r="128" spans="1:256">
      <c r="A128" s="21">
        <v>126</v>
      </c>
      <c r="B128" s="9"/>
      <c r="C128" s="430" t="s">
        <v>196</v>
      </c>
      <c r="D128" s="423" t="s">
        <v>411</v>
      </c>
      <c r="E128" s="24" t="s">
        <v>9</v>
      </c>
      <c r="F128" s="76" t="s">
        <v>862</v>
      </c>
      <c r="G128" s="102" t="s">
        <v>585</v>
      </c>
      <c r="H128" s="251" t="s">
        <v>2397</v>
      </c>
      <c r="I128" s="95" t="s">
        <v>2396</v>
      </c>
      <c r="J128" s="370">
        <v>5</v>
      </c>
      <c r="K128" s="88">
        <v>1964</v>
      </c>
      <c r="L128" s="371">
        <v>2</v>
      </c>
      <c r="M128" s="373" t="s">
        <v>2398</v>
      </c>
      <c r="N128" s="369" t="s">
        <v>2399</v>
      </c>
      <c r="O128" s="96" t="s">
        <v>2395</v>
      </c>
      <c r="P128" s="378" t="s">
        <v>2394</v>
      </c>
      <c r="Q128" s="370">
        <v>2</v>
      </c>
      <c r="R128" s="370">
        <v>2011</v>
      </c>
      <c r="S128" s="372" t="s">
        <v>1612</v>
      </c>
      <c r="T128" s="370">
        <v>1</v>
      </c>
      <c r="U128" s="370">
        <v>1</v>
      </c>
      <c r="V128" s="370">
        <v>16</v>
      </c>
      <c r="W128" s="369" t="s">
        <v>1822</v>
      </c>
      <c r="X128" s="170">
        <v>0</v>
      </c>
      <c r="Y128" s="369">
        <v>0</v>
      </c>
      <c r="Z128" s="271"/>
      <c r="AA128" s="169"/>
      <c r="AB128" s="177">
        <v>1</v>
      </c>
      <c r="AC128" s="171">
        <v>1</v>
      </c>
      <c r="AD128" s="365" t="s">
        <v>2395</v>
      </c>
      <c r="AE128" s="55">
        <v>2016</v>
      </c>
      <c r="AF128" s="804">
        <v>2</v>
      </c>
      <c r="AG128" s="55">
        <v>4</v>
      </c>
      <c r="AH128" s="355" t="s">
        <v>2746</v>
      </c>
      <c r="AI128" s="55">
        <v>0</v>
      </c>
      <c r="AJ128" s="804">
        <v>0</v>
      </c>
      <c r="AK128" s="589">
        <v>100</v>
      </c>
      <c r="AL128" s="386">
        <v>10</v>
      </c>
      <c r="AM128" s="361" t="s">
        <v>3293</v>
      </c>
      <c r="AN128" s="384">
        <v>1</v>
      </c>
      <c r="AO128" s="170">
        <v>0</v>
      </c>
      <c r="AP128" s="369">
        <v>0</v>
      </c>
      <c r="AQ128" s="365" t="s">
        <v>5390</v>
      </c>
      <c r="AR128" s="362" t="s">
        <v>5304</v>
      </c>
      <c r="AS128" s="55">
        <v>1</v>
      </c>
      <c r="AT128" s="370">
        <v>3</v>
      </c>
      <c r="AU128" s="371">
        <v>2010</v>
      </c>
      <c r="AV128" s="370">
        <v>5</v>
      </c>
      <c r="AW128" s="589" t="s">
        <v>145</v>
      </c>
      <c r="AX128" s="687">
        <v>0</v>
      </c>
      <c r="AY128" s="174" t="s">
        <v>4448</v>
      </c>
      <c r="AZ128" s="55">
        <v>2006</v>
      </c>
      <c r="BA128" s="55">
        <v>1</v>
      </c>
      <c r="BB128" s="55">
        <v>2</v>
      </c>
      <c r="BC128" s="174" t="s">
        <v>4601</v>
      </c>
      <c r="BD128" s="55">
        <v>2000</v>
      </c>
      <c r="BE128" s="55">
        <v>2</v>
      </c>
      <c r="BF128" s="371" t="s">
        <v>4393</v>
      </c>
      <c r="BG128" s="371">
        <v>0</v>
      </c>
      <c r="BH128" s="56" t="s">
        <v>145</v>
      </c>
      <c r="BI128" s="371">
        <v>3</v>
      </c>
      <c r="BJ128" s="371">
        <v>1</v>
      </c>
      <c r="BK128" s="888">
        <v>28513.7</v>
      </c>
      <c r="BL128" s="925">
        <f t="shared" si="103"/>
        <v>51.544443548189115</v>
      </c>
      <c r="BM128" s="888">
        <v>13816.472</v>
      </c>
      <c r="BN128" s="920">
        <v>14697.227999999999</v>
      </c>
      <c r="BO128" s="888">
        <v>2807.13</v>
      </c>
      <c r="BP128" s="1158">
        <f t="shared" si="78"/>
        <v>48.536868616701042</v>
      </c>
      <c r="BQ128" s="917">
        <v>1444.6369999999999</v>
      </c>
      <c r="BR128" s="920">
        <v>1362.4929999999999</v>
      </c>
      <c r="BS128" s="888">
        <v>3139.1689999999999</v>
      </c>
      <c r="BT128" s="1158">
        <f t="shared" si="79"/>
        <v>48.839071741597863</v>
      </c>
      <c r="BU128" s="917">
        <v>1606.028</v>
      </c>
      <c r="BV128" s="920">
        <v>1533.1410000000001</v>
      </c>
      <c r="BW128" s="888">
        <v>3367.4470000000001</v>
      </c>
      <c r="BX128" s="1158">
        <f t="shared" si="80"/>
        <v>48.687715055352015</v>
      </c>
      <c r="BY128" s="917">
        <v>1727.914</v>
      </c>
      <c r="BZ128" s="920">
        <v>1639.5329999999999</v>
      </c>
      <c r="CA128" s="888">
        <f t="shared" si="81"/>
        <v>19199.953999999998</v>
      </c>
      <c r="CB128" s="1158">
        <f t="shared" si="82"/>
        <v>52.927527847202136</v>
      </c>
      <c r="CC128" s="917">
        <f t="shared" si="83"/>
        <v>9037.8929999999982</v>
      </c>
      <c r="CD128" s="920">
        <f t="shared" si="84"/>
        <v>10162.061</v>
      </c>
      <c r="CE128" s="914">
        <v>2015</v>
      </c>
      <c r="CF128" s="910" t="s">
        <v>5630</v>
      </c>
      <c r="CG128" s="1026">
        <v>42.3</v>
      </c>
      <c r="CH128" s="495">
        <v>44</v>
      </c>
      <c r="CI128" s="497">
        <v>40.4</v>
      </c>
      <c r="CJ128" s="904">
        <v>44.2</v>
      </c>
      <c r="CK128" s="904">
        <v>42.1</v>
      </c>
      <c r="CL128" s="904">
        <v>2011</v>
      </c>
      <c r="CM128" s="905" t="s">
        <v>5575</v>
      </c>
      <c r="CN128" s="1044">
        <v>12100</v>
      </c>
      <c r="CO128" s="1045">
        <f t="shared" si="104"/>
        <v>42.435741415530075</v>
      </c>
      <c r="CP128" s="1040">
        <f>IF(OR(CZ128=1,CZ128=10),CN128*(1-BL128/100),IF(DA128=6,CN128*(1-BL128/100),CN128*(1-CB128/100)))</f>
        <v>5863.1223306691172</v>
      </c>
      <c r="CQ128" s="1041">
        <f>IF(OR(CZ128=1,CZ128=10),CN128*BL128/100,IF(DA128=6,CN128*BL128/100,CN128*CB128/100))</f>
        <v>6236.8776693308828</v>
      </c>
      <c r="CR128" s="1046">
        <v>2013</v>
      </c>
      <c r="CS128" s="1047" t="s">
        <v>5650</v>
      </c>
      <c r="CT128" s="1068">
        <f t="shared" si="105"/>
        <v>16</v>
      </c>
      <c r="CU128" s="1071">
        <v>18</v>
      </c>
      <c r="CV128" s="1068" t="s">
        <v>5966</v>
      </c>
      <c r="CW128" s="1113">
        <v>12200</v>
      </c>
      <c r="CX128" s="1113">
        <v>14978.157999999999</v>
      </c>
      <c r="CY128" s="1113">
        <v>30430.267</v>
      </c>
      <c r="CZ128" s="494">
        <v>1</v>
      </c>
      <c r="DA128" s="1104">
        <v>4</v>
      </c>
      <c r="DB128" s="1050" t="s">
        <v>647</v>
      </c>
      <c r="DC128" s="1143" t="s">
        <v>320</v>
      </c>
      <c r="DD128" s="978">
        <f t="shared" si="91"/>
        <v>12473.985441999997</v>
      </c>
      <c r="DE128" s="979">
        <f t="shared" si="106"/>
        <v>43.747340548578393</v>
      </c>
      <c r="DF128" s="979">
        <f t="shared" si="92"/>
        <v>53.135727097709392</v>
      </c>
      <c r="DG128" s="980">
        <f t="shared" si="93"/>
        <v>5850.7749093308812</v>
      </c>
      <c r="DH128" s="980">
        <f t="shared" si="94"/>
        <v>6628.1428626691177</v>
      </c>
      <c r="DI128" s="979">
        <f t="shared" si="107"/>
        <v>42.346374018858654</v>
      </c>
      <c r="DJ128" s="981">
        <f t="shared" si="108"/>
        <v>45.097911406621158</v>
      </c>
      <c r="DK128" s="984">
        <f t="shared" si="109"/>
        <v>7099.9539999999979</v>
      </c>
      <c r="DL128" s="979">
        <f t="shared" si="95"/>
        <v>55.28463044505807</v>
      </c>
      <c r="DM128" s="980">
        <f t="shared" si="110"/>
        <v>3174.770669330881</v>
      </c>
      <c r="DN128" s="985">
        <f t="shared" si="111"/>
        <v>3925.1833306691169</v>
      </c>
      <c r="DO128" s="984">
        <f t="shared" si="112"/>
        <v>3754.3174319999998</v>
      </c>
      <c r="DP128" s="979">
        <f t="shared" si="96"/>
        <v>50.366377863596711</v>
      </c>
      <c r="DQ128" s="980">
        <f t="shared" si="85"/>
        <v>1867.0075200000001</v>
      </c>
      <c r="DR128" s="985">
        <f t="shared" si="86"/>
        <v>1890.9137040000003</v>
      </c>
      <c r="DS128" s="984">
        <f t="shared" si="113"/>
        <v>1619.7140099999999</v>
      </c>
      <c r="DT128" s="339">
        <f t="shared" si="97"/>
        <v>50.135136387441634</v>
      </c>
      <c r="DU128" s="980">
        <f t="shared" si="87"/>
        <v>808.9967200000001</v>
      </c>
      <c r="DV128" s="985">
        <f t="shared" si="88"/>
        <v>812.04582800000003</v>
      </c>
      <c r="DW128" s="979">
        <f t="shared" si="89"/>
        <v>56.000000000000007</v>
      </c>
      <c r="DX128" s="981">
        <f t="shared" si="90"/>
        <v>59.600000000000009</v>
      </c>
      <c r="DY128" s="414">
        <v>24.82</v>
      </c>
      <c r="DZ128" s="111">
        <v>2010</v>
      </c>
      <c r="EA128" s="118">
        <v>7560.4779039999994</v>
      </c>
      <c r="EB128" s="123">
        <v>25.2</v>
      </c>
      <c r="EC128" s="113">
        <v>2011</v>
      </c>
      <c r="ED128" s="20">
        <v>7682.421096</v>
      </c>
      <c r="EE128" s="414">
        <v>25.2</v>
      </c>
      <c r="EF128" s="111">
        <v>2011</v>
      </c>
      <c r="EG128" s="380">
        <v>57.369102478027301</v>
      </c>
      <c r="EH128" s="24" t="s">
        <v>351</v>
      </c>
      <c r="EI128" s="287">
        <v>1</v>
      </c>
      <c r="EJ128" s="40">
        <v>1</v>
      </c>
      <c r="EK128" s="35" t="s">
        <v>728</v>
      </c>
      <c r="EL128" s="95" t="s">
        <v>1638</v>
      </c>
      <c r="EM128" s="95" t="s">
        <v>1641</v>
      </c>
      <c r="EN128" s="35" t="s">
        <v>145</v>
      </c>
      <c r="EO128" s="95" t="s">
        <v>1725</v>
      </c>
      <c r="EP128" s="205">
        <v>0.35</v>
      </c>
      <c r="EQ128" s="207" t="s">
        <v>145</v>
      </c>
      <c r="ER128" s="517">
        <v>1</v>
      </c>
      <c r="ES128" s="183" t="s">
        <v>3833</v>
      </c>
      <c r="ET128" s="183" t="s">
        <v>145</v>
      </c>
      <c r="EU128" s="82" t="s">
        <v>145</v>
      </c>
      <c r="EV128" s="82" t="s">
        <v>145</v>
      </c>
      <c r="EW128" s="82" t="s">
        <v>145</v>
      </c>
      <c r="EX128" s="360" t="s">
        <v>145</v>
      </c>
      <c r="EY128" s="159"/>
      <c r="EZ128" s="156"/>
      <c r="FA128" s="323"/>
      <c r="FB128" s="323"/>
      <c r="FC128" s="323"/>
      <c r="FD128" s="160"/>
      <c r="FE128" s="156"/>
      <c r="FF128" s="156"/>
      <c r="FG128" s="156"/>
      <c r="FH128" s="157"/>
      <c r="FI128" s="242"/>
      <c r="FJ128" s="373"/>
      <c r="FK128" s="179"/>
      <c r="FL128" s="179"/>
      <c r="FM128" s="179"/>
      <c r="FN128" s="369"/>
      <c r="FO128" s="164"/>
      <c r="FP128" s="255"/>
      <c r="FQ128" s="183"/>
      <c r="FR128" s="257">
        <v>1</v>
      </c>
      <c r="FS128" s="82" t="s">
        <v>1702</v>
      </c>
      <c r="FT128" s="259"/>
      <c r="FU128" s="82"/>
      <c r="FV128" s="259"/>
      <c r="FW128" s="82"/>
      <c r="FX128" s="259"/>
      <c r="FY128" s="82"/>
      <c r="FZ128" s="259">
        <v>1</v>
      </c>
      <c r="GA128" s="82" t="s">
        <v>1914</v>
      </c>
      <c r="GB128" s="261"/>
      <c r="GC128" s="90"/>
      <c r="GD128" s="76">
        <v>2</v>
      </c>
      <c r="GE128" s="445" t="s">
        <v>3425</v>
      </c>
      <c r="GF128" s="447" t="s">
        <v>590</v>
      </c>
      <c r="GG128" s="448">
        <v>4</v>
      </c>
      <c r="GH128" s="449">
        <v>4</v>
      </c>
      <c r="GI128" s="447" t="s">
        <v>145</v>
      </c>
      <c r="GJ128" s="449" t="s">
        <v>145</v>
      </c>
      <c r="GK128" s="447" t="s">
        <v>145</v>
      </c>
      <c r="GL128" s="448" t="s">
        <v>145</v>
      </c>
      <c r="GM128" s="449" t="s">
        <v>145</v>
      </c>
      <c r="GN128" s="447" t="s">
        <v>590</v>
      </c>
      <c r="GO128" s="449">
        <v>55</v>
      </c>
      <c r="GP128" s="447">
        <v>16</v>
      </c>
      <c r="GQ128" s="448">
        <v>24</v>
      </c>
      <c r="GR128" s="449">
        <v>15</v>
      </c>
      <c r="GS128" s="446">
        <v>6</v>
      </c>
      <c r="GT128" s="461">
        <v>-0.56845968961715698</v>
      </c>
      <c r="GU128" s="462">
        <v>-1.1414562463760376</v>
      </c>
      <c r="GV128" s="462">
        <v>-0.92736291885375977</v>
      </c>
      <c r="GW128" s="462">
        <v>-0.86582499742507935</v>
      </c>
      <c r="GX128" s="462">
        <v>-0.75577330589294434</v>
      </c>
      <c r="GY128" s="463">
        <v>-0.67726731300354004</v>
      </c>
      <c r="GZ128" s="10">
        <v>165</v>
      </c>
      <c r="HA128" s="536">
        <v>0.23441999999999999</v>
      </c>
      <c r="HB128" s="536">
        <v>0.29410999999999998</v>
      </c>
      <c r="HC128" s="525">
        <v>0.15748000000000001</v>
      </c>
      <c r="HD128" s="526">
        <v>0.16843</v>
      </c>
      <c r="HE128" s="527">
        <v>0.37740000000000001</v>
      </c>
      <c r="HF128" s="10">
        <v>131</v>
      </c>
      <c r="HG128" s="532">
        <v>2.37</v>
      </c>
      <c r="HH128" s="545">
        <v>2.7</v>
      </c>
      <c r="HI128" s="546">
        <v>0.92</v>
      </c>
      <c r="HJ128" s="547">
        <v>4.6100000000000003</v>
      </c>
      <c r="HK128" s="558" t="s">
        <v>4094</v>
      </c>
      <c r="HL128" s="585" t="s">
        <v>4803</v>
      </c>
      <c r="HM128" s="557">
        <v>2007</v>
      </c>
      <c r="HN128" s="557">
        <v>2007</v>
      </c>
      <c r="HO128" s="557" t="s">
        <v>4095</v>
      </c>
      <c r="HP128" s="562" t="s">
        <v>4096</v>
      </c>
      <c r="HQ128" s="639" t="s">
        <v>4804</v>
      </c>
      <c r="HR128" s="563" t="s">
        <v>145</v>
      </c>
      <c r="HS128" s="545">
        <v>22</v>
      </c>
      <c r="HT128" s="557">
        <v>104</v>
      </c>
      <c r="HU128" s="557">
        <v>2007</v>
      </c>
      <c r="HV128" s="583" t="s">
        <v>4224</v>
      </c>
      <c r="HW128" s="557">
        <v>4</v>
      </c>
      <c r="HX128" s="557">
        <v>27</v>
      </c>
      <c r="HY128" s="557">
        <v>18</v>
      </c>
      <c r="HZ128" s="557">
        <v>15</v>
      </c>
      <c r="IA128" s="557">
        <v>24</v>
      </c>
      <c r="IB128" s="557">
        <v>6</v>
      </c>
      <c r="IC128" s="547">
        <v>10</v>
      </c>
      <c r="ID128" s="40"/>
      <c r="IE128" s="550"/>
      <c r="IF128" s="550"/>
      <c r="IG128" s="785" t="s">
        <v>3422</v>
      </c>
      <c r="IH128" s="115"/>
      <c r="II128" s="647" t="s">
        <v>4921</v>
      </c>
      <c r="IJ128" s="423"/>
      <c r="IK128" s="10">
        <v>0</v>
      </c>
      <c r="IL128" s="749">
        <f t="shared" si="114"/>
        <v>20</v>
      </c>
      <c r="IM128" s="747">
        <f t="shared" si="115"/>
        <v>80</v>
      </c>
      <c r="IN128" s="750" t="str">
        <f t="shared" si="116"/>
        <v>A</v>
      </c>
      <c r="IO128" s="446"/>
      <c r="IP128" s="902">
        <v>3</v>
      </c>
      <c r="IQ128" s="903">
        <v>0</v>
      </c>
      <c r="IR128" s="993">
        <v>0</v>
      </c>
      <c r="IT128" s="435"/>
      <c r="IU128" s="435"/>
      <c r="IV128" s="435"/>
    </row>
    <row r="129" spans="1:256">
      <c r="A129" s="21">
        <v>127</v>
      </c>
      <c r="B129" s="9"/>
      <c r="C129" s="430" t="s">
        <v>198</v>
      </c>
      <c r="D129" s="424"/>
      <c r="E129" s="24" t="s">
        <v>17</v>
      </c>
      <c r="F129" s="76" t="s">
        <v>863</v>
      </c>
      <c r="G129" s="102" t="s">
        <v>583</v>
      </c>
      <c r="H129" s="251" t="s">
        <v>2401</v>
      </c>
      <c r="I129" s="364" t="s">
        <v>2108</v>
      </c>
      <c r="J129" s="176">
        <v>5</v>
      </c>
      <c r="K129" s="88">
        <v>1811</v>
      </c>
      <c r="L129" s="371">
        <v>2</v>
      </c>
      <c r="M129" s="240" t="s">
        <v>2265</v>
      </c>
      <c r="N129" s="172" t="s">
        <v>1822</v>
      </c>
      <c r="O129" s="365" t="s">
        <v>3047</v>
      </c>
      <c r="P129" s="378" t="s">
        <v>2102</v>
      </c>
      <c r="Q129" s="176">
        <v>5</v>
      </c>
      <c r="R129" s="370">
        <v>1850</v>
      </c>
      <c r="S129" s="234" t="s">
        <v>2075</v>
      </c>
      <c r="T129" s="176">
        <v>1</v>
      </c>
      <c r="U129" s="370">
        <v>2</v>
      </c>
      <c r="V129" s="176">
        <v>14</v>
      </c>
      <c r="W129" s="369" t="s">
        <v>2036</v>
      </c>
      <c r="X129" s="170">
        <v>1</v>
      </c>
      <c r="Y129" s="369">
        <v>1</v>
      </c>
      <c r="Z129" s="273" t="s">
        <v>2022</v>
      </c>
      <c r="AA129" s="169">
        <v>1</v>
      </c>
      <c r="AB129" s="177">
        <v>1</v>
      </c>
      <c r="AC129" s="171"/>
      <c r="AD129" s="366" t="s">
        <v>3045</v>
      </c>
      <c r="AE129" s="357">
        <v>2001</v>
      </c>
      <c r="AF129" s="357">
        <v>3</v>
      </c>
      <c r="AG129" s="550" t="s">
        <v>5171</v>
      </c>
      <c r="AH129" s="355" t="s">
        <v>2872</v>
      </c>
      <c r="AI129" s="55">
        <v>0</v>
      </c>
      <c r="AJ129" s="55">
        <v>1</v>
      </c>
      <c r="AK129" s="590" t="s">
        <v>145</v>
      </c>
      <c r="AL129" s="386">
        <v>2</v>
      </c>
      <c r="AM129" s="361" t="s">
        <v>3046</v>
      </c>
      <c r="AN129" s="384" t="s">
        <v>145</v>
      </c>
      <c r="AO129" s="170">
        <v>1</v>
      </c>
      <c r="AP129" s="369">
        <v>1</v>
      </c>
      <c r="AQ129" s="365" t="s">
        <v>5278</v>
      </c>
      <c r="AR129" s="378" t="s">
        <v>4934</v>
      </c>
      <c r="AS129" s="55">
        <v>2</v>
      </c>
      <c r="AT129" s="370">
        <v>3</v>
      </c>
      <c r="AU129" s="371">
        <v>2006</v>
      </c>
      <c r="AV129" s="370">
        <v>5</v>
      </c>
      <c r="AW129" s="589">
        <v>10000</v>
      </c>
      <c r="AX129" s="687">
        <v>1</v>
      </c>
      <c r="AY129" s="174" t="s">
        <v>2173</v>
      </c>
      <c r="AZ129" s="55">
        <v>2014</v>
      </c>
      <c r="BA129" s="55">
        <v>1</v>
      </c>
      <c r="BB129" s="55">
        <v>1</v>
      </c>
      <c r="BC129" s="174" t="s">
        <v>5348</v>
      </c>
      <c r="BD129" s="55">
        <v>2007</v>
      </c>
      <c r="BE129" s="55">
        <v>1</v>
      </c>
      <c r="BF129" s="371" t="s">
        <v>323</v>
      </c>
      <c r="BG129" s="367">
        <v>0</v>
      </c>
      <c r="BH129" s="56" t="s">
        <v>145</v>
      </c>
      <c r="BI129" s="367">
        <v>3</v>
      </c>
      <c r="BJ129" s="367">
        <v>1</v>
      </c>
      <c r="BK129" s="1138">
        <v>16900.725999999999</v>
      </c>
      <c r="BL129" s="925">
        <f t="shared" si="103"/>
        <v>50.458589767090487</v>
      </c>
      <c r="BM129" s="1138">
        <v>8372.8580000000002</v>
      </c>
      <c r="BN129" s="1139">
        <v>8527.8680000000004</v>
      </c>
      <c r="BO129" s="888">
        <v>884.548</v>
      </c>
      <c r="BP129" s="1158">
        <f t="shared" si="78"/>
        <v>48.651627723990103</v>
      </c>
      <c r="BQ129" s="917">
        <v>454.20100000000002</v>
      </c>
      <c r="BR129" s="920">
        <v>430.34699999999998</v>
      </c>
      <c r="BS129" s="888">
        <v>920.11199999999997</v>
      </c>
      <c r="BT129" s="1158">
        <f t="shared" si="79"/>
        <v>48.661032569948013</v>
      </c>
      <c r="BU129" s="917">
        <v>472.37599999999998</v>
      </c>
      <c r="BV129" s="920">
        <v>447.73599999999999</v>
      </c>
      <c r="BW129" s="888">
        <v>991.89200000000005</v>
      </c>
      <c r="BX129" s="1158">
        <f t="shared" si="80"/>
        <v>48.788880240993976</v>
      </c>
      <c r="BY129" s="917">
        <v>507.959</v>
      </c>
      <c r="BZ129" s="920">
        <v>483.93299999999999</v>
      </c>
      <c r="CA129" s="888">
        <f t="shared" si="81"/>
        <v>14104.173999999999</v>
      </c>
      <c r="CB129" s="1158">
        <f t="shared" si="82"/>
        <v>50.806605193611489</v>
      </c>
      <c r="CC129" s="917">
        <f t="shared" si="83"/>
        <v>6938.3220000000001</v>
      </c>
      <c r="CD129" s="920">
        <f t="shared" si="84"/>
        <v>7165.8520000000008</v>
      </c>
      <c r="CE129" s="914">
        <v>2015</v>
      </c>
      <c r="CF129" s="910" t="s">
        <v>5630</v>
      </c>
      <c r="CG129" s="930">
        <v>100</v>
      </c>
      <c r="CH129" s="1005">
        <v>100</v>
      </c>
      <c r="CI129" s="1006">
        <v>100</v>
      </c>
      <c r="CJ129" s="904" t="s">
        <v>1621</v>
      </c>
      <c r="CK129" s="904" t="s">
        <v>1621</v>
      </c>
      <c r="CL129" s="904">
        <v>2011</v>
      </c>
      <c r="CM129" s="905" t="s">
        <v>5576</v>
      </c>
      <c r="CN129" s="1044">
        <v>16900.725999999999</v>
      </c>
      <c r="CO129" s="1045">
        <f t="shared" si="104"/>
        <v>100</v>
      </c>
      <c r="CP129" s="1049">
        <v>8372.8580000000002</v>
      </c>
      <c r="CQ129" s="1050">
        <v>8527.8680000000004</v>
      </c>
      <c r="CR129" s="1046">
        <v>2015</v>
      </c>
      <c r="CS129" s="1047" t="s">
        <v>5651</v>
      </c>
      <c r="CT129" s="1068">
        <f t="shared" si="105"/>
        <v>14</v>
      </c>
      <c r="CU129" s="1071">
        <v>18</v>
      </c>
      <c r="CV129" s="1068" t="s">
        <v>5967</v>
      </c>
      <c r="CW129" s="1113">
        <v>12815.495999999999</v>
      </c>
      <c r="CX129" s="1113">
        <v>13156.909</v>
      </c>
      <c r="CY129" s="1113">
        <v>16877.350999999999</v>
      </c>
      <c r="CZ129" s="1048">
        <v>20</v>
      </c>
      <c r="DA129" s="1104">
        <v>5</v>
      </c>
      <c r="DB129" s="1050" t="s">
        <v>647</v>
      </c>
      <c r="DC129" s="1145" t="s">
        <v>323</v>
      </c>
      <c r="DD129" s="1131">
        <f t="shared" si="91"/>
        <v>0</v>
      </c>
      <c r="DE129" s="1132">
        <f t="shared" si="106"/>
        <v>0</v>
      </c>
      <c r="DF129" s="1132">
        <f t="shared" si="92"/>
        <v>0</v>
      </c>
      <c r="DG129" s="1133">
        <f t="shared" si="93"/>
        <v>0</v>
      </c>
      <c r="DH129" s="1133">
        <f t="shared" si="94"/>
        <v>0</v>
      </c>
      <c r="DI129" s="1132">
        <f t="shared" si="107"/>
        <v>0</v>
      </c>
      <c r="DJ129" s="1134">
        <f t="shared" si="108"/>
        <v>0</v>
      </c>
      <c r="DK129" s="1135">
        <f t="shared" si="109"/>
        <v>0</v>
      </c>
      <c r="DL129" s="1132">
        <f t="shared" si="95"/>
        <v>0</v>
      </c>
      <c r="DM129" s="1133">
        <f t="shared" si="110"/>
        <v>0</v>
      </c>
      <c r="DN129" s="1136">
        <f t="shared" si="111"/>
        <v>0</v>
      </c>
      <c r="DO129" s="1135">
        <f t="shared" si="112"/>
        <v>0</v>
      </c>
      <c r="DP129" s="1132">
        <f t="shared" si="96"/>
        <v>0</v>
      </c>
      <c r="DQ129" s="1133">
        <f t="shared" si="85"/>
        <v>0</v>
      </c>
      <c r="DR129" s="1136">
        <f t="shared" si="86"/>
        <v>0</v>
      </c>
      <c r="DS129" s="1135">
        <f t="shared" si="113"/>
        <v>0</v>
      </c>
      <c r="DT129" s="1137">
        <f t="shared" si="97"/>
        <v>0</v>
      </c>
      <c r="DU129" s="1133">
        <f t="shared" si="87"/>
        <v>0</v>
      </c>
      <c r="DV129" s="1136">
        <f t="shared" si="88"/>
        <v>0</v>
      </c>
      <c r="DW129" s="1132">
        <f t="shared" si="89"/>
        <v>0</v>
      </c>
      <c r="DX129" s="1134">
        <f t="shared" si="90"/>
        <v>0</v>
      </c>
      <c r="DY129" s="414" t="s">
        <v>145</v>
      </c>
      <c r="DZ129" s="111" t="s">
        <v>145</v>
      </c>
      <c r="EA129" s="368"/>
      <c r="EB129" s="123" t="s">
        <v>145</v>
      </c>
      <c r="EC129" s="113" t="s">
        <v>145</v>
      </c>
      <c r="ED129" s="20"/>
      <c r="EE129" s="414">
        <v>9.1</v>
      </c>
      <c r="EF129" s="111">
        <v>2013</v>
      </c>
      <c r="EG129" s="380" t="s">
        <v>145</v>
      </c>
      <c r="EH129" s="24" t="s">
        <v>377</v>
      </c>
      <c r="EI129" s="287">
        <v>0</v>
      </c>
      <c r="EJ129" s="40" t="s">
        <v>145</v>
      </c>
      <c r="EK129" s="35" t="s">
        <v>145</v>
      </c>
      <c r="EL129" s="364" t="s">
        <v>145</v>
      </c>
      <c r="EM129" s="364" t="s">
        <v>145</v>
      </c>
      <c r="EN129" s="35" t="s">
        <v>145</v>
      </c>
      <c r="EO129" s="364" t="s">
        <v>145</v>
      </c>
      <c r="EP129" s="205" t="s">
        <v>145</v>
      </c>
      <c r="EQ129" s="207" t="s">
        <v>145</v>
      </c>
      <c r="ER129" s="517" t="s">
        <v>145</v>
      </c>
      <c r="ES129" s="183"/>
      <c r="ET129" s="183"/>
      <c r="EU129" s="82"/>
      <c r="EV129" s="82"/>
      <c r="EW129" s="82"/>
      <c r="EX129" s="90"/>
      <c r="EY129" s="159"/>
      <c r="EZ129" s="156"/>
      <c r="FA129" s="323"/>
      <c r="FB129" s="323"/>
      <c r="FC129" s="323"/>
      <c r="FD129" s="160"/>
      <c r="FE129" s="156"/>
      <c r="FF129" s="156"/>
      <c r="FG129" s="156"/>
      <c r="FH129" s="157"/>
      <c r="FI129" s="242"/>
      <c r="FJ129" s="240"/>
      <c r="FK129" s="179"/>
      <c r="FL129" s="179"/>
      <c r="FM129" s="179"/>
      <c r="FN129" s="172"/>
      <c r="FO129" s="164"/>
      <c r="FP129" s="255">
        <v>2</v>
      </c>
      <c r="FQ129" s="183"/>
      <c r="FR129" s="257"/>
      <c r="FS129" s="82"/>
      <c r="FT129" s="259"/>
      <c r="FU129" s="82"/>
      <c r="FV129" s="259"/>
      <c r="FW129" s="82"/>
      <c r="FX129" s="259"/>
      <c r="FY129" s="82"/>
      <c r="FZ129" s="259"/>
      <c r="GA129" s="82"/>
      <c r="GB129" s="261"/>
      <c r="GC129" s="90"/>
      <c r="GD129" s="76">
        <v>1</v>
      </c>
      <c r="GE129" s="445" t="s">
        <v>3424</v>
      </c>
      <c r="GF129" s="447" t="s">
        <v>10</v>
      </c>
      <c r="GG129" s="448">
        <v>1</v>
      </c>
      <c r="GH129" s="449">
        <v>1</v>
      </c>
      <c r="GI129" s="447" t="s">
        <v>145</v>
      </c>
      <c r="GJ129" s="449" t="s">
        <v>145</v>
      </c>
      <c r="GK129" s="447" t="s">
        <v>145</v>
      </c>
      <c r="GL129" s="448" t="s">
        <v>145</v>
      </c>
      <c r="GM129" s="449" t="s">
        <v>145</v>
      </c>
      <c r="GN129" s="447" t="s">
        <v>10</v>
      </c>
      <c r="GO129" s="449">
        <v>10</v>
      </c>
      <c r="GP129" s="447">
        <v>1</v>
      </c>
      <c r="GQ129" s="448">
        <v>5</v>
      </c>
      <c r="GR129" s="449">
        <v>4</v>
      </c>
      <c r="GS129" s="446">
        <v>10</v>
      </c>
      <c r="GT129" s="461">
        <v>1.5838433504104614</v>
      </c>
      <c r="GU129" s="462">
        <v>1.1170803308486938</v>
      </c>
      <c r="GV129" s="462">
        <v>1.7673083543777466</v>
      </c>
      <c r="GW129" s="462">
        <v>1.7661480903625488</v>
      </c>
      <c r="GX129" s="462">
        <v>1.8088915348052979</v>
      </c>
      <c r="GY129" s="463">
        <v>2.0462131500244141</v>
      </c>
      <c r="GZ129" s="10">
        <v>5</v>
      </c>
      <c r="HA129" s="536">
        <v>0.88966000000000001</v>
      </c>
      <c r="HB129" s="536">
        <v>1</v>
      </c>
      <c r="HC129" s="525">
        <v>0.92913000000000001</v>
      </c>
      <c r="HD129" s="526">
        <v>0.81750999999999996</v>
      </c>
      <c r="HE129" s="527">
        <v>0.9224</v>
      </c>
      <c r="HF129" s="10">
        <v>7</v>
      </c>
      <c r="HG129" s="532">
        <v>8.3800000000000008</v>
      </c>
      <c r="HH129" s="545">
        <v>8.93</v>
      </c>
      <c r="HI129" s="546">
        <v>7.43</v>
      </c>
      <c r="HJ129" s="547">
        <v>9.1999999999999993</v>
      </c>
      <c r="HK129" s="558" t="s">
        <v>3992</v>
      </c>
      <c r="HL129" s="585" t="s">
        <v>4261</v>
      </c>
      <c r="HM129" s="557">
        <v>1988</v>
      </c>
      <c r="HN129" s="557">
        <v>2000</v>
      </c>
      <c r="HO129" s="557" t="s">
        <v>3985</v>
      </c>
      <c r="HP129" s="562" t="s">
        <v>4055</v>
      </c>
      <c r="HQ129" s="639" t="s">
        <v>4805</v>
      </c>
      <c r="HR129" s="563" t="s">
        <v>4042</v>
      </c>
      <c r="HS129" s="545">
        <v>54</v>
      </c>
      <c r="HT129" s="557">
        <v>83</v>
      </c>
      <c r="HU129" s="557">
        <v>1978</v>
      </c>
      <c r="HV129" s="583" t="s">
        <v>4260</v>
      </c>
      <c r="HW129" s="557">
        <v>4</v>
      </c>
      <c r="HX129" s="557">
        <v>21</v>
      </c>
      <c r="HY129" s="557">
        <v>22</v>
      </c>
      <c r="HZ129" s="557">
        <v>16</v>
      </c>
      <c r="IA129" s="557">
        <v>14</v>
      </c>
      <c r="IB129" s="557">
        <v>4</v>
      </c>
      <c r="IC129" s="547">
        <v>2</v>
      </c>
      <c r="ID129" s="40" t="s">
        <v>5199</v>
      </c>
      <c r="IE129" s="355" t="s">
        <v>5200</v>
      </c>
      <c r="IF129" s="355"/>
      <c r="IG129" s="553"/>
      <c r="IH129" s="339"/>
      <c r="II129" s="553" t="s">
        <v>4920</v>
      </c>
      <c r="IJ129" s="424" t="s">
        <v>4925</v>
      </c>
      <c r="IK129" s="24">
        <v>0</v>
      </c>
      <c r="IL129" s="749">
        <f t="shared" si="114"/>
        <v>21</v>
      </c>
      <c r="IM129" s="747">
        <f t="shared" si="115"/>
        <v>84</v>
      </c>
      <c r="IN129" s="750" t="str">
        <f t="shared" si="116"/>
        <v>A</v>
      </c>
      <c r="IO129" s="446"/>
      <c r="IP129" s="902">
        <v>3</v>
      </c>
      <c r="IQ129" s="903">
        <v>0</v>
      </c>
      <c r="IR129" s="993">
        <v>0</v>
      </c>
      <c r="IT129" s="435"/>
      <c r="IU129" s="435"/>
      <c r="IV129" s="435"/>
    </row>
    <row r="130" spans="1:256">
      <c r="A130" s="21">
        <v>128</v>
      </c>
      <c r="B130" s="9"/>
      <c r="C130" s="430" t="s">
        <v>199</v>
      </c>
      <c r="D130" s="424"/>
      <c r="E130" s="24" t="s">
        <v>17</v>
      </c>
      <c r="F130" s="76" t="s">
        <v>864</v>
      </c>
      <c r="G130" s="102" t="s">
        <v>586</v>
      </c>
      <c r="H130" s="251" t="s">
        <v>2400</v>
      </c>
      <c r="I130" s="95" t="s">
        <v>2403</v>
      </c>
      <c r="J130" s="176">
        <v>2</v>
      </c>
      <c r="K130" s="88">
        <v>1848</v>
      </c>
      <c r="L130" s="371">
        <v>2</v>
      </c>
      <c r="M130" s="240" t="s">
        <v>2244</v>
      </c>
      <c r="N130" s="172" t="s">
        <v>1822</v>
      </c>
      <c r="O130" s="365" t="s">
        <v>2960</v>
      </c>
      <c r="P130" s="362" t="s">
        <v>2865</v>
      </c>
      <c r="Q130" s="176">
        <v>5</v>
      </c>
      <c r="R130" s="370">
        <v>1902</v>
      </c>
      <c r="S130" s="234" t="s">
        <v>2866</v>
      </c>
      <c r="T130" s="176">
        <v>0</v>
      </c>
      <c r="U130" s="370">
        <v>0</v>
      </c>
      <c r="V130" s="176" t="s">
        <v>145</v>
      </c>
      <c r="W130" s="353">
        <v>35</v>
      </c>
      <c r="X130" s="170">
        <v>0</v>
      </c>
      <c r="Y130" s="369">
        <v>0</v>
      </c>
      <c r="Z130" s="273" t="s">
        <v>2059</v>
      </c>
      <c r="AA130" s="169">
        <v>1</v>
      </c>
      <c r="AB130" s="177">
        <v>1</v>
      </c>
      <c r="AC130" s="171"/>
      <c r="AD130" s="376" t="s">
        <v>145</v>
      </c>
      <c r="AE130" s="355" t="s">
        <v>145</v>
      </c>
      <c r="AF130" s="357">
        <v>0</v>
      </c>
      <c r="AG130" s="550">
        <v>0</v>
      </c>
      <c r="AH130" s="355" t="s">
        <v>145</v>
      </c>
      <c r="AI130" s="550" t="s">
        <v>145</v>
      </c>
      <c r="AJ130" s="550" t="s">
        <v>145</v>
      </c>
      <c r="AK130" s="590" t="s">
        <v>145</v>
      </c>
      <c r="AL130" s="55">
        <v>0</v>
      </c>
      <c r="AM130" s="56" t="s">
        <v>145</v>
      </c>
      <c r="AN130" s="291" t="s">
        <v>145</v>
      </c>
      <c r="AO130" s="170">
        <v>0</v>
      </c>
      <c r="AP130" s="369">
        <v>0</v>
      </c>
      <c r="AQ130" s="365" t="s">
        <v>5279</v>
      </c>
      <c r="AR130" s="378" t="s">
        <v>5280</v>
      </c>
      <c r="AS130" s="55">
        <v>2</v>
      </c>
      <c r="AT130" s="370">
        <v>2</v>
      </c>
      <c r="AU130" s="371">
        <v>2005</v>
      </c>
      <c r="AV130" s="370">
        <v>5</v>
      </c>
      <c r="AW130" s="589">
        <v>2600</v>
      </c>
      <c r="AX130" s="687">
        <v>0</v>
      </c>
      <c r="AY130" s="174" t="s">
        <v>2174</v>
      </c>
      <c r="AZ130" s="55">
        <v>2014</v>
      </c>
      <c r="BA130" s="55">
        <v>1</v>
      </c>
      <c r="BB130" s="55">
        <v>2</v>
      </c>
      <c r="BC130" s="174" t="s">
        <v>4367</v>
      </c>
      <c r="BD130" s="55">
        <v>2013</v>
      </c>
      <c r="BE130" s="55">
        <v>2</v>
      </c>
      <c r="BF130" s="367" t="s">
        <v>4396</v>
      </c>
      <c r="BG130" s="367">
        <v>1</v>
      </c>
      <c r="BH130" s="1" t="s">
        <v>4368</v>
      </c>
      <c r="BI130" s="367">
        <v>3</v>
      </c>
      <c r="BJ130" s="367">
        <v>1</v>
      </c>
      <c r="BK130" s="888">
        <v>4528.5259999999998</v>
      </c>
      <c r="BL130" s="925">
        <f t="shared" si="103"/>
        <v>51.129285776431445</v>
      </c>
      <c r="BM130" s="888">
        <v>2213.123</v>
      </c>
      <c r="BN130" s="920">
        <v>2315.4029999999998</v>
      </c>
      <c r="BO130" s="888">
        <v>308.78500000000003</v>
      </c>
      <c r="BP130" s="1158">
        <f t="shared" si="78"/>
        <v>48.708648412325722</v>
      </c>
      <c r="BQ130" s="917">
        <v>158.38</v>
      </c>
      <c r="BR130" s="920">
        <v>150.405</v>
      </c>
      <c r="BS130" s="888">
        <v>310.70699999999999</v>
      </c>
      <c r="BT130" s="1158">
        <f t="shared" si="79"/>
        <v>48.747212003591812</v>
      </c>
      <c r="BU130" s="917">
        <v>159.24600000000001</v>
      </c>
      <c r="BV130" s="920">
        <v>151.46100000000001</v>
      </c>
      <c r="BW130" s="888">
        <v>295.58300000000003</v>
      </c>
      <c r="BX130" s="1158">
        <f t="shared" si="80"/>
        <v>48.778853993632914</v>
      </c>
      <c r="BY130" s="917">
        <v>151.40100000000001</v>
      </c>
      <c r="BZ130" s="920">
        <v>144.18199999999999</v>
      </c>
      <c r="CA130" s="888">
        <f t="shared" si="81"/>
        <v>3613.451</v>
      </c>
      <c r="CB130" s="1158">
        <f t="shared" si="82"/>
        <v>51.73323230341299</v>
      </c>
      <c r="CC130" s="917">
        <f t="shared" si="83"/>
        <v>1744.0959999999998</v>
      </c>
      <c r="CD130" s="920">
        <f t="shared" si="84"/>
        <v>1869.3549999999996</v>
      </c>
      <c r="CE130" s="914">
        <v>2015</v>
      </c>
      <c r="CF130" s="910" t="s">
        <v>5630</v>
      </c>
      <c r="CG130" s="930">
        <v>100</v>
      </c>
      <c r="CH130" s="1005">
        <v>100</v>
      </c>
      <c r="CI130" s="1006">
        <v>100</v>
      </c>
      <c r="CJ130" s="904" t="s">
        <v>1621</v>
      </c>
      <c r="CK130" s="904" t="s">
        <v>1621</v>
      </c>
      <c r="CL130" s="904">
        <v>2012</v>
      </c>
      <c r="CM130" s="905" t="s">
        <v>5576</v>
      </c>
      <c r="CN130" s="1044">
        <v>4442.1000000000004</v>
      </c>
      <c r="CO130" s="1045">
        <f t="shared" si="104"/>
        <v>98.091520287175129</v>
      </c>
      <c r="CP130" s="1049">
        <v>2172.1999999999998</v>
      </c>
      <c r="CQ130" s="1050">
        <v>2269.9</v>
      </c>
      <c r="CR130" s="1046">
        <v>2014</v>
      </c>
      <c r="CS130" s="1047" t="s">
        <v>5652</v>
      </c>
      <c r="CT130" s="1068" t="str">
        <f t="shared" si="105"/>
        <v>-</v>
      </c>
      <c r="CU130" s="1071">
        <v>18</v>
      </c>
      <c r="CV130" s="1068" t="s">
        <v>5974</v>
      </c>
      <c r="CW130" s="1113">
        <v>3140.4169999999999</v>
      </c>
      <c r="CX130" s="1113">
        <v>3340.1729999999998</v>
      </c>
      <c r="CY130" s="1113">
        <v>4401.9160000000002</v>
      </c>
      <c r="CZ130" s="1048">
        <v>20</v>
      </c>
      <c r="DA130" s="1104">
        <v>5</v>
      </c>
      <c r="DB130" s="1050" t="s">
        <v>647</v>
      </c>
      <c r="DC130" s="1145" t="s">
        <v>323</v>
      </c>
      <c r="DD130" s="1131">
        <f t="shared" si="91"/>
        <v>86.425999999999476</v>
      </c>
      <c r="DE130" s="1132">
        <f t="shared" si="106"/>
        <v>1.9084797128248681</v>
      </c>
      <c r="DF130" s="1132">
        <f t="shared" si="92"/>
        <v>52.649665609885886</v>
      </c>
      <c r="DG130" s="1133">
        <f t="shared" si="93"/>
        <v>40.923000000000229</v>
      </c>
      <c r="DH130" s="1133">
        <f t="shared" si="94"/>
        <v>45.502999999999702</v>
      </c>
      <c r="DI130" s="1132">
        <f t="shared" si="107"/>
        <v>1.8491064436997051</v>
      </c>
      <c r="DJ130" s="1134">
        <f t="shared" si="108"/>
        <v>1.9652302428561985</v>
      </c>
      <c r="DK130" s="1135">
        <f t="shared" si="109"/>
        <v>86.425999999999476</v>
      </c>
      <c r="DL130" s="1132">
        <f t="shared" si="95"/>
        <v>52.649665609885886</v>
      </c>
      <c r="DM130" s="1133">
        <f t="shared" si="110"/>
        <v>40.923000000000229</v>
      </c>
      <c r="DN130" s="1136">
        <f t="shared" si="111"/>
        <v>45.502999999999702</v>
      </c>
      <c r="DO130" s="1135">
        <f t="shared" si="112"/>
        <v>0</v>
      </c>
      <c r="DP130" s="1132">
        <f t="shared" si="96"/>
        <v>0</v>
      </c>
      <c r="DQ130" s="1133">
        <f t="shared" si="85"/>
        <v>0</v>
      </c>
      <c r="DR130" s="1136">
        <f t="shared" si="86"/>
        <v>0</v>
      </c>
      <c r="DS130" s="1135">
        <f t="shared" si="113"/>
        <v>0</v>
      </c>
      <c r="DT130" s="1137">
        <f t="shared" si="97"/>
        <v>0</v>
      </c>
      <c r="DU130" s="1133">
        <f t="shared" si="87"/>
        <v>0</v>
      </c>
      <c r="DV130" s="1136">
        <f t="shared" si="88"/>
        <v>0</v>
      </c>
      <c r="DW130" s="1132">
        <f t="shared" si="89"/>
        <v>0</v>
      </c>
      <c r="DX130" s="1134">
        <f t="shared" si="90"/>
        <v>0</v>
      </c>
      <c r="DY130" s="414" t="s">
        <v>145</v>
      </c>
      <c r="DZ130" s="111" t="s">
        <v>145</v>
      </c>
      <c r="EA130" s="368"/>
      <c r="EB130" s="123" t="s">
        <v>145</v>
      </c>
      <c r="EC130" s="113" t="s">
        <v>145</v>
      </c>
      <c r="ED130" s="20"/>
      <c r="EE130" s="414" t="s">
        <v>145</v>
      </c>
      <c r="EF130" s="111" t="s">
        <v>145</v>
      </c>
      <c r="EG130" s="380" t="s">
        <v>145</v>
      </c>
      <c r="EH130" s="24" t="s">
        <v>335</v>
      </c>
      <c r="EI130" s="287">
        <v>0</v>
      </c>
      <c r="EJ130" s="40" t="s">
        <v>145</v>
      </c>
      <c r="EK130" s="35" t="s">
        <v>145</v>
      </c>
      <c r="EL130" s="95" t="s">
        <v>145</v>
      </c>
      <c r="EM130" s="95" t="s">
        <v>145</v>
      </c>
      <c r="EN130" s="35" t="s">
        <v>145</v>
      </c>
      <c r="EO130" s="95" t="s">
        <v>145</v>
      </c>
      <c r="EP130" s="205" t="s">
        <v>145</v>
      </c>
      <c r="EQ130" s="207" t="s">
        <v>145</v>
      </c>
      <c r="ER130" s="517" t="s">
        <v>145</v>
      </c>
      <c r="ES130" s="183"/>
      <c r="ET130" s="183"/>
      <c r="EU130" s="82"/>
      <c r="EV130" s="82"/>
      <c r="EW130" s="82"/>
      <c r="EX130" s="90"/>
      <c r="EY130" s="159"/>
      <c r="EZ130" s="156"/>
      <c r="FA130" s="323"/>
      <c r="FB130" s="323"/>
      <c r="FC130" s="323"/>
      <c r="FD130" s="160"/>
      <c r="FE130" s="156"/>
      <c r="FF130" s="156"/>
      <c r="FG130" s="156"/>
      <c r="FH130" s="157"/>
      <c r="FI130" s="242"/>
      <c r="FJ130" s="240"/>
      <c r="FK130" s="179"/>
      <c r="FL130" s="179"/>
      <c r="FM130" s="179"/>
      <c r="FN130" s="369"/>
      <c r="FO130" s="164"/>
      <c r="FP130" s="255">
        <v>2</v>
      </c>
      <c r="FQ130" s="183"/>
      <c r="FR130" s="257"/>
      <c r="FS130" s="82"/>
      <c r="FT130" s="259"/>
      <c r="FU130" s="82"/>
      <c r="FV130" s="259"/>
      <c r="FW130" s="82"/>
      <c r="FX130" s="259"/>
      <c r="FY130" s="82"/>
      <c r="FZ130" s="259"/>
      <c r="GA130" s="82"/>
      <c r="GB130" s="261"/>
      <c r="GC130" s="90"/>
      <c r="GD130" s="76">
        <v>2</v>
      </c>
      <c r="GE130" s="445" t="s">
        <v>3425</v>
      </c>
      <c r="GF130" s="447" t="s">
        <v>10</v>
      </c>
      <c r="GG130" s="448">
        <v>1</v>
      </c>
      <c r="GH130" s="449">
        <v>1</v>
      </c>
      <c r="GI130" s="447" t="s">
        <v>145</v>
      </c>
      <c r="GJ130" s="449" t="s">
        <v>145</v>
      </c>
      <c r="GK130" s="447" t="s">
        <v>145</v>
      </c>
      <c r="GL130" s="448" t="s">
        <v>145</v>
      </c>
      <c r="GM130" s="449" t="s">
        <v>145</v>
      </c>
      <c r="GN130" s="447" t="s">
        <v>10</v>
      </c>
      <c r="GO130" s="449">
        <v>18</v>
      </c>
      <c r="GP130" s="447">
        <v>3</v>
      </c>
      <c r="GQ130" s="448">
        <v>8</v>
      </c>
      <c r="GR130" s="449">
        <v>7</v>
      </c>
      <c r="GS130" s="446">
        <v>10</v>
      </c>
      <c r="GT130" s="461">
        <v>1.6220579147338867</v>
      </c>
      <c r="GU130" s="462">
        <v>1.4497004747390747</v>
      </c>
      <c r="GV130" s="462">
        <v>1.7459114789962769</v>
      </c>
      <c r="GW130" s="462">
        <v>1.8140907287597656</v>
      </c>
      <c r="GX130" s="462">
        <v>1.8600655794143677</v>
      </c>
      <c r="GY130" s="463">
        <v>2.3476817607879639</v>
      </c>
      <c r="GZ130" s="10">
        <v>9</v>
      </c>
      <c r="HA130" s="536">
        <v>0.86436000000000002</v>
      </c>
      <c r="HB130" s="536">
        <v>0.78430999999999995</v>
      </c>
      <c r="HC130" s="525">
        <v>0.84250999999999998</v>
      </c>
      <c r="HD130" s="526">
        <v>0.75056999999999996</v>
      </c>
      <c r="HE130" s="527">
        <v>1</v>
      </c>
      <c r="HF130" s="10">
        <v>19</v>
      </c>
      <c r="HG130" s="532">
        <v>7.82</v>
      </c>
      <c r="HH130" s="545">
        <v>7.79</v>
      </c>
      <c r="HI130" s="546">
        <v>7.1</v>
      </c>
      <c r="HJ130" s="547">
        <v>9.2799999999999994</v>
      </c>
      <c r="HK130" s="558" t="s">
        <v>4097</v>
      </c>
      <c r="HL130" s="585" t="s">
        <v>4806</v>
      </c>
      <c r="HM130" s="557">
        <v>1993</v>
      </c>
      <c r="HN130" s="557">
        <v>2010</v>
      </c>
      <c r="HO130" s="557" t="s">
        <v>3985</v>
      </c>
      <c r="HP130" s="562" t="s">
        <v>4021</v>
      </c>
      <c r="HQ130" s="639" t="s">
        <v>4807</v>
      </c>
      <c r="HR130" s="563" t="s">
        <v>4098</v>
      </c>
      <c r="HS130" s="545">
        <v>34</v>
      </c>
      <c r="HT130" s="557">
        <v>94</v>
      </c>
      <c r="HU130" s="557">
        <v>1982</v>
      </c>
      <c r="HV130" s="583" t="s">
        <v>4225</v>
      </c>
      <c r="HW130" s="557">
        <v>4</v>
      </c>
      <c r="HX130" s="557">
        <v>16</v>
      </c>
      <c r="HY130" s="557">
        <v>22</v>
      </c>
      <c r="HZ130" s="557">
        <v>18</v>
      </c>
      <c r="IA130" s="557">
        <v>23</v>
      </c>
      <c r="IB130" s="557">
        <v>6</v>
      </c>
      <c r="IC130" s="547">
        <v>5</v>
      </c>
      <c r="ID130" s="660" t="s">
        <v>5209</v>
      </c>
      <c r="IE130" s="355" t="s">
        <v>5200</v>
      </c>
      <c r="IF130" s="355" t="s">
        <v>5202</v>
      </c>
      <c r="IG130" s="553"/>
      <c r="IH130" s="339"/>
      <c r="II130" s="553" t="s">
        <v>4920</v>
      </c>
      <c r="IJ130" s="424" t="s">
        <v>4926</v>
      </c>
      <c r="IK130" s="24">
        <v>0</v>
      </c>
      <c r="IL130" s="749">
        <f t="shared" si="114"/>
        <v>14</v>
      </c>
      <c r="IM130" s="747">
        <f t="shared" si="115"/>
        <v>56.000000000000007</v>
      </c>
      <c r="IN130" s="750" t="str">
        <f t="shared" si="116"/>
        <v>B</v>
      </c>
      <c r="IO130" s="446"/>
      <c r="IP130" s="902">
        <v>1</v>
      </c>
      <c r="IQ130" s="903">
        <v>0</v>
      </c>
      <c r="IR130" s="993">
        <v>0</v>
      </c>
      <c r="IT130" s="435"/>
      <c r="IU130" s="435"/>
      <c r="IV130" s="435"/>
    </row>
    <row r="131" spans="1:256">
      <c r="A131" s="21">
        <v>129</v>
      </c>
      <c r="B131" s="9"/>
      <c r="C131" s="430" t="s">
        <v>201</v>
      </c>
      <c r="D131" s="424" t="s">
        <v>409</v>
      </c>
      <c r="E131" s="24" t="s">
        <v>20</v>
      </c>
      <c r="F131" s="76" t="s">
        <v>865</v>
      </c>
      <c r="G131" s="102" t="s">
        <v>582</v>
      </c>
      <c r="H131" s="375" t="s">
        <v>3295</v>
      </c>
      <c r="I131" s="95" t="s">
        <v>2109</v>
      </c>
      <c r="J131" s="370">
        <v>5</v>
      </c>
      <c r="K131" s="88">
        <v>1879</v>
      </c>
      <c r="L131" s="371">
        <v>2</v>
      </c>
      <c r="M131" s="373" t="s">
        <v>1835</v>
      </c>
      <c r="N131" s="369" t="s">
        <v>1822</v>
      </c>
      <c r="O131" s="365" t="s">
        <v>3294</v>
      </c>
      <c r="P131" s="378" t="s">
        <v>1778</v>
      </c>
      <c r="Q131" s="370">
        <v>4</v>
      </c>
      <c r="R131" s="370">
        <v>2006</v>
      </c>
      <c r="S131" s="372" t="s">
        <v>1817</v>
      </c>
      <c r="T131" s="370">
        <v>1</v>
      </c>
      <c r="U131" s="370">
        <v>2</v>
      </c>
      <c r="V131" s="370">
        <v>16</v>
      </c>
      <c r="W131" s="369" t="s">
        <v>1822</v>
      </c>
      <c r="X131" s="170">
        <v>0</v>
      </c>
      <c r="Y131" s="369">
        <v>0</v>
      </c>
      <c r="Z131" s="271"/>
      <c r="AA131" s="169"/>
      <c r="AB131" s="177"/>
      <c r="AC131" s="171"/>
      <c r="AD131" s="365" t="s">
        <v>3294</v>
      </c>
      <c r="AE131" s="357">
        <v>2008</v>
      </c>
      <c r="AF131" s="357">
        <v>2</v>
      </c>
      <c r="AG131" s="55">
        <v>2</v>
      </c>
      <c r="AH131" s="355" t="s">
        <v>3122</v>
      </c>
      <c r="AI131" s="55">
        <v>0</v>
      </c>
      <c r="AJ131" s="550">
        <v>0</v>
      </c>
      <c r="AK131" s="590" t="s">
        <v>145</v>
      </c>
      <c r="AL131" s="386">
        <v>4</v>
      </c>
      <c r="AM131" s="361" t="s">
        <v>2750</v>
      </c>
      <c r="AN131" s="342" t="s">
        <v>145</v>
      </c>
      <c r="AO131" s="170">
        <v>0</v>
      </c>
      <c r="AP131" s="369">
        <v>0</v>
      </c>
      <c r="AQ131" s="365" t="s">
        <v>5391</v>
      </c>
      <c r="AR131" s="362" t="s">
        <v>5392</v>
      </c>
      <c r="AS131" s="55">
        <v>1</v>
      </c>
      <c r="AT131" s="370">
        <v>2</v>
      </c>
      <c r="AU131" s="371">
        <v>2011</v>
      </c>
      <c r="AV131" s="370">
        <v>5</v>
      </c>
      <c r="AW131" s="589" t="s">
        <v>145</v>
      </c>
      <c r="AX131" s="687">
        <v>0</v>
      </c>
      <c r="AY131" s="174" t="s">
        <v>4369</v>
      </c>
      <c r="AZ131" s="55">
        <v>2012</v>
      </c>
      <c r="BA131" s="55">
        <v>1</v>
      </c>
      <c r="BB131" s="55">
        <v>2</v>
      </c>
      <c r="BC131" s="174" t="s">
        <v>4370</v>
      </c>
      <c r="BD131" s="55">
        <v>1981</v>
      </c>
      <c r="BE131" s="55">
        <v>1</v>
      </c>
      <c r="BF131" s="371" t="s">
        <v>323</v>
      </c>
      <c r="BG131" s="371">
        <v>0</v>
      </c>
      <c r="BH131" s="56" t="s">
        <v>145</v>
      </c>
      <c r="BI131" s="371">
        <v>2</v>
      </c>
      <c r="BJ131" s="371">
        <v>1</v>
      </c>
      <c r="BK131" s="888">
        <v>6082.0320000000002</v>
      </c>
      <c r="BL131" s="925">
        <f t="shared" ref="BL131:BL162" si="121">BN131/BK131*100</f>
        <v>50.707707555632723</v>
      </c>
      <c r="BM131" s="888">
        <v>2997.973</v>
      </c>
      <c r="BN131" s="920">
        <v>3084.0590000000002</v>
      </c>
      <c r="BO131" s="888">
        <v>605.548</v>
      </c>
      <c r="BP131" s="1158">
        <f t="shared" si="78"/>
        <v>48.896536690733015</v>
      </c>
      <c r="BQ131" s="917">
        <v>309.45600000000002</v>
      </c>
      <c r="BR131" s="920">
        <v>296.09199999999998</v>
      </c>
      <c r="BS131" s="888">
        <v>617.26300000000003</v>
      </c>
      <c r="BT131" s="1158">
        <f t="shared" si="79"/>
        <v>48.622386243789109</v>
      </c>
      <c r="BU131" s="917">
        <v>317.13499999999999</v>
      </c>
      <c r="BV131" s="920">
        <v>300.12799999999999</v>
      </c>
      <c r="BW131" s="888">
        <v>603.88400000000001</v>
      </c>
      <c r="BX131" s="1158">
        <f t="shared" si="80"/>
        <v>48.424863053169155</v>
      </c>
      <c r="BY131" s="917">
        <v>311.45400000000001</v>
      </c>
      <c r="BZ131" s="920">
        <v>292.43</v>
      </c>
      <c r="CA131" s="888">
        <f t="shared" si="81"/>
        <v>4255.3370000000004</v>
      </c>
      <c r="CB131" s="1158">
        <f t="shared" si="82"/>
        <v>51.59189507200017</v>
      </c>
      <c r="CC131" s="917">
        <f t="shared" si="83"/>
        <v>2059.9279999999994</v>
      </c>
      <c r="CD131" s="920">
        <f t="shared" si="84"/>
        <v>2195.4090000000001</v>
      </c>
      <c r="CE131" s="914">
        <v>2015</v>
      </c>
      <c r="CF131" s="910" t="s">
        <v>5630</v>
      </c>
      <c r="CG131" s="930">
        <v>84.7</v>
      </c>
      <c r="CH131" s="504">
        <v>84.7</v>
      </c>
      <c r="CI131" s="1008">
        <v>84.7</v>
      </c>
      <c r="CJ131" s="904" t="s">
        <v>1621</v>
      </c>
      <c r="CK131" s="904" t="s">
        <v>1621</v>
      </c>
      <c r="CL131" s="904" t="s">
        <v>5604</v>
      </c>
      <c r="CM131" s="905" t="s">
        <v>5605</v>
      </c>
      <c r="CN131" s="1044">
        <v>3303.8310000000001</v>
      </c>
      <c r="CO131" s="1045">
        <f t="shared" ref="CO131:CO162" si="122">CN131/BK131*100</f>
        <v>54.321170950761186</v>
      </c>
      <c r="CP131" s="1040">
        <f>IF(OR(CZ131=1,CZ131=10),CN131*(1-BL131/100),IF(DA131=6,CN131*(1-BL131/100),CN131*(1-CB131/100)))</f>
        <v>1628.5340383876639</v>
      </c>
      <c r="CQ131" s="1041">
        <f>IF(OR(CZ131=1,CZ131=10),CN131*BL131/100,IF(DA131=6,CN131*BL131/100,CN131*CB131/100))</f>
        <v>1675.2969616123362</v>
      </c>
      <c r="CR131" s="1046">
        <v>2011</v>
      </c>
      <c r="CS131" s="1047" t="s">
        <v>5969</v>
      </c>
      <c r="CT131" s="1068">
        <f t="shared" ref="CT131:CT162" si="123">V131</f>
        <v>16</v>
      </c>
      <c r="CU131" s="1071">
        <v>16</v>
      </c>
      <c r="CV131" s="1068" t="s">
        <v>5975</v>
      </c>
      <c r="CW131" s="1113">
        <v>3303.8310000000001</v>
      </c>
      <c r="CX131" s="1113">
        <v>3637.2979999999998</v>
      </c>
      <c r="CY131" s="1113">
        <v>5666.3010000000004</v>
      </c>
      <c r="CZ131" s="494">
        <v>1</v>
      </c>
      <c r="DA131" s="1124">
        <v>4</v>
      </c>
      <c r="DB131" s="1050" t="s">
        <v>647</v>
      </c>
      <c r="DC131" s="1146" t="s">
        <v>322</v>
      </c>
      <c r="DD131" s="978">
        <f t="shared" si="91"/>
        <v>1230.9903350000004</v>
      </c>
      <c r="DE131" s="979">
        <f t="shared" ref="DE131:DE162" si="124">DD131/BK131*100</f>
        <v>20.239787212563176</v>
      </c>
      <c r="DF131" s="979">
        <f t="shared" si="92"/>
        <v>53.296558854596022</v>
      </c>
      <c r="DG131" s="980">
        <f t="shared" si="93"/>
        <v>574.91484661233551</v>
      </c>
      <c r="DH131" s="980">
        <f t="shared" si="94"/>
        <v>656.075488387664</v>
      </c>
      <c r="DI131" s="979">
        <f t="shared" ref="DI131:DI162" si="125">DG131/BM131*100</f>
        <v>19.176785335035891</v>
      </c>
      <c r="DJ131" s="981">
        <f t="shared" ref="DJ131:DJ162" si="126">DH131/BN131*100</f>
        <v>21.273117290806173</v>
      </c>
      <c r="DK131" s="984">
        <f t="shared" ref="DK131:DK162" si="127">IF(OR($CZ131=1,$CZ131=10),CA131-CN131,BK131-CN131-DO131-DS131)</f>
        <v>951.50600000000031</v>
      </c>
      <c r="DL131" s="979">
        <f t="shared" si="95"/>
        <v>54.661981993562179</v>
      </c>
      <c r="DM131" s="980">
        <f t="shared" ref="DM131:DM162" si="128">IF(OR($CZ131=1,$CZ131=10),CC131-CP131,BM131-CP131-DQ131-DU131)</f>
        <v>431.39396161233549</v>
      </c>
      <c r="DN131" s="985">
        <f t="shared" ref="DN131:DN162" si="129">IF(OR($CZ131=1,$CZ131=10),CD131-CQ131,BN131-CQ131-DR131-DV131)</f>
        <v>520.11203838766392</v>
      </c>
      <c r="DO131" s="984">
        <f t="shared" ref="DO131:DO162" si="130">BS131*(1-$CG131/100)+BW131*(1-$CG131/100)</f>
        <v>186.83549100000005</v>
      </c>
      <c r="DP131" s="979">
        <f t="shared" si="96"/>
        <v>48.524706689694199</v>
      </c>
      <c r="DQ131" s="980">
        <f t="shared" si="85"/>
        <v>96.174117000000024</v>
      </c>
      <c r="DR131" s="985">
        <f t="shared" si="86"/>
        <v>90.661374000000023</v>
      </c>
      <c r="DS131" s="984">
        <f t="shared" ref="DS131:DS162" si="131">BO131*(1-$CG131/100)</f>
        <v>92.648844000000011</v>
      </c>
      <c r="DT131" s="339">
        <f t="shared" si="97"/>
        <v>48.896536690733022</v>
      </c>
      <c r="DU131" s="980">
        <f t="shared" si="87"/>
        <v>47.346768000000012</v>
      </c>
      <c r="DV131" s="985">
        <f t="shared" si="88"/>
        <v>45.302076000000007</v>
      </c>
      <c r="DW131" s="979">
        <f t="shared" si="89"/>
        <v>15.300000000000002</v>
      </c>
      <c r="DX131" s="981">
        <f t="shared" si="90"/>
        <v>15.300000000000002</v>
      </c>
      <c r="DY131" s="414">
        <v>11.9</v>
      </c>
      <c r="DZ131" s="111">
        <v>2005</v>
      </c>
      <c r="EA131" s="118">
        <v>698.51322100000004</v>
      </c>
      <c r="EB131" s="123">
        <v>42.5</v>
      </c>
      <c r="EC131" s="113">
        <v>2009</v>
      </c>
      <c r="ED131" s="20">
        <v>2494.690075</v>
      </c>
      <c r="EE131" s="414">
        <v>42.5</v>
      </c>
      <c r="EF131" s="121">
        <v>2009</v>
      </c>
      <c r="EG131" s="380">
        <v>78.002983093261705</v>
      </c>
      <c r="EH131" s="24" t="s">
        <v>358</v>
      </c>
      <c r="EI131" s="288">
        <v>3</v>
      </c>
      <c r="EJ131" s="40" t="s">
        <v>145</v>
      </c>
      <c r="EK131" s="35" t="s">
        <v>145</v>
      </c>
      <c r="EL131" s="95" t="s">
        <v>145</v>
      </c>
      <c r="EM131" s="95" t="s">
        <v>145</v>
      </c>
      <c r="EN131" s="35" t="s">
        <v>145</v>
      </c>
      <c r="EO131" s="95" t="s">
        <v>145</v>
      </c>
      <c r="EP131" s="205" t="s">
        <v>145</v>
      </c>
      <c r="EQ131" s="207" t="s">
        <v>145</v>
      </c>
      <c r="ER131" s="517">
        <v>1</v>
      </c>
      <c r="ES131" s="183" t="s">
        <v>145</v>
      </c>
      <c r="ET131" s="183" t="s">
        <v>145</v>
      </c>
      <c r="EU131" s="82" t="s">
        <v>145</v>
      </c>
      <c r="EV131" s="82" t="s">
        <v>145</v>
      </c>
      <c r="EW131" s="82" t="s">
        <v>3800</v>
      </c>
      <c r="EX131" s="360" t="s">
        <v>145</v>
      </c>
      <c r="EY131" s="159">
        <v>5142098</v>
      </c>
      <c r="EZ131" s="156">
        <v>2005</v>
      </c>
      <c r="FA131" s="323">
        <v>55.9</v>
      </c>
      <c r="FB131" s="323">
        <v>44.1</v>
      </c>
      <c r="FC131" s="323">
        <v>67.8</v>
      </c>
      <c r="FD131" s="231" t="s">
        <v>1777</v>
      </c>
      <c r="FE131" s="156">
        <v>78</v>
      </c>
      <c r="FF131" s="156" t="s">
        <v>1673</v>
      </c>
      <c r="FG131" s="156">
        <v>31.7</v>
      </c>
      <c r="FH131" s="157" t="s">
        <v>318</v>
      </c>
      <c r="FI131" s="242">
        <v>2</v>
      </c>
      <c r="FJ131" s="373" t="s">
        <v>1835</v>
      </c>
      <c r="FK131" s="179" t="s">
        <v>145</v>
      </c>
      <c r="FL131" s="236" t="s">
        <v>1817</v>
      </c>
      <c r="FM131" s="179" t="s">
        <v>1822</v>
      </c>
      <c r="FN131" s="369" t="s">
        <v>145</v>
      </c>
      <c r="FO131" s="165" t="s">
        <v>1752</v>
      </c>
      <c r="FP131" s="255">
        <v>1</v>
      </c>
      <c r="FQ131" s="183" t="s">
        <v>1612</v>
      </c>
      <c r="FR131" s="257"/>
      <c r="FS131" s="82"/>
      <c r="FT131" s="259"/>
      <c r="FU131" s="82"/>
      <c r="FV131" s="259"/>
      <c r="FW131" s="82"/>
      <c r="FX131" s="259"/>
      <c r="FY131" s="82"/>
      <c r="FZ131" s="259"/>
      <c r="GA131" s="82"/>
      <c r="GB131" s="261"/>
      <c r="GC131" s="90"/>
      <c r="GD131" s="76">
        <v>1</v>
      </c>
      <c r="GE131" s="445" t="s">
        <v>3424</v>
      </c>
      <c r="GF131" s="447" t="s">
        <v>590</v>
      </c>
      <c r="GG131" s="448">
        <v>4</v>
      </c>
      <c r="GH131" s="449">
        <v>3</v>
      </c>
      <c r="GI131" s="447" t="s">
        <v>145</v>
      </c>
      <c r="GJ131" s="449" t="s">
        <v>145</v>
      </c>
      <c r="GK131" s="447" t="s">
        <v>145</v>
      </c>
      <c r="GL131" s="448" t="s">
        <v>145</v>
      </c>
      <c r="GM131" s="449" t="s">
        <v>145</v>
      </c>
      <c r="GN131" s="447" t="s">
        <v>590</v>
      </c>
      <c r="GO131" s="449">
        <v>52</v>
      </c>
      <c r="GP131" s="447">
        <v>14</v>
      </c>
      <c r="GQ131" s="448">
        <v>21</v>
      </c>
      <c r="GR131" s="449">
        <v>17</v>
      </c>
      <c r="GS131" s="446">
        <v>9</v>
      </c>
      <c r="GT131" s="461">
        <v>-0.44775918126106262</v>
      </c>
      <c r="GU131" s="462">
        <v>-0.24700011312961578</v>
      </c>
      <c r="GV131" s="462">
        <v>-0.81650745868682861</v>
      </c>
      <c r="GW131" s="462">
        <v>-0.30476102232933044</v>
      </c>
      <c r="GX131" s="462">
        <v>-0.64647763967514038</v>
      </c>
      <c r="GY131" s="463">
        <v>-0.73106354475021362</v>
      </c>
      <c r="GZ131" s="10">
        <v>147</v>
      </c>
      <c r="HA131" s="536">
        <v>0.27584999999999998</v>
      </c>
      <c r="HB131" s="536">
        <v>9.8030000000000006E-2</v>
      </c>
      <c r="HC131" s="525">
        <v>9.4479999999999995E-2</v>
      </c>
      <c r="HD131" s="526">
        <v>0.16924</v>
      </c>
      <c r="HE131" s="527">
        <v>0.56389999999999996</v>
      </c>
      <c r="HF131" s="10">
        <v>120</v>
      </c>
      <c r="HG131" s="532">
        <v>2.96</v>
      </c>
      <c r="HH131" s="545">
        <v>3.98</v>
      </c>
      <c r="HI131" s="546">
        <v>0.68</v>
      </c>
      <c r="HJ131" s="547">
        <v>5.49</v>
      </c>
      <c r="HK131" s="558" t="s">
        <v>4040</v>
      </c>
      <c r="HL131" s="585" t="s">
        <v>4808</v>
      </c>
      <c r="HM131" s="557">
        <v>2012</v>
      </c>
      <c r="HN131" s="557" t="s">
        <v>145</v>
      </c>
      <c r="HO131" s="557" t="s">
        <v>145</v>
      </c>
      <c r="HP131" s="562" t="s">
        <v>4099</v>
      </c>
      <c r="HQ131" s="639" t="s">
        <v>4872</v>
      </c>
      <c r="HR131" s="563" t="s">
        <v>145</v>
      </c>
      <c r="HS131" s="545">
        <v>15</v>
      </c>
      <c r="HT131" s="557">
        <v>111</v>
      </c>
      <c r="HU131" s="557">
        <v>2007</v>
      </c>
      <c r="HV131" s="583" t="s">
        <v>4226</v>
      </c>
      <c r="HW131" s="557">
        <v>4</v>
      </c>
      <c r="HX131" s="557">
        <v>30</v>
      </c>
      <c r="HY131" s="557">
        <v>18</v>
      </c>
      <c r="HZ131" s="557">
        <v>27</v>
      </c>
      <c r="IA131" s="557">
        <v>14</v>
      </c>
      <c r="IB131" s="557">
        <v>3</v>
      </c>
      <c r="IC131" s="547">
        <v>15</v>
      </c>
      <c r="ID131" s="660"/>
      <c r="IE131" s="550"/>
      <c r="IF131" s="550"/>
      <c r="IG131" s="553"/>
      <c r="IH131" s="339"/>
      <c r="II131" s="553" t="s">
        <v>4921</v>
      </c>
      <c r="IJ131" s="424" t="s">
        <v>4918</v>
      </c>
      <c r="IK131" s="24">
        <v>0</v>
      </c>
      <c r="IL131" s="749">
        <f t="shared" ref="IL131:IL162" si="132">L131+T131+U131+AF131+(IF(AG131="2B",2,IF(AG131="3B",3,IF(AG131="4B",4,AG131))))+AS131+BA131+BB131+BE131+BG131+BI131+BJ131</f>
        <v>17</v>
      </c>
      <c r="IM131" s="747">
        <f t="shared" ref="IM131:IM162" si="133">IL131/25*100</f>
        <v>68</v>
      </c>
      <c r="IN131" s="750" t="str">
        <f t="shared" ref="IN131:IN162" si="134">IF(IM131&lt;25,"D",IF(IM131&lt;50,"C",IF(IM131&lt;75,"B","A")))</f>
        <v>B</v>
      </c>
      <c r="IO131" s="446"/>
      <c r="IP131" s="902">
        <v>4</v>
      </c>
      <c r="IQ131" s="903">
        <v>0</v>
      </c>
      <c r="IR131" s="993">
        <v>1</v>
      </c>
      <c r="IT131" s="435"/>
      <c r="IU131" s="435"/>
      <c r="IV131" s="435"/>
    </row>
    <row r="132" spans="1:256">
      <c r="A132" s="71">
        <v>130</v>
      </c>
      <c r="B132" s="9"/>
      <c r="C132" s="430" t="s">
        <v>203</v>
      </c>
      <c r="D132" s="423" t="s">
        <v>406</v>
      </c>
      <c r="E132" s="24" t="s">
        <v>9</v>
      </c>
      <c r="F132" s="76" t="s">
        <v>866</v>
      </c>
      <c r="G132" s="102" t="s">
        <v>579</v>
      </c>
      <c r="H132" s="375" t="s">
        <v>2406</v>
      </c>
      <c r="I132" s="95" t="s">
        <v>2407</v>
      </c>
      <c r="J132" s="176">
        <v>2</v>
      </c>
      <c r="K132" s="88">
        <v>1960</v>
      </c>
      <c r="L132" s="371">
        <v>2</v>
      </c>
      <c r="M132" s="240" t="s">
        <v>2129</v>
      </c>
      <c r="N132" s="172" t="s">
        <v>1822</v>
      </c>
      <c r="O132" s="365" t="s">
        <v>3296</v>
      </c>
      <c r="P132" s="362" t="s">
        <v>2798</v>
      </c>
      <c r="Q132" s="176">
        <v>2</v>
      </c>
      <c r="R132" s="176">
        <v>1999</v>
      </c>
      <c r="S132" s="234" t="s">
        <v>1961</v>
      </c>
      <c r="T132" s="176">
        <v>1</v>
      </c>
      <c r="U132" s="176">
        <v>2</v>
      </c>
      <c r="V132" s="176">
        <v>18</v>
      </c>
      <c r="W132" s="369" t="s">
        <v>1822</v>
      </c>
      <c r="X132" s="170">
        <v>0</v>
      </c>
      <c r="Y132" s="369">
        <v>0</v>
      </c>
      <c r="Z132" s="271"/>
      <c r="AA132" s="169"/>
      <c r="AB132" s="177"/>
      <c r="AC132" s="171"/>
      <c r="AD132" s="376" t="s">
        <v>145</v>
      </c>
      <c r="AE132" s="355" t="s">
        <v>145</v>
      </c>
      <c r="AF132" s="357">
        <v>0</v>
      </c>
      <c r="AG132" s="550">
        <v>1</v>
      </c>
      <c r="AH132" s="355" t="s">
        <v>145</v>
      </c>
      <c r="AI132" s="550" t="s">
        <v>145</v>
      </c>
      <c r="AJ132" s="550" t="s">
        <v>145</v>
      </c>
      <c r="AK132" s="590" t="s">
        <v>145</v>
      </c>
      <c r="AL132" s="357">
        <v>0</v>
      </c>
      <c r="AM132" s="360" t="s">
        <v>145</v>
      </c>
      <c r="AN132" s="384" t="s">
        <v>145</v>
      </c>
      <c r="AO132" s="170">
        <v>0</v>
      </c>
      <c r="AP132" s="172">
        <v>0</v>
      </c>
      <c r="AQ132" s="365" t="s">
        <v>5393</v>
      </c>
      <c r="AR132" s="362" t="s">
        <v>5394</v>
      </c>
      <c r="AS132" s="55">
        <v>1</v>
      </c>
      <c r="AT132" s="370">
        <v>2</v>
      </c>
      <c r="AU132" s="371">
        <v>2006</v>
      </c>
      <c r="AV132" s="370">
        <v>3</v>
      </c>
      <c r="AW132" s="589" t="s">
        <v>145</v>
      </c>
      <c r="AX132" s="687">
        <v>0</v>
      </c>
      <c r="AY132" s="174" t="s">
        <v>4371</v>
      </c>
      <c r="AZ132" s="55">
        <v>2008</v>
      </c>
      <c r="BA132" s="55">
        <v>1</v>
      </c>
      <c r="BB132" s="55">
        <v>1</v>
      </c>
      <c r="BC132" s="174" t="s">
        <v>4449</v>
      </c>
      <c r="BD132" s="55">
        <v>2008</v>
      </c>
      <c r="BE132" s="55">
        <v>0</v>
      </c>
      <c r="BF132" s="371" t="s">
        <v>145</v>
      </c>
      <c r="BG132" s="371">
        <v>0</v>
      </c>
      <c r="BH132" s="56" t="s">
        <v>145</v>
      </c>
      <c r="BI132" s="371">
        <v>1</v>
      </c>
      <c r="BJ132" s="371">
        <v>1</v>
      </c>
      <c r="BK132" s="888">
        <v>19899.12</v>
      </c>
      <c r="BL132" s="925">
        <f t="shared" si="121"/>
        <v>49.600007437514826</v>
      </c>
      <c r="BM132" s="888">
        <v>10029.155000000001</v>
      </c>
      <c r="BN132" s="920">
        <v>9869.9650000000001</v>
      </c>
      <c r="BO132" s="888">
        <v>4144.7550000000001</v>
      </c>
      <c r="BP132" s="1158">
        <f t="shared" ref="BP132:BP195" si="135">BR132/BO132*100</f>
        <v>49.007818314954683</v>
      </c>
      <c r="BQ132" s="917">
        <v>2113.5010000000002</v>
      </c>
      <c r="BR132" s="920">
        <v>2031.2539999999999</v>
      </c>
      <c r="BS132" s="888">
        <v>3280.3890000000001</v>
      </c>
      <c r="BT132" s="1158">
        <f t="shared" ref="BT132:BT195" si="136">BV132/BS132*100</f>
        <v>48.876794794763669</v>
      </c>
      <c r="BU132" s="917">
        <v>1677.04</v>
      </c>
      <c r="BV132" s="920">
        <v>1603.3489999999999</v>
      </c>
      <c r="BW132" s="888">
        <v>2617.0619999999999</v>
      </c>
      <c r="BX132" s="1158">
        <f t="shared" ref="BX132:BX195" si="137">BZ132/BW132*100</f>
        <v>48.885582382075782</v>
      </c>
      <c r="BY132" s="917">
        <v>1337.6959999999999</v>
      </c>
      <c r="BZ132" s="920">
        <v>1279.366</v>
      </c>
      <c r="CA132" s="888">
        <f t="shared" ref="CA132:CA195" si="138">BK132-BO132-BS132-BW132</f>
        <v>9856.9139999999989</v>
      </c>
      <c r="CB132" s="1158">
        <f t="shared" ref="CB132:CB195" si="139">CD132/CA132*100</f>
        <v>50.279387646072607</v>
      </c>
      <c r="CC132" s="917">
        <f t="shared" ref="CC132:CC195" si="140">BM132-BQ132-BU132-BY132</f>
        <v>4900.9180000000006</v>
      </c>
      <c r="CD132" s="920">
        <f t="shared" ref="CD132:CD195" si="141">BN132-BR132-BV132-BZ132</f>
        <v>4955.9960000000001</v>
      </c>
      <c r="CE132" s="914">
        <v>2015</v>
      </c>
      <c r="CF132" s="910" t="s">
        <v>5630</v>
      </c>
      <c r="CG132" s="1026">
        <v>63.9</v>
      </c>
      <c r="CH132" s="495">
        <v>65.400000000000006</v>
      </c>
      <c r="CI132" s="497">
        <v>62.3</v>
      </c>
      <c r="CJ132" s="904">
        <v>91.7</v>
      </c>
      <c r="CK132" s="904">
        <v>59.7</v>
      </c>
      <c r="CL132" s="904">
        <v>2012</v>
      </c>
      <c r="CM132" s="905" t="s">
        <v>5575</v>
      </c>
      <c r="CN132" s="1044">
        <v>6740.4930000000004</v>
      </c>
      <c r="CO132" s="1045">
        <f t="shared" si="122"/>
        <v>33.873322036351361</v>
      </c>
      <c r="CP132" s="1040">
        <f>IF(OR(CZ132=1,CZ132=10),CN132*(1-BL132/100),IF(DA132=6,CN132*(1-BL132/100),CN132*(1-CB132/100)))</f>
        <v>3397.2079706748341</v>
      </c>
      <c r="CQ132" s="1041">
        <f>IF(OR(CZ132=1,CZ132=10),CN132*BL132/100,IF(DA132=6,CN132*BL132/100,CN132*CB132/100))</f>
        <v>3343.2850293251663</v>
      </c>
      <c r="CR132" s="1046">
        <v>2011</v>
      </c>
      <c r="CS132" s="1047" t="s">
        <v>5970</v>
      </c>
      <c r="CT132" s="1068">
        <f t="shared" si="123"/>
        <v>18</v>
      </c>
      <c r="CU132" s="1071">
        <v>18</v>
      </c>
      <c r="CV132" s="1068" t="s">
        <v>5976</v>
      </c>
      <c r="CW132" s="1113">
        <v>6740.4930000000004</v>
      </c>
      <c r="CX132" s="1113">
        <v>7270.2709999999997</v>
      </c>
      <c r="CY132" s="1113">
        <v>16468.885999999999</v>
      </c>
      <c r="CZ132" s="494">
        <v>1</v>
      </c>
      <c r="DA132" s="1124">
        <v>4</v>
      </c>
      <c r="DB132" s="1050" t="s">
        <v>647</v>
      </c>
      <c r="DC132" s="1143" t="s">
        <v>320</v>
      </c>
      <c r="DD132" s="978">
        <f t="shared" si="91"/>
        <v>6741.6573659999985</v>
      </c>
      <c r="DE132" s="979">
        <f t="shared" si="124"/>
        <v>33.879173380531398</v>
      </c>
      <c r="DF132" s="979">
        <f t="shared" si="92"/>
        <v>51.400970051536056</v>
      </c>
      <c r="DG132" s="980">
        <f t="shared" si="93"/>
        <v>3278.0800313251661</v>
      </c>
      <c r="DH132" s="980">
        <f t="shared" si="94"/>
        <v>3465.2772836748336</v>
      </c>
      <c r="DI132" s="979">
        <f t="shared" si="125"/>
        <v>32.685505721321142</v>
      </c>
      <c r="DJ132" s="981">
        <f t="shared" si="126"/>
        <v>35.109316838254578</v>
      </c>
      <c r="DK132" s="984">
        <f t="shared" si="127"/>
        <v>3116.4209999999985</v>
      </c>
      <c r="DL132" s="979">
        <f t="shared" si="95"/>
        <v>51.748816051324084</v>
      </c>
      <c r="DM132" s="980">
        <f t="shared" si="128"/>
        <v>1503.7100293251665</v>
      </c>
      <c r="DN132" s="985">
        <f t="shared" si="129"/>
        <v>1612.7109706748338</v>
      </c>
      <c r="DO132" s="984">
        <f t="shared" si="130"/>
        <v>2128.9798110000002</v>
      </c>
      <c r="DP132" s="979">
        <f t="shared" si="96"/>
        <v>51.04715175713801</v>
      </c>
      <c r="DQ132" s="980">
        <f t="shared" ref="DQ132:DQ195" si="142">BU132*(1-$CH132/100)+BY132*(1-$CH132/100)</f>
        <v>1043.0986559999999</v>
      </c>
      <c r="DR132" s="985">
        <f t="shared" ref="DR132:DR195" si="143">BV132*(1-$CI132/100)+BZ132*(1-$CI132/100)</f>
        <v>1086.783555</v>
      </c>
      <c r="DS132" s="984">
        <f t="shared" si="131"/>
        <v>1496.2565549999999</v>
      </c>
      <c r="DT132" s="339">
        <f t="shared" si="97"/>
        <v>51.179909985423592</v>
      </c>
      <c r="DU132" s="980">
        <f t="shared" ref="DU132:DU195" si="144">BQ132*(1-$CH132/100)</f>
        <v>731.27134599999999</v>
      </c>
      <c r="DV132" s="985">
        <f t="shared" ref="DV132:DV195" si="145">BR132*(1-$CI132/100)</f>
        <v>765.78275799999994</v>
      </c>
      <c r="DW132" s="979">
        <f t="shared" ref="DW132:DW195" si="146">DU132/BQ132*100</f>
        <v>34.599999999999994</v>
      </c>
      <c r="DX132" s="981">
        <f t="shared" ref="DX132:DX195" si="147">DV132/BR132*100</f>
        <v>37.700000000000003</v>
      </c>
      <c r="DY132" s="414">
        <v>43.62</v>
      </c>
      <c r="DZ132" s="111">
        <v>2008</v>
      </c>
      <c r="EA132" s="118">
        <v>7006.081384000001</v>
      </c>
      <c r="EB132" s="123">
        <v>59.5</v>
      </c>
      <c r="EC132" s="113">
        <v>2007</v>
      </c>
      <c r="ED132" s="20">
        <v>9561.0514299999995</v>
      </c>
      <c r="EE132" s="414">
        <v>63</v>
      </c>
      <c r="EF132" s="111">
        <v>1993</v>
      </c>
      <c r="EG132" s="380">
        <v>15.4566974639893</v>
      </c>
      <c r="EH132" s="24" t="s">
        <v>372</v>
      </c>
      <c r="EI132" s="287">
        <v>1</v>
      </c>
      <c r="EJ132" s="40">
        <v>3</v>
      </c>
      <c r="EK132" s="35" t="s">
        <v>145</v>
      </c>
      <c r="EL132" s="95" t="s">
        <v>145</v>
      </c>
      <c r="EM132" s="95" t="s">
        <v>145</v>
      </c>
      <c r="EN132" s="35" t="s">
        <v>145</v>
      </c>
      <c r="EO132" s="95" t="s">
        <v>1646</v>
      </c>
      <c r="EP132" s="205">
        <v>0.32</v>
      </c>
      <c r="EQ132" s="207" t="s">
        <v>145</v>
      </c>
      <c r="ER132" s="517" t="s">
        <v>145</v>
      </c>
      <c r="ES132" s="183"/>
      <c r="ET132" s="183"/>
      <c r="EU132" s="82"/>
      <c r="EV132" s="82"/>
      <c r="EW132" s="82"/>
      <c r="EX132" s="90"/>
      <c r="EY132" s="159"/>
      <c r="EZ132" s="156"/>
      <c r="FA132" s="323"/>
      <c r="FB132" s="323"/>
      <c r="FC132" s="323"/>
      <c r="FD132" s="160"/>
      <c r="FE132" s="156"/>
      <c r="FF132" s="156"/>
      <c r="FG132" s="156"/>
      <c r="FH132" s="157"/>
      <c r="FI132" s="242"/>
      <c r="FJ132" s="240"/>
      <c r="FK132" s="179"/>
      <c r="FL132" s="179"/>
      <c r="FM132" s="179"/>
      <c r="FN132" s="369"/>
      <c r="FO132" s="164"/>
      <c r="FP132" s="255"/>
      <c r="FQ132" s="183"/>
      <c r="FR132" s="257"/>
      <c r="FS132" s="82"/>
      <c r="FT132" s="259"/>
      <c r="FU132" s="82"/>
      <c r="FV132" s="259"/>
      <c r="FW132" s="82"/>
      <c r="FX132" s="259"/>
      <c r="FY132" s="82"/>
      <c r="FZ132" s="259"/>
      <c r="GA132" s="82"/>
      <c r="GB132" s="261"/>
      <c r="GC132" s="90"/>
      <c r="GD132" s="76">
        <v>3</v>
      </c>
      <c r="GE132" s="445" t="s">
        <v>3435</v>
      </c>
      <c r="GF132" s="447" t="s">
        <v>590</v>
      </c>
      <c r="GG132" s="448">
        <v>3</v>
      </c>
      <c r="GH132" s="449">
        <v>4</v>
      </c>
      <c r="GI132" s="447" t="s">
        <v>145</v>
      </c>
      <c r="GJ132" s="449" t="s">
        <v>145</v>
      </c>
      <c r="GK132" s="447" t="s">
        <v>145</v>
      </c>
      <c r="GL132" s="448" t="s">
        <v>145</v>
      </c>
      <c r="GM132" s="449" t="s">
        <v>145</v>
      </c>
      <c r="GN132" s="447" t="s">
        <v>590</v>
      </c>
      <c r="GO132" s="449">
        <v>52</v>
      </c>
      <c r="GP132" s="447">
        <v>15</v>
      </c>
      <c r="GQ132" s="448">
        <v>20</v>
      </c>
      <c r="GR132" s="449">
        <v>17</v>
      </c>
      <c r="GS132" s="446">
        <v>8</v>
      </c>
      <c r="GT132" s="461">
        <v>-0.35532829165458679</v>
      </c>
      <c r="GU132" s="462">
        <v>-1.2963707447052002</v>
      </c>
      <c r="GV132" s="462">
        <v>-0.7070775032043457</v>
      </c>
      <c r="GW132" s="462">
        <v>-0.60919606685638428</v>
      </c>
      <c r="GX132" s="462">
        <v>-0.7452852725982666</v>
      </c>
      <c r="GY132" s="463">
        <v>-0.57010990381240845</v>
      </c>
      <c r="GZ132" s="10">
        <v>191</v>
      </c>
      <c r="HA132" s="536">
        <v>9.4560000000000005E-2</v>
      </c>
      <c r="HB132" s="536">
        <v>0.23529</v>
      </c>
      <c r="HC132" s="525">
        <v>0.12598000000000001</v>
      </c>
      <c r="HD132" s="526">
        <v>3.8510000000000003E-2</v>
      </c>
      <c r="HE132" s="527">
        <v>0.1192</v>
      </c>
      <c r="HF132" s="10">
        <v>165</v>
      </c>
      <c r="HG132" s="532">
        <v>1.03</v>
      </c>
      <c r="HH132" s="545">
        <v>1.95</v>
      </c>
      <c r="HI132" s="546">
        <v>0.09</v>
      </c>
      <c r="HJ132" s="547">
        <v>1.1000000000000001</v>
      </c>
      <c r="HK132" s="558" t="s">
        <v>4100</v>
      </c>
      <c r="HL132" s="23" t="s">
        <v>4893</v>
      </c>
      <c r="HM132" s="448">
        <v>2011</v>
      </c>
      <c r="HN132" s="809">
        <v>2013</v>
      </c>
      <c r="HO132" s="448" t="s">
        <v>3985</v>
      </c>
      <c r="HP132" s="560" t="s">
        <v>145</v>
      </c>
      <c r="HQ132" s="560" t="s">
        <v>145</v>
      </c>
      <c r="HR132" s="561" t="s">
        <v>145</v>
      </c>
      <c r="HS132" s="447">
        <v>66</v>
      </c>
      <c r="HT132" s="448">
        <v>74</v>
      </c>
      <c r="HU132" s="448">
        <v>2011</v>
      </c>
      <c r="HV132" s="580" t="s">
        <v>4227</v>
      </c>
      <c r="HW132" s="448">
        <v>0</v>
      </c>
      <c r="HX132" s="448">
        <v>19</v>
      </c>
      <c r="HY132" s="448">
        <v>13</v>
      </c>
      <c r="HZ132" s="448">
        <v>13</v>
      </c>
      <c r="IA132" s="448">
        <v>17</v>
      </c>
      <c r="IB132" s="448">
        <v>6</v>
      </c>
      <c r="IC132" s="449">
        <v>6</v>
      </c>
      <c r="ID132" s="40"/>
      <c r="IE132" s="550"/>
      <c r="IF132" s="550"/>
      <c r="IG132" s="553"/>
      <c r="IH132" s="115"/>
      <c r="II132" s="647" t="s">
        <v>4921</v>
      </c>
      <c r="IJ132" s="423" t="s">
        <v>4918</v>
      </c>
      <c r="IK132" s="10">
        <v>0</v>
      </c>
      <c r="IL132" s="749">
        <f t="shared" si="132"/>
        <v>11</v>
      </c>
      <c r="IM132" s="747">
        <f t="shared" si="133"/>
        <v>44</v>
      </c>
      <c r="IN132" s="750" t="str">
        <f t="shared" si="134"/>
        <v>C</v>
      </c>
      <c r="IO132" s="446">
        <v>1</v>
      </c>
      <c r="IP132" s="902">
        <v>4</v>
      </c>
      <c r="IQ132" s="903">
        <v>0</v>
      </c>
      <c r="IR132" s="993">
        <v>0</v>
      </c>
      <c r="IT132" s="435"/>
      <c r="IU132" s="435"/>
      <c r="IV132" s="435"/>
    </row>
    <row r="133" spans="1:256">
      <c r="A133" s="71">
        <v>131</v>
      </c>
      <c r="B133" s="9"/>
      <c r="C133" s="430" t="s">
        <v>204</v>
      </c>
      <c r="D133" s="423" t="s">
        <v>406</v>
      </c>
      <c r="E133" s="24" t="s">
        <v>20</v>
      </c>
      <c r="F133" s="76" t="s">
        <v>867</v>
      </c>
      <c r="G133" s="102" t="s">
        <v>581</v>
      </c>
      <c r="H133" s="375" t="s">
        <v>2404</v>
      </c>
      <c r="I133" s="95" t="s">
        <v>2405</v>
      </c>
      <c r="J133" s="370">
        <v>6</v>
      </c>
      <c r="K133" s="88">
        <v>1867</v>
      </c>
      <c r="L133" s="371">
        <v>2</v>
      </c>
      <c r="M133" s="373" t="s">
        <v>1816</v>
      </c>
      <c r="N133" s="369" t="s">
        <v>1822</v>
      </c>
      <c r="O133" s="365" t="s">
        <v>2867</v>
      </c>
      <c r="P133" s="362" t="s">
        <v>3297</v>
      </c>
      <c r="Q133" s="370">
        <v>6</v>
      </c>
      <c r="R133" s="370">
        <v>2007</v>
      </c>
      <c r="S133" s="372" t="s">
        <v>1961</v>
      </c>
      <c r="T133" s="370">
        <v>1</v>
      </c>
      <c r="U133" s="370">
        <v>2</v>
      </c>
      <c r="V133" s="370">
        <v>16</v>
      </c>
      <c r="W133" s="369" t="s">
        <v>1822</v>
      </c>
      <c r="X133" s="170">
        <v>1</v>
      </c>
      <c r="Y133" s="369">
        <v>1</v>
      </c>
      <c r="Z133" s="271"/>
      <c r="AA133" s="169">
        <v>1</v>
      </c>
      <c r="AB133" s="177">
        <v>1</v>
      </c>
      <c r="AC133" s="171"/>
      <c r="AD133" s="365" t="s">
        <v>2867</v>
      </c>
      <c r="AE133" s="357">
        <v>2014</v>
      </c>
      <c r="AF133" s="804">
        <v>3</v>
      </c>
      <c r="AG133" s="550" t="s">
        <v>5171</v>
      </c>
      <c r="AH133" s="355" t="s">
        <v>2940</v>
      </c>
      <c r="AI133" s="55">
        <v>1</v>
      </c>
      <c r="AJ133" s="55">
        <v>1</v>
      </c>
      <c r="AK133" s="590">
        <v>100000</v>
      </c>
      <c r="AL133" s="386">
        <v>9</v>
      </c>
      <c r="AM133" s="361" t="s">
        <v>3298</v>
      </c>
      <c r="AN133" s="342" t="s">
        <v>145</v>
      </c>
      <c r="AO133" s="170">
        <v>1</v>
      </c>
      <c r="AP133" s="369">
        <v>1</v>
      </c>
      <c r="AQ133" s="365" t="s">
        <v>5281</v>
      </c>
      <c r="AR133" s="378" t="s">
        <v>5282</v>
      </c>
      <c r="AS133" s="55">
        <v>2</v>
      </c>
      <c r="AT133" s="370">
        <v>2</v>
      </c>
      <c r="AU133" s="371">
        <v>2007</v>
      </c>
      <c r="AV133" s="370">
        <v>5</v>
      </c>
      <c r="AW133" s="589">
        <v>5000</v>
      </c>
      <c r="AX133" s="687">
        <v>1</v>
      </c>
      <c r="AY133" s="174" t="s">
        <v>2175</v>
      </c>
      <c r="AZ133" s="55">
        <v>1990</v>
      </c>
      <c r="BA133" s="55">
        <v>1</v>
      </c>
      <c r="BB133" s="55">
        <v>2</v>
      </c>
      <c r="BC133" s="174" t="s">
        <v>4372</v>
      </c>
      <c r="BD133" s="55">
        <v>2011</v>
      </c>
      <c r="BE133" s="55">
        <v>1</v>
      </c>
      <c r="BF133" s="367" t="s">
        <v>323</v>
      </c>
      <c r="BG133" s="367">
        <v>0</v>
      </c>
      <c r="BH133" s="56" t="s">
        <v>145</v>
      </c>
      <c r="BI133" s="367">
        <v>1</v>
      </c>
      <c r="BJ133" s="367">
        <v>1</v>
      </c>
      <c r="BK133" s="888">
        <v>182201.962</v>
      </c>
      <c r="BL133" s="925">
        <f t="shared" si="121"/>
        <v>49.073572544734731</v>
      </c>
      <c r="BM133" s="888">
        <v>92788.95</v>
      </c>
      <c r="BN133" s="920">
        <v>89413.012000000002</v>
      </c>
      <c r="BO133" s="888">
        <v>31109.162</v>
      </c>
      <c r="BP133" s="1158">
        <f t="shared" si="135"/>
        <v>48.776517991709326</v>
      </c>
      <c r="BQ133" s="917">
        <v>15935.196</v>
      </c>
      <c r="BR133" s="920">
        <v>15173.966</v>
      </c>
      <c r="BS133" s="888">
        <v>26487.539000000001</v>
      </c>
      <c r="BT133" s="1158">
        <f t="shared" si="136"/>
        <v>48.791516644864593</v>
      </c>
      <c r="BU133" s="917">
        <v>13563.867</v>
      </c>
      <c r="BV133" s="920">
        <v>12923.672</v>
      </c>
      <c r="BW133" s="888">
        <v>22552.423999999999</v>
      </c>
      <c r="BX133" s="1158">
        <f t="shared" si="137"/>
        <v>48.720541082413135</v>
      </c>
      <c r="BY133" s="917">
        <v>11564.761</v>
      </c>
      <c r="BZ133" s="920">
        <v>10987.663</v>
      </c>
      <c r="CA133" s="888">
        <f t="shared" si="138"/>
        <v>102052.83699999998</v>
      </c>
      <c r="CB133" s="1158">
        <f t="shared" si="139"/>
        <v>49.315347303867711</v>
      </c>
      <c r="CC133" s="917">
        <f t="shared" si="140"/>
        <v>51725.126000000004</v>
      </c>
      <c r="CD133" s="920">
        <f t="shared" si="141"/>
        <v>50327.711000000003</v>
      </c>
      <c r="CE133" s="914">
        <v>2015</v>
      </c>
      <c r="CF133" s="910" t="s">
        <v>5630</v>
      </c>
      <c r="CG133" s="1026">
        <v>29.8</v>
      </c>
      <c r="CH133" s="495">
        <v>29.9</v>
      </c>
      <c r="CI133" s="497">
        <v>29.8</v>
      </c>
      <c r="CJ133" s="904">
        <v>49.8</v>
      </c>
      <c r="CK133" s="904">
        <v>18.600000000000001</v>
      </c>
      <c r="CL133" s="904">
        <v>2013</v>
      </c>
      <c r="CM133" s="905" t="s">
        <v>5575</v>
      </c>
      <c r="CN133" s="1044">
        <v>67422.005000000005</v>
      </c>
      <c r="CO133" s="1045">
        <f t="shared" si="122"/>
        <v>37.00399505028382</v>
      </c>
      <c r="CP133" s="1040">
        <f>IF(OR(CZ133=1,CZ133=10),CN133*(1-BL133/100),IF(DA133=6,CN133*(1-BL133/100),CN133*(1-CB133/100)))</f>
        <v>34335.618465210333</v>
      </c>
      <c r="CQ133" s="1041">
        <f>IF(OR(CZ133=1,CZ133=10),CN133*BL133/100,IF(DA133=6,CN133*BL133/100,CN133*CB133/100))</f>
        <v>33086.386534789679</v>
      </c>
      <c r="CR133" s="1046">
        <v>2015</v>
      </c>
      <c r="CS133" s="1047" t="s">
        <v>5971</v>
      </c>
      <c r="CT133" s="1068">
        <f t="shared" si="123"/>
        <v>16</v>
      </c>
      <c r="CU133" s="1071">
        <v>18</v>
      </c>
      <c r="CV133" s="1068" t="s">
        <v>5977</v>
      </c>
      <c r="CW133" s="1113">
        <v>67422.005000000005</v>
      </c>
      <c r="CX133" s="1113">
        <v>91669.312000000005</v>
      </c>
      <c r="CY133" s="1113">
        <v>181562.05600000001</v>
      </c>
      <c r="CZ133" s="494">
        <v>1</v>
      </c>
      <c r="DA133" s="1104">
        <v>4</v>
      </c>
      <c r="DB133" s="1050" t="s">
        <v>647</v>
      </c>
      <c r="DC133" s="1143" t="s">
        <v>320</v>
      </c>
      <c r="DD133" s="978">
        <f t="shared" si="91"/>
        <v>90895.51774999997</v>
      </c>
      <c r="DE133" s="979">
        <f t="shared" si="124"/>
        <v>49.88723323956301</v>
      </c>
      <c r="DF133" s="979">
        <f t="shared" si="92"/>
        <v>49.154465339090208</v>
      </c>
      <c r="DG133" s="980">
        <f t="shared" si="93"/>
        <v>46175.248158789676</v>
      </c>
      <c r="DH133" s="980">
        <f t="shared" si="94"/>
        <v>44679.205767210326</v>
      </c>
      <c r="DI133" s="979">
        <f t="shared" si="125"/>
        <v>49.763736047007406</v>
      </c>
      <c r="DJ133" s="981">
        <f t="shared" si="126"/>
        <v>49.969467270837853</v>
      </c>
      <c r="DK133" s="984">
        <f t="shared" si="127"/>
        <v>34630.83199999998</v>
      </c>
      <c r="DL133" s="979">
        <f t="shared" si="95"/>
        <v>49.786053263780481</v>
      </c>
      <c r="DM133" s="980">
        <f t="shared" si="128"/>
        <v>17389.507534789671</v>
      </c>
      <c r="DN133" s="985">
        <f t="shared" si="129"/>
        <v>17241.324465210324</v>
      </c>
      <c r="DO133" s="984">
        <f t="shared" si="130"/>
        <v>34426.054025999998</v>
      </c>
      <c r="DP133" s="979">
        <f t="shared" si="96"/>
        <v>48.758876510571596</v>
      </c>
      <c r="DQ133" s="980">
        <f t="shared" si="142"/>
        <v>17615.168228000002</v>
      </c>
      <c r="DR133" s="985">
        <f t="shared" si="143"/>
        <v>16785.757170000001</v>
      </c>
      <c r="DS133" s="984">
        <f t="shared" si="131"/>
        <v>21838.631723999999</v>
      </c>
      <c r="DT133" s="339">
        <f t="shared" si="97"/>
        <v>48.776517991709326</v>
      </c>
      <c r="DU133" s="980">
        <f t="shared" si="144"/>
        <v>11170.572396000001</v>
      </c>
      <c r="DV133" s="985">
        <f t="shared" si="145"/>
        <v>10652.124131999999</v>
      </c>
      <c r="DW133" s="979">
        <f t="shared" si="146"/>
        <v>70.100000000000009</v>
      </c>
      <c r="DX133" s="981">
        <f t="shared" si="147"/>
        <v>70.199999999999989</v>
      </c>
      <c r="DY133" s="414">
        <v>67.98</v>
      </c>
      <c r="DZ133" s="111">
        <v>2010</v>
      </c>
      <c r="EA133" s="118">
        <v>110480.10116000001</v>
      </c>
      <c r="EB133" s="123">
        <v>62.6</v>
      </c>
      <c r="EC133" s="113">
        <v>2010</v>
      </c>
      <c r="ED133" s="20">
        <v>101706.681362</v>
      </c>
      <c r="EE133" s="414">
        <v>70</v>
      </c>
      <c r="EF133" s="111">
        <v>2010</v>
      </c>
      <c r="EG133" s="380">
        <v>51.077659606933601</v>
      </c>
      <c r="EH133" s="24" t="s">
        <v>335</v>
      </c>
      <c r="EI133" s="287">
        <v>1</v>
      </c>
      <c r="EJ133" s="40">
        <v>1</v>
      </c>
      <c r="EK133" s="35" t="s">
        <v>145</v>
      </c>
      <c r="EL133" s="95" t="s">
        <v>1638</v>
      </c>
      <c r="EM133" s="95" t="s">
        <v>1653</v>
      </c>
      <c r="EN133" s="35" t="s">
        <v>145</v>
      </c>
      <c r="EO133" s="95" t="s">
        <v>1646</v>
      </c>
      <c r="EP133" s="205">
        <v>0.3</v>
      </c>
      <c r="EQ133" s="207" t="s">
        <v>145</v>
      </c>
      <c r="ER133" s="517">
        <v>3</v>
      </c>
      <c r="ES133" s="183" t="s">
        <v>145</v>
      </c>
      <c r="ET133" s="183" t="s">
        <v>3819</v>
      </c>
      <c r="EU133" s="82" t="s">
        <v>3848</v>
      </c>
      <c r="EV133" s="82" t="s">
        <v>145</v>
      </c>
      <c r="EW133" s="82" t="s">
        <v>3921</v>
      </c>
      <c r="EX133" s="360" t="s">
        <v>3819</v>
      </c>
      <c r="EY133" s="159"/>
      <c r="EZ133" s="156"/>
      <c r="FA133" s="323"/>
      <c r="FB133" s="323"/>
      <c r="FC133" s="323"/>
      <c r="FD133" s="160"/>
      <c r="FE133" s="156"/>
      <c r="FF133" s="156"/>
      <c r="FG133" s="156"/>
      <c r="FH133" s="157"/>
      <c r="FI133" s="242"/>
      <c r="FJ133" s="373"/>
      <c r="FK133" s="179"/>
      <c r="FL133" s="179"/>
      <c r="FM133" s="179"/>
      <c r="FN133" s="369"/>
      <c r="FO133" s="164"/>
      <c r="FP133" s="255">
        <v>1</v>
      </c>
      <c r="FQ133" s="183" t="s">
        <v>1915</v>
      </c>
      <c r="FR133" s="257">
        <v>1</v>
      </c>
      <c r="FS133" s="82" t="s">
        <v>1702</v>
      </c>
      <c r="FT133" s="259">
        <v>1</v>
      </c>
      <c r="FU133" s="82" t="s">
        <v>1916</v>
      </c>
      <c r="FV133" s="259">
        <v>1</v>
      </c>
      <c r="FW133" s="82" t="s">
        <v>1917</v>
      </c>
      <c r="FX133" s="259">
        <v>1</v>
      </c>
      <c r="FY133" s="82" t="s">
        <v>1918</v>
      </c>
      <c r="FZ133" s="259"/>
      <c r="GA133" s="82"/>
      <c r="GB133" s="261">
        <v>1</v>
      </c>
      <c r="GC133" s="90" t="s">
        <v>1919</v>
      </c>
      <c r="GD133" s="76">
        <v>2</v>
      </c>
      <c r="GE133" s="445" t="s">
        <v>3432</v>
      </c>
      <c r="GF133" s="447" t="s">
        <v>590</v>
      </c>
      <c r="GG133" s="448">
        <v>4</v>
      </c>
      <c r="GH133" s="449">
        <v>4</v>
      </c>
      <c r="GI133" s="447" t="s">
        <v>590</v>
      </c>
      <c r="GJ133" s="449">
        <v>33</v>
      </c>
      <c r="GK133" s="447">
        <v>10</v>
      </c>
      <c r="GL133" s="448">
        <v>8</v>
      </c>
      <c r="GM133" s="449">
        <v>15</v>
      </c>
      <c r="GN133" s="447" t="s">
        <v>590</v>
      </c>
      <c r="GO133" s="449">
        <v>51</v>
      </c>
      <c r="GP133" s="447">
        <v>14</v>
      </c>
      <c r="GQ133" s="448">
        <v>22</v>
      </c>
      <c r="GR133" s="449">
        <v>15</v>
      </c>
      <c r="GS133" s="446">
        <v>8</v>
      </c>
      <c r="GT133" s="461">
        <v>-0.74442768096923828</v>
      </c>
      <c r="GU133" s="462">
        <v>-2.0793542861938477</v>
      </c>
      <c r="GV133" s="462">
        <v>-1.0093042850494385</v>
      </c>
      <c r="GW133" s="462">
        <v>-0.70594626665115356</v>
      </c>
      <c r="GX133" s="462">
        <v>-1.1576594114303589</v>
      </c>
      <c r="GY133" s="463">
        <v>-1.1967065334320068</v>
      </c>
      <c r="GZ133" s="10">
        <v>141</v>
      </c>
      <c r="HA133" s="536">
        <v>0.29287000000000002</v>
      </c>
      <c r="HB133" s="536">
        <v>0.33333000000000002</v>
      </c>
      <c r="HC133" s="525">
        <v>0.30708000000000002</v>
      </c>
      <c r="HD133" s="526">
        <v>0.19045000000000001</v>
      </c>
      <c r="HE133" s="527">
        <v>0.38109999999999999</v>
      </c>
      <c r="HF133" s="10">
        <v>133</v>
      </c>
      <c r="HG133" s="532">
        <v>2.35</v>
      </c>
      <c r="HH133" s="545">
        <v>2.5299999999999998</v>
      </c>
      <c r="HI133" s="546">
        <v>1.6</v>
      </c>
      <c r="HJ133" s="547">
        <v>3.51</v>
      </c>
      <c r="HK133" s="558" t="s">
        <v>4004</v>
      </c>
      <c r="HL133" s="585" t="s">
        <v>4809</v>
      </c>
      <c r="HM133" s="448">
        <v>2010</v>
      </c>
      <c r="HN133" s="809" t="s">
        <v>145</v>
      </c>
      <c r="HO133" s="448" t="s">
        <v>3985</v>
      </c>
      <c r="HP133" s="560" t="s">
        <v>4810</v>
      </c>
      <c r="HQ133" s="639" t="s">
        <v>4873</v>
      </c>
      <c r="HR133" s="561" t="s">
        <v>145</v>
      </c>
      <c r="HS133" s="447">
        <v>48</v>
      </c>
      <c r="HT133" s="448">
        <v>88</v>
      </c>
      <c r="HU133" s="448">
        <v>2011</v>
      </c>
      <c r="HV133" s="580" t="s">
        <v>4228</v>
      </c>
      <c r="HW133" s="448">
        <v>3</v>
      </c>
      <c r="HX133" s="448">
        <v>29</v>
      </c>
      <c r="HY133" s="448">
        <v>12</v>
      </c>
      <c r="HZ133" s="448">
        <v>22</v>
      </c>
      <c r="IA133" s="448">
        <v>4</v>
      </c>
      <c r="IB133" s="448">
        <v>7</v>
      </c>
      <c r="IC133" s="449">
        <v>11</v>
      </c>
      <c r="ID133" s="40"/>
      <c r="IE133" s="550"/>
      <c r="IF133" s="550"/>
      <c r="IG133" s="553"/>
      <c r="IH133" s="115">
        <v>39.9</v>
      </c>
      <c r="II133" s="647" t="s">
        <v>4923</v>
      </c>
      <c r="IJ133" s="423" t="s">
        <v>4926</v>
      </c>
      <c r="IK133" s="10">
        <v>0</v>
      </c>
      <c r="IL133" s="749">
        <f t="shared" si="132"/>
        <v>20</v>
      </c>
      <c r="IM133" s="747">
        <f t="shared" si="133"/>
        <v>80</v>
      </c>
      <c r="IN133" s="750" t="str">
        <f t="shared" si="134"/>
        <v>A</v>
      </c>
      <c r="IO133" s="446">
        <v>1</v>
      </c>
      <c r="IP133" s="902">
        <v>3</v>
      </c>
      <c r="IQ133" s="903">
        <v>1</v>
      </c>
      <c r="IR133" s="993">
        <v>0</v>
      </c>
      <c r="IT133" s="435"/>
      <c r="IU133" s="435"/>
      <c r="IV133" s="435"/>
    </row>
    <row r="134" spans="1:256">
      <c r="A134" s="21">
        <v>132</v>
      </c>
      <c r="B134" s="9"/>
      <c r="C134" s="430" t="s">
        <v>206</v>
      </c>
      <c r="D134" s="424"/>
      <c r="E134" s="24" t="s">
        <v>17</v>
      </c>
      <c r="F134" s="76" t="s">
        <v>868</v>
      </c>
      <c r="G134" s="102" t="s">
        <v>584</v>
      </c>
      <c r="H134" s="375" t="s">
        <v>2410</v>
      </c>
      <c r="I134" s="95" t="s">
        <v>2408</v>
      </c>
      <c r="J134" s="370">
        <v>3</v>
      </c>
      <c r="K134" s="88">
        <v>1876</v>
      </c>
      <c r="L134" s="371">
        <v>2</v>
      </c>
      <c r="M134" s="373" t="s">
        <v>1841</v>
      </c>
      <c r="N134" s="351" t="s">
        <v>2409</v>
      </c>
      <c r="O134" s="365" t="s">
        <v>1600</v>
      </c>
      <c r="P134" s="362" t="s">
        <v>2411</v>
      </c>
      <c r="Q134" s="370">
        <v>0</v>
      </c>
      <c r="R134" s="370" t="s">
        <v>145</v>
      </c>
      <c r="S134" s="372" t="s">
        <v>145</v>
      </c>
      <c r="T134" s="370">
        <v>1</v>
      </c>
      <c r="U134" s="370">
        <v>1</v>
      </c>
      <c r="V134" s="370" t="s">
        <v>145</v>
      </c>
      <c r="W134" s="369" t="s">
        <v>145</v>
      </c>
      <c r="X134" s="170">
        <v>1</v>
      </c>
      <c r="Y134" s="369">
        <v>0</v>
      </c>
      <c r="Z134" s="271"/>
      <c r="AA134" s="169">
        <v>1</v>
      </c>
      <c r="AB134" s="177"/>
      <c r="AC134" s="171"/>
      <c r="AD134" s="366" t="s">
        <v>3299</v>
      </c>
      <c r="AE134" s="357">
        <v>2016</v>
      </c>
      <c r="AF134" s="357">
        <v>2</v>
      </c>
      <c r="AG134" s="550" t="s">
        <v>5171</v>
      </c>
      <c r="AH134" s="355" t="s">
        <v>3300</v>
      </c>
      <c r="AI134" s="550">
        <v>0</v>
      </c>
      <c r="AJ134" s="550">
        <v>0</v>
      </c>
      <c r="AK134" s="590" t="s">
        <v>145</v>
      </c>
      <c r="AL134" s="386">
        <v>10</v>
      </c>
      <c r="AM134" s="361" t="s">
        <v>2885</v>
      </c>
      <c r="AN134" s="342" t="s">
        <v>145</v>
      </c>
      <c r="AO134" s="170">
        <v>1</v>
      </c>
      <c r="AP134" s="369">
        <v>1</v>
      </c>
      <c r="AQ134" s="365" t="s">
        <v>5283</v>
      </c>
      <c r="AR134" s="378" t="s">
        <v>1980</v>
      </c>
      <c r="AS134" s="55">
        <v>2</v>
      </c>
      <c r="AT134" s="370">
        <v>2</v>
      </c>
      <c r="AU134" s="371">
        <v>2005</v>
      </c>
      <c r="AV134" s="370">
        <v>10</v>
      </c>
      <c r="AW134" s="589">
        <v>3600</v>
      </c>
      <c r="AX134" s="687">
        <v>1</v>
      </c>
      <c r="AY134" s="694" t="s">
        <v>2176</v>
      </c>
      <c r="AZ134" s="695">
        <v>2005</v>
      </c>
      <c r="BA134" s="55">
        <v>1</v>
      </c>
      <c r="BB134" s="55">
        <v>2</v>
      </c>
      <c r="BC134" s="174" t="s">
        <v>4373</v>
      </c>
      <c r="BD134" s="55">
        <v>1985</v>
      </c>
      <c r="BE134" s="55">
        <v>2</v>
      </c>
      <c r="BF134" s="367" t="s">
        <v>4394</v>
      </c>
      <c r="BG134" s="367">
        <v>1</v>
      </c>
      <c r="BH134" s="1" t="s">
        <v>4374</v>
      </c>
      <c r="BI134" s="367">
        <v>3</v>
      </c>
      <c r="BJ134" s="367">
        <v>1</v>
      </c>
      <c r="BK134" s="888">
        <v>5210.9669999999996</v>
      </c>
      <c r="BL134" s="925">
        <f t="shared" si="121"/>
        <v>49.629233883077752</v>
      </c>
      <c r="BM134" s="888">
        <v>2624.8040000000001</v>
      </c>
      <c r="BN134" s="920">
        <v>2586.163</v>
      </c>
      <c r="BO134" s="888">
        <v>314.73700000000002</v>
      </c>
      <c r="BP134" s="1158">
        <f t="shared" si="135"/>
        <v>48.697801656621245</v>
      </c>
      <c r="BQ134" s="917">
        <v>161.46700000000001</v>
      </c>
      <c r="BR134" s="920">
        <v>153.27000000000001</v>
      </c>
      <c r="BS134" s="888">
        <v>316.34699999999998</v>
      </c>
      <c r="BT134" s="1158">
        <f t="shared" si="136"/>
        <v>48.706325648733831</v>
      </c>
      <c r="BU134" s="917">
        <v>162.26599999999999</v>
      </c>
      <c r="BV134" s="920">
        <v>154.08099999999999</v>
      </c>
      <c r="BW134" s="888">
        <v>305.25099999999998</v>
      </c>
      <c r="BX134" s="1158">
        <f t="shared" si="137"/>
        <v>49.003606867790772</v>
      </c>
      <c r="BY134" s="917">
        <v>155.667</v>
      </c>
      <c r="BZ134" s="920">
        <v>149.584</v>
      </c>
      <c r="CA134" s="888">
        <f t="shared" si="138"/>
        <v>4274.6319999999996</v>
      </c>
      <c r="CB134" s="1158">
        <f t="shared" si="139"/>
        <v>49.810790730055828</v>
      </c>
      <c r="CC134" s="917">
        <f t="shared" si="140"/>
        <v>2145.404</v>
      </c>
      <c r="CD134" s="920">
        <f t="shared" si="141"/>
        <v>2129.2280000000001</v>
      </c>
      <c r="CE134" s="914">
        <v>2015</v>
      </c>
      <c r="CF134" s="910" t="s">
        <v>5630</v>
      </c>
      <c r="CG134" s="930">
        <v>100</v>
      </c>
      <c r="CH134" s="1005">
        <v>100</v>
      </c>
      <c r="CI134" s="1006">
        <v>100</v>
      </c>
      <c r="CJ134" s="904" t="s">
        <v>1621</v>
      </c>
      <c r="CK134" s="904" t="s">
        <v>1621</v>
      </c>
      <c r="CL134" s="904">
        <v>2011</v>
      </c>
      <c r="CM134" s="905" t="s">
        <v>5578</v>
      </c>
      <c r="CN134" s="1044">
        <v>3641.7530000000002</v>
      </c>
      <c r="CO134" s="1045">
        <f t="shared" si="122"/>
        <v>69.886318604589135</v>
      </c>
      <c r="CP134" s="1040">
        <f>IF(OR(CZ134=1,CZ134=10),CN134*(1-BL134/100),IF(DA134=6,CN134*(1-BL134/100),CN134*(1-CB134/100)))</f>
        <v>1834.3788861859996</v>
      </c>
      <c r="CQ134" s="1041">
        <f>IF(OR(CZ134=1,CZ134=10),CN134*BL134/100,IF(DA134=6,CN134*BL134/100,CN134*CB134/100))</f>
        <v>1807.3741138140008</v>
      </c>
      <c r="CR134" s="1046">
        <v>2013</v>
      </c>
      <c r="CS134" s="1047" t="s">
        <v>5653</v>
      </c>
      <c r="CT134" s="1068" t="str">
        <f t="shared" si="123"/>
        <v>-</v>
      </c>
      <c r="CU134" s="1071">
        <v>18</v>
      </c>
      <c r="CV134" s="1068" t="s">
        <v>5978</v>
      </c>
      <c r="CW134" s="1113">
        <v>3641.7530000000002</v>
      </c>
      <c r="CX134" s="1113">
        <v>3655.788</v>
      </c>
      <c r="CY134" s="1113">
        <v>4722.701</v>
      </c>
      <c r="CZ134" s="494">
        <v>1</v>
      </c>
      <c r="DA134" s="1104">
        <v>3</v>
      </c>
      <c r="DB134" s="1050" t="s">
        <v>647</v>
      </c>
      <c r="DC134" s="1145" t="s">
        <v>323</v>
      </c>
      <c r="DD134" s="1131">
        <f t="shared" ref="DD134:DD197" si="148">DK134+DO134+DS134</f>
        <v>632.87899999999945</v>
      </c>
      <c r="DE134" s="1132">
        <f t="shared" si="124"/>
        <v>12.145135442231728</v>
      </c>
      <c r="DF134" s="1132">
        <f t="shared" ref="DF134:DF197" si="149">IF(DD134=0,0,DH134/DD134*100)</f>
        <v>50.855516802737888</v>
      </c>
      <c r="DG134" s="1133">
        <f t="shared" ref="DG134:DG197" si="150">DM134+DQ134+DU134</f>
        <v>311.02511381400041</v>
      </c>
      <c r="DH134" s="1133">
        <f t="shared" ref="DH134:DH197" si="151">DN134+DR134+DV134</f>
        <v>321.85388618599927</v>
      </c>
      <c r="DI134" s="1132">
        <f t="shared" si="125"/>
        <v>11.849460524062003</v>
      </c>
      <c r="DJ134" s="1134">
        <f t="shared" si="126"/>
        <v>12.445228169531436</v>
      </c>
      <c r="DK134" s="1135">
        <f t="shared" si="127"/>
        <v>632.87899999999945</v>
      </c>
      <c r="DL134" s="1132">
        <f t="shared" ref="DL134:DL197" si="152">IF(DN134=0,0,DN134/DK134*100)</f>
        <v>50.855516802737888</v>
      </c>
      <c r="DM134" s="1133">
        <f t="shared" si="128"/>
        <v>311.02511381400041</v>
      </c>
      <c r="DN134" s="1136">
        <f t="shared" si="129"/>
        <v>321.85388618599927</v>
      </c>
      <c r="DO134" s="1135">
        <f t="shared" si="130"/>
        <v>0</v>
      </c>
      <c r="DP134" s="1132">
        <f t="shared" ref="DP134:DP197" si="153">IF(DR134=0,0,DR134/DO134*100)</f>
        <v>0</v>
      </c>
      <c r="DQ134" s="1133">
        <f t="shared" si="142"/>
        <v>0</v>
      </c>
      <c r="DR134" s="1136">
        <f t="shared" si="143"/>
        <v>0</v>
      </c>
      <c r="DS134" s="1135">
        <f t="shared" si="131"/>
        <v>0</v>
      </c>
      <c r="DT134" s="1137">
        <f t="shared" ref="DT134:DT197" si="154">IF(DV134=0,0,DV134/DS134*100)</f>
        <v>0</v>
      </c>
      <c r="DU134" s="1133">
        <f t="shared" si="144"/>
        <v>0</v>
      </c>
      <c r="DV134" s="1136">
        <f t="shared" si="145"/>
        <v>0</v>
      </c>
      <c r="DW134" s="1132">
        <f t="shared" si="146"/>
        <v>0</v>
      </c>
      <c r="DX134" s="1134">
        <f t="shared" si="147"/>
        <v>0</v>
      </c>
      <c r="DY134" s="414" t="s">
        <v>145</v>
      </c>
      <c r="DZ134" s="111" t="s">
        <v>145</v>
      </c>
      <c r="EA134" s="118"/>
      <c r="EB134" s="123" t="s">
        <v>145</v>
      </c>
      <c r="EC134" s="113" t="s">
        <v>145</v>
      </c>
      <c r="ED134" s="20"/>
      <c r="EE134" s="414" t="s">
        <v>145</v>
      </c>
      <c r="EF134" s="111" t="s">
        <v>145</v>
      </c>
      <c r="EG134" s="380" t="s">
        <v>145</v>
      </c>
      <c r="EH134" s="24" t="s">
        <v>352</v>
      </c>
      <c r="EI134" s="287">
        <v>0</v>
      </c>
      <c r="EJ134" s="40" t="s">
        <v>145</v>
      </c>
      <c r="EK134" s="35" t="s">
        <v>145</v>
      </c>
      <c r="EL134" s="95" t="s">
        <v>145</v>
      </c>
      <c r="EM134" s="95" t="s">
        <v>145</v>
      </c>
      <c r="EN134" s="35" t="s">
        <v>145</v>
      </c>
      <c r="EO134" s="95" t="s">
        <v>145</v>
      </c>
      <c r="EP134" s="205" t="s">
        <v>145</v>
      </c>
      <c r="EQ134" s="207" t="s">
        <v>145</v>
      </c>
      <c r="ER134" s="517" t="s">
        <v>145</v>
      </c>
      <c r="ES134" s="183"/>
      <c r="ET134" s="183"/>
      <c r="EU134" s="82"/>
      <c r="EV134" s="82"/>
      <c r="EW134" s="82"/>
      <c r="EX134" s="90"/>
      <c r="EY134" s="159"/>
      <c r="EZ134" s="156"/>
      <c r="FA134" s="323"/>
      <c r="FB134" s="323"/>
      <c r="FC134" s="323"/>
      <c r="FD134" s="160"/>
      <c r="FE134" s="156"/>
      <c r="FF134" s="156"/>
      <c r="FG134" s="156"/>
      <c r="FH134" s="157"/>
      <c r="FI134" s="242"/>
      <c r="FJ134" s="373"/>
      <c r="FK134" s="179"/>
      <c r="FL134" s="179"/>
      <c r="FM134" s="179"/>
      <c r="FN134" s="369"/>
      <c r="FO134" s="164"/>
      <c r="FP134" s="255">
        <v>2</v>
      </c>
      <c r="FQ134" s="183"/>
      <c r="FR134" s="257"/>
      <c r="FS134" s="82"/>
      <c r="FT134" s="259"/>
      <c r="FU134" s="82"/>
      <c r="FV134" s="259"/>
      <c r="FW134" s="82"/>
      <c r="FX134" s="259"/>
      <c r="FY134" s="82"/>
      <c r="FZ134" s="259"/>
      <c r="GA134" s="82"/>
      <c r="GB134" s="261"/>
      <c r="GC134" s="90"/>
      <c r="GD134" s="76">
        <v>1</v>
      </c>
      <c r="GE134" s="445" t="s">
        <v>3424</v>
      </c>
      <c r="GF134" s="447" t="s">
        <v>10</v>
      </c>
      <c r="GG134" s="448">
        <v>1</v>
      </c>
      <c r="GH134" s="449">
        <v>1</v>
      </c>
      <c r="GI134" s="447" t="s">
        <v>145</v>
      </c>
      <c r="GJ134" s="449" t="s">
        <v>145</v>
      </c>
      <c r="GK134" s="447" t="s">
        <v>145</v>
      </c>
      <c r="GL134" s="448" t="s">
        <v>145</v>
      </c>
      <c r="GM134" s="449" t="s">
        <v>145</v>
      </c>
      <c r="GN134" s="447" t="s">
        <v>10</v>
      </c>
      <c r="GO134" s="449">
        <v>10</v>
      </c>
      <c r="GP134" s="447">
        <v>3</v>
      </c>
      <c r="GQ134" s="448">
        <v>3</v>
      </c>
      <c r="GR134" s="449">
        <v>4</v>
      </c>
      <c r="GS134" s="446">
        <v>10</v>
      </c>
      <c r="GT134" s="461">
        <v>1.7594175338745117</v>
      </c>
      <c r="GU134" s="462">
        <v>1.331531286239624</v>
      </c>
      <c r="GV134" s="462">
        <v>1.8645974397659302</v>
      </c>
      <c r="GW134" s="462">
        <v>1.6546535491943359</v>
      </c>
      <c r="GX134" s="462">
        <v>1.9680243730545044</v>
      </c>
      <c r="GY134" s="463">
        <v>2.2855260372161865</v>
      </c>
      <c r="GZ134" s="10">
        <v>13</v>
      </c>
      <c r="HA134" s="536">
        <v>0.83572000000000002</v>
      </c>
      <c r="HB134" s="536">
        <v>0.68627000000000005</v>
      </c>
      <c r="HC134" s="525">
        <v>0.75590000000000002</v>
      </c>
      <c r="HD134" s="526">
        <v>0.81328</v>
      </c>
      <c r="HE134" s="527">
        <v>0.93799999999999994</v>
      </c>
      <c r="HF134" s="10">
        <v>6</v>
      </c>
      <c r="HG134" s="532">
        <v>8.39</v>
      </c>
      <c r="HH134" s="545">
        <v>8.36</v>
      </c>
      <c r="HI134" s="546">
        <v>8.07</v>
      </c>
      <c r="HJ134" s="547">
        <v>9.09</v>
      </c>
      <c r="HK134" s="558" t="s">
        <v>4043</v>
      </c>
      <c r="HL134" s="585" t="s">
        <v>4811</v>
      </c>
      <c r="HM134" s="557">
        <v>1978</v>
      </c>
      <c r="HN134" s="557">
        <v>2000</v>
      </c>
      <c r="HO134" s="557" t="s">
        <v>3985</v>
      </c>
      <c r="HP134" s="562" t="s">
        <v>4101</v>
      </c>
      <c r="HQ134" s="639" t="s">
        <v>4812</v>
      </c>
      <c r="HR134" s="563" t="s">
        <v>4102</v>
      </c>
      <c r="HS134" s="545">
        <v>58</v>
      </c>
      <c r="HT134" s="557">
        <v>78</v>
      </c>
      <c r="HU134" s="557">
        <v>1970</v>
      </c>
      <c r="HV134" s="583" t="s">
        <v>4229</v>
      </c>
      <c r="HW134" s="557">
        <v>5</v>
      </c>
      <c r="HX134" s="557">
        <v>16</v>
      </c>
      <c r="HY134" s="557">
        <v>15</v>
      </c>
      <c r="HZ134" s="557">
        <v>16</v>
      </c>
      <c r="IA134" s="557">
        <v>22</v>
      </c>
      <c r="IB134" s="557">
        <v>2</v>
      </c>
      <c r="IC134" s="547">
        <v>2</v>
      </c>
      <c r="ID134" s="660" t="s">
        <v>5020</v>
      </c>
      <c r="IE134" s="355" t="s">
        <v>5200</v>
      </c>
      <c r="IF134" s="355"/>
      <c r="IG134" s="553"/>
      <c r="IH134" s="339"/>
      <c r="II134" s="553" t="s">
        <v>4920</v>
      </c>
      <c r="IJ134" s="424" t="s">
        <v>4926</v>
      </c>
      <c r="IK134" s="24">
        <v>0</v>
      </c>
      <c r="IL134" s="749">
        <f t="shared" si="132"/>
        <v>22</v>
      </c>
      <c r="IM134" s="747">
        <f t="shared" si="133"/>
        <v>88</v>
      </c>
      <c r="IN134" s="750" t="str">
        <f t="shared" si="134"/>
        <v>A</v>
      </c>
      <c r="IO134" s="446"/>
      <c r="IP134" s="902">
        <v>3</v>
      </c>
      <c r="IQ134" s="903">
        <v>0</v>
      </c>
      <c r="IR134" s="993">
        <v>0</v>
      </c>
      <c r="IT134" s="435"/>
      <c r="IU134" s="435"/>
      <c r="IV134" s="435"/>
    </row>
    <row r="135" spans="1:256">
      <c r="A135" s="21">
        <v>133</v>
      </c>
      <c r="B135" s="9"/>
      <c r="C135" s="430" t="s">
        <v>207</v>
      </c>
      <c r="D135" s="423" t="s">
        <v>410</v>
      </c>
      <c r="E135" s="24" t="s">
        <v>17</v>
      </c>
      <c r="F135" s="76" t="s">
        <v>869</v>
      </c>
      <c r="G135" s="102" t="s">
        <v>587</v>
      </c>
      <c r="H135" s="251" t="s">
        <v>2413</v>
      </c>
      <c r="I135" s="95" t="s">
        <v>2414</v>
      </c>
      <c r="J135" s="176">
        <v>2</v>
      </c>
      <c r="K135" s="88">
        <v>1970</v>
      </c>
      <c r="L135" s="371">
        <v>2</v>
      </c>
      <c r="M135" s="240" t="s">
        <v>2369</v>
      </c>
      <c r="N135" s="172" t="s">
        <v>2412</v>
      </c>
      <c r="O135" s="365" t="s">
        <v>3301</v>
      </c>
      <c r="P135" s="364" t="s">
        <v>2414</v>
      </c>
      <c r="Q135" s="176">
        <v>2</v>
      </c>
      <c r="R135" s="176">
        <v>1999</v>
      </c>
      <c r="S135" s="234" t="s">
        <v>1961</v>
      </c>
      <c r="T135" s="176">
        <v>1</v>
      </c>
      <c r="U135" s="176">
        <v>2</v>
      </c>
      <c r="V135" s="176">
        <v>15</v>
      </c>
      <c r="W135" s="369" t="s">
        <v>1822</v>
      </c>
      <c r="X135" s="170">
        <v>1</v>
      </c>
      <c r="Y135" s="369">
        <v>1</v>
      </c>
      <c r="Z135" s="271"/>
      <c r="AA135" s="169">
        <v>1</v>
      </c>
      <c r="AB135" s="177">
        <v>1</v>
      </c>
      <c r="AC135" s="171"/>
      <c r="AD135" s="365" t="s">
        <v>3301</v>
      </c>
      <c r="AE135" s="357">
        <v>2004</v>
      </c>
      <c r="AF135" s="55">
        <v>3</v>
      </c>
      <c r="AG135" s="550" t="s">
        <v>5171</v>
      </c>
      <c r="AH135" s="355" t="s">
        <v>2786</v>
      </c>
      <c r="AI135" s="55">
        <v>0</v>
      </c>
      <c r="AJ135" s="55">
        <v>1</v>
      </c>
      <c r="AK135" s="589">
        <v>2500</v>
      </c>
      <c r="AL135" s="386">
        <v>1</v>
      </c>
      <c r="AM135" s="361" t="s">
        <v>2783</v>
      </c>
      <c r="AN135" s="342" t="s">
        <v>145</v>
      </c>
      <c r="AO135" s="170">
        <v>1</v>
      </c>
      <c r="AP135" s="172">
        <v>1</v>
      </c>
      <c r="AQ135" s="365" t="s">
        <v>5395</v>
      </c>
      <c r="AR135" s="281" t="s">
        <v>1980</v>
      </c>
      <c r="AS135" s="55">
        <v>1</v>
      </c>
      <c r="AT135" s="370">
        <v>2</v>
      </c>
      <c r="AU135" s="371">
        <v>2014</v>
      </c>
      <c r="AV135" s="370">
        <v>5</v>
      </c>
      <c r="AW135" s="589" t="s">
        <v>145</v>
      </c>
      <c r="AX135" s="687">
        <v>0</v>
      </c>
      <c r="AY135" s="174" t="s">
        <v>4450</v>
      </c>
      <c r="AZ135" s="55">
        <v>1986</v>
      </c>
      <c r="BA135" s="55">
        <v>1</v>
      </c>
      <c r="BB135" s="55">
        <v>2</v>
      </c>
      <c r="BC135" s="174" t="s">
        <v>4451</v>
      </c>
      <c r="BD135" s="55">
        <v>1973</v>
      </c>
      <c r="BE135" s="55">
        <v>2</v>
      </c>
      <c r="BF135" s="371" t="s">
        <v>4395</v>
      </c>
      <c r="BG135" s="371">
        <v>1</v>
      </c>
      <c r="BH135" s="1" t="s">
        <v>4375</v>
      </c>
      <c r="BI135" s="371">
        <v>0</v>
      </c>
      <c r="BJ135" s="371">
        <v>0</v>
      </c>
      <c r="BK135" s="888">
        <v>4490.5410000000002</v>
      </c>
      <c r="BL135" s="925">
        <f t="shared" si="121"/>
        <v>33.668860834362718</v>
      </c>
      <c r="BM135" s="888">
        <v>2978.627</v>
      </c>
      <c r="BN135" s="920">
        <v>1511.914</v>
      </c>
      <c r="BO135" s="888">
        <v>385.29300000000001</v>
      </c>
      <c r="BP135" s="1158">
        <f t="shared" si="135"/>
        <v>48.704492425245206</v>
      </c>
      <c r="BQ135" s="917">
        <v>197.63800000000001</v>
      </c>
      <c r="BR135" s="920">
        <v>187.655</v>
      </c>
      <c r="BS135" s="888">
        <v>306.30599999999998</v>
      </c>
      <c r="BT135" s="1158">
        <f t="shared" si="136"/>
        <v>49.587993705640763</v>
      </c>
      <c r="BU135" s="917">
        <v>154.41499999999999</v>
      </c>
      <c r="BV135" s="920">
        <v>151.89099999999999</v>
      </c>
      <c r="BW135" s="888">
        <v>229.89599999999999</v>
      </c>
      <c r="BX135" s="1158">
        <f t="shared" si="137"/>
        <v>49.678115321710685</v>
      </c>
      <c r="BY135" s="917">
        <v>115.688</v>
      </c>
      <c r="BZ135" s="920">
        <v>114.208</v>
      </c>
      <c r="CA135" s="888">
        <f t="shared" si="138"/>
        <v>3569.0460000000003</v>
      </c>
      <c r="CB135" s="1158">
        <f t="shared" si="139"/>
        <v>29.648258946508388</v>
      </c>
      <c r="CC135" s="917">
        <f t="shared" si="140"/>
        <v>2510.886</v>
      </c>
      <c r="CD135" s="920">
        <f t="shared" si="141"/>
        <v>1058.1599999999999</v>
      </c>
      <c r="CE135" s="914">
        <v>2015</v>
      </c>
      <c r="CF135" s="910" t="s">
        <v>5630</v>
      </c>
      <c r="CG135" s="931">
        <v>98</v>
      </c>
      <c r="CH135" s="504">
        <v>97</v>
      </c>
      <c r="CI135" s="1008">
        <v>98</v>
      </c>
      <c r="CJ135" s="906" t="s">
        <v>1621</v>
      </c>
      <c r="CK135" s="906" t="s">
        <v>1621</v>
      </c>
      <c r="CL135" s="906">
        <v>2014</v>
      </c>
      <c r="CM135" s="1002" t="s">
        <v>5718</v>
      </c>
      <c r="CN135" s="1044">
        <v>3800</v>
      </c>
      <c r="CO135" s="1045">
        <f t="shared" si="122"/>
        <v>84.622320562266324</v>
      </c>
      <c r="CP135" s="1040">
        <f>IF(OR(CZ135=1,CZ135=10),CN135*(1-BL135/100),IF(DA135=6,CN135*(1-BL135/100),CN135*(1-CB135/100)))</f>
        <v>2673.3661600326814</v>
      </c>
      <c r="CQ135" s="1041">
        <f>IF(OR(CZ135=1,CZ135=10),CN135*BL135/100,IF(DA135=6,CN135*BL135/100,CN135*CB135/100))</f>
        <v>1126.6338399673189</v>
      </c>
      <c r="CR135" s="1046">
        <v>2015</v>
      </c>
      <c r="CS135" s="1047" t="s">
        <v>5803</v>
      </c>
      <c r="CT135" s="1068">
        <f t="shared" si="123"/>
        <v>15</v>
      </c>
      <c r="CU135" s="1071">
        <v>21</v>
      </c>
      <c r="CV135" s="1068" t="s">
        <v>5979</v>
      </c>
      <c r="CW135" s="1113">
        <v>525.78499999999997</v>
      </c>
      <c r="CX135" s="1113">
        <v>1919.71</v>
      </c>
      <c r="CY135" s="1113">
        <v>3286.9360000000001</v>
      </c>
      <c r="CZ135" s="494">
        <v>2</v>
      </c>
      <c r="DA135" s="1104">
        <v>3</v>
      </c>
      <c r="DB135" s="1050" t="s">
        <v>647</v>
      </c>
      <c r="DC135" s="1146" t="s">
        <v>322</v>
      </c>
      <c r="DD135" s="978">
        <f t="shared" si="148"/>
        <v>690.54100000000017</v>
      </c>
      <c r="DE135" s="979">
        <f t="shared" si="124"/>
        <v>15.377679437733674</v>
      </c>
      <c r="DF135" s="979">
        <f t="shared" si="149"/>
        <v>55.793958654544916</v>
      </c>
      <c r="DG135" s="980">
        <f t="shared" si="150"/>
        <v>305.26083996731859</v>
      </c>
      <c r="DH135" s="980">
        <f t="shared" si="151"/>
        <v>385.28016003268112</v>
      </c>
      <c r="DI135" s="979">
        <f t="shared" si="125"/>
        <v>10.248374165926737</v>
      </c>
      <c r="DJ135" s="981">
        <f t="shared" si="126"/>
        <v>25.482941492219869</v>
      </c>
      <c r="DK135" s="984">
        <f t="shared" si="127"/>
        <v>672.11110000000008</v>
      </c>
      <c r="DL135" s="979">
        <f t="shared" si="152"/>
        <v>55.97364483828359</v>
      </c>
      <c r="DM135" s="980">
        <f t="shared" si="128"/>
        <v>291.22860996731856</v>
      </c>
      <c r="DN135" s="985">
        <f t="shared" si="129"/>
        <v>376.20508003268111</v>
      </c>
      <c r="DO135" s="984">
        <f t="shared" si="130"/>
        <v>10.724040000000009</v>
      </c>
      <c r="DP135" s="979">
        <f t="shared" si="153"/>
        <v>49.626633246425797</v>
      </c>
      <c r="DQ135" s="980">
        <f t="shared" si="142"/>
        <v>8.103090000000007</v>
      </c>
      <c r="DR135" s="985">
        <f t="shared" si="143"/>
        <v>5.3219800000000053</v>
      </c>
      <c r="DS135" s="984">
        <f t="shared" si="131"/>
        <v>7.7058600000000066</v>
      </c>
      <c r="DT135" s="339">
        <f t="shared" si="154"/>
        <v>48.704492425245206</v>
      </c>
      <c r="DU135" s="980">
        <f t="shared" si="144"/>
        <v>5.9291400000000056</v>
      </c>
      <c r="DV135" s="985">
        <f t="shared" si="145"/>
        <v>3.7531000000000034</v>
      </c>
      <c r="DW135" s="979">
        <f t="shared" si="146"/>
        <v>3.0000000000000027</v>
      </c>
      <c r="DX135" s="981">
        <f t="shared" si="147"/>
        <v>2.0000000000000018</v>
      </c>
      <c r="DY135" s="414" t="s">
        <v>145</v>
      </c>
      <c r="DZ135" s="111" t="s">
        <v>145</v>
      </c>
      <c r="EA135" s="118"/>
      <c r="EB135" s="123" t="s">
        <v>145</v>
      </c>
      <c r="EC135" s="113" t="s">
        <v>145</v>
      </c>
      <c r="ED135" s="20"/>
      <c r="EE135" s="414" t="s">
        <v>145</v>
      </c>
      <c r="EF135" s="111" t="s">
        <v>145</v>
      </c>
      <c r="EG135" s="380">
        <v>86.938995361328097</v>
      </c>
      <c r="EH135" s="24" t="s">
        <v>328</v>
      </c>
      <c r="EI135" s="287">
        <v>0</v>
      </c>
      <c r="EJ135" s="40" t="s">
        <v>145</v>
      </c>
      <c r="EK135" s="35" t="s">
        <v>145</v>
      </c>
      <c r="EL135" s="95" t="s">
        <v>145</v>
      </c>
      <c r="EM135" s="95" t="s">
        <v>145</v>
      </c>
      <c r="EN135" s="35" t="s">
        <v>145</v>
      </c>
      <c r="EO135" s="95" t="s">
        <v>145</v>
      </c>
      <c r="EP135" s="205" t="s">
        <v>145</v>
      </c>
      <c r="EQ135" s="207" t="s">
        <v>145</v>
      </c>
      <c r="ER135" s="517" t="s">
        <v>145</v>
      </c>
      <c r="ES135" s="183"/>
      <c r="ET135" s="183"/>
      <c r="EU135" s="82"/>
      <c r="EV135" s="82"/>
      <c r="EW135" s="82"/>
      <c r="EX135" s="90"/>
      <c r="EY135" s="159"/>
      <c r="EZ135" s="156"/>
      <c r="FA135" s="323"/>
      <c r="FB135" s="323"/>
      <c r="FC135" s="323"/>
      <c r="FD135" s="160"/>
      <c r="FE135" s="156"/>
      <c r="FF135" s="156"/>
      <c r="FG135" s="156"/>
      <c r="FH135" s="157"/>
      <c r="FI135" s="242"/>
      <c r="FJ135" s="240"/>
      <c r="FK135" s="179"/>
      <c r="FL135" s="179"/>
      <c r="FM135" s="179"/>
      <c r="FN135" s="369"/>
      <c r="FO135" s="164"/>
      <c r="FP135" s="255"/>
      <c r="FQ135" s="183"/>
      <c r="FR135" s="257"/>
      <c r="FS135" s="82"/>
      <c r="FT135" s="259"/>
      <c r="FU135" s="82"/>
      <c r="FV135" s="259"/>
      <c r="FW135" s="82"/>
      <c r="FX135" s="259"/>
      <c r="FY135" s="82"/>
      <c r="FZ135" s="259"/>
      <c r="GA135" s="82"/>
      <c r="GB135" s="261"/>
      <c r="GC135" s="90"/>
      <c r="GD135" s="76">
        <v>3</v>
      </c>
      <c r="GE135" s="445" t="s">
        <v>3426</v>
      </c>
      <c r="GF135" s="447" t="s">
        <v>580</v>
      </c>
      <c r="GG135" s="448">
        <v>6</v>
      </c>
      <c r="GH135" s="449">
        <v>5</v>
      </c>
      <c r="GI135" s="447" t="s">
        <v>145</v>
      </c>
      <c r="GJ135" s="449" t="s">
        <v>145</v>
      </c>
      <c r="GK135" s="447" t="s">
        <v>145</v>
      </c>
      <c r="GL135" s="448" t="s">
        <v>145</v>
      </c>
      <c r="GM135" s="449" t="s">
        <v>145</v>
      </c>
      <c r="GN135" s="447" t="s">
        <v>580</v>
      </c>
      <c r="GO135" s="449">
        <v>71</v>
      </c>
      <c r="GP135" s="447">
        <v>25</v>
      </c>
      <c r="GQ135" s="448">
        <v>27</v>
      </c>
      <c r="GR135" s="449">
        <v>19</v>
      </c>
      <c r="GS135" s="446">
        <v>-6</v>
      </c>
      <c r="GT135" s="461">
        <v>-1.0018036365509033</v>
      </c>
      <c r="GU135" s="462">
        <v>0.47659611701965332</v>
      </c>
      <c r="GV135" s="462">
        <v>0.2115543931722641</v>
      </c>
      <c r="GW135" s="462">
        <v>0.47115674614906311</v>
      </c>
      <c r="GX135" s="462">
        <v>0.55621421337127686</v>
      </c>
      <c r="GY135" s="463">
        <v>7.8189000487327576E-2</v>
      </c>
      <c r="GZ135" s="10">
        <v>48</v>
      </c>
      <c r="HA135" s="536">
        <v>0.62731999999999999</v>
      </c>
      <c r="HB135" s="536">
        <v>0.70587999999999995</v>
      </c>
      <c r="HC135" s="525">
        <v>0.73228000000000004</v>
      </c>
      <c r="HD135" s="526">
        <v>0.48725000000000002</v>
      </c>
      <c r="HE135" s="527">
        <v>0.66239999999999999</v>
      </c>
      <c r="HF135" s="10">
        <v>52</v>
      </c>
      <c r="HG135" s="532">
        <v>6.1</v>
      </c>
      <c r="HH135" s="545">
        <v>7.12</v>
      </c>
      <c r="HI135" s="546">
        <v>4.6500000000000004</v>
      </c>
      <c r="HJ135" s="547">
        <v>6.95</v>
      </c>
      <c r="HK135" s="558" t="s">
        <v>145</v>
      </c>
      <c r="HL135" s="558" t="s">
        <v>145</v>
      </c>
      <c r="HM135" s="557" t="s">
        <v>145</v>
      </c>
      <c r="HN135" s="557" t="s">
        <v>145</v>
      </c>
      <c r="HO135" s="557" t="s">
        <v>145</v>
      </c>
      <c r="HP135" s="562" t="s">
        <v>145</v>
      </c>
      <c r="HQ135" s="562" t="s">
        <v>145</v>
      </c>
      <c r="HR135" s="563" t="s">
        <v>145</v>
      </c>
      <c r="HS135" s="545" t="s">
        <v>145</v>
      </c>
      <c r="HT135" s="557" t="s">
        <v>145</v>
      </c>
      <c r="HU135" s="557" t="s">
        <v>145</v>
      </c>
      <c r="HV135" s="581" t="s">
        <v>145</v>
      </c>
      <c r="HW135" s="557" t="s">
        <v>145</v>
      </c>
      <c r="HX135" s="557" t="s">
        <v>145</v>
      </c>
      <c r="HY135" s="557" t="s">
        <v>145</v>
      </c>
      <c r="HZ135" s="557" t="s">
        <v>145</v>
      </c>
      <c r="IA135" s="557" t="s">
        <v>145</v>
      </c>
      <c r="IB135" s="557" t="s">
        <v>145</v>
      </c>
      <c r="IC135" s="547" t="s">
        <v>145</v>
      </c>
      <c r="ID135" s="40"/>
      <c r="IE135" s="550"/>
      <c r="IF135" s="550"/>
      <c r="IG135" s="553"/>
      <c r="IH135" s="115">
        <v>40.799999999999997</v>
      </c>
      <c r="II135" s="647" t="s">
        <v>4920</v>
      </c>
      <c r="IJ135" s="423" t="s">
        <v>4926</v>
      </c>
      <c r="IK135" s="10">
        <v>0</v>
      </c>
      <c r="IL135" s="749">
        <f t="shared" si="132"/>
        <v>19</v>
      </c>
      <c r="IM135" s="747">
        <f t="shared" si="133"/>
        <v>76</v>
      </c>
      <c r="IN135" s="750" t="str">
        <f t="shared" si="134"/>
        <v>A</v>
      </c>
      <c r="IO135" s="446"/>
      <c r="IP135" s="902">
        <v>3</v>
      </c>
      <c r="IQ135" s="903">
        <v>0</v>
      </c>
      <c r="IR135" s="993">
        <v>0</v>
      </c>
      <c r="IT135" s="435"/>
      <c r="IU135" s="435"/>
      <c r="IV135" s="435"/>
    </row>
    <row r="136" spans="1:256">
      <c r="A136" s="21">
        <v>134</v>
      </c>
      <c r="B136" s="9"/>
      <c r="C136" s="430" t="s">
        <v>209</v>
      </c>
      <c r="D136" s="423" t="s">
        <v>411</v>
      </c>
      <c r="E136" s="24" t="s">
        <v>20</v>
      </c>
      <c r="F136" s="76" t="s">
        <v>870</v>
      </c>
      <c r="G136" s="102" t="s">
        <v>593</v>
      </c>
      <c r="H136" s="365" t="s">
        <v>1999</v>
      </c>
      <c r="I136" s="400" t="s">
        <v>2416</v>
      </c>
      <c r="J136" s="370">
        <v>2</v>
      </c>
      <c r="K136" s="88">
        <v>1959</v>
      </c>
      <c r="L136" s="371">
        <v>2</v>
      </c>
      <c r="M136" s="373" t="s">
        <v>1841</v>
      </c>
      <c r="N136" s="369" t="s">
        <v>2415</v>
      </c>
      <c r="O136" s="365" t="s">
        <v>1999</v>
      </c>
      <c r="P136" s="362" t="s">
        <v>1995</v>
      </c>
      <c r="Q136" s="370">
        <v>2</v>
      </c>
      <c r="R136" s="370">
        <v>2000</v>
      </c>
      <c r="S136" s="372" t="s">
        <v>3190</v>
      </c>
      <c r="T136" s="370">
        <v>1</v>
      </c>
      <c r="U136" s="370">
        <v>2</v>
      </c>
      <c r="V136" s="370">
        <v>18</v>
      </c>
      <c r="W136" s="369" t="s">
        <v>2744</v>
      </c>
      <c r="X136" s="170">
        <v>1</v>
      </c>
      <c r="Y136" s="369">
        <v>1</v>
      </c>
      <c r="Z136" s="273" t="s">
        <v>1996</v>
      </c>
      <c r="AA136" s="169">
        <v>1</v>
      </c>
      <c r="AB136" s="177">
        <v>1</v>
      </c>
      <c r="AC136" s="171">
        <v>1</v>
      </c>
      <c r="AD136" s="174" t="s">
        <v>1999</v>
      </c>
      <c r="AE136" s="357">
        <v>2012</v>
      </c>
      <c r="AF136" s="804">
        <v>2</v>
      </c>
      <c r="AG136" s="550" t="s">
        <v>5171</v>
      </c>
      <c r="AH136" s="550" t="s">
        <v>5431</v>
      </c>
      <c r="AI136" s="55">
        <v>0</v>
      </c>
      <c r="AJ136" s="550">
        <v>0</v>
      </c>
      <c r="AK136" s="589">
        <v>68000</v>
      </c>
      <c r="AL136" s="386">
        <v>9</v>
      </c>
      <c r="AM136" s="361" t="s">
        <v>2837</v>
      </c>
      <c r="AN136" s="342" t="s">
        <v>145</v>
      </c>
      <c r="AO136" s="170">
        <v>1</v>
      </c>
      <c r="AP136" s="369">
        <v>1</v>
      </c>
      <c r="AQ136" s="365" t="s">
        <v>5284</v>
      </c>
      <c r="AR136" s="378" t="s">
        <v>5285</v>
      </c>
      <c r="AS136" s="55">
        <v>2</v>
      </c>
      <c r="AT136" s="370">
        <v>2</v>
      </c>
      <c r="AU136" s="371">
        <v>2004</v>
      </c>
      <c r="AV136" s="370">
        <v>5</v>
      </c>
      <c r="AW136" s="589" t="s">
        <v>145</v>
      </c>
      <c r="AX136" s="687">
        <v>0</v>
      </c>
      <c r="AY136" s="174" t="s">
        <v>4376</v>
      </c>
      <c r="AZ136" s="55">
        <v>1999</v>
      </c>
      <c r="BA136" s="55">
        <v>1</v>
      </c>
      <c r="BB136" s="55">
        <v>2</v>
      </c>
      <c r="BC136" s="174" t="s">
        <v>4377</v>
      </c>
      <c r="BD136" s="55">
        <v>2003</v>
      </c>
      <c r="BE136" s="55">
        <v>2</v>
      </c>
      <c r="BF136" s="371" t="s">
        <v>4610</v>
      </c>
      <c r="BG136" s="371">
        <v>0</v>
      </c>
      <c r="BH136" s="56" t="s">
        <v>145</v>
      </c>
      <c r="BI136" s="371">
        <v>0</v>
      </c>
      <c r="BJ136" s="371">
        <v>1</v>
      </c>
      <c r="BK136" s="888">
        <v>188924.87400000001</v>
      </c>
      <c r="BL136" s="925">
        <f t="shared" si="121"/>
        <v>48.629155629342904</v>
      </c>
      <c r="BM136" s="888">
        <v>97052.303</v>
      </c>
      <c r="BN136" s="920">
        <v>91872.570999999996</v>
      </c>
      <c r="BO136" s="888">
        <v>24663.725999999999</v>
      </c>
      <c r="BP136" s="1158">
        <f t="shared" si="135"/>
        <v>48.132601700164848</v>
      </c>
      <c r="BQ136" s="917">
        <v>12792.433000000001</v>
      </c>
      <c r="BR136" s="920">
        <v>11871.293</v>
      </c>
      <c r="BS136" s="888">
        <v>21989.725999999999</v>
      </c>
      <c r="BT136" s="1158">
        <f t="shared" si="136"/>
        <v>48.188326675830339</v>
      </c>
      <c r="BU136" s="917">
        <v>11393.245000000001</v>
      </c>
      <c r="BV136" s="920">
        <v>10596.481</v>
      </c>
      <c r="BW136" s="888">
        <v>19488.84</v>
      </c>
      <c r="BX136" s="1158">
        <f t="shared" si="137"/>
        <v>47.962680180041502</v>
      </c>
      <c r="BY136" s="917">
        <v>10141.469999999999</v>
      </c>
      <c r="BZ136" s="920">
        <v>9347.3700000000008</v>
      </c>
      <c r="CA136" s="888">
        <f t="shared" si="138"/>
        <v>122782.58200000002</v>
      </c>
      <c r="CB136" s="1158">
        <f t="shared" si="139"/>
        <v>48.913637440854579</v>
      </c>
      <c r="CC136" s="917">
        <f t="shared" si="140"/>
        <v>62725.154999999999</v>
      </c>
      <c r="CD136" s="920">
        <f t="shared" si="141"/>
        <v>60057.426999999989</v>
      </c>
      <c r="CE136" s="914">
        <v>2015</v>
      </c>
      <c r="CF136" s="910" t="s">
        <v>5630</v>
      </c>
      <c r="CG136" s="1026">
        <v>33.6</v>
      </c>
      <c r="CH136" s="495">
        <v>34.1</v>
      </c>
      <c r="CI136" s="497">
        <v>33.1</v>
      </c>
      <c r="CJ136" s="904">
        <v>59.3</v>
      </c>
      <c r="CK136" s="904">
        <v>22.8</v>
      </c>
      <c r="CL136" s="904" t="s">
        <v>5597</v>
      </c>
      <c r="CM136" s="905" t="s">
        <v>5575</v>
      </c>
      <c r="CN136" s="1044">
        <v>93072.570999999996</v>
      </c>
      <c r="CO136" s="1045">
        <f t="shared" si="122"/>
        <v>49.264328740534182</v>
      </c>
      <c r="CP136" s="1049">
        <v>52363.911999999997</v>
      </c>
      <c r="CQ136" s="1050">
        <v>40708.659</v>
      </c>
      <c r="CR136" s="1046">
        <v>2012</v>
      </c>
      <c r="CS136" s="1047" t="s">
        <v>5804</v>
      </c>
      <c r="CT136" s="1068">
        <f t="shared" si="123"/>
        <v>18</v>
      </c>
      <c r="CU136" s="1071">
        <v>18</v>
      </c>
      <c r="CV136" s="1068" t="s">
        <v>5805</v>
      </c>
      <c r="CW136" s="1113">
        <v>86189.801999999996</v>
      </c>
      <c r="CX136" s="1113">
        <v>110782.605</v>
      </c>
      <c r="CY136" s="1113">
        <v>193238.86799999999</v>
      </c>
      <c r="CZ136" s="1048">
        <v>10</v>
      </c>
      <c r="DA136" s="1104">
        <v>3</v>
      </c>
      <c r="DB136" s="1050" t="s">
        <v>647</v>
      </c>
      <c r="DC136" s="1143" t="s">
        <v>320</v>
      </c>
      <c r="DD136" s="978">
        <f t="shared" si="148"/>
        <v>73628.492888000023</v>
      </c>
      <c r="DE136" s="979">
        <f t="shared" si="124"/>
        <v>38.972365749996484</v>
      </c>
      <c r="DF136" s="979">
        <f t="shared" si="149"/>
        <v>55.186650904031175</v>
      </c>
      <c r="DG136" s="980">
        <f t="shared" si="150"/>
        <v>32982.833532000004</v>
      </c>
      <c r="DH136" s="980">
        <f t="shared" si="151"/>
        <v>40633.099335999992</v>
      </c>
      <c r="DI136" s="979">
        <f t="shared" si="125"/>
        <v>33.984596462383799</v>
      </c>
      <c r="DJ136" s="981">
        <f t="shared" si="126"/>
        <v>44.227671974043261</v>
      </c>
      <c r="DK136" s="984">
        <f t="shared" si="127"/>
        <v>29710.011000000028</v>
      </c>
      <c r="DL136" s="979">
        <f t="shared" si="152"/>
        <v>65.125415133639535</v>
      </c>
      <c r="DM136" s="980">
        <f t="shared" si="128"/>
        <v>10361.243000000002</v>
      </c>
      <c r="DN136" s="985">
        <f t="shared" si="129"/>
        <v>19348.767999999989</v>
      </c>
      <c r="DO136" s="984">
        <f t="shared" si="130"/>
        <v>27541.767823999995</v>
      </c>
      <c r="DP136" s="979">
        <f t="shared" si="153"/>
        <v>48.444371487923711</v>
      </c>
      <c r="DQ136" s="980">
        <f t="shared" si="142"/>
        <v>14191.377185000001</v>
      </c>
      <c r="DR136" s="985">
        <f t="shared" si="143"/>
        <v>13342.436319</v>
      </c>
      <c r="DS136" s="984">
        <f t="shared" si="131"/>
        <v>16376.714063999998</v>
      </c>
      <c r="DT136" s="339">
        <f t="shared" si="154"/>
        <v>48.495045990075738</v>
      </c>
      <c r="DU136" s="980">
        <f t="shared" si="144"/>
        <v>8430.2133470000008</v>
      </c>
      <c r="DV136" s="985">
        <f t="shared" si="145"/>
        <v>7941.8950169999998</v>
      </c>
      <c r="DW136" s="979">
        <f t="shared" si="146"/>
        <v>65.900000000000006</v>
      </c>
      <c r="DX136" s="981">
        <f t="shared" si="147"/>
        <v>66.900000000000006</v>
      </c>
      <c r="DY136" s="414">
        <v>21.04</v>
      </c>
      <c r="DZ136" s="111">
        <v>2008</v>
      </c>
      <c r="EA136" s="118">
        <v>37116.526440000001</v>
      </c>
      <c r="EB136" s="123">
        <v>22.3</v>
      </c>
      <c r="EC136" s="113">
        <v>2006</v>
      </c>
      <c r="ED136" s="20">
        <v>39414.216172</v>
      </c>
      <c r="EE136" s="414">
        <v>22.3</v>
      </c>
      <c r="EF136" s="111" t="s">
        <v>1628</v>
      </c>
      <c r="EG136" s="380">
        <v>54.7380180358887</v>
      </c>
      <c r="EH136" s="24" t="s">
        <v>335</v>
      </c>
      <c r="EI136" s="287">
        <v>3</v>
      </c>
      <c r="EJ136" s="40">
        <v>1</v>
      </c>
      <c r="EK136" s="35" t="s">
        <v>728</v>
      </c>
      <c r="EL136" s="95" t="s">
        <v>1638</v>
      </c>
      <c r="EM136" s="95" t="s">
        <v>1641</v>
      </c>
      <c r="EN136" s="35" t="s">
        <v>145</v>
      </c>
      <c r="EO136" s="95" t="s">
        <v>1654</v>
      </c>
      <c r="EP136" s="205">
        <v>0.27</v>
      </c>
      <c r="EQ136" s="207" t="s">
        <v>145</v>
      </c>
      <c r="ER136" s="517">
        <v>6</v>
      </c>
      <c r="ES136" s="183" t="s">
        <v>3812</v>
      </c>
      <c r="ET136" s="183" t="s">
        <v>3812</v>
      </c>
      <c r="EU136" s="82" t="s">
        <v>3922</v>
      </c>
      <c r="EV136" s="82" t="s">
        <v>145</v>
      </c>
      <c r="EW136" s="82" t="s">
        <v>3923</v>
      </c>
      <c r="EX136" s="360" t="s">
        <v>3811</v>
      </c>
      <c r="EY136" s="159"/>
      <c r="EZ136" s="156"/>
      <c r="FA136" s="323"/>
      <c r="FB136" s="323"/>
      <c r="FC136" s="323"/>
      <c r="FD136" s="160"/>
      <c r="FE136" s="156"/>
      <c r="FF136" s="156"/>
      <c r="FG136" s="156"/>
      <c r="FH136" s="157"/>
      <c r="FI136" s="242"/>
      <c r="FJ136" s="373"/>
      <c r="FK136" s="179"/>
      <c r="FL136" s="179"/>
      <c r="FM136" s="179"/>
      <c r="FN136" s="369"/>
      <c r="FO136" s="164"/>
      <c r="FP136" s="255">
        <v>1</v>
      </c>
      <c r="FQ136" s="183" t="s">
        <v>1920</v>
      </c>
      <c r="FR136" s="257"/>
      <c r="FS136" s="82"/>
      <c r="FT136" s="259">
        <v>1</v>
      </c>
      <c r="FU136" s="82" t="s">
        <v>1921</v>
      </c>
      <c r="FV136" s="259"/>
      <c r="FW136" s="82"/>
      <c r="FX136" s="259"/>
      <c r="FY136" s="82"/>
      <c r="FZ136" s="259"/>
      <c r="GA136" s="82"/>
      <c r="GB136" s="261">
        <v>1</v>
      </c>
      <c r="GC136" s="90" t="s">
        <v>1922</v>
      </c>
      <c r="GD136" s="76">
        <v>2</v>
      </c>
      <c r="GE136" s="445" t="s">
        <v>3425</v>
      </c>
      <c r="GF136" s="447" t="s">
        <v>590</v>
      </c>
      <c r="GG136" s="448">
        <v>4</v>
      </c>
      <c r="GH136" s="449">
        <v>5</v>
      </c>
      <c r="GI136" s="447" t="s">
        <v>580</v>
      </c>
      <c r="GJ136" s="449">
        <v>69</v>
      </c>
      <c r="GK136" s="447">
        <v>20</v>
      </c>
      <c r="GL136" s="448">
        <v>20</v>
      </c>
      <c r="GM136" s="449">
        <v>29</v>
      </c>
      <c r="GN136" s="447" t="s">
        <v>580</v>
      </c>
      <c r="GO136" s="449">
        <v>64</v>
      </c>
      <c r="GP136" s="447">
        <v>19</v>
      </c>
      <c r="GQ136" s="448">
        <v>29</v>
      </c>
      <c r="GR136" s="449">
        <v>16</v>
      </c>
      <c r="GS136" s="446">
        <v>8</v>
      </c>
      <c r="GT136" s="461">
        <v>-0.83105254173278809</v>
      </c>
      <c r="GU136" s="462">
        <v>-2.5947163105010986</v>
      </c>
      <c r="GV136" s="462">
        <v>-0.80031144618988037</v>
      </c>
      <c r="GW136" s="462">
        <v>-0.71327441930770874</v>
      </c>
      <c r="GX136" s="462">
        <v>-0.87924885749816895</v>
      </c>
      <c r="GY136" s="463">
        <v>-0.93354696035385132</v>
      </c>
      <c r="GZ136" s="10">
        <v>158</v>
      </c>
      <c r="HA136" s="536">
        <v>0.25799</v>
      </c>
      <c r="HB136" s="536">
        <v>0.33333000000000002</v>
      </c>
      <c r="HC136" s="525">
        <v>0.32283000000000001</v>
      </c>
      <c r="HD136" s="526">
        <v>0.11743000000000001</v>
      </c>
      <c r="HE136" s="527">
        <v>0.3337</v>
      </c>
      <c r="HF136" s="10">
        <v>142</v>
      </c>
      <c r="HG136" s="532">
        <v>2.0499999999999998</v>
      </c>
      <c r="HH136" s="545">
        <v>3.03</v>
      </c>
      <c r="HI136" s="546">
        <v>0.42</v>
      </c>
      <c r="HJ136" s="547">
        <v>3.36</v>
      </c>
      <c r="HK136" s="558" t="s">
        <v>145</v>
      </c>
      <c r="HL136" s="82" t="s">
        <v>145</v>
      </c>
      <c r="HM136" s="557" t="s">
        <v>145</v>
      </c>
      <c r="HN136" s="557" t="s">
        <v>145</v>
      </c>
      <c r="HO136" s="557" t="s">
        <v>145</v>
      </c>
      <c r="HP136" s="562" t="s">
        <v>145</v>
      </c>
      <c r="HQ136" s="562" t="s">
        <v>145</v>
      </c>
      <c r="HR136" s="563" t="s">
        <v>145</v>
      </c>
      <c r="HS136" s="545">
        <v>81</v>
      </c>
      <c r="HT136" s="557">
        <v>66</v>
      </c>
      <c r="HU136" s="557">
        <v>2002</v>
      </c>
      <c r="HV136" s="583" t="s">
        <v>4230</v>
      </c>
      <c r="HW136" s="557">
        <v>5</v>
      </c>
      <c r="HX136" s="557">
        <v>16</v>
      </c>
      <c r="HY136" s="557">
        <v>8</v>
      </c>
      <c r="HZ136" s="557">
        <v>11</v>
      </c>
      <c r="IA136" s="557">
        <v>18</v>
      </c>
      <c r="IB136" s="557">
        <v>5</v>
      </c>
      <c r="IC136" s="547">
        <v>3</v>
      </c>
      <c r="ID136" s="40"/>
      <c r="IE136" s="550"/>
      <c r="IF136" s="550"/>
      <c r="IG136" s="553"/>
      <c r="IH136" s="115"/>
      <c r="II136" s="647" t="s">
        <v>4923</v>
      </c>
      <c r="IJ136" s="423" t="s">
        <v>4926</v>
      </c>
      <c r="IK136" s="10">
        <v>0</v>
      </c>
      <c r="IL136" s="749">
        <f t="shared" si="132"/>
        <v>19</v>
      </c>
      <c r="IM136" s="747">
        <f t="shared" si="133"/>
        <v>76</v>
      </c>
      <c r="IN136" s="750" t="str">
        <f t="shared" si="134"/>
        <v>A</v>
      </c>
      <c r="IO136" s="446"/>
      <c r="IP136" s="902">
        <v>3</v>
      </c>
      <c r="IQ136" s="903">
        <v>1</v>
      </c>
      <c r="IR136" s="993">
        <v>0</v>
      </c>
      <c r="IT136" s="435"/>
      <c r="IU136" s="435"/>
      <c r="IV136" s="435"/>
    </row>
    <row r="137" spans="1:256">
      <c r="A137" s="21">
        <v>135</v>
      </c>
      <c r="B137" s="9"/>
      <c r="C137" s="430" t="s">
        <v>211</v>
      </c>
      <c r="D137" s="424" t="s">
        <v>407</v>
      </c>
      <c r="E137" s="24" t="s">
        <v>12</v>
      </c>
      <c r="F137" s="76" t="s">
        <v>871</v>
      </c>
      <c r="G137" s="102" t="s">
        <v>597</v>
      </c>
      <c r="H137" s="251" t="s">
        <v>2417</v>
      </c>
      <c r="I137" s="95" t="s">
        <v>2418</v>
      </c>
      <c r="J137" s="370">
        <v>1</v>
      </c>
      <c r="K137" s="88">
        <v>1947</v>
      </c>
      <c r="L137" s="371">
        <v>2</v>
      </c>
      <c r="M137" s="373" t="s">
        <v>145</v>
      </c>
      <c r="N137" s="353">
        <v>5</v>
      </c>
      <c r="O137" s="379" t="s">
        <v>145</v>
      </c>
      <c r="P137" s="362" t="s">
        <v>145</v>
      </c>
      <c r="Q137" s="370">
        <v>0</v>
      </c>
      <c r="R137" s="370" t="s">
        <v>145</v>
      </c>
      <c r="S137" s="372" t="s">
        <v>145</v>
      </c>
      <c r="T137" s="370">
        <v>0</v>
      </c>
      <c r="U137" s="370">
        <v>0</v>
      </c>
      <c r="V137" s="370" t="s">
        <v>145</v>
      </c>
      <c r="W137" s="369" t="s">
        <v>145</v>
      </c>
      <c r="X137" s="170">
        <v>0</v>
      </c>
      <c r="Y137" s="369">
        <v>0</v>
      </c>
      <c r="Z137" s="271"/>
      <c r="AA137" s="169"/>
      <c r="AB137" s="177"/>
      <c r="AC137" s="171"/>
      <c r="AD137" s="376" t="s">
        <v>145</v>
      </c>
      <c r="AE137" s="355" t="s">
        <v>145</v>
      </c>
      <c r="AF137" s="357">
        <v>0</v>
      </c>
      <c r="AG137" s="550">
        <v>0</v>
      </c>
      <c r="AH137" s="355" t="s">
        <v>145</v>
      </c>
      <c r="AI137" s="550" t="s">
        <v>145</v>
      </c>
      <c r="AJ137" s="550" t="s">
        <v>145</v>
      </c>
      <c r="AK137" s="590" t="s">
        <v>145</v>
      </c>
      <c r="AL137" s="357">
        <v>0</v>
      </c>
      <c r="AM137" s="360" t="s">
        <v>145</v>
      </c>
      <c r="AN137" s="384" t="s">
        <v>145</v>
      </c>
      <c r="AO137" s="170">
        <v>0</v>
      </c>
      <c r="AP137" s="369">
        <v>0</v>
      </c>
      <c r="AQ137" s="365" t="s">
        <v>5396</v>
      </c>
      <c r="AR137" s="362" t="s">
        <v>4993</v>
      </c>
      <c r="AS137" s="55">
        <v>1</v>
      </c>
      <c r="AT137" s="370">
        <v>2</v>
      </c>
      <c r="AU137" s="371">
        <v>2006</v>
      </c>
      <c r="AV137" s="370">
        <v>5</v>
      </c>
      <c r="AW137" s="589" t="s">
        <v>145</v>
      </c>
      <c r="AX137" s="687">
        <v>0</v>
      </c>
      <c r="AY137" s="174" t="s">
        <v>4585</v>
      </c>
      <c r="AZ137" s="55">
        <v>1996</v>
      </c>
      <c r="BA137" s="55">
        <v>0</v>
      </c>
      <c r="BB137" s="55">
        <v>2</v>
      </c>
      <c r="BC137" s="174" t="s">
        <v>4378</v>
      </c>
      <c r="BD137" s="55">
        <v>1996</v>
      </c>
      <c r="BE137" s="55">
        <v>1</v>
      </c>
      <c r="BF137" s="371" t="s">
        <v>323</v>
      </c>
      <c r="BG137" s="371">
        <v>0</v>
      </c>
      <c r="BH137" s="56" t="s">
        <v>145</v>
      </c>
      <c r="BI137" s="371">
        <v>0</v>
      </c>
      <c r="BJ137" s="371">
        <v>0</v>
      </c>
      <c r="BK137" s="888">
        <v>21.186</v>
      </c>
      <c r="BL137" s="925">
        <f t="shared" si="121"/>
        <v>47.554989143774186</v>
      </c>
      <c r="BM137" s="911">
        <v>11.111000000000001</v>
      </c>
      <c r="BN137" s="921">
        <v>10.074999999999999</v>
      </c>
      <c r="BO137" s="911">
        <v>1.1299999999999999</v>
      </c>
      <c r="BP137" s="1159">
        <f t="shared" si="135"/>
        <v>48.672566371681427</v>
      </c>
      <c r="BQ137" s="918">
        <v>0.57999999999999996</v>
      </c>
      <c r="BR137" s="921">
        <v>0.55000000000000004</v>
      </c>
      <c r="BS137" s="911">
        <v>1.43</v>
      </c>
      <c r="BT137" s="1159">
        <f t="shared" si="136"/>
        <v>48.251748251748253</v>
      </c>
      <c r="BU137" s="918">
        <v>0.74</v>
      </c>
      <c r="BV137" s="921">
        <v>0.69</v>
      </c>
      <c r="BW137" s="911">
        <v>1.78</v>
      </c>
      <c r="BX137" s="1159">
        <f t="shared" si="137"/>
        <v>48.31460674157303</v>
      </c>
      <c r="BY137" s="918">
        <v>0.92</v>
      </c>
      <c r="BZ137" s="921">
        <v>0.86</v>
      </c>
      <c r="CA137" s="911">
        <f t="shared" si="138"/>
        <v>16.846</v>
      </c>
      <c r="CB137" s="1159">
        <f t="shared" si="139"/>
        <v>47.340614982785226</v>
      </c>
      <c r="CC137" s="918">
        <f t="shared" si="140"/>
        <v>8.8710000000000004</v>
      </c>
      <c r="CD137" s="921">
        <f t="shared" si="141"/>
        <v>7.9749999999999988</v>
      </c>
      <c r="CE137" s="927">
        <v>2014</v>
      </c>
      <c r="CF137" s="926" t="s">
        <v>5689</v>
      </c>
      <c r="CG137" s="931">
        <v>90</v>
      </c>
      <c r="CH137" s="504">
        <v>90</v>
      </c>
      <c r="CI137" s="1008">
        <v>90</v>
      </c>
      <c r="CJ137" s="904" t="s">
        <v>1621</v>
      </c>
      <c r="CK137" s="904" t="s">
        <v>1621</v>
      </c>
      <c r="CL137" s="904">
        <v>2014</v>
      </c>
      <c r="CM137" s="1004" t="s">
        <v>5719</v>
      </c>
      <c r="CN137" s="1044">
        <v>15.305</v>
      </c>
      <c r="CO137" s="1045">
        <f t="shared" si="122"/>
        <v>72.241102614934391</v>
      </c>
      <c r="CP137" s="1040">
        <f>IF(OR(CZ137=1,CZ137=10),CN137*(1-BL137/100),IF(DA137=6,CN137*(1-BL137/100),CN137*(1-CB137/100)))</f>
        <v>8.0267089115453611</v>
      </c>
      <c r="CQ137" s="1041">
        <f>IF(OR(CZ137=1,CZ137=10),CN137*BL137/100,IF(DA137=6,CN137*BL137/100,CN137*CB137/100))</f>
        <v>7.2782910884546395</v>
      </c>
      <c r="CR137" s="1046">
        <v>2012</v>
      </c>
      <c r="CS137" s="1047" t="s">
        <v>5980</v>
      </c>
      <c r="CT137" s="1068" t="str">
        <f t="shared" si="123"/>
        <v>-</v>
      </c>
      <c r="CU137" s="1071">
        <v>18</v>
      </c>
      <c r="CV137" s="1068" t="s">
        <v>5986</v>
      </c>
      <c r="CW137" s="1113">
        <v>15.305</v>
      </c>
      <c r="CX137" s="1113">
        <v>14.722</v>
      </c>
      <c r="CY137" s="1113">
        <v>21.032</v>
      </c>
      <c r="CZ137" s="494">
        <v>1</v>
      </c>
      <c r="DA137" s="1104">
        <v>4</v>
      </c>
      <c r="DB137" s="1050" t="s">
        <v>647</v>
      </c>
      <c r="DC137" s="1146" t="s">
        <v>322</v>
      </c>
      <c r="DD137" s="978">
        <f t="shared" si="148"/>
        <v>1.9750000000000003</v>
      </c>
      <c r="DE137" s="979">
        <f t="shared" si="124"/>
        <v>9.3221939016331543</v>
      </c>
      <c r="DF137" s="979">
        <f t="shared" si="149"/>
        <v>45.909311976980213</v>
      </c>
      <c r="DG137" s="980">
        <f t="shared" si="150"/>
        <v>1.0682910884546393</v>
      </c>
      <c r="DH137" s="980">
        <f t="shared" si="151"/>
        <v>0.90670891154535926</v>
      </c>
      <c r="DI137" s="979">
        <f t="shared" si="125"/>
        <v>9.6147159432511859</v>
      </c>
      <c r="DJ137" s="981">
        <f t="shared" si="126"/>
        <v>8.9995921741474874</v>
      </c>
      <c r="DK137" s="984">
        <f t="shared" si="127"/>
        <v>1.5410000000000004</v>
      </c>
      <c r="DL137" s="979">
        <f t="shared" si="152"/>
        <v>45.211480307940242</v>
      </c>
      <c r="DM137" s="980">
        <f t="shared" si="128"/>
        <v>0.84429108845463929</v>
      </c>
      <c r="DN137" s="985">
        <f t="shared" si="129"/>
        <v>0.6967089115453593</v>
      </c>
      <c r="DO137" s="984">
        <f t="shared" si="130"/>
        <v>0.32099999999999995</v>
      </c>
      <c r="DP137" s="979">
        <f t="shared" si="153"/>
        <v>48.286604361370713</v>
      </c>
      <c r="DQ137" s="980">
        <f t="shared" si="142"/>
        <v>0.16599999999999998</v>
      </c>
      <c r="DR137" s="985">
        <f t="shared" si="143"/>
        <v>0.15499999999999997</v>
      </c>
      <c r="DS137" s="984">
        <f t="shared" si="131"/>
        <v>0.11299999999999996</v>
      </c>
      <c r="DT137" s="339">
        <f t="shared" si="154"/>
        <v>48.672566371681427</v>
      </c>
      <c r="DU137" s="980">
        <f t="shared" si="144"/>
        <v>5.7999999999999982E-2</v>
      </c>
      <c r="DV137" s="985">
        <f t="shared" si="145"/>
        <v>5.4999999999999993E-2</v>
      </c>
      <c r="DW137" s="979">
        <f t="shared" si="146"/>
        <v>9.9999999999999982</v>
      </c>
      <c r="DX137" s="981">
        <f t="shared" si="147"/>
        <v>9.9999999999999982</v>
      </c>
      <c r="DY137" s="414" t="s">
        <v>145</v>
      </c>
      <c r="DZ137" s="111" t="s">
        <v>145</v>
      </c>
      <c r="EA137" s="118"/>
      <c r="EB137" s="123" t="s">
        <v>145</v>
      </c>
      <c r="EC137" s="113" t="s">
        <v>145</v>
      </c>
      <c r="ED137" s="20"/>
      <c r="EE137" s="414" t="s">
        <v>145</v>
      </c>
      <c r="EF137" s="111" t="s">
        <v>145</v>
      </c>
      <c r="EG137" s="380">
        <v>99.523963928222699</v>
      </c>
      <c r="EH137" s="24" t="s">
        <v>335</v>
      </c>
      <c r="EI137" s="287">
        <v>0</v>
      </c>
      <c r="EJ137" s="40" t="s">
        <v>145</v>
      </c>
      <c r="EK137" s="35" t="s">
        <v>145</v>
      </c>
      <c r="EL137" s="95" t="s">
        <v>145</v>
      </c>
      <c r="EM137" s="95" t="s">
        <v>145</v>
      </c>
      <c r="EN137" s="35" t="s">
        <v>145</v>
      </c>
      <c r="EO137" s="95" t="s">
        <v>145</v>
      </c>
      <c r="EP137" s="205" t="s">
        <v>145</v>
      </c>
      <c r="EQ137" s="207" t="s">
        <v>145</v>
      </c>
      <c r="ER137" s="517" t="s">
        <v>145</v>
      </c>
      <c r="ES137" s="183"/>
      <c r="ET137" s="183"/>
      <c r="EU137" s="82"/>
      <c r="EV137" s="82"/>
      <c r="EW137" s="82"/>
      <c r="EX137" s="90"/>
      <c r="EY137" s="159"/>
      <c r="EZ137" s="156"/>
      <c r="FA137" s="323"/>
      <c r="FB137" s="323"/>
      <c r="FC137" s="323"/>
      <c r="FD137" s="160"/>
      <c r="FE137" s="156"/>
      <c r="FF137" s="156"/>
      <c r="FG137" s="156"/>
      <c r="FH137" s="157"/>
      <c r="FI137" s="242"/>
      <c r="FJ137" s="373"/>
      <c r="FK137" s="179"/>
      <c r="FL137" s="179"/>
      <c r="FM137" s="179"/>
      <c r="FN137" s="369"/>
      <c r="FO137" s="164"/>
      <c r="FP137" s="255"/>
      <c r="FQ137" s="183"/>
      <c r="FR137" s="257"/>
      <c r="FS137" s="82"/>
      <c r="FT137" s="259"/>
      <c r="FU137" s="82"/>
      <c r="FV137" s="259"/>
      <c r="FW137" s="82"/>
      <c r="FX137" s="259"/>
      <c r="FY137" s="82"/>
      <c r="FZ137" s="259"/>
      <c r="GA137" s="82"/>
      <c r="GB137" s="261"/>
      <c r="GC137" s="90"/>
      <c r="GD137" s="76">
        <v>2</v>
      </c>
      <c r="GE137" s="445" t="s">
        <v>3425</v>
      </c>
      <c r="GF137" s="447" t="s">
        <v>10</v>
      </c>
      <c r="GG137" s="448">
        <v>1</v>
      </c>
      <c r="GH137" s="449">
        <v>1</v>
      </c>
      <c r="GI137" s="447" t="s">
        <v>145</v>
      </c>
      <c r="GJ137" s="449" t="s">
        <v>145</v>
      </c>
      <c r="GK137" s="447" t="s">
        <v>145</v>
      </c>
      <c r="GL137" s="448" t="s">
        <v>145</v>
      </c>
      <c r="GM137" s="449" t="s">
        <v>145</v>
      </c>
      <c r="GN137" s="447" t="s">
        <v>10</v>
      </c>
      <c r="GO137" s="449">
        <v>15</v>
      </c>
      <c r="GP137" s="447">
        <v>1</v>
      </c>
      <c r="GQ137" s="448">
        <v>6</v>
      </c>
      <c r="GR137" s="449">
        <v>8</v>
      </c>
      <c r="GS137" s="446"/>
      <c r="GT137" s="461">
        <v>1.2155786752700806</v>
      </c>
      <c r="GU137" s="462">
        <v>1.0969746112823486</v>
      </c>
      <c r="GV137" s="462">
        <v>-0.58807927370071411</v>
      </c>
      <c r="GW137" s="462">
        <v>-1.0062103271484375</v>
      </c>
      <c r="GX137" s="462">
        <v>0.90055704116821289</v>
      </c>
      <c r="GY137" s="463">
        <v>-0.57633638381958008</v>
      </c>
      <c r="GZ137" s="10">
        <v>108</v>
      </c>
      <c r="HA137" s="536">
        <v>0.4415</v>
      </c>
      <c r="HB137" s="536">
        <v>0.23529</v>
      </c>
      <c r="HC137" s="525">
        <v>0.16535</v>
      </c>
      <c r="HD137" s="526">
        <v>0.35921999999999998</v>
      </c>
      <c r="HE137" s="527">
        <v>0.79990000000000006</v>
      </c>
      <c r="HF137" s="10" t="s">
        <v>145</v>
      </c>
      <c r="HG137" s="532" t="s">
        <v>145</v>
      </c>
      <c r="HH137" s="524" t="s">
        <v>145</v>
      </c>
      <c r="HI137" s="525" t="s">
        <v>145</v>
      </c>
      <c r="HJ137" s="527" t="s">
        <v>145</v>
      </c>
      <c r="HK137" s="558" t="s">
        <v>145</v>
      </c>
      <c r="HL137" s="82" t="s">
        <v>145</v>
      </c>
      <c r="HM137" s="557" t="s">
        <v>145</v>
      </c>
      <c r="HN137" s="557" t="s">
        <v>145</v>
      </c>
      <c r="HO137" s="526" t="s">
        <v>145</v>
      </c>
      <c r="HP137" s="564" t="s">
        <v>145</v>
      </c>
      <c r="HQ137" s="564" t="s">
        <v>145</v>
      </c>
      <c r="HR137" s="565" t="s">
        <v>145</v>
      </c>
      <c r="HS137" s="524" t="s">
        <v>145</v>
      </c>
      <c r="HT137" s="526" t="s">
        <v>145</v>
      </c>
      <c r="HU137" s="526" t="s">
        <v>145</v>
      </c>
      <c r="HV137" s="582" t="s">
        <v>145</v>
      </c>
      <c r="HW137" s="526" t="s">
        <v>145</v>
      </c>
      <c r="HX137" s="526" t="s">
        <v>145</v>
      </c>
      <c r="HY137" s="526" t="s">
        <v>145</v>
      </c>
      <c r="HZ137" s="526" t="s">
        <v>145</v>
      </c>
      <c r="IA137" s="526" t="s">
        <v>145</v>
      </c>
      <c r="IB137" s="526" t="s">
        <v>145</v>
      </c>
      <c r="IC137" s="527" t="s">
        <v>145</v>
      </c>
      <c r="ID137" s="660"/>
      <c r="IE137" s="550"/>
      <c r="IF137" s="550"/>
      <c r="IG137" s="553"/>
      <c r="IH137" s="339"/>
      <c r="II137" s="553" t="s">
        <v>4922</v>
      </c>
      <c r="IJ137" s="424" t="s">
        <v>4926</v>
      </c>
      <c r="IK137" s="24">
        <v>1</v>
      </c>
      <c r="IL137" s="749">
        <f t="shared" si="132"/>
        <v>6</v>
      </c>
      <c r="IM137" s="747">
        <f t="shared" si="133"/>
        <v>24</v>
      </c>
      <c r="IN137" s="750" t="str">
        <f t="shared" si="134"/>
        <v>D</v>
      </c>
      <c r="IO137" s="446"/>
      <c r="IP137" s="902">
        <v>1</v>
      </c>
      <c r="IQ137" s="903">
        <v>0</v>
      </c>
      <c r="IR137" s="993">
        <v>0</v>
      </c>
      <c r="IT137" s="435"/>
      <c r="IU137" s="435"/>
      <c r="IV137" s="435"/>
    </row>
    <row r="138" spans="1:256">
      <c r="A138" s="21">
        <v>136</v>
      </c>
      <c r="B138" s="9"/>
      <c r="C138" s="430" t="s">
        <v>212</v>
      </c>
      <c r="D138" s="424" t="s">
        <v>409</v>
      </c>
      <c r="E138" s="24" t="s">
        <v>12</v>
      </c>
      <c r="F138" s="76" t="s">
        <v>872</v>
      </c>
      <c r="G138" s="102" t="s">
        <v>588</v>
      </c>
      <c r="H138" s="375" t="s">
        <v>1782</v>
      </c>
      <c r="I138" s="95" t="s">
        <v>1780</v>
      </c>
      <c r="J138" s="176">
        <v>4</v>
      </c>
      <c r="K138" s="88">
        <v>1914</v>
      </c>
      <c r="L138" s="371">
        <v>2</v>
      </c>
      <c r="M138" s="240" t="s">
        <v>1813</v>
      </c>
      <c r="N138" s="172" t="s">
        <v>1822</v>
      </c>
      <c r="O138" s="365" t="s">
        <v>3305</v>
      </c>
      <c r="P138" s="362" t="s">
        <v>3304</v>
      </c>
      <c r="Q138" s="176">
        <v>4</v>
      </c>
      <c r="R138" s="370">
        <v>1973</v>
      </c>
      <c r="S138" s="234" t="s">
        <v>1817</v>
      </c>
      <c r="T138" s="176">
        <v>1</v>
      </c>
      <c r="U138" s="370">
        <v>2</v>
      </c>
      <c r="V138" s="176">
        <v>18</v>
      </c>
      <c r="W138" s="369" t="s">
        <v>1822</v>
      </c>
      <c r="X138" s="170">
        <v>1</v>
      </c>
      <c r="Y138" s="369">
        <v>1</v>
      </c>
      <c r="Z138" s="271"/>
      <c r="AA138" s="169"/>
      <c r="AB138" s="177">
        <v>1</v>
      </c>
      <c r="AC138" s="171"/>
      <c r="AD138" s="366" t="s">
        <v>3303</v>
      </c>
      <c r="AE138" s="357">
        <v>2010</v>
      </c>
      <c r="AF138" s="357">
        <v>2</v>
      </c>
      <c r="AG138" s="550" t="s">
        <v>5171</v>
      </c>
      <c r="AH138" s="355" t="s">
        <v>3306</v>
      </c>
      <c r="AI138" s="55">
        <v>0</v>
      </c>
      <c r="AJ138" s="55">
        <v>0</v>
      </c>
      <c r="AK138" s="590" t="s">
        <v>145</v>
      </c>
      <c r="AL138" s="391">
        <v>9</v>
      </c>
      <c r="AM138" s="361" t="s">
        <v>3307</v>
      </c>
      <c r="AN138" s="384" t="s">
        <v>145</v>
      </c>
      <c r="AO138" s="170">
        <v>1</v>
      </c>
      <c r="AP138" s="369">
        <v>1</v>
      </c>
      <c r="AQ138" s="365" t="s">
        <v>5286</v>
      </c>
      <c r="AR138" s="378" t="s">
        <v>5287</v>
      </c>
      <c r="AS138" s="55">
        <v>2</v>
      </c>
      <c r="AT138" s="370">
        <v>5</v>
      </c>
      <c r="AU138" s="371">
        <v>2012</v>
      </c>
      <c r="AV138" s="370">
        <v>5</v>
      </c>
      <c r="AW138" s="589" t="s">
        <v>145</v>
      </c>
      <c r="AX138" s="687">
        <v>0</v>
      </c>
      <c r="AY138" s="174" t="s">
        <v>4452</v>
      </c>
      <c r="AZ138" s="55">
        <v>2009</v>
      </c>
      <c r="BA138" s="55">
        <v>1</v>
      </c>
      <c r="BB138" s="55">
        <v>1</v>
      </c>
      <c r="BC138" s="174" t="s">
        <v>4453</v>
      </c>
      <c r="BD138" s="55">
        <v>1976</v>
      </c>
      <c r="BE138" s="55">
        <v>0</v>
      </c>
      <c r="BF138" s="371" t="s">
        <v>145</v>
      </c>
      <c r="BG138" s="371">
        <v>0</v>
      </c>
      <c r="BH138" s="56" t="s">
        <v>145</v>
      </c>
      <c r="BI138" s="371">
        <v>0</v>
      </c>
      <c r="BJ138" s="371">
        <v>1</v>
      </c>
      <c r="BK138" s="888">
        <v>3929.1410000000001</v>
      </c>
      <c r="BL138" s="925">
        <f t="shared" si="121"/>
        <v>49.868431802269249</v>
      </c>
      <c r="BM138" s="888">
        <v>1969.74</v>
      </c>
      <c r="BN138" s="920">
        <v>1959.4010000000001</v>
      </c>
      <c r="BO138" s="888">
        <v>368.40699999999998</v>
      </c>
      <c r="BP138" s="1158">
        <f t="shared" si="135"/>
        <v>48.93908096208812</v>
      </c>
      <c r="BQ138" s="917">
        <v>188.11199999999999</v>
      </c>
      <c r="BR138" s="920">
        <v>180.29499999999999</v>
      </c>
      <c r="BS138" s="888">
        <v>356.02</v>
      </c>
      <c r="BT138" s="1158">
        <f t="shared" si="136"/>
        <v>48.960170776922645</v>
      </c>
      <c r="BU138" s="917">
        <v>181.71199999999999</v>
      </c>
      <c r="BV138" s="920">
        <v>174.30799999999999</v>
      </c>
      <c r="BW138" s="888">
        <v>342.90699999999998</v>
      </c>
      <c r="BX138" s="1158">
        <f t="shared" si="137"/>
        <v>49.060240823313613</v>
      </c>
      <c r="BY138" s="917">
        <v>174.67599999999999</v>
      </c>
      <c r="BZ138" s="920">
        <v>168.23099999999999</v>
      </c>
      <c r="CA138" s="888">
        <f t="shared" si="138"/>
        <v>2861.8069999999998</v>
      </c>
      <c r="CB138" s="1158">
        <f t="shared" si="139"/>
        <v>50.197899439060713</v>
      </c>
      <c r="CC138" s="917">
        <f t="shared" si="140"/>
        <v>1425.24</v>
      </c>
      <c r="CD138" s="920">
        <f t="shared" si="141"/>
        <v>1436.567</v>
      </c>
      <c r="CE138" s="914">
        <v>2015</v>
      </c>
      <c r="CF138" s="910" t="s">
        <v>5630</v>
      </c>
      <c r="CG138" s="931">
        <v>90</v>
      </c>
      <c r="CH138" s="504">
        <v>90</v>
      </c>
      <c r="CI138" s="1008">
        <v>90</v>
      </c>
      <c r="CJ138" s="904" t="s">
        <v>1621</v>
      </c>
      <c r="CK138" s="904" t="s">
        <v>1621</v>
      </c>
      <c r="CL138" s="904">
        <v>2014</v>
      </c>
      <c r="CM138" s="1004" t="s">
        <v>5719</v>
      </c>
      <c r="CN138" s="1044">
        <v>2457.4009999999998</v>
      </c>
      <c r="CO138" s="1045">
        <f t="shared" si="122"/>
        <v>62.54295786280003</v>
      </c>
      <c r="CP138" s="1040">
        <f>IF(OR(CZ138=1,CZ138=10),CN138*(1-BL138/100),IF(DA138=6,CN138*(1-BL138/100),CN138*(1-CB138/100)))</f>
        <v>1231.9336582067174</v>
      </c>
      <c r="CQ138" s="1041">
        <f>IF(OR(CZ138=1,CZ138=10),CN138*BL138/100,IF(DA138=6,CN138*BL138/100,CN138*CB138/100))</f>
        <v>1225.4673417932825</v>
      </c>
      <c r="CR138" s="1046">
        <v>2014</v>
      </c>
      <c r="CS138" s="1047" t="s">
        <v>5981</v>
      </c>
      <c r="CT138" s="1068">
        <f t="shared" si="123"/>
        <v>18</v>
      </c>
      <c r="CU138" s="1071">
        <v>18</v>
      </c>
      <c r="CV138" s="1068" t="s">
        <v>5987</v>
      </c>
      <c r="CW138" s="1113">
        <v>2457.4009999999998</v>
      </c>
      <c r="CX138" s="1113">
        <v>2338.2069999999999</v>
      </c>
      <c r="CY138" s="1113">
        <v>3608.431</v>
      </c>
      <c r="CZ138" s="494">
        <v>1</v>
      </c>
      <c r="DA138" s="1104">
        <v>4</v>
      </c>
      <c r="DB138" s="1050" t="s">
        <v>647</v>
      </c>
      <c r="DC138" s="1146" t="s">
        <v>322</v>
      </c>
      <c r="DD138" s="978">
        <f t="shared" si="148"/>
        <v>511.13939999999991</v>
      </c>
      <c r="DE138" s="979">
        <f t="shared" si="124"/>
        <v>13.008935031855561</v>
      </c>
      <c r="DF138" s="979">
        <f t="shared" si="149"/>
        <v>51.528615913137898</v>
      </c>
      <c r="DG138" s="980">
        <f t="shared" si="150"/>
        <v>247.75634179328262</v>
      </c>
      <c r="DH138" s="980">
        <f t="shared" si="151"/>
        <v>263.38305820671752</v>
      </c>
      <c r="DI138" s="979">
        <f t="shared" si="125"/>
        <v>12.578124107409232</v>
      </c>
      <c r="DJ138" s="981">
        <f t="shared" si="126"/>
        <v>13.442019178652941</v>
      </c>
      <c r="DK138" s="984">
        <f t="shared" si="127"/>
        <v>404.40599999999995</v>
      </c>
      <c r="DL138" s="979">
        <f t="shared" si="152"/>
        <v>52.199932297423281</v>
      </c>
      <c r="DM138" s="980">
        <f t="shared" si="128"/>
        <v>193.30634179328263</v>
      </c>
      <c r="DN138" s="985">
        <f t="shared" si="129"/>
        <v>211.09965820671755</v>
      </c>
      <c r="DO138" s="984">
        <f t="shared" si="130"/>
        <v>69.892699999999991</v>
      </c>
      <c r="DP138" s="979">
        <f t="shared" si="153"/>
        <v>49.009267062225369</v>
      </c>
      <c r="DQ138" s="980">
        <f t="shared" si="142"/>
        <v>35.638799999999989</v>
      </c>
      <c r="DR138" s="985">
        <f t="shared" si="143"/>
        <v>34.253899999999987</v>
      </c>
      <c r="DS138" s="984">
        <f t="shared" si="131"/>
        <v>36.840699999999991</v>
      </c>
      <c r="DT138" s="339">
        <f t="shared" si="154"/>
        <v>48.93908096208812</v>
      </c>
      <c r="DU138" s="980">
        <f t="shared" si="144"/>
        <v>18.811199999999996</v>
      </c>
      <c r="DV138" s="985">
        <f t="shared" si="145"/>
        <v>18.029499999999995</v>
      </c>
      <c r="DW138" s="979">
        <f t="shared" si="146"/>
        <v>9.9999999999999982</v>
      </c>
      <c r="DX138" s="981">
        <f t="shared" si="147"/>
        <v>9.9999999999999982</v>
      </c>
      <c r="DY138" s="414">
        <v>6.56</v>
      </c>
      <c r="DZ138" s="111">
        <v>2010</v>
      </c>
      <c r="EA138" s="118">
        <v>235.69820999999999</v>
      </c>
      <c r="EB138" s="123">
        <v>32.700000000000003</v>
      </c>
      <c r="EC138" s="113">
        <v>2008</v>
      </c>
      <c r="ED138" s="20">
        <v>1167.777495</v>
      </c>
      <c r="EE138" s="414">
        <v>26</v>
      </c>
      <c r="EF138" s="111">
        <v>2012</v>
      </c>
      <c r="EG138" s="380">
        <v>94.094123840332003</v>
      </c>
      <c r="EH138" s="24" t="s">
        <v>358</v>
      </c>
      <c r="EI138" s="287">
        <v>0</v>
      </c>
      <c r="EJ138" s="40" t="s">
        <v>145</v>
      </c>
      <c r="EK138" s="35" t="s">
        <v>145</v>
      </c>
      <c r="EL138" s="95" t="s">
        <v>145</v>
      </c>
      <c r="EM138" s="95" t="s">
        <v>145</v>
      </c>
      <c r="EN138" s="35" t="s">
        <v>145</v>
      </c>
      <c r="EO138" s="95" t="s">
        <v>145</v>
      </c>
      <c r="EP138" s="205" t="s">
        <v>145</v>
      </c>
      <c r="EQ138" s="207" t="s">
        <v>145</v>
      </c>
      <c r="ER138" s="517" t="s">
        <v>145</v>
      </c>
      <c r="ES138" s="183"/>
      <c r="ET138" s="183"/>
      <c r="EU138" s="82"/>
      <c r="EV138" s="82"/>
      <c r="EW138" s="82"/>
      <c r="EX138" s="90"/>
      <c r="EY138" s="159">
        <v>3322576</v>
      </c>
      <c r="EZ138" s="156">
        <v>2010</v>
      </c>
      <c r="FA138" s="323">
        <v>75</v>
      </c>
      <c r="FB138" s="323">
        <v>25</v>
      </c>
      <c r="FC138" s="323">
        <v>36.799999999999997</v>
      </c>
      <c r="FD138" s="156" t="s">
        <v>318</v>
      </c>
      <c r="FE138" s="156">
        <v>94</v>
      </c>
      <c r="FF138" s="156" t="s">
        <v>1673</v>
      </c>
      <c r="FG138" s="156" t="s">
        <v>1779</v>
      </c>
      <c r="FH138" s="157" t="s">
        <v>318</v>
      </c>
      <c r="FI138" s="242">
        <v>2</v>
      </c>
      <c r="FJ138" s="240" t="s">
        <v>1813</v>
      </c>
      <c r="FK138" s="179" t="s">
        <v>145</v>
      </c>
      <c r="FL138" s="236" t="s">
        <v>1817</v>
      </c>
      <c r="FM138" s="179" t="s">
        <v>1822</v>
      </c>
      <c r="FN138" s="172" t="s">
        <v>145</v>
      </c>
      <c r="FO138" s="165" t="s">
        <v>1781</v>
      </c>
      <c r="FP138" s="255">
        <v>1</v>
      </c>
      <c r="FQ138" s="183" t="s">
        <v>1923</v>
      </c>
      <c r="FR138" s="257">
        <v>1</v>
      </c>
      <c r="FS138" s="183" t="s">
        <v>1923</v>
      </c>
      <c r="FT138" s="259"/>
      <c r="FU138" s="82"/>
      <c r="FV138" s="259"/>
      <c r="FW138" s="82"/>
      <c r="FX138" s="259"/>
      <c r="FY138" s="82"/>
      <c r="FZ138" s="259"/>
      <c r="GA138" s="82"/>
      <c r="GB138" s="261"/>
      <c r="GC138" s="90"/>
      <c r="GD138" s="76">
        <v>1</v>
      </c>
      <c r="GE138" s="445" t="s">
        <v>3424</v>
      </c>
      <c r="GF138" s="447" t="s">
        <v>10</v>
      </c>
      <c r="GG138" s="448">
        <v>2</v>
      </c>
      <c r="GH138" s="449">
        <v>2</v>
      </c>
      <c r="GI138" s="447" t="s">
        <v>145</v>
      </c>
      <c r="GJ138" s="449" t="s">
        <v>145</v>
      </c>
      <c r="GK138" s="447" t="s">
        <v>145</v>
      </c>
      <c r="GL138" s="448" t="s">
        <v>145</v>
      </c>
      <c r="GM138" s="449" t="s">
        <v>145</v>
      </c>
      <c r="GN138" s="447" t="s">
        <v>590</v>
      </c>
      <c r="GO138" s="449">
        <v>50</v>
      </c>
      <c r="GP138" s="447">
        <v>17</v>
      </c>
      <c r="GQ138" s="448">
        <v>20</v>
      </c>
      <c r="GR138" s="449">
        <v>13</v>
      </c>
      <c r="GS138" s="446">
        <v>9</v>
      </c>
      <c r="GT138" s="461">
        <v>0.40841978788375854</v>
      </c>
      <c r="GU138" s="462">
        <v>-0.13366411626338959</v>
      </c>
      <c r="GV138" s="462">
        <v>0.32130077481269836</v>
      </c>
      <c r="GW138" s="462">
        <v>0.37016358971595764</v>
      </c>
      <c r="GX138" s="462">
        <v>-0.23974256217479706</v>
      </c>
      <c r="GY138" s="463">
        <v>-0.36137080192565918</v>
      </c>
      <c r="GZ138" s="10">
        <v>77</v>
      </c>
      <c r="HA138" s="536">
        <v>0.52422000000000002</v>
      </c>
      <c r="HB138" s="536">
        <v>0.49019000000000001</v>
      </c>
      <c r="HC138" s="525">
        <v>0.37007000000000001</v>
      </c>
      <c r="HD138" s="526">
        <v>0.45712999999999998</v>
      </c>
      <c r="HE138" s="527">
        <v>0.74550000000000005</v>
      </c>
      <c r="HF138" s="10">
        <v>82</v>
      </c>
      <c r="HG138" s="532">
        <v>4.75</v>
      </c>
      <c r="HH138" s="545">
        <v>5.53</v>
      </c>
      <c r="HI138" s="546">
        <v>2.7</v>
      </c>
      <c r="HJ138" s="547">
        <v>7.32</v>
      </c>
      <c r="HK138" s="558" t="s">
        <v>145</v>
      </c>
      <c r="HL138" s="82" t="s">
        <v>145</v>
      </c>
      <c r="HM138" s="557" t="s">
        <v>145</v>
      </c>
      <c r="HN138" s="557" t="s">
        <v>145</v>
      </c>
      <c r="HO138" s="557" t="s">
        <v>145</v>
      </c>
      <c r="HP138" s="562" t="s">
        <v>145</v>
      </c>
      <c r="HQ138" s="562" t="s">
        <v>145</v>
      </c>
      <c r="HR138" s="563" t="s">
        <v>145</v>
      </c>
      <c r="HS138" s="545">
        <v>28</v>
      </c>
      <c r="HT138" s="557">
        <v>100</v>
      </c>
      <c r="HU138" s="557">
        <v>2002</v>
      </c>
      <c r="HV138" s="583" t="s">
        <v>4231</v>
      </c>
      <c r="HW138" s="557">
        <v>5</v>
      </c>
      <c r="HX138" s="557">
        <v>28</v>
      </c>
      <c r="HY138" s="557">
        <v>15</v>
      </c>
      <c r="HZ138" s="557">
        <v>16</v>
      </c>
      <c r="IA138" s="557">
        <v>20</v>
      </c>
      <c r="IB138" s="557">
        <v>5</v>
      </c>
      <c r="IC138" s="547">
        <v>11</v>
      </c>
      <c r="ID138" s="660"/>
      <c r="IE138" s="550"/>
      <c r="IF138" s="550"/>
      <c r="IG138" s="553"/>
      <c r="IH138" s="339"/>
      <c r="II138" s="553" t="s">
        <v>4922</v>
      </c>
      <c r="IJ138" s="424" t="s">
        <v>4926</v>
      </c>
      <c r="IK138" s="24">
        <v>0</v>
      </c>
      <c r="IL138" s="749">
        <f t="shared" si="132"/>
        <v>16</v>
      </c>
      <c r="IM138" s="747">
        <f t="shared" si="133"/>
        <v>64</v>
      </c>
      <c r="IN138" s="750" t="str">
        <f t="shared" si="134"/>
        <v>B</v>
      </c>
      <c r="IO138" s="446"/>
      <c r="IP138" s="902">
        <v>4</v>
      </c>
      <c r="IQ138" s="903">
        <v>0</v>
      </c>
      <c r="IR138" s="993">
        <v>1</v>
      </c>
      <c r="IT138" s="435"/>
      <c r="IU138" s="435"/>
      <c r="IV138" s="435"/>
    </row>
    <row r="139" spans="1:256">
      <c r="A139" s="21">
        <v>137</v>
      </c>
      <c r="B139" s="9"/>
      <c r="C139" s="430" t="s">
        <v>213</v>
      </c>
      <c r="D139" s="424" t="s">
        <v>407</v>
      </c>
      <c r="E139" s="24" t="s">
        <v>20</v>
      </c>
      <c r="F139" s="76" t="s">
        <v>873</v>
      </c>
      <c r="G139" s="102" t="s">
        <v>591</v>
      </c>
      <c r="H139" s="251" t="s">
        <v>2420</v>
      </c>
      <c r="I139" s="95" t="s">
        <v>2419</v>
      </c>
      <c r="J139" s="370">
        <v>6</v>
      </c>
      <c r="K139" s="88">
        <v>1975</v>
      </c>
      <c r="L139" s="371">
        <v>2</v>
      </c>
      <c r="M139" s="373" t="s">
        <v>145</v>
      </c>
      <c r="N139" s="369" t="s">
        <v>1822</v>
      </c>
      <c r="O139" s="365" t="s">
        <v>3308</v>
      </c>
      <c r="P139" s="362" t="s">
        <v>3396</v>
      </c>
      <c r="Q139" s="370">
        <v>6</v>
      </c>
      <c r="R139" s="370">
        <v>2016</v>
      </c>
      <c r="S139" s="234" t="s">
        <v>1961</v>
      </c>
      <c r="T139" s="176">
        <v>1</v>
      </c>
      <c r="U139" s="370">
        <v>2</v>
      </c>
      <c r="V139" s="176">
        <v>16</v>
      </c>
      <c r="W139" s="369" t="s">
        <v>1822</v>
      </c>
      <c r="X139" s="170">
        <v>0</v>
      </c>
      <c r="Y139" s="369">
        <v>0</v>
      </c>
      <c r="Z139" s="271"/>
      <c r="AA139" s="169"/>
      <c r="AB139" s="177"/>
      <c r="AC139" s="171"/>
      <c r="AD139" s="366" t="s">
        <v>3308</v>
      </c>
      <c r="AE139" s="355">
        <v>2016</v>
      </c>
      <c r="AF139" s="357">
        <v>1</v>
      </c>
      <c r="AG139" s="550" t="s">
        <v>4272</v>
      </c>
      <c r="AH139" s="355" t="s">
        <v>323</v>
      </c>
      <c r="AI139" s="550">
        <v>0</v>
      </c>
      <c r="AJ139" s="550">
        <v>0</v>
      </c>
      <c r="AK139" s="589">
        <v>7000</v>
      </c>
      <c r="AL139" s="386">
        <v>10</v>
      </c>
      <c r="AM139" s="361" t="s">
        <v>3308</v>
      </c>
      <c r="AN139" s="384">
        <v>5</v>
      </c>
      <c r="AO139" s="170">
        <v>0</v>
      </c>
      <c r="AP139" s="369">
        <v>0</v>
      </c>
      <c r="AQ139" s="365" t="s">
        <v>5397</v>
      </c>
      <c r="AR139" s="362" t="s">
        <v>5398</v>
      </c>
      <c r="AS139" s="55">
        <v>1</v>
      </c>
      <c r="AT139" s="370">
        <v>3</v>
      </c>
      <c r="AU139" s="371">
        <v>2013</v>
      </c>
      <c r="AV139" s="370">
        <v>5</v>
      </c>
      <c r="AW139" s="589" t="s">
        <v>145</v>
      </c>
      <c r="AX139" s="687">
        <v>0</v>
      </c>
      <c r="AY139" s="174" t="s">
        <v>4379</v>
      </c>
      <c r="AZ139" s="55">
        <v>2007</v>
      </c>
      <c r="BA139" s="55">
        <v>1</v>
      </c>
      <c r="BB139" s="55">
        <v>1</v>
      </c>
      <c r="BC139" s="174" t="s">
        <v>4454</v>
      </c>
      <c r="BD139" s="55">
        <v>1959</v>
      </c>
      <c r="BE139" s="55">
        <v>0</v>
      </c>
      <c r="BF139" s="371" t="s">
        <v>145</v>
      </c>
      <c r="BG139" s="371">
        <v>0</v>
      </c>
      <c r="BH139" s="56" t="s">
        <v>145</v>
      </c>
      <c r="BI139" s="371">
        <v>0</v>
      </c>
      <c r="BJ139" s="371">
        <v>0</v>
      </c>
      <c r="BK139" s="888">
        <v>7619.3209999999999</v>
      </c>
      <c r="BL139" s="925">
        <f t="shared" si="121"/>
        <v>48.987737883730063</v>
      </c>
      <c r="BM139" s="888">
        <v>3886.788</v>
      </c>
      <c r="BN139" s="920">
        <v>3732.5329999999999</v>
      </c>
      <c r="BO139" s="888">
        <v>995.73099999999999</v>
      </c>
      <c r="BP139" s="1158">
        <f t="shared" si="135"/>
        <v>48.101143782808812</v>
      </c>
      <c r="BQ139" s="917">
        <v>516.77300000000002</v>
      </c>
      <c r="BR139" s="920">
        <v>478.95800000000003</v>
      </c>
      <c r="BS139" s="888">
        <v>948.25</v>
      </c>
      <c r="BT139" s="1158">
        <f t="shared" si="136"/>
        <v>48.130661745320324</v>
      </c>
      <c r="BU139" s="917">
        <v>491.851</v>
      </c>
      <c r="BV139" s="920">
        <v>456.399</v>
      </c>
      <c r="BW139" s="888">
        <v>886.00199999999995</v>
      </c>
      <c r="BX139" s="1158">
        <f t="shared" si="137"/>
        <v>48.215353915679657</v>
      </c>
      <c r="BY139" s="917">
        <v>458.81299999999999</v>
      </c>
      <c r="BZ139" s="920">
        <v>427.18900000000002</v>
      </c>
      <c r="CA139" s="888">
        <f t="shared" si="138"/>
        <v>4789.3379999999997</v>
      </c>
      <c r="CB139" s="1158">
        <f t="shared" si="139"/>
        <v>49.484646938679212</v>
      </c>
      <c r="CC139" s="917">
        <f t="shared" si="140"/>
        <v>2419.3509999999997</v>
      </c>
      <c r="CD139" s="920">
        <f t="shared" si="141"/>
        <v>2369.9870000000001</v>
      </c>
      <c r="CE139" s="914">
        <v>2015</v>
      </c>
      <c r="CF139" s="910" t="s">
        <v>5630</v>
      </c>
      <c r="CG139" s="931">
        <v>50</v>
      </c>
      <c r="CH139" s="504">
        <v>50</v>
      </c>
      <c r="CI139" s="1008">
        <v>50</v>
      </c>
      <c r="CJ139" s="904" t="s">
        <v>1621</v>
      </c>
      <c r="CK139" s="904" t="s">
        <v>1621</v>
      </c>
      <c r="CL139" s="904">
        <v>2014</v>
      </c>
      <c r="CM139" s="1004" t="s">
        <v>5719</v>
      </c>
      <c r="CN139" s="1125">
        <v>3637.3939999999998</v>
      </c>
      <c r="CO139" s="1045">
        <f t="shared" si="122"/>
        <v>47.739083312016902</v>
      </c>
      <c r="CP139" s="1040">
        <f>IF(OR(CZ139=1,CZ139=10),CN139*(1-BL139/100),IF(DA139=6,CN139*(1-BL139/100),CN139*(1-CB139/100)))</f>
        <v>1855.5169614814756</v>
      </c>
      <c r="CQ139" s="1041">
        <f>IF(OR(CZ139=1,CZ139=10),CN139*BL139/100,IF(DA139=6,CN139*BL139/100,CN139*CB139/100))</f>
        <v>1781.8770385185242</v>
      </c>
      <c r="CR139" s="1046">
        <v>2012</v>
      </c>
      <c r="CS139" s="1047" t="s">
        <v>5982</v>
      </c>
      <c r="CT139" s="1068">
        <f t="shared" si="123"/>
        <v>16</v>
      </c>
      <c r="CU139" s="1071">
        <v>18</v>
      </c>
      <c r="CV139" s="1068" t="s">
        <v>5988</v>
      </c>
      <c r="CW139" s="1113">
        <v>4776.0959999999995</v>
      </c>
      <c r="CX139" s="1113">
        <v>3637.3939999999998</v>
      </c>
      <c r="CY139" s="1113">
        <v>6310.1289999999999</v>
      </c>
      <c r="CZ139" s="494">
        <v>1</v>
      </c>
      <c r="DA139" s="1104">
        <v>4</v>
      </c>
      <c r="DB139" s="1050" t="s">
        <v>647</v>
      </c>
      <c r="DC139" s="1146" t="s">
        <v>322</v>
      </c>
      <c r="DD139" s="978">
        <f t="shared" si="148"/>
        <v>2566.9354999999996</v>
      </c>
      <c r="DE139" s="979">
        <f t="shared" si="124"/>
        <v>33.6898196046603</v>
      </c>
      <c r="DF139" s="979">
        <f t="shared" si="149"/>
        <v>49.451299476807122</v>
      </c>
      <c r="DG139" s="980">
        <f t="shared" si="150"/>
        <v>1297.5525385185242</v>
      </c>
      <c r="DH139" s="980">
        <f t="shared" si="151"/>
        <v>1269.3829614814761</v>
      </c>
      <c r="DI139" s="979">
        <f t="shared" si="125"/>
        <v>33.383671517935227</v>
      </c>
      <c r="DJ139" s="981">
        <f t="shared" si="126"/>
        <v>34.008619923292741</v>
      </c>
      <c r="DK139" s="984">
        <f t="shared" si="127"/>
        <v>1151.944</v>
      </c>
      <c r="DL139" s="979">
        <f t="shared" si="152"/>
        <v>51.053693710933516</v>
      </c>
      <c r="DM139" s="980">
        <f t="shared" si="128"/>
        <v>563.83403851852404</v>
      </c>
      <c r="DN139" s="985">
        <f t="shared" si="129"/>
        <v>588.10996148147592</v>
      </c>
      <c r="DO139" s="984">
        <f t="shared" si="130"/>
        <v>917.12599999999998</v>
      </c>
      <c r="DP139" s="979">
        <f t="shared" si="153"/>
        <v>48.17157075472727</v>
      </c>
      <c r="DQ139" s="980">
        <f t="shared" si="142"/>
        <v>475.33199999999999</v>
      </c>
      <c r="DR139" s="985">
        <f t="shared" si="143"/>
        <v>441.79399999999998</v>
      </c>
      <c r="DS139" s="984">
        <f t="shared" si="131"/>
        <v>497.8655</v>
      </c>
      <c r="DT139" s="339">
        <f t="shared" si="154"/>
        <v>48.101143782808812</v>
      </c>
      <c r="DU139" s="980">
        <f t="shared" si="144"/>
        <v>258.38650000000001</v>
      </c>
      <c r="DV139" s="985">
        <f t="shared" si="145"/>
        <v>239.47900000000001</v>
      </c>
      <c r="DW139" s="979">
        <f t="shared" si="146"/>
        <v>50</v>
      </c>
      <c r="DX139" s="981">
        <f t="shared" si="147"/>
        <v>50</v>
      </c>
      <c r="DY139" s="414">
        <v>35.799999999999997</v>
      </c>
      <c r="DZ139" s="111">
        <v>1996</v>
      </c>
      <c r="EA139" s="118">
        <v>2510.9507819999994</v>
      </c>
      <c r="EB139" s="123" t="s">
        <v>145</v>
      </c>
      <c r="EC139" s="113" t="s">
        <v>145</v>
      </c>
      <c r="ED139" s="20"/>
      <c r="EE139" s="414">
        <v>37</v>
      </c>
      <c r="EF139" s="111">
        <v>2002</v>
      </c>
      <c r="EG139" s="380">
        <v>62.881839752197301</v>
      </c>
      <c r="EH139" s="24" t="s">
        <v>335</v>
      </c>
      <c r="EI139" s="287">
        <v>2</v>
      </c>
      <c r="EJ139" s="40">
        <v>3</v>
      </c>
      <c r="EK139" s="35" t="s">
        <v>728</v>
      </c>
      <c r="EL139" s="95" t="s">
        <v>145</v>
      </c>
      <c r="EM139" s="95" t="s">
        <v>145</v>
      </c>
      <c r="EN139" s="35" t="s">
        <v>145</v>
      </c>
      <c r="EO139" s="95" t="s">
        <v>1658</v>
      </c>
      <c r="EP139" s="205">
        <v>0</v>
      </c>
      <c r="EQ139" s="207" t="s">
        <v>145</v>
      </c>
      <c r="ER139" s="517">
        <v>1</v>
      </c>
      <c r="ES139" s="183" t="s">
        <v>145</v>
      </c>
      <c r="ET139" s="183" t="s">
        <v>3776</v>
      </c>
      <c r="EU139" s="82" t="s">
        <v>145</v>
      </c>
      <c r="EV139" s="82" t="s">
        <v>145</v>
      </c>
      <c r="EW139" s="82" t="s">
        <v>145</v>
      </c>
      <c r="EX139" s="360" t="s">
        <v>145</v>
      </c>
      <c r="EY139" s="159"/>
      <c r="EZ139" s="156"/>
      <c r="FA139" s="323"/>
      <c r="FB139" s="323"/>
      <c r="FC139" s="323"/>
      <c r="FD139" s="160"/>
      <c r="FE139" s="156"/>
      <c r="FF139" s="156"/>
      <c r="FG139" s="156"/>
      <c r="FH139" s="157"/>
      <c r="FI139" s="242"/>
      <c r="FJ139" s="373"/>
      <c r="FK139" s="179"/>
      <c r="FL139" s="179"/>
      <c r="FM139" s="179"/>
      <c r="FN139" s="369"/>
      <c r="FO139" s="164"/>
      <c r="FP139" s="255"/>
      <c r="FQ139" s="183"/>
      <c r="FR139" s="257"/>
      <c r="FS139" s="82"/>
      <c r="FT139" s="259"/>
      <c r="FU139" s="82"/>
      <c r="FV139" s="259"/>
      <c r="FW139" s="82"/>
      <c r="FX139" s="259"/>
      <c r="FY139" s="82"/>
      <c r="FZ139" s="259"/>
      <c r="GA139" s="82"/>
      <c r="GB139" s="261"/>
      <c r="GC139" s="90"/>
      <c r="GD139" s="76">
        <v>2</v>
      </c>
      <c r="GE139" s="445" t="s">
        <v>3433</v>
      </c>
      <c r="GF139" s="447" t="s">
        <v>590</v>
      </c>
      <c r="GG139" s="448">
        <v>3</v>
      </c>
      <c r="GH139" s="449">
        <v>3</v>
      </c>
      <c r="GI139" s="447" t="s">
        <v>145</v>
      </c>
      <c r="GJ139" s="449" t="s">
        <v>145</v>
      </c>
      <c r="GK139" s="447" t="s">
        <v>145</v>
      </c>
      <c r="GL139" s="448" t="s">
        <v>145</v>
      </c>
      <c r="GM139" s="449" t="s">
        <v>145</v>
      </c>
      <c r="GN139" s="447" t="s">
        <v>10</v>
      </c>
      <c r="GO139" s="449">
        <v>29</v>
      </c>
      <c r="GP139" s="447">
        <v>6</v>
      </c>
      <c r="GQ139" s="448">
        <v>13</v>
      </c>
      <c r="GR139" s="449">
        <v>10</v>
      </c>
      <c r="GS139" s="446">
        <v>5</v>
      </c>
      <c r="GT139" s="461">
        <v>1.7488224431872368E-2</v>
      </c>
      <c r="GU139" s="462">
        <v>-0.52454143762588501</v>
      </c>
      <c r="GV139" s="462">
        <v>-0.71252423524856567</v>
      </c>
      <c r="GW139" s="462">
        <v>-0.51984000205993652</v>
      </c>
      <c r="GX139" s="462">
        <v>-0.97733235359191895</v>
      </c>
      <c r="GY139" s="463">
        <v>-1.0388617515563965</v>
      </c>
      <c r="GZ139" s="10">
        <v>188</v>
      </c>
      <c r="HA139" s="536">
        <v>0.12028</v>
      </c>
      <c r="HB139" s="536">
        <v>0</v>
      </c>
      <c r="HC139" s="525">
        <v>7.8700000000000003E-3</v>
      </c>
      <c r="HD139" s="526">
        <v>5.296E-2</v>
      </c>
      <c r="HE139" s="527">
        <v>0.3</v>
      </c>
      <c r="HF139" s="10" t="s">
        <v>145</v>
      </c>
      <c r="HG139" s="532" t="s">
        <v>145</v>
      </c>
      <c r="HH139" s="524" t="s">
        <v>145</v>
      </c>
      <c r="HI139" s="525" t="s">
        <v>145</v>
      </c>
      <c r="HJ139" s="527" t="s">
        <v>145</v>
      </c>
      <c r="HK139" s="558" t="s">
        <v>145</v>
      </c>
      <c r="HL139" s="82" t="s">
        <v>145</v>
      </c>
      <c r="HM139" s="557" t="s">
        <v>145</v>
      </c>
      <c r="HN139" s="557" t="s">
        <v>145</v>
      </c>
      <c r="HO139" s="526" t="s">
        <v>145</v>
      </c>
      <c r="HP139" s="564" t="s">
        <v>145</v>
      </c>
      <c r="HQ139" s="564" t="s">
        <v>145</v>
      </c>
      <c r="HR139" s="565" t="s">
        <v>145</v>
      </c>
      <c r="HS139" s="524" t="s">
        <v>145</v>
      </c>
      <c r="HT139" s="526" t="s">
        <v>145</v>
      </c>
      <c r="HU139" s="526" t="s">
        <v>145</v>
      </c>
      <c r="HV139" s="582" t="s">
        <v>145</v>
      </c>
      <c r="HW139" s="526" t="s">
        <v>145</v>
      </c>
      <c r="HX139" s="526" t="s">
        <v>145</v>
      </c>
      <c r="HY139" s="526" t="s">
        <v>145</v>
      </c>
      <c r="HZ139" s="526" t="s">
        <v>145</v>
      </c>
      <c r="IA139" s="526" t="s">
        <v>145</v>
      </c>
      <c r="IB139" s="526" t="s">
        <v>145</v>
      </c>
      <c r="IC139" s="527" t="s">
        <v>145</v>
      </c>
      <c r="ID139" s="660"/>
      <c r="IE139" s="550"/>
      <c r="IF139" s="355" t="s">
        <v>5202</v>
      </c>
      <c r="IG139" s="553"/>
      <c r="IH139" s="339">
        <v>38.200000000000003</v>
      </c>
      <c r="II139" s="553" t="s">
        <v>4923</v>
      </c>
      <c r="IJ139" s="424" t="s">
        <v>4926</v>
      </c>
      <c r="IK139" s="24">
        <v>0</v>
      </c>
      <c r="IL139" s="749">
        <f t="shared" si="132"/>
        <v>11</v>
      </c>
      <c r="IM139" s="747">
        <f t="shared" si="133"/>
        <v>44</v>
      </c>
      <c r="IN139" s="750" t="str">
        <f t="shared" si="134"/>
        <v>C</v>
      </c>
      <c r="IO139" s="446"/>
      <c r="IP139" s="902">
        <v>4</v>
      </c>
      <c r="IQ139" s="903">
        <v>0</v>
      </c>
      <c r="IR139" s="993">
        <v>0</v>
      </c>
      <c r="IT139" s="435"/>
      <c r="IU139" s="435"/>
      <c r="IV139" s="435"/>
    </row>
    <row r="140" spans="1:256">
      <c r="A140" s="21">
        <v>138</v>
      </c>
      <c r="B140" s="9"/>
      <c r="C140" s="430" t="s">
        <v>214</v>
      </c>
      <c r="D140" s="424" t="s">
        <v>409</v>
      </c>
      <c r="E140" s="24" t="s">
        <v>20</v>
      </c>
      <c r="F140" s="76" t="s">
        <v>874</v>
      </c>
      <c r="G140" s="102" t="s">
        <v>598</v>
      </c>
      <c r="H140" s="252" t="s">
        <v>1259</v>
      </c>
      <c r="I140" s="95" t="s">
        <v>1785</v>
      </c>
      <c r="J140" s="176">
        <v>1</v>
      </c>
      <c r="K140" s="88">
        <v>1880</v>
      </c>
      <c r="L140" s="371">
        <v>2</v>
      </c>
      <c r="M140" s="240" t="s">
        <v>1832</v>
      </c>
      <c r="N140" s="172" t="s">
        <v>1822</v>
      </c>
      <c r="O140" s="365" t="s">
        <v>3309</v>
      </c>
      <c r="P140" s="362" t="s">
        <v>3310</v>
      </c>
      <c r="Q140" s="370">
        <v>2</v>
      </c>
      <c r="R140" s="176">
        <v>2009</v>
      </c>
      <c r="S140" s="234" t="s">
        <v>1817</v>
      </c>
      <c r="T140" s="176">
        <v>1</v>
      </c>
      <c r="U140" s="176">
        <v>2</v>
      </c>
      <c r="V140" s="176">
        <v>18</v>
      </c>
      <c r="W140" s="369" t="s">
        <v>3312</v>
      </c>
      <c r="X140" s="170">
        <v>1</v>
      </c>
      <c r="Y140" s="369">
        <v>1</v>
      </c>
      <c r="Z140" s="271"/>
      <c r="AA140" s="169"/>
      <c r="AB140" s="177">
        <v>1</v>
      </c>
      <c r="AC140" s="171"/>
      <c r="AD140" s="366" t="s">
        <v>3311</v>
      </c>
      <c r="AE140" s="357">
        <v>2009</v>
      </c>
      <c r="AF140" s="357">
        <v>2</v>
      </c>
      <c r="AG140" s="550" t="s">
        <v>4272</v>
      </c>
      <c r="AH140" s="355" t="s">
        <v>3122</v>
      </c>
      <c r="AI140" s="55">
        <v>0</v>
      </c>
      <c r="AJ140" s="55">
        <v>0</v>
      </c>
      <c r="AK140" s="590" t="s">
        <v>145</v>
      </c>
      <c r="AL140" s="391">
        <v>9</v>
      </c>
      <c r="AM140" s="361" t="s">
        <v>3313</v>
      </c>
      <c r="AN140" s="384" t="s">
        <v>145</v>
      </c>
      <c r="AO140" s="170">
        <v>1</v>
      </c>
      <c r="AP140" s="172">
        <v>1</v>
      </c>
      <c r="AQ140" s="365" t="s">
        <v>5399</v>
      </c>
      <c r="AR140" s="362" t="s">
        <v>1980</v>
      </c>
      <c r="AS140" s="55">
        <v>1</v>
      </c>
      <c r="AT140" s="370">
        <v>2</v>
      </c>
      <c r="AU140" s="371">
        <v>2010</v>
      </c>
      <c r="AV140" s="370">
        <v>5</v>
      </c>
      <c r="AW140" s="589" t="s">
        <v>145</v>
      </c>
      <c r="AX140" s="687">
        <v>0</v>
      </c>
      <c r="AY140" s="174" t="s">
        <v>4380</v>
      </c>
      <c r="AZ140" s="55">
        <v>2012</v>
      </c>
      <c r="BA140" s="55">
        <v>1</v>
      </c>
      <c r="BB140" s="55">
        <v>1</v>
      </c>
      <c r="BC140" s="174" t="s">
        <v>4455</v>
      </c>
      <c r="BD140" s="55">
        <v>2004</v>
      </c>
      <c r="BE140" s="55">
        <v>0</v>
      </c>
      <c r="BF140" s="371" t="s">
        <v>145</v>
      </c>
      <c r="BG140" s="371">
        <v>0</v>
      </c>
      <c r="BH140" s="56" t="s">
        <v>145</v>
      </c>
      <c r="BI140" s="371">
        <v>2</v>
      </c>
      <c r="BJ140" s="371">
        <v>1</v>
      </c>
      <c r="BK140" s="888">
        <v>6639.1229999999996</v>
      </c>
      <c r="BL140" s="925">
        <f t="shared" si="121"/>
        <v>49.253448083429092</v>
      </c>
      <c r="BM140" s="888">
        <v>3369.1260000000002</v>
      </c>
      <c r="BN140" s="920">
        <v>3269.9969999999998</v>
      </c>
      <c r="BO140" s="888">
        <v>673.78899999999999</v>
      </c>
      <c r="BP140" s="1158">
        <f t="shared" si="135"/>
        <v>49.020093827592909</v>
      </c>
      <c r="BQ140" s="917">
        <v>343.49700000000001</v>
      </c>
      <c r="BR140" s="920">
        <v>330.29199999999997</v>
      </c>
      <c r="BS140" s="888">
        <v>669.63400000000001</v>
      </c>
      <c r="BT140" s="1158">
        <f t="shared" si="136"/>
        <v>49.066355650997409</v>
      </c>
      <c r="BU140" s="917">
        <v>341.06900000000002</v>
      </c>
      <c r="BV140" s="920">
        <v>328.565</v>
      </c>
      <c r="BW140" s="888">
        <v>657.19899999999996</v>
      </c>
      <c r="BX140" s="1158">
        <f t="shared" si="137"/>
        <v>49.027463523225087</v>
      </c>
      <c r="BY140" s="917">
        <v>334.99099999999999</v>
      </c>
      <c r="BZ140" s="920">
        <v>322.20800000000003</v>
      </c>
      <c r="CA140" s="888">
        <f t="shared" si="138"/>
        <v>4638.5010000000002</v>
      </c>
      <c r="CB140" s="1158">
        <f t="shared" si="139"/>
        <v>49.346372890724822</v>
      </c>
      <c r="CC140" s="917">
        <f t="shared" si="140"/>
        <v>2349.5690000000004</v>
      </c>
      <c r="CD140" s="920">
        <f t="shared" si="141"/>
        <v>2288.9319999999998</v>
      </c>
      <c r="CE140" s="914">
        <v>2015</v>
      </c>
      <c r="CF140" s="910" t="s">
        <v>5630</v>
      </c>
      <c r="CG140" s="930">
        <v>76.099999999999994</v>
      </c>
      <c r="CH140" s="495">
        <v>76.2</v>
      </c>
      <c r="CI140" s="497">
        <v>76</v>
      </c>
      <c r="CJ140" s="904">
        <v>81.900000000000006</v>
      </c>
      <c r="CK140" s="904">
        <v>68.7</v>
      </c>
      <c r="CL140" s="904">
        <v>2011</v>
      </c>
      <c r="CM140" s="905" t="s">
        <v>5606</v>
      </c>
      <c r="CN140" s="1044">
        <v>3516.2750000000001</v>
      </c>
      <c r="CO140" s="1045">
        <f t="shared" si="122"/>
        <v>52.962944051495967</v>
      </c>
      <c r="CP140" s="1040">
        <f>IF(OR(CZ140=1,CZ140=10),CN140*(1-BL140/100),IF(DA140=6,CN140*(1-BL140/100),CN140*(1-CB140/100)))</f>
        <v>1784.3883184044039</v>
      </c>
      <c r="CQ140" s="1041">
        <f>IF(OR(CZ140=1,CZ140=10),CN140*BL140/100,IF(DA140=6,CN140*BL140/100,CN140*CB140/100))</f>
        <v>1731.8866815955962</v>
      </c>
      <c r="CR140" s="1046">
        <v>2013</v>
      </c>
      <c r="CS140" s="1047" t="s">
        <v>5983</v>
      </c>
      <c r="CT140" s="1068">
        <f t="shared" si="123"/>
        <v>18</v>
      </c>
      <c r="CU140" s="1071">
        <v>18</v>
      </c>
      <c r="CV140" s="1068" t="s">
        <v>5989</v>
      </c>
      <c r="CW140" s="1113">
        <v>3516.2750000000001</v>
      </c>
      <c r="CX140" s="1113">
        <v>4126.9480000000003</v>
      </c>
      <c r="CY140" s="1113">
        <v>6623.2520000000004</v>
      </c>
      <c r="CZ140" s="494">
        <v>1</v>
      </c>
      <c r="DA140" s="1104">
        <v>4</v>
      </c>
      <c r="DB140" s="1050" t="s">
        <v>647</v>
      </c>
      <c r="DC140" s="1146" t="s">
        <v>322</v>
      </c>
      <c r="DD140" s="978">
        <f t="shared" si="148"/>
        <v>1600.3746580000004</v>
      </c>
      <c r="DE140" s="979">
        <f t="shared" si="124"/>
        <v>24.105211757637274</v>
      </c>
      <c r="DF140" s="979">
        <f t="shared" si="149"/>
        <v>49.519711802659863</v>
      </c>
      <c r="DG140" s="980">
        <f t="shared" si="150"/>
        <v>807.83524759559657</v>
      </c>
      <c r="DH140" s="980">
        <f t="shared" si="151"/>
        <v>792.50091840440359</v>
      </c>
      <c r="DI140" s="979">
        <f t="shared" si="125"/>
        <v>23.977590852808607</v>
      </c>
      <c r="DJ140" s="981">
        <f t="shared" si="126"/>
        <v>24.235524326303775</v>
      </c>
      <c r="DK140" s="984">
        <f t="shared" si="127"/>
        <v>1122.2260000000001</v>
      </c>
      <c r="DL140" s="979">
        <f t="shared" si="152"/>
        <v>49.637534543345417</v>
      </c>
      <c r="DM140" s="980">
        <f t="shared" si="128"/>
        <v>565.18068159559652</v>
      </c>
      <c r="DN140" s="985">
        <f t="shared" si="129"/>
        <v>557.04531840440359</v>
      </c>
      <c r="DO140" s="984">
        <f t="shared" si="130"/>
        <v>317.11308700000012</v>
      </c>
      <c r="DP140" s="979">
        <f t="shared" si="153"/>
        <v>49.252309791932348</v>
      </c>
      <c r="DQ140" s="980">
        <f t="shared" si="142"/>
        <v>160.90228000000002</v>
      </c>
      <c r="DR140" s="985">
        <f t="shared" si="143"/>
        <v>156.18552</v>
      </c>
      <c r="DS140" s="984">
        <f t="shared" si="131"/>
        <v>161.03557100000006</v>
      </c>
      <c r="DT140" s="339">
        <f t="shared" si="154"/>
        <v>49.225198822687425</v>
      </c>
      <c r="DU140" s="980">
        <f t="shared" si="144"/>
        <v>81.752285999999998</v>
      </c>
      <c r="DV140" s="985">
        <f t="shared" si="145"/>
        <v>79.270079999999993</v>
      </c>
      <c r="DW140" s="979">
        <f t="shared" si="146"/>
        <v>23.799999999999997</v>
      </c>
      <c r="DX140" s="981">
        <f t="shared" si="147"/>
        <v>24</v>
      </c>
      <c r="DY140" s="414">
        <v>7.16</v>
      </c>
      <c r="DZ140" s="111">
        <v>2010</v>
      </c>
      <c r="EA140" s="118">
        <v>472.91687999999999</v>
      </c>
      <c r="EB140" s="123">
        <v>32.4</v>
      </c>
      <c r="EC140" s="113">
        <v>2010</v>
      </c>
      <c r="ED140" s="20">
        <v>2128.1259599999998</v>
      </c>
      <c r="EE140" s="414">
        <v>34.700000000000003</v>
      </c>
      <c r="EF140" s="111">
        <v>2010</v>
      </c>
      <c r="EG140" s="380">
        <v>93.870918273925795</v>
      </c>
      <c r="EH140" s="24" t="s">
        <v>358</v>
      </c>
      <c r="EI140" s="287">
        <v>2</v>
      </c>
      <c r="EJ140" s="40" t="s">
        <v>145</v>
      </c>
      <c r="EK140" s="35" t="s">
        <v>145</v>
      </c>
      <c r="EL140" s="95" t="s">
        <v>145</v>
      </c>
      <c r="EM140" s="95" t="s">
        <v>145</v>
      </c>
      <c r="EN140" s="35" t="s">
        <v>145</v>
      </c>
      <c r="EO140" s="95" t="s">
        <v>145</v>
      </c>
      <c r="EP140" s="205" t="s">
        <v>145</v>
      </c>
      <c r="EQ140" s="207" t="s">
        <v>145</v>
      </c>
      <c r="ER140" s="517" t="s">
        <v>145</v>
      </c>
      <c r="ES140" s="183"/>
      <c r="ET140" s="183"/>
      <c r="EU140" s="82"/>
      <c r="EV140" s="82"/>
      <c r="EW140" s="82"/>
      <c r="EX140" s="90"/>
      <c r="EY140" s="159">
        <v>6230143</v>
      </c>
      <c r="EZ140" s="156">
        <v>2008</v>
      </c>
      <c r="FA140" s="323">
        <v>61</v>
      </c>
      <c r="FB140" s="323">
        <v>39</v>
      </c>
      <c r="FC140" s="323">
        <v>39.4</v>
      </c>
      <c r="FD140" s="231" t="s">
        <v>1783</v>
      </c>
      <c r="FE140" s="156">
        <v>95</v>
      </c>
      <c r="FF140" s="156" t="s">
        <v>1673</v>
      </c>
      <c r="FG140" s="156" t="s">
        <v>1784</v>
      </c>
      <c r="FH140" s="157" t="s">
        <v>318</v>
      </c>
      <c r="FI140" s="242">
        <v>1</v>
      </c>
      <c r="FJ140" s="240" t="s">
        <v>1832</v>
      </c>
      <c r="FK140" s="179" t="s">
        <v>145</v>
      </c>
      <c r="FL140" s="236" t="s">
        <v>1817</v>
      </c>
      <c r="FM140" s="179" t="s">
        <v>1822</v>
      </c>
      <c r="FN140" s="172" t="s">
        <v>145</v>
      </c>
      <c r="FO140" s="165" t="s">
        <v>1786</v>
      </c>
      <c r="FP140" s="255">
        <v>1</v>
      </c>
      <c r="FQ140" s="183" t="s">
        <v>1924</v>
      </c>
      <c r="FR140" s="257"/>
      <c r="FS140" s="82"/>
      <c r="FT140" s="259"/>
      <c r="FU140" s="82"/>
      <c r="FV140" s="259"/>
      <c r="FW140" s="82"/>
      <c r="FX140" s="259"/>
      <c r="FY140" s="82"/>
      <c r="FZ140" s="259"/>
      <c r="GA140" s="82"/>
      <c r="GB140" s="261"/>
      <c r="GC140" s="90"/>
      <c r="GD140" s="76">
        <v>1</v>
      </c>
      <c r="GE140" s="445" t="s">
        <v>3424</v>
      </c>
      <c r="GF140" s="447" t="s">
        <v>590</v>
      </c>
      <c r="GG140" s="448">
        <v>3</v>
      </c>
      <c r="GH140" s="449">
        <v>3</v>
      </c>
      <c r="GI140" s="447" t="s">
        <v>145</v>
      </c>
      <c r="GJ140" s="449" t="s">
        <v>145</v>
      </c>
      <c r="GK140" s="447" t="s">
        <v>145</v>
      </c>
      <c r="GL140" s="448" t="s">
        <v>145</v>
      </c>
      <c r="GM140" s="449" t="s">
        <v>145</v>
      </c>
      <c r="GN140" s="447" t="s">
        <v>590</v>
      </c>
      <c r="GO140" s="449">
        <v>59</v>
      </c>
      <c r="GP140" s="447">
        <v>17</v>
      </c>
      <c r="GQ140" s="448">
        <v>24</v>
      </c>
      <c r="GR140" s="449">
        <v>18</v>
      </c>
      <c r="GS140" s="446">
        <v>9</v>
      </c>
      <c r="GT140" s="461">
        <v>-0.13334745168685913</v>
      </c>
      <c r="GU140" s="462">
        <v>-0.67003297805786133</v>
      </c>
      <c r="GV140" s="462">
        <v>-0.88065069913864136</v>
      </c>
      <c r="GW140" s="462">
        <v>-0.31971809267997742</v>
      </c>
      <c r="GX140" s="462">
        <v>-0.82271867990493774</v>
      </c>
      <c r="GY140" s="463">
        <v>-1.037989616394043</v>
      </c>
      <c r="GZ140" s="10">
        <v>122</v>
      </c>
      <c r="HA140" s="536">
        <v>0.374</v>
      </c>
      <c r="HB140" s="536">
        <v>0.25490000000000002</v>
      </c>
      <c r="HC140" s="525">
        <v>0.22833999999999999</v>
      </c>
      <c r="HD140" s="526">
        <v>0.22361</v>
      </c>
      <c r="HE140" s="527">
        <v>0.67</v>
      </c>
      <c r="HF140" s="10">
        <v>109</v>
      </c>
      <c r="HG140" s="532">
        <v>3.71</v>
      </c>
      <c r="HH140" s="545">
        <v>4.49</v>
      </c>
      <c r="HI140" s="546">
        <v>1.5</v>
      </c>
      <c r="HJ140" s="547">
        <v>6.59</v>
      </c>
      <c r="HK140" s="558" t="s">
        <v>4103</v>
      </c>
      <c r="HL140" s="585" t="s">
        <v>4813</v>
      </c>
      <c r="HM140" s="557">
        <v>2002</v>
      </c>
      <c r="HN140" s="557" t="s">
        <v>145</v>
      </c>
      <c r="HO140" s="557" t="s">
        <v>3985</v>
      </c>
      <c r="HP140" s="562" t="s">
        <v>145</v>
      </c>
      <c r="HQ140" s="562" t="s">
        <v>145</v>
      </c>
      <c r="HR140" s="563" t="s">
        <v>145</v>
      </c>
      <c r="HS140" s="545">
        <v>90</v>
      </c>
      <c r="HT140" s="557">
        <v>61</v>
      </c>
      <c r="HU140" s="557">
        <v>2014</v>
      </c>
      <c r="HV140" s="583" t="s">
        <v>4232</v>
      </c>
      <c r="HW140" s="557">
        <v>2</v>
      </c>
      <c r="HX140" s="557">
        <v>24</v>
      </c>
      <c r="HY140" s="557">
        <v>18</v>
      </c>
      <c r="HZ140" s="557">
        <v>2</v>
      </c>
      <c r="IA140" s="557">
        <v>7</v>
      </c>
      <c r="IB140" s="557">
        <v>2</v>
      </c>
      <c r="IC140" s="547">
        <v>6</v>
      </c>
      <c r="ID140" s="660"/>
      <c r="IE140" s="550"/>
      <c r="IF140" s="550"/>
      <c r="IG140" s="553"/>
      <c r="IH140" s="339"/>
      <c r="II140" s="553" t="s">
        <v>4922</v>
      </c>
      <c r="IJ140" s="424" t="s">
        <v>4926</v>
      </c>
      <c r="IK140" s="24">
        <v>0</v>
      </c>
      <c r="IL140" s="749">
        <f t="shared" si="132"/>
        <v>15</v>
      </c>
      <c r="IM140" s="747">
        <f t="shared" si="133"/>
        <v>60</v>
      </c>
      <c r="IN140" s="750" t="str">
        <f t="shared" si="134"/>
        <v>B</v>
      </c>
      <c r="IO140" s="446"/>
      <c r="IP140" s="902">
        <v>4</v>
      </c>
      <c r="IQ140" s="903">
        <v>0</v>
      </c>
      <c r="IR140" s="993">
        <v>0</v>
      </c>
      <c r="IT140" s="435"/>
      <c r="IU140" s="435"/>
      <c r="IV140" s="435"/>
    </row>
    <row r="141" spans="1:256">
      <c r="A141" s="21">
        <v>139</v>
      </c>
      <c r="B141" s="9"/>
      <c r="C141" s="430" t="s">
        <v>216</v>
      </c>
      <c r="D141" s="424" t="s">
        <v>409</v>
      </c>
      <c r="E141" s="24" t="s">
        <v>12</v>
      </c>
      <c r="F141" s="76" t="s">
        <v>875</v>
      </c>
      <c r="G141" s="102" t="s">
        <v>589</v>
      </c>
      <c r="H141" s="375" t="s">
        <v>1788</v>
      </c>
      <c r="I141" s="95" t="s">
        <v>2421</v>
      </c>
      <c r="J141" s="370">
        <v>6</v>
      </c>
      <c r="K141" s="88">
        <v>1886</v>
      </c>
      <c r="L141" s="371">
        <v>2</v>
      </c>
      <c r="M141" s="373" t="s">
        <v>1843</v>
      </c>
      <c r="N141" s="369" t="s">
        <v>1822</v>
      </c>
      <c r="O141" s="365" t="s">
        <v>2893</v>
      </c>
      <c r="P141" s="362" t="s">
        <v>2047</v>
      </c>
      <c r="Q141" s="176">
        <v>6</v>
      </c>
      <c r="R141" s="370">
        <v>1995</v>
      </c>
      <c r="S141" s="234" t="s">
        <v>2729</v>
      </c>
      <c r="T141" s="176">
        <v>1</v>
      </c>
      <c r="U141" s="370">
        <v>2</v>
      </c>
      <c r="V141" s="176">
        <v>17</v>
      </c>
      <c r="W141" s="351" t="s">
        <v>1844</v>
      </c>
      <c r="X141" s="170">
        <v>1</v>
      </c>
      <c r="Y141" s="369">
        <v>1</v>
      </c>
      <c r="Z141" s="273" t="s">
        <v>2049</v>
      </c>
      <c r="AA141" s="169">
        <v>1</v>
      </c>
      <c r="AB141" s="177">
        <v>1</v>
      </c>
      <c r="AC141" s="171">
        <v>1</v>
      </c>
      <c r="AD141" s="365" t="s">
        <v>2893</v>
      </c>
      <c r="AE141" s="355">
        <v>2001</v>
      </c>
      <c r="AF141" s="357">
        <v>2</v>
      </c>
      <c r="AG141" s="550">
        <v>2</v>
      </c>
      <c r="AH141" s="355" t="s">
        <v>2941</v>
      </c>
      <c r="AI141" s="55">
        <v>0</v>
      </c>
      <c r="AJ141" s="55">
        <v>0</v>
      </c>
      <c r="AK141" s="590" t="s">
        <v>145</v>
      </c>
      <c r="AL141" s="386">
        <v>9</v>
      </c>
      <c r="AM141" s="361" t="s">
        <v>3314</v>
      </c>
      <c r="AN141" s="342" t="s">
        <v>145</v>
      </c>
      <c r="AO141" s="170">
        <v>1</v>
      </c>
      <c r="AP141" s="369">
        <v>1</v>
      </c>
      <c r="AQ141" s="365" t="s">
        <v>5324</v>
      </c>
      <c r="AR141" s="362" t="s">
        <v>5325</v>
      </c>
      <c r="AS141" s="55">
        <v>1</v>
      </c>
      <c r="AT141" s="370">
        <v>2</v>
      </c>
      <c r="AU141" s="371">
        <v>2010</v>
      </c>
      <c r="AV141" s="370">
        <v>5</v>
      </c>
      <c r="AW141" s="589" t="s">
        <v>145</v>
      </c>
      <c r="AX141" s="687">
        <v>0</v>
      </c>
      <c r="AY141" s="174" t="s">
        <v>4381</v>
      </c>
      <c r="AZ141" s="55">
        <v>2014</v>
      </c>
      <c r="BA141" s="55">
        <v>1</v>
      </c>
      <c r="BB141" s="55">
        <v>1</v>
      </c>
      <c r="BC141" s="174" t="s">
        <v>4456</v>
      </c>
      <c r="BD141" s="55">
        <v>2004</v>
      </c>
      <c r="BE141" s="55">
        <v>0</v>
      </c>
      <c r="BF141" s="371" t="s">
        <v>145</v>
      </c>
      <c r="BG141" s="371">
        <v>0</v>
      </c>
      <c r="BH141" s="56" t="s">
        <v>145</v>
      </c>
      <c r="BI141" s="371">
        <v>3</v>
      </c>
      <c r="BJ141" s="371">
        <v>1</v>
      </c>
      <c r="BK141" s="888">
        <v>31376.67</v>
      </c>
      <c r="BL141" s="925">
        <f t="shared" si="121"/>
        <v>50.048529687822196</v>
      </c>
      <c r="BM141" s="888">
        <v>15673.108</v>
      </c>
      <c r="BN141" s="920">
        <v>15703.562</v>
      </c>
      <c r="BO141" s="888">
        <v>3020.0320000000002</v>
      </c>
      <c r="BP141" s="1158">
        <f t="shared" si="135"/>
        <v>48.96928244468932</v>
      </c>
      <c r="BQ141" s="917">
        <v>1541.144</v>
      </c>
      <c r="BR141" s="920">
        <v>1478.8879999999999</v>
      </c>
      <c r="BS141" s="888">
        <v>2903.953</v>
      </c>
      <c r="BT141" s="1158">
        <f t="shared" si="136"/>
        <v>48.998244806303681</v>
      </c>
      <c r="BU141" s="917">
        <v>1481.067</v>
      </c>
      <c r="BV141" s="920">
        <v>1422.886</v>
      </c>
      <c r="BW141" s="888">
        <v>2828.7310000000002</v>
      </c>
      <c r="BX141" s="1158">
        <f t="shared" si="137"/>
        <v>48.858693173723481</v>
      </c>
      <c r="BY141" s="917">
        <v>1446.65</v>
      </c>
      <c r="BZ141" s="920">
        <v>1382.0809999999999</v>
      </c>
      <c r="CA141" s="888">
        <f t="shared" si="138"/>
        <v>22623.953999999998</v>
      </c>
      <c r="CB141" s="1158">
        <f t="shared" si="139"/>
        <v>50.47617671075534</v>
      </c>
      <c r="CC141" s="917">
        <f t="shared" si="140"/>
        <v>11204.247000000001</v>
      </c>
      <c r="CD141" s="920">
        <f t="shared" si="141"/>
        <v>11419.706999999999</v>
      </c>
      <c r="CE141" s="914">
        <v>2015</v>
      </c>
      <c r="CF141" s="910" t="s">
        <v>5630</v>
      </c>
      <c r="CG141" s="930">
        <v>95.6</v>
      </c>
      <c r="CH141" s="504">
        <v>95.6</v>
      </c>
      <c r="CI141" s="1008">
        <v>95.6</v>
      </c>
      <c r="CJ141" s="904">
        <v>96.4</v>
      </c>
      <c r="CK141" s="904">
        <v>94.2</v>
      </c>
      <c r="CL141" s="904">
        <v>2012</v>
      </c>
      <c r="CM141" s="905" t="s">
        <v>5607</v>
      </c>
      <c r="CN141" s="1044">
        <v>19949.915000000001</v>
      </c>
      <c r="CO141" s="1045">
        <f t="shared" si="122"/>
        <v>63.582002169127584</v>
      </c>
      <c r="CP141" s="1040">
        <f>IF(OR(CZ141=1,CZ141=10),CN141*(1-BL141/100),IF(DA141=6,CN141*(1-BL141/100),CN141*(1-CB141/100)))</f>
        <v>9965.2758685297067</v>
      </c>
      <c r="CQ141" s="1041">
        <f>IF(OR(CZ141=1,CZ141=10),CN141*BL141/100,IF(DA141=6,CN141*BL141/100,CN141*CB141/100))</f>
        <v>9984.6391314702942</v>
      </c>
      <c r="CR141" s="1046">
        <v>2011</v>
      </c>
      <c r="CS141" s="1047" t="s">
        <v>5984</v>
      </c>
      <c r="CT141" s="1068">
        <f t="shared" si="123"/>
        <v>17</v>
      </c>
      <c r="CU141" s="1071">
        <v>18</v>
      </c>
      <c r="CV141" s="1068" t="s">
        <v>5990</v>
      </c>
      <c r="CW141" s="1113">
        <v>19949.915000000001</v>
      </c>
      <c r="CX141" s="1113">
        <v>19106.921999999999</v>
      </c>
      <c r="CY141" s="1113">
        <v>29248.942999999999</v>
      </c>
      <c r="CZ141" s="494">
        <v>1</v>
      </c>
      <c r="DA141" s="1104">
        <v>4</v>
      </c>
      <c r="DB141" s="1050" t="s">
        <v>647</v>
      </c>
      <c r="DC141" s="1146" t="s">
        <v>322</v>
      </c>
      <c r="DD141" s="978">
        <f t="shared" si="148"/>
        <v>3059.1585039999973</v>
      </c>
      <c r="DE141" s="979">
        <f t="shared" si="124"/>
        <v>9.7497870360366399</v>
      </c>
      <c r="DF141" s="979">
        <f t="shared" si="149"/>
        <v>53.072029004277631</v>
      </c>
      <c r="DG141" s="980">
        <f t="shared" si="150"/>
        <v>1435.6010154702947</v>
      </c>
      <c r="DH141" s="980">
        <f t="shared" si="151"/>
        <v>1623.5574885297044</v>
      </c>
      <c r="DI141" s="979">
        <f t="shared" si="125"/>
        <v>9.159644758846138</v>
      </c>
      <c r="DJ141" s="981">
        <f t="shared" si="126"/>
        <v>10.338784847219404</v>
      </c>
      <c r="DK141" s="984">
        <f t="shared" si="127"/>
        <v>2674.038999999997</v>
      </c>
      <c r="DL141" s="979">
        <f t="shared" si="152"/>
        <v>53.666676833423367</v>
      </c>
      <c r="DM141" s="980">
        <f t="shared" si="128"/>
        <v>1238.9711314702945</v>
      </c>
      <c r="DN141" s="985">
        <f t="shared" si="129"/>
        <v>1435.0678685297044</v>
      </c>
      <c r="DO141" s="984">
        <f t="shared" si="130"/>
        <v>252.23809600000024</v>
      </c>
      <c r="DP141" s="979">
        <f t="shared" si="153"/>
        <v>48.929384560530451</v>
      </c>
      <c r="DQ141" s="980">
        <f t="shared" si="142"/>
        <v>128.81954800000011</v>
      </c>
      <c r="DR141" s="985">
        <f t="shared" si="143"/>
        <v>123.4185480000001</v>
      </c>
      <c r="DS141" s="984">
        <f t="shared" si="131"/>
        <v>132.88140800000014</v>
      </c>
      <c r="DT141" s="339">
        <f t="shared" si="154"/>
        <v>48.96928244468932</v>
      </c>
      <c r="DU141" s="980">
        <f t="shared" si="144"/>
        <v>67.810336000000063</v>
      </c>
      <c r="DV141" s="985">
        <f t="shared" si="145"/>
        <v>65.071072000000058</v>
      </c>
      <c r="DW141" s="979">
        <f t="shared" si="146"/>
        <v>4.4000000000000039</v>
      </c>
      <c r="DX141" s="981">
        <f t="shared" si="147"/>
        <v>4.4000000000000039</v>
      </c>
      <c r="DY141" s="414">
        <v>4.91</v>
      </c>
      <c r="DZ141" s="111">
        <v>2010</v>
      </c>
      <c r="EA141" s="118">
        <v>1440.5910330000002</v>
      </c>
      <c r="EB141" s="123">
        <v>27.8</v>
      </c>
      <c r="EC141" s="113">
        <v>2011</v>
      </c>
      <c r="ED141" s="20">
        <v>8173.1491260000003</v>
      </c>
      <c r="EE141" s="414">
        <v>25.8</v>
      </c>
      <c r="EF141" s="111">
        <v>2012</v>
      </c>
      <c r="EG141" s="380">
        <v>93.841728210449205</v>
      </c>
      <c r="EH141" s="24" t="s">
        <v>358</v>
      </c>
      <c r="EI141" s="287">
        <v>3</v>
      </c>
      <c r="EJ141" s="40">
        <v>1</v>
      </c>
      <c r="EK141" s="35" t="s">
        <v>145</v>
      </c>
      <c r="EL141" s="95" t="s">
        <v>145</v>
      </c>
      <c r="EM141" s="95" t="s">
        <v>1661</v>
      </c>
      <c r="EN141" s="35" t="s">
        <v>145</v>
      </c>
      <c r="EO141" s="95" t="s">
        <v>1644</v>
      </c>
      <c r="EP141" s="205">
        <v>0.93</v>
      </c>
      <c r="EQ141" s="207">
        <v>0.66</v>
      </c>
      <c r="ER141" s="517">
        <v>1</v>
      </c>
      <c r="ES141" s="183" t="s">
        <v>145</v>
      </c>
      <c r="ET141" s="183" t="s">
        <v>3801</v>
      </c>
      <c r="EU141" s="82" t="s">
        <v>145</v>
      </c>
      <c r="EV141" s="82" t="s">
        <v>145</v>
      </c>
      <c r="EW141" s="82" t="s">
        <v>145</v>
      </c>
      <c r="EX141" s="360" t="s">
        <v>3801</v>
      </c>
      <c r="EY141" s="159">
        <v>28220764</v>
      </c>
      <c r="EZ141" s="156">
        <v>2007</v>
      </c>
      <c r="FA141" s="323">
        <v>75.900000000000006</v>
      </c>
      <c r="FB141" s="323">
        <v>24.1</v>
      </c>
      <c r="FC141" s="323">
        <v>34.799999999999997</v>
      </c>
      <c r="FD141" s="231" t="s">
        <v>1787</v>
      </c>
      <c r="FE141" s="156">
        <v>90</v>
      </c>
      <c r="FF141" s="156" t="s">
        <v>1673</v>
      </c>
      <c r="FG141" s="156">
        <v>7</v>
      </c>
      <c r="FH141" s="157">
        <v>5.2</v>
      </c>
      <c r="FI141" s="242">
        <v>3</v>
      </c>
      <c r="FJ141" s="373" t="s">
        <v>1843</v>
      </c>
      <c r="FK141" s="179" t="s">
        <v>145</v>
      </c>
      <c r="FL141" s="236" t="s">
        <v>1807</v>
      </c>
      <c r="FM141" s="236" t="s">
        <v>1844</v>
      </c>
      <c r="FN141" s="351" t="s">
        <v>1845</v>
      </c>
      <c r="FO141" s="165" t="s">
        <v>1752</v>
      </c>
      <c r="FP141" s="255">
        <v>1</v>
      </c>
      <c r="FQ141" s="183" t="s">
        <v>1925</v>
      </c>
      <c r="FR141" s="257"/>
      <c r="FS141" s="82"/>
      <c r="FT141" s="259"/>
      <c r="FU141" s="82"/>
      <c r="FV141" s="259"/>
      <c r="FW141" s="82"/>
      <c r="FX141" s="259"/>
      <c r="FY141" s="82"/>
      <c r="FZ141" s="259"/>
      <c r="GA141" s="82"/>
      <c r="GB141" s="261"/>
      <c r="GC141" s="90"/>
      <c r="GD141" s="76">
        <v>1</v>
      </c>
      <c r="GE141" s="445" t="s">
        <v>3424</v>
      </c>
      <c r="GF141" s="447" t="s">
        <v>10</v>
      </c>
      <c r="GG141" s="448">
        <v>2</v>
      </c>
      <c r="GH141" s="449">
        <v>3</v>
      </c>
      <c r="GI141" s="447" t="s">
        <v>145</v>
      </c>
      <c r="GJ141" s="449" t="s">
        <v>145</v>
      </c>
      <c r="GK141" s="447" t="s">
        <v>145</v>
      </c>
      <c r="GL141" s="448" t="s">
        <v>145</v>
      </c>
      <c r="GM141" s="449" t="s">
        <v>145</v>
      </c>
      <c r="GN141" s="447" t="s">
        <v>590</v>
      </c>
      <c r="GO141" s="449">
        <v>44</v>
      </c>
      <c r="GP141" s="447">
        <v>14</v>
      </c>
      <c r="GQ141" s="448">
        <v>18</v>
      </c>
      <c r="GR141" s="449">
        <v>12</v>
      </c>
      <c r="GS141" s="446">
        <v>9</v>
      </c>
      <c r="GT141" s="461">
        <v>3.7614025175571442E-2</v>
      </c>
      <c r="GU141" s="462">
        <v>-0.77206969261169434</v>
      </c>
      <c r="GV141" s="462">
        <v>-0.14240473508834839</v>
      </c>
      <c r="GW141" s="462">
        <v>0.45202887058258057</v>
      </c>
      <c r="GX141" s="462">
        <v>-0.60944223403930664</v>
      </c>
      <c r="GY141" s="463">
        <v>-0.43786224722862244</v>
      </c>
      <c r="GZ141" s="10">
        <v>72</v>
      </c>
      <c r="HA141" s="536">
        <v>0.54354000000000002</v>
      </c>
      <c r="HB141" s="536">
        <v>0.70587999999999995</v>
      </c>
      <c r="HC141" s="525">
        <v>0.62992000000000004</v>
      </c>
      <c r="HD141" s="526">
        <v>0.27179999999999999</v>
      </c>
      <c r="HE141" s="527">
        <v>0.72889999999999999</v>
      </c>
      <c r="HF141" s="10">
        <v>105</v>
      </c>
      <c r="HG141" s="532">
        <v>4</v>
      </c>
      <c r="HH141" s="545">
        <v>4.54</v>
      </c>
      <c r="HI141" s="546">
        <v>1.69</v>
      </c>
      <c r="HJ141" s="547">
        <v>7.53</v>
      </c>
      <c r="HK141" s="558" t="s">
        <v>4040</v>
      </c>
      <c r="HL141" s="585" t="s">
        <v>4814</v>
      </c>
      <c r="HM141" s="557">
        <v>2011</v>
      </c>
      <c r="HN141" s="557">
        <v>2011</v>
      </c>
      <c r="HO141" s="557" t="s">
        <v>3985</v>
      </c>
      <c r="HP141" s="562" t="s">
        <v>4104</v>
      </c>
      <c r="HQ141" s="639" t="s">
        <v>4815</v>
      </c>
      <c r="HR141" s="563" t="s">
        <v>4027</v>
      </c>
      <c r="HS141" s="545">
        <v>38</v>
      </c>
      <c r="HT141" s="557">
        <v>93</v>
      </c>
      <c r="HU141" s="557">
        <v>2003</v>
      </c>
      <c r="HV141" s="583" t="s">
        <v>4233</v>
      </c>
      <c r="HW141" s="557">
        <v>4</v>
      </c>
      <c r="HX141" s="557">
        <v>29</v>
      </c>
      <c r="HY141" s="557">
        <v>17</v>
      </c>
      <c r="HZ141" s="557">
        <v>17</v>
      </c>
      <c r="IA141" s="557">
        <v>14</v>
      </c>
      <c r="IB141" s="557">
        <v>4</v>
      </c>
      <c r="IC141" s="547">
        <v>8</v>
      </c>
      <c r="ID141" s="660"/>
      <c r="IE141" s="550"/>
      <c r="IF141" s="355" t="s">
        <v>5202</v>
      </c>
      <c r="IG141" s="553"/>
      <c r="IH141" s="339"/>
      <c r="II141" s="553" t="s">
        <v>4922</v>
      </c>
      <c r="IJ141" s="424" t="s">
        <v>4926</v>
      </c>
      <c r="IK141" s="24">
        <v>0</v>
      </c>
      <c r="IL141" s="749">
        <f t="shared" si="132"/>
        <v>16</v>
      </c>
      <c r="IM141" s="747">
        <f t="shared" si="133"/>
        <v>64</v>
      </c>
      <c r="IN141" s="750" t="str">
        <f t="shared" si="134"/>
        <v>B</v>
      </c>
      <c r="IO141" s="446"/>
      <c r="IP141" s="902">
        <v>3</v>
      </c>
      <c r="IQ141" s="903">
        <v>0</v>
      </c>
      <c r="IR141" s="993">
        <v>0</v>
      </c>
      <c r="IT141" s="435"/>
      <c r="IU141" s="435"/>
      <c r="IV141" s="435"/>
    </row>
    <row r="142" spans="1:256">
      <c r="A142" s="21">
        <v>140</v>
      </c>
      <c r="B142" s="9"/>
      <c r="C142" s="431" t="s">
        <v>218</v>
      </c>
      <c r="D142" s="424" t="s">
        <v>407</v>
      </c>
      <c r="E142" s="24" t="s">
        <v>20</v>
      </c>
      <c r="F142" s="76" t="s">
        <v>876</v>
      </c>
      <c r="G142" s="102" t="s">
        <v>592</v>
      </c>
      <c r="H142" s="251" t="s">
        <v>2956</v>
      </c>
      <c r="I142" s="95" t="s">
        <v>2422</v>
      </c>
      <c r="J142" s="370">
        <v>6</v>
      </c>
      <c r="K142" s="88">
        <v>1889</v>
      </c>
      <c r="L142" s="371">
        <v>2</v>
      </c>
      <c r="M142" s="373" t="s">
        <v>1825</v>
      </c>
      <c r="N142" s="369" t="s">
        <v>1822</v>
      </c>
      <c r="O142" s="252" t="s">
        <v>2956</v>
      </c>
      <c r="P142" s="362" t="s">
        <v>2422</v>
      </c>
      <c r="Q142" s="371">
        <v>6</v>
      </c>
      <c r="R142" s="370">
        <v>2010</v>
      </c>
      <c r="S142" s="372" t="s">
        <v>2955</v>
      </c>
      <c r="T142" s="370">
        <v>1</v>
      </c>
      <c r="U142" s="370">
        <v>2</v>
      </c>
      <c r="V142" s="370">
        <v>18</v>
      </c>
      <c r="W142" s="369" t="s">
        <v>1822</v>
      </c>
      <c r="X142" s="170">
        <v>0</v>
      </c>
      <c r="Y142" s="369">
        <v>0</v>
      </c>
      <c r="Z142" s="271"/>
      <c r="AA142" s="169">
        <v>1</v>
      </c>
      <c r="AB142" s="177">
        <v>1</v>
      </c>
      <c r="AC142" s="171"/>
      <c r="AD142" s="366" t="s">
        <v>145</v>
      </c>
      <c r="AE142" s="355" t="s">
        <v>145</v>
      </c>
      <c r="AF142" s="357">
        <v>0</v>
      </c>
      <c r="AG142" s="550">
        <v>1</v>
      </c>
      <c r="AH142" s="355" t="s">
        <v>145</v>
      </c>
      <c r="AI142" s="550" t="s">
        <v>145</v>
      </c>
      <c r="AJ142" s="550" t="s">
        <v>145</v>
      </c>
      <c r="AK142" s="590" t="s">
        <v>145</v>
      </c>
      <c r="AL142" s="355">
        <v>0</v>
      </c>
      <c r="AM142" s="363" t="s">
        <v>145</v>
      </c>
      <c r="AN142" s="384" t="s">
        <v>145</v>
      </c>
      <c r="AO142" s="170">
        <v>0</v>
      </c>
      <c r="AP142" s="369">
        <v>0</v>
      </c>
      <c r="AQ142" s="252" t="s">
        <v>5288</v>
      </c>
      <c r="AR142" s="378" t="s">
        <v>4936</v>
      </c>
      <c r="AS142" s="55">
        <v>2</v>
      </c>
      <c r="AT142" s="371">
        <v>3</v>
      </c>
      <c r="AU142" s="371">
        <v>2008</v>
      </c>
      <c r="AV142" s="370">
        <v>5</v>
      </c>
      <c r="AW142" s="589">
        <v>12000</v>
      </c>
      <c r="AX142" s="687">
        <v>0</v>
      </c>
      <c r="AY142" s="174" t="s">
        <v>4382</v>
      </c>
      <c r="AZ142" s="55">
        <v>2010</v>
      </c>
      <c r="BA142" s="55">
        <v>1</v>
      </c>
      <c r="BB142" s="55">
        <v>1</v>
      </c>
      <c r="BC142" s="174" t="s">
        <v>4457</v>
      </c>
      <c r="BD142" s="55">
        <v>2005</v>
      </c>
      <c r="BE142" s="55">
        <v>0</v>
      </c>
      <c r="BF142" s="371" t="s">
        <v>145</v>
      </c>
      <c r="BG142" s="367">
        <v>0</v>
      </c>
      <c r="BH142" s="56" t="s">
        <v>145</v>
      </c>
      <c r="BI142" s="367">
        <v>3</v>
      </c>
      <c r="BJ142" s="367">
        <v>1</v>
      </c>
      <c r="BK142" s="888">
        <v>100699.395</v>
      </c>
      <c r="BL142" s="925">
        <f t="shared" si="121"/>
        <v>49.540356225576133</v>
      </c>
      <c r="BM142" s="888">
        <v>50812.555999999997</v>
      </c>
      <c r="BN142" s="920">
        <v>49886.839</v>
      </c>
      <c r="BO142" s="888">
        <v>11254.960999999999</v>
      </c>
      <c r="BP142" s="1158">
        <f t="shared" si="135"/>
        <v>48.691070542136934</v>
      </c>
      <c r="BQ142" s="917">
        <v>5774.8</v>
      </c>
      <c r="BR142" s="920">
        <v>5480.1610000000001</v>
      </c>
      <c r="BS142" s="888">
        <v>10651.592000000001</v>
      </c>
      <c r="BT142" s="1158">
        <f t="shared" si="136"/>
        <v>48.768672326164953</v>
      </c>
      <c r="BU142" s="917">
        <v>5456.9520000000002</v>
      </c>
      <c r="BV142" s="920">
        <v>5194.6400000000003</v>
      </c>
      <c r="BW142" s="888">
        <v>10265.429</v>
      </c>
      <c r="BX142" s="1158">
        <f t="shared" si="137"/>
        <v>47.872855581583593</v>
      </c>
      <c r="BY142" s="917">
        <v>5351.0749999999998</v>
      </c>
      <c r="BZ142" s="920">
        <v>4914.3540000000003</v>
      </c>
      <c r="CA142" s="888">
        <f t="shared" si="138"/>
        <v>68527.413</v>
      </c>
      <c r="CB142" s="1158">
        <f t="shared" si="139"/>
        <v>50.049582347432263</v>
      </c>
      <c r="CC142" s="917">
        <f t="shared" si="140"/>
        <v>34229.728999999999</v>
      </c>
      <c r="CD142" s="920">
        <f t="shared" si="141"/>
        <v>34297.684000000001</v>
      </c>
      <c r="CE142" s="914">
        <v>2015</v>
      </c>
      <c r="CF142" s="910" t="s">
        <v>5630</v>
      </c>
      <c r="CG142" s="930">
        <v>90.2</v>
      </c>
      <c r="CH142" s="504">
        <v>90.2</v>
      </c>
      <c r="CI142" s="1008">
        <v>90.2</v>
      </c>
      <c r="CJ142" s="904" t="s">
        <v>1621</v>
      </c>
      <c r="CK142" s="904" t="s">
        <v>1621</v>
      </c>
      <c r="CL142" s="904">
        <v>2010</v>
      </c>
      <c r="CM142" s="905" t="s">
        <v>5603</v>
      </c>
      <c r="CN142" s="1044">
        <v>54363.843999999997</v>
      </c>
      <c r="CO142" s="1045">
        <f t="shared" si="122"/>
        <v>53.986266749666164</v>
      </c>
      <c r="CP142" s="1049">
        <v>26311.705999999998</v>
      </c>
      <c r="CQ142" s="1050">
        <v>28052.137999999999</v>
      </c>
      <c r="CR142" s="1046">
        <v>2016</v>
      </c>
      <c r="CS142" s="1047" t="s">
        <v>5796</v>
      </c>
      <c r="CT142" s="1068">
        <f t="shared" si="123"/>
        <v>18</v>
      </c>
      <c r="CU142" s="1071">
        <v>18</v>
      </c>
      <c r="CV142" s="1117" t="s">
        <v>5797</v>
      </c>
      <c r="CW142" s="1113">
        <v>52014.648000000001</v>
      </c>
      <c r="CX142" s="1113">
        <v>62422.906999999999</v>
      </c>
      <c r="CY142" s="1113">
        <v>105720.644</v>
      </c>
      <c r="CZ142" s="1048">
        <v>10</v>
      </c>
      <c r="DA142" s="1104">
        <v>4</v>
      </c>
      <c r="DB142" s="1050" t="s">
        <v>647</v>
      </c>
      <c r="DC142" s="1143" t="s">
        <v>320</v>
      </c>
      <c r="DD142" s="978">
        <f t="shared" si="148"/>
        <v>17316.423236000002</v>
      </c>
      <c r="DE142" s="979">
        <f t="shared" si="124"/>
        <v>17.196154193379218</v>
      </c>
      <c r="DF142" s="979">
        <f t="shared" si="149"/>
        <v>44.889658124315901</v>
      </c>
      <c r="DG142" s="980">
        <f t="shared" si="150"/>
        <v>9543.1400460000004</v>
      </c>
      <c r="DH142" s="980">
        <f t="shared" si="151"/>
        <v>7773.2831900000019</v>
      </c>
      <c r="DI142" s="979">
        <f t="shared" si="125"/>
        <v>18.781066722957217</v>
      </c>
      <c r="DJ142" s="981">
        <f t="shared" si="126"/>
        <v>15.581831492670847</v>
      </c>
      <c r="DK142" s="984">
        <f t="shared" si="127"/>
        <v>14163.569000000003</v>
      </c>
      <c r="DL142" s="979">
        <f t="shared" si="152"/>
        <v>44.095849005289558</v>
      </c>
      <c r="DM142" s="980">
        <f t="shared" si="128"/>
        <v>7918.023000000001</v>
      </c>
      <c r="DN142" s="985">
        <f t="shared" si="129"/>
        <v>6245.5460000000021</v>
      </c>
      <c r="DO142" s="984">
        <f t="shared" si="130"/>
        <v>2049.8680579999996</v>
      </c>
      <c r="DP142" s="979">
        <f t="shared" si="153"/>
        <v>48.329033087455429</v>
      </c>
      <c r="DQ142" s="980">
        <f t="shared" si="142"/>
        <v>1059.1866459999997</v>
      </c>
      <c r="DR142" s="985">
        <f t="shared" si="143"/>
        <v>990.6814119999998</v>
      </c>
      <c r="DS142" s="984">
        <f t="shared" si="131"/>
        <v>1102.9861779999997</v>
      </c>
      <c r="DT142" s="339">
        <f t="shared" si="154"/>
        <v>48.691070542136941</v>
      </c>
      <c r="DU142" s="980">
        <f t="shared" si="144"/>
        <v>565.93039999999985</v>
      </c>
      <c r="DV142" s="985">
        <f t="shared" si="145"/>
        <v>537.05577799999992</v>
      </c>
      <c r="DW142" s="979">
        <f t="shared" si="146"/>
        <v>9.7999999999999972</v>
      </c>
      <c r="DX142" s="981">
        <f t="shared" si="147"/>
        <v>9.7999999999999989</v>
      </c>
      <c r="DY142" s="414">
        <v>18.420000000000002</v>
      </c>
      <c r="DZ142" s="111">
        <v>2009</v>
      </c>
      <c r="EA142" s="118">
        <v>17452.773519999999</v>
      </c>
      <c r="EB142" s="123">
        <v>26.5</v>
      </c>
      <c r="EC142" s="113">
        <v>2009</v>
      </c>
      <c r="ED142" s="20">
        <v>25135.787949999998</v>
      </c>
      <c r="EE142" s="414">
        <v>26.5</v>
      </c>
      <c r="EF142" s="111">
        <v>2009</v>
      </c>
      <c r="EG142" s="380">
        <v>95.420097351074205</v>
      </c>
      <c r="EH142" s="24" t="s">
        <v>358</v>
      </c>
      <c r="EI142" s="287">
        <v>3</v>
      </c>
      <c r="EJ142" s="40">
        <v>1</v>
      </c>
      <c r="EK142" s="35" t="s">
        <v>728</v>
      </c>
      <c r="EL142" s="95" t="s">
        <v>1638</v>
      </c>
      <c r="EM142" s="95" t="s">
        <v>1641</v>
      </c>
      <c r="EN142" s="35" t="s">
        <v>1655</v>
      </c>
      <c r="EO142" s="95" t="s">
        <v>1725</v>
      </c>
      <c r="EP142" s="205">
        <v>0.83</v>
      </c>
      <c r="EQ142" s="207">
        <v>0.92</v>
      </c>
      <c r="ER142" s="517">
        <v>3</v>
      </c>
      <c r="ES142" s="183" t="s">
        <v>145</v>
      </c>
      <c r="ET142" s="183" t="s">
        <v>3924</v>
      </c>
      <c r="EU142" s="82" t="s">
        <v>3852</v>
      </c>
      <c r="EV142" s="82" t="s">
        <v>145</v>
      </c>
      <c r="EW142" s="82" t="s">
        <v>145</v>
      </c>
      <c r="EX142" s="360" t="s">
        <v>3924</v>
      </c>
      <c r="EY142" s="159"/>
      <c r="EZ142" s="156"/>
      <c r="FA142" s="323"/>
      <c r="FB142" s="323"/>
      <c r="FC142" s="323"/>
      <c r="FD142" s="160"/>
      <c r="FE142" s="156"/>
      <c r="FF142" s="156"/>
      <c r="FG142" s="156"/>
      <c r="FH142" s="157"/>
      <c r="FI142" s="242"/>
      <c r="FJ142" s="373"/>
      <c r="FK142" s="179"/>
      <c r="FL142" s="179"/>
      <c r="FM142" s="179"/>
      <c r="FN142" s="369"/>
      <c r="FO142" s="164"/>
      <c r="FP142" s="255"/>
      <c r="FQ142" s="183"/>
      <c r="FR142" s="257">
        <v>1</v>
      </c>
      <c r="FS142" s="82" t="s">
        <v>1702</v>
      </c>
      <c r="FT142" s="259">
        <v>1</v>
      </c>
      <c r="FU142" s="82" t="s">
        <v>1926</v>
      </c>
      <c r="FV142" s="259">
        <v>1</v>
      </c>
      <c r="FW142" s="82" t="s">
        <v>1927</v>
      </c>
      <c r="FX142" s="259"/>
      <c r="FY142" s="82"/>
      <c r="FZ142" s="259"/>
      <c r="GA142" s="82"/>
      <c r="GB142" s="261"/>
      <c r="GC142" s="90"/>
      <c r="GD142" s="76">
        <v>1</v>
      </c>
      <c r="GE142" s="445" t="s">
        <v>3431</v>
      </c>
      <c r="GF142" s="447" t="s">
        <v>590</v>
      </c>
      <c r="GG142" s="448">
        <v>3</v>
      </c>
      <c r="GH142" s="449">
        <v>3</v>
      </c>
      <c r="GI142" s="447" t="s">
        <v>10</v>
      </c>
      <c r="GJ142" s="449">
        <v>27</v>
      </c>
      <c r="GK142" s="447">
        <v>10</v>
      </c>
      <c r="GL142" s="448">
        <v>5</v>
      </c>
      <c r="GM142" s="449">
        <v>12</v>
      </c>
      <c r="GN142" s="447" t="s">
        <v>590</v>
      </c>
      <c r="GO142" s="449">
        <v>44</v>
      </c>
      <c r="GP142" s="447">
        <v>13</v>
      </c>
      <c r="GQ142" s="448">
        <v>21</v>
      </c>
      <c r="GR142" s="449">
        <v>10</v>
      </c>
      <c r="GS142" s="446">
        <v>8</v>
      </c>
      <c r="GT142" s="461">
        <v>-1.2128278613090515E-2</v>
      </c>
      <c r="GU142" s="462">
        <v>-1.0594942569732666</v>
      </c>
      <c r="GV142" s="462">
        <v>5.9292584657669067E-2</v>
      </c>
      <c r="GW142" s="462">
        <v>-7.1659818291664124E-2</v>
      </c>
      <c r="GX142" s="462">
        <v>-0.4270918071269989</v>
      </c>
      <c r="GY142" s="463">
        <v>-0.40074402093887329</v>
      </c>
      <c r="GZ142" s="10">
        <v>95</v>
      </c>
      <c r="HA142" s="536">
        <v>0.47681000000000001</v>
      </c>
      <c r="HB142" s="536">
        <v>0.56862000000000001</v>
      </c>
      <c r="HC142" s="525">
        <v>0.48031000000000001</v>
      </c>
      <c r="HD142" s="526">
        <v>0.24507999999999999</v>
      </c>
      <c r="HE142" s="527">
        <v>0.70509999999999995</v>
      </c>
      <c r="HF142" s="10">
        <v>103</v>
      </c>
      <c r="HG142" s="532">
        <v>4.0199999999999996</v>
      </c>
      <c r="HH142" s="545">
        <v>4.3</v>
      </c>
      <c r="HI142" s="546">
        <v>2.2799999999999998</v>
      </c>
      <c r="HJ142" s="547">
        <v>6.93</v>
      </c>
      <c r="HK142" s="558" t="s">
        <v>4105</v>
      </c>
      <c r="HL142" s="585" t="s">
        <v>4816</v>
      </c>
      <c r="HM142" s="557">
        <v>2012</v>
      </c>
      <c r="HN142" s="557" t="s">
        <v>145</v>
      </c>
      <c r="HO142" s="557" t="s">
        <v>145</v>
      </c>
      <c r="HP142" s="562" t="s">
        <v>4106</v>
      </c>
      <c r="HQ142" s="639" t="s">
        <v>4859</v>
      </c>
      <c r="HR142" s="563" t="s">
        <v>145</v>
      </c>
      <c r="HS142" s="545" t="s">
        <v>145</v>
      </c>
      <c r="HT142" s="557" t="s">
        <v>145</v>
      </c>
      <c r="HU142" s="696">
        <v>2013</v>
      </c>
      <c r="HV142" s="583" t="s">
        <v>4817</v>
      </c>
      <c r="HW142" s="557" t="s">
        <v>145</v>
      </c>
      <c r="HX142" s="557" t="s">
        <v>145</v>
      </c>
      <c r="HY142" s="557" t="s">
        <v>145</v>
      </c>
      <c r="HZ142" s="557" t="s">
        <v>145</v>
      </c>
      <c r="IA142" s="557" t="s">
        <v>145</v>
      </c>
      <c r="IB142" s="557" t="s">
        <v>145</v>
      </c>
      <c r="IC142" s="547" t="s">
        <v>145</v>
      </c>
      <c r="ID142" s="660"/>
      <c r="IE142" s="550"/>
      <c r="IF142" s="355" t="s">
        <v>5202</v>
      </c>
      <c r="IG142" s="553"/>
      <c r="IH142" s="339"/>
      <c r="II142" s="553" t="s">
        <v>4922</v>
      </c>
      <c r="IJ142" s="424" t="s">
        <v>4926</v>
      </c>
      <c r="IK142" s="24">
        <v>0</v>
      </c>
      <c r="IL142" s="749">
        <f t="shared" si="132"/>
        <v>14</v>
      </c>
      <c r="IM142" s="747">
        <f t="shared" si="133"/>
        <v>56.000000000000007</v>
      </c>
      <c r="IN142" s="750" t="str">
        <f t="shared" si="134"/>
        <v>B</v>
      </c>
      <c r="IO142" s="446"/>
      <c r="IP142" s="902">
        <v>3</v>
      </c>
      <c r="IQ142" s="903">
        <v>0</v>
      </c>
      <c r="IR142" s="993">
        <v>0</v>
      </c>
      <c r="IT142" s="435"/>
      <c r="IU142" s="435"/>
      <c r="IV142" s="435"/>
    </row>
    <row r="143" spans="1:256">
      <c r="A143" s="21">
        <v>141</v>
      </c>
      <c r="B143" s="9"/>
      <c r="C143" s="430" t="s">
        <v>220</v>
      </c>
      <c r="D143" s="424" t="s">
        <v>408</v>
      </c>
      <c r="E143" s="24" t="s">
        <v>17</v>
      </c>
      <c r="F143" s="76" t="s">
        <v>877</v>
      </c>
      <c r="G143" s="102" t="s">
        <v>594</v>
      </c>
      <c r="H143" s="375" t="s">
        <v>2423</v>
      </c>
      <c r="I143" s="95" t="s">
        <v>1677</v>
      </c>
      <c r="J143" s="176">
        <v>2</v>
      </c>
      <c r="K143" s="88">
        <v>1808</v>
      </c>
      <c r="L143" s="371">
        <v>2</v>
      </c>
      <c r="M143" s="240" t="s">
        <v>1834</v>
      </c>
      <c r="N143" s="369" t="s">
        <v>1822</v>
      </c>
      <c r="O143" s="252" t="s">
        <v>3315</v>
      </c>
      <c r="P143" s="338" t="s">
        <v>1982</v>
      </c>
      <c r="Q143" s="371">
        <v>5</v>
      </c>
      <c r="R143" s="370">
        <v>2002</v>
      </c>
      <c r="S143" s="234" t="s">
        <v>2077</v>
      </c>
      <c r="T143" s="176">
        <v>1</v>
      </c>
      <c r="U143" s="370">
        <v>2</v>
      </c>
      <c r="V143" s="176">
        <v>18</v>
      </c>
      <c r="W143" s="369" t="s">
        <v>1822</v>
      </c>
      <c r="X143" s="170">
        <v>1</v>
      </c>
      <c r="Y143" s="369">
        <v>1</v>
      </c>
      <c r="Z143" s="273" t="s">
        <v>2023</v>
      </c>
      <c r="AA143" s="169">
        <v>1</v>
      </c>
      <c r="AB143" s="177">
        <v>1</v>
      </c>
      <c r="AC143" s="171"/>
      <c r="AD143" s="366" t="s">
        <v>3315</v>
      </c>
      <c r="AE143" s="357">
        <v>2008</v>
      </c>
      <c r="AF143" s="357">
        <v>2</v>
      </c>
      <c r="AG143" s="55">
        <v>2</v>
      </c>
      <c r="AH143" s="355" t="s">
        <v>3210</v>
      </c>
      <c r="AI143" s="55">
        <v>0</v>
      </c>
      <c r="AJ143" s="55">
        <v>0</v>
      </c>
      <c r="AK143" s="590" t="s">
        <v>145</v>
      </c>
      <c r="AL143" s="386">
        <v>5</v>
      </c>
      <c r="AM143" s="361" t="s">
        <v>3056</v>
      </c>
      <c r="AN143" s="384" t="s">
        <v>145</v>
      </c>
      <c r="AO143" s="170">
        <v>0</v>
      </c>
      <c r="AP143" s="369">
        <v>0</v>
      </c>
      <c r="AQ143" s="252" t="s">
        <v>5289</v>
      </c>
      <c r="AR143" s="338" t="s">
        <v>2798</v>
      </c>
      <c r="AS143" s="55">
        <v>2</v>
      </c>
      <c r="AT143" s="371">
        <v>2</v>
      </c>
      <c r="AU143" s="371">
        <v>2006</v>
      </c>
      <c r="AV143" s="370">
        <v>5</v>
      </c>
      <c r="AW143" s="589">
        <v>7500</v>
      </c>
      <c r="AX143" s="687">
        <v>1</v>
      </c>
      <c r="AY143" s="174" t="s">
        <v>4383</v>
      </c>
      <c r="AZ143" s="55">
        <v>2001</v>
      </c>
      <c r="BA143" s="55">
        <v>1</v>
      </c>
      <c r="BB143" s="55">
        <v>1</v>
      </c>
      <c r="BC143" s="174" t="s">
        <v>4458</v>
      </c>
      <c r="BD143" s="55">
        <v>1995</v>
      </c>
      <c r="BE143" s="55">
        <v>0</v>
      </c>
      <c r="BF143" s="367" t="s">
        <v>145</v>
      </c>
      <c r="BG143" s="367">
        <v>0</v>
      </c>
      <c r="BH143" s="56" t="s">
        <v>145</v>
      </c>
      <c r="BI143" s="367">
        <v>3</v>
      </c>
      <c r="BJ143" s="367">
        <v>1</v>
      </c>
      <c r="BK143" s="888">
        <v>38611.794000000002</v>
      </c>
      <c r="BL143" s="925">
        <f t="shared" si="121"/>
        <v>51.6373494585618</v>
      </c>
      <c r="BM143" s="888">
        <v>18673.687000000002</v>
      </c>
      <c r="BN143" s="920">
        <v>19938.107</v>
      </c>
      <c r="BO143" s="888">
        <v>1994.4970000000001</v>
      </c>
      <c r="BP143" s="1158">
        <f t="shared" si="135"/>
        <v>48.659586853226649</v>
      </c>
      <c r="BQ143" s="917">
        <v>1023.9829999999999</v>
      </c>
      <c r="BR143" s="920">
        <v>970.51400000000001</v>
      </c>
      <c r="BS143" s="888">
        <v>2010.9639999999999</v>
      </c>
      <c r="BT143" s="1158">
        <f t="shared" si="136"/>
        <v>48.665167551482774</v>
      </c>
      <c r="BU143" s="917">
        <v>1032.325</v>
      </c>
      <c r="BV143" s="920">
        <v>978.63900000000001</v>
      </c>
      <c r="BW143" s="888">
        <v>1765.566</v>
      </c>
      <c r="BX143" s="1158">
        <f t="shared" si="137"/>
        <v>48.707496632807832</v>
      </c>
      <c r="BY143" s="917">
        <v>905.60299999999995</v>
      </c>
      <c r="BZ143" s="920">
        <v>859.96299999999997</v>
      </c>
      <c r="CA143" s="888">
        <f t="shared" si="138"/>
        <v>32840.767</v>
      </c>
      <c r="CB143" s="1158">
        <f t="shared" si="139"/>
        <v>52.15770691348348</v>
      </c>
      <c r="CC143" s="917">
        <f t="shared" si="140"/>
        <v>15711.776000000002</v>
      </c>
      <c r="CD143" s="920">
        <f t="shared" si="141"/>
        <v>17128.991000000002</v>
      </c>
      <c r="CE143" s="914">
        <v>2015</v>
      </c>
      <c r="CF143" s="910" t="s">
        <v>5630</v>
      </c>
      <c r="CG143" s="930">
        <v>100</v>
      </c>
      <c r="CH143" s="1005">
        <v>100</v>
      </c>
      <c r="CI143" s="1006">
        <v>100</v>
      </c>
      <c r="CJ143" s="904" t="s">
        <v>1621</v>
      </c>
      <c r="CK143" s="904" t="s">
        <v>1621</v>
      </c>
      <c r="CL143" s="904">
        <v>2011</v>
      </c>
      <c r="CM143" s="905" t="s">
        <v>5576</v>
      </c>
      <c r="CN143" s="1044">
        <v>30709.280999999999</v>
      </c>
      <c r="CO143" s="1045">
        <f t="shared" si="122"/>
        <v>79.533421834789635</v>
      </c>
      <c r="CP143" s="1040">
        <f>IF(OR(CZ143=1,CZ143=10),CN143*(1-BL143/100),IF(DA143=6,CN143*(1-BL143/100),CN143*(1-CB143/100)))</f>
        <v>14851.822253818278</v>
      </c>
      <c r="CQ143" s="1041">
        <f>IF(OR(CZ143=1,CZ143=10),CN143*BL143/100,IF(DA143=6,CN143*BL143/100,CN143*CB143/100))</f>
        <v>15857.458746181721</v>
      </c>
      <c r="CR143" s="1046">
        <v>2015</v>
      </c>
      <c r="CS143" s="1047" t="s">
        <v>5654</v>
      </c>
      <c r="CT143" s="1068">
        <f t="shared" si="123"/>
        <v>18</v>
      </c>
      <c r="CU143" s="1071">
        <v>18</v>
      </c>
      <c r="CV143" s="1068" t="s">
        <v>5991</v>
      </c>
      <c r="CW143" s="1113">
        <v>30709.280999999999</v>
      </c>
      <c r="CX143" s="1113">
        <v>31568.464</v>
      </c>
      <c r="CY143" s="1113">
        <v>38301.885000000002</v>
      </c>
      <c r="CZ143" s="494">
        <v>1</v>
      </c>
      <c r="DA143" s="1104">
        <v>4</v>
      </c>
      <c r="DB143" s="1050" t="s">
        <v>647</v>
      </c>
      <c r="DC143" s="1146" t="s">
        <v>322</v>
      </c>
      <c r="DD143" s="978">
        <f t="shared" si="148"/>
        <v>2131.4860000000008</v>
      </c>
      <c r="DE143" s="979">
        <f t="shared" si="124"/>
        <v>5.5202977618703777</v>
      </c>
      <c r="DF143" s="979">
        <f t="shared" si="149"/>
        <v>59.654731666934737</v>
      </c>
      <c r="DG143" s="980">
        <f t="shared" si="150"/>
        <v>859.95374618172355</v>
      </c>
      <c r="DH143" s="980">
        <f t="shared" si="151"/>
        <v>1271.5322538182809</v>
      </c>
      <c r="DI143" s="979">
        <f t="shared" si="125"/>
        <v>4.6051631163236451</v>
      </c>
      <c r="DJ143" s="981">
        <f t="shared" si="126"/>
        <v>6.3773970809680227</v>
      </c>
      <c r="DK143" s="984">
        <f t="shared" si="127"/>
        <v>2131.4860000000008</v>
      </c>
      <c r="DL143" s="979">
        <f t="shared" si="152"/>
        <v>59.654731666934737</v>
      </c>
      <c r="DM143" s="980">
        <f t="shared" si="128"/>
        <v>859.95374618172355</v>
      </c>
      <c r="DN143" s="985">
        <f t="shared" si="129"/>
        <v>1271.5322538182809</v>
      </c>
      <c r="DO143" s="984">
        <f t="shared" si="130"/>
        <v>0</v>
      </c>
      <c r="DP143" s="979">
        <f t="shared" si="153"/>
        <v>0</v>
      </c>
      <c r="DQ143" s="980">
        <f t="shared" si="142"/>
        <v>0</v>
      </c>
      <c r="DR143" s="985">
        <f t="shared" si="143"/>
        <v>0</v>
      </c>
      <c r="DS143" s="984">
        <f t="shared" si="131"/>
        <v>0</v>
      </c>
      <c r="DT143" s="339">
        <f t="shared" si="154"/>
        <v>0</v>
      </c>
      <c r="DU143" s="980">
        <f t="shared" si="144"/>
        <v>0</v>
      </c>
      <c r="DV143" s="985">
        <f t="shared" si="145"/>
        <v>0</v>
      </c>
      <c r="DW143" s="979">
        <f t="shared" si="146"/>
        <v>0</v>
      </c>
      <c r="DX143" s="981">
        <f t="shared" si="147"/>
        <v>0</v>
      </c>
      <c r="DY143" s="414">
        <v>7.0000000000000007E-2</v>
      </c>
      <c r="DZ143" s="111">
        <v>2011</v>
      </c>
      <c r="EA143" s="118">
        <v>27</v>
      </c>
      <c r="EB143" s="123">
        <v>10.6</v>
      </c>
      <c r="EC143" s="113">
        <v>2008</v>
      </c>
      <c r="ED143" s="20">
        <v>4050.8959999999997</v>
      </c>
      <c r="EE143" s="414">
        <v>10.6</v>
      </c>
      <c r="EF143" s="111">
        <v>2008</v>
      </c>
      <c r="EG143" s="380">
        <v>99.747627258300795</v>
      </c>
      <c r="EH143" s="24" t="s">
        <v>353</v>
      </c>
      <c r="EI143" s="287">
        <v>0</v>
      </c>
      <c r="EJ143" s="40" t="s">
        <v>145</v>
      </c>
      <c r="EK143" s="35" t="s">
        <v>145</v>
      </c>
      <c r="EL143" s="95" t="s">
        <v>145</v>
      </c>
      <c r="EM143" s="95" t="s">
        <v>145</v>
      </c>
      <c r="EN143" s="35" t="s">
        <v>145</v>
      </c>
      <c r="EO143" s="95" t="s">
        <v>145</v>
      </c>
      <c r="EP143" s="205" t="s">
        <v>145</v>
      </c>
      <c r="EQ143" s="207" t="s">
        <v>145</v>
      </c>
      <c r="ER143" s="517" t="s">
        <v>145</v>
      </c>
      <c r="ES143" s="183"/>
      <c r="ET143" s="183"/>
      <c r="EU143" s="82"/>
      <c r="EV143" s="82"/>
      <c r="EW143" s="82"/>
      <c r="EX143" s="90"/>
      <c r="EY143" s="159"/>
      <c r="EZ143" s="156"/>
      <c r="FA143" s="323"/>
      <c r="FB143" s="323"/>
      <c r="FC143" s="323"/>
      <c r="FD143" s="160"/>
      <c r="FE143" s="156"/>
      <c r="FF143" s="156"/>
      <c r="FG143" s="156"/>
      <c r="FH143" s="157"/>
      <c r="FI143" s="242"/>
      <c r="FJ143" s="240"/>
      <c r="FK143" s="179"/>
      <c r="FL143" s="179"/>
      <c r="FM143" s="179"/>
      <c r="FN143" s="369"/>
      <c r="FO143" s="164"/>
      <c r="FP143" s="255"/>
      <c r="FQ143" s="183"/>
      <c r="FR143" s="257"/>
      <c r="FS143" s="82"/>
      <c r="FT143" s="259"/>
      <c r="FU143" s="82"/>
      <c r="FV143" s="259"/>
      <c r="FW143" s="82"/>
      <c r="FX143" s="259"/>
      <c r="FY143" s="82"/>
      <c r="FZ143" s="259"/>
      <c r="GA143" s="82"/>
      <c r="GB143" s="261"/>
      <c r="GC143" s="90"/>
      <c r="GD143" s="76">
        <v>1</v>
      </c>
      <c r="GE143" s="445" t="s">
        <v>3424</v>
      </c>
      <c r="GF143" s="447" t="s">
        <v>10</v>
      </c>
      <c r="GG143" s="448">
        <v>1</v>
      </c>
      <c r="GH143" s="449">
        <v>1</v>
      </c>
      <c r="GI143" s="447" t="s">
        <v>145</v>
      </c>
      <c r="GJ143" s="449" t="s">
        <v>145</v>
      </c>
      <c r="GK143" s="447" t="s">
        <v>145</v>
      </c>
      <c r="GL143" s="448" t="s">
        <v>145</v>
      </c>
      <c r="GM143" s="449" t="s">
        <v>145</v>
      </c>
      <c r="GN143" s="447" t="s">
        <v>10</v>
      </c>
      <c r="GO143" s="449">
        <v>27</v>
      </c>
      <c r="GP143" s="447">
        <v>9</v>
      </c>
      <c r="GQ143" s="448">
        <v>11</v>
      </c>
      <c r="GR143" s="449">
        <v>7</v>
      </c>
      <c r="GS143" s="446">
        <v>10</v>
      </c>
      <c r="GT143" s="461">
        <v>0.9729536771774292</v>
      </c>
      <c r="GU143" s="462">
        <v>0.94758880138397217</v>
      </c>
      <c r="GV143" s="462">
        <v>0.70816975831985474</v>
      </c>
      <c r="GW143" s="462">
        <v>1.0480937957763672</v>
      </c>
      <c r="GX143" s="462">
        <v>0.78531491756439209</v>
      </c>
      <c r="GY143" s="463">
        <v>0.54821187257766724</v>
      </c>
      <c r="GZ143" s="10">
        <v>42</v>
      </c>
      <c r="HA143" s="536">
        <v>0.64822000000000002</v>
      </c>
      <c r="HB143" s="536">
        <v>0.49019000000000001</v>
      </c>
      <c r="HC143" s="525">
        <v>0.54330000000000001</v>
      </c>
      <c r="HD143" s="526">
        <v>0.56181999999999999</v>
      </c>
      <c r="HE143" s="527">
        <v>0.83960000000000001</v>
      </c>
      <c r="HF143" s="10">
        <v>44</v>
      </c>
      <c r="HG143" s="532">
        <v>6.6</v>
      </c>
      <c r="HH143" s="545">
        <v>7.04</v>
      </c>
      <c r="HI143" s="546">
        <v>4.9400000000000004</v>
      </c>
      <c r="HJ143" s="547">
        <v>9.01</v>
      </c>
      <c r="HK143" s="558" t="s">
        <v>3984</v>
      </c>
      <c r="HL143" s="585" t="s">
        <v>4818</v>
      </c>
      <c r="HM143" s="557">
        <v>1997</v>
      </c>
      <c r="HN143" s="557">
        <v>2004</v>
      </c>
      <c r="HO143" s="557" t="s">
        <v>3985</v>
      </c>
      <c r="HP143" s="562" t="s">
        <v>4107</v>
      </c>
      <c r="HQ143" s="639" t="s">
        <v>4819</v>
      </c>
      <c r="HR143" s="563" t="s">
        <v>4016</v>
      </c>
      <c r="HS143" s="545">
        <v>89</v>
      </c>
      <c r="HT143" s="557">
        <v>62</v>
      </c>
      <c r="HU143" s="557">
        <v>2001</v>
      </c>
      <c r="HV143" s="583" t="s">
        <v>4234</v>
      </c>
      <c r="HW143" s="557">
        <v>4</v>
      </c>
      <c r="HX143" s="557">
        <v>27</v>
      </c>
      <c r="HY143" s="557">
        <v>15</v>
      </c>
      <c r="HZ143" s="557">
        <v>10</v>
      </c>
      <c r="IA143" s="557">
        <v>3</v>
      </c>
      <c r="IB143" s="557">
        <v>1</v>
      </c>
      <c r="IC143" s="547">
        <v>2</v>
      </c>
      <c r="ID143" s="40" t="s">
        <v>5199</v>
      </c>
      <c r="IE143" s="355" t="s">
        <v>5200</v>
      </c>
      <c r="IF143" s="355"/>
      <c r="IG143" s="553"/>
      <c r="IH143" s="339"/>
      <c r="II143" s="553" t="s">
        <v>4922</v>
      </c>
      <c r="IJ143" s="424" t="s">
        <v>4926</v>
      </c>
      <c r="IK143" s="24">
        <v>0</v>
      </c>
      <c r="IL143" s="749">
        <f t="shared" si="132"/>
        <v>17</v>
      </c>
      <c r="IM143" s="747">
        <f t="shared" si="133"/>
        <v>68</v>
      </c>
      <c r="IN143" s="750" t="str">
        <f t="shared" si="134"/>
        <v>B</v>
      </c>
      <c r="IO143" s="446"/>
      <c r="IP143" s="902">
        <v>5</v>
      </c>
      <c r="IQ143" s="903">
        <v>0</v>
      </c>
      <c r="IR143" s="993">
        <v>0</v>
      </c>
      <c r="IT143" s="435"/>
      <c r="IU143" s="435"/>
      <c r="IV143" s="435"/>
    </row>
    <row r="144" spans="1:256">
      <c r="A144" s="21">
        <v>142</v>
      </c>
      <c r="B144" s="9"/>
      <c r="C144" s="430" t="s">
        <v>221</v>
      </c>
      <c r="D144" s="424"/>
      <c r="E144" s="24" t="s">
        <v>17</v>
      </c>
      <c r="F144" s="76" t="s">
        <v>878</v>
      </c>
      <c r="G144" s="102" t="s">
        <v>596</v>
      </c>
      <c r="H144" s="375" t="s">
        <v>2424</v>
      </c>
      <c r="I144" s="364" t="s">
        <v>2425</v>
      </c>
      <c r="J144" s="370">
        <v>6</v>
      </c>
      <c r="K144" s="359">
        <v>1911</v>
      </c>
      <c r="L144" s="371">
        <v>2</v>
      </c>
      <c r="M144" s="373" t="s">
        <v>1849</v>
      </c>
      <c r="N144" s="369" t="s">
        <v>1822</v>
      </c>
      <c r="O144" s="252" t="s">
        <v>1975</v>
      </c>
      <c r="P144" s="362" t="s">
        <v>3316</v>
      </c>
      <c r="Q144" s="371">
        <v>6</v>
      </c>
      <c r="R144" s="370">
        <v>2008</v>
      </c>
      <c r="S144" s="372" t="s">
        <v>1974</v>
      </c>
      <c r="T144" s="370">
        <v>1</v>
      </c>
      <c r="U144" s="370">
        <v>2</v>
      </c>
      <c r="V144" s="370">
        <v>10</v>
      </c>
      <c r="W144" s="369" t="s">
        <v>1822</v>
      </c>
      <c r="X144" s="170">
        <v>1</v>
      </c>
      <c r="Y144" s="369">
        <v>1</v>
      </c>
      <c r="Z144" s="273" t="s">
        <v>2024</v>
      </c>
      <c r="AA144" s="169">
        <v>1</v>
      </c>
      <c r="AB144" s="177">
        <v>1</v>
      </c>
      <c r="AC144" s="171"/>
      <c r="AD144" s="366" t="s">
        <v>2749</v>
      </c>
      <c r="AE144" s="357">
        <v>2008</v>
      </c>
      <c r="AF144" s="804">
        <v>3</v>
      </c>
      <c r="AG144" s="550" t="s">
        <v>5171</v>
      </c>
      <c r="AH144" s="355" t="s">
        <v>2746</v>
      </c>
      <c r="AI144" s="550">
        <v>1</v>
      </c>
      <c r="AJ144" s="550">
        <v>1</v>
      </c>
      <c r="AK144" s="590">
        <v>7000</v>
      </c>
      <c r="AL144" s="387">
        <v>1</v>
      </c>
      <c r="AM144" s="361" t="s">
        <v>2779</v>
      </c>
      <c r="AN144" s="342" t="s">
        <v>145</v>
      </c>
      <c r="AO144" s="170">
        <v>0</v>
      </c>
      <c r="AP144" s="369">
        <v>0</v>
      </c>
      <c r="AQ144" s="252" t="s">
        <v>5290</v>
      </c>
      <c r="AR144" s="378" t="s">
        <v>5291</v>
      </c>
      <c r="AS144" s="55">
        <v>2</v>
      </c>
      <c r="AT144" s="371">
        <v>5</v>
      </c>
      <c r="AU144" s="371">
        <v>2006</v>
      </c>
      <c r="AV144" s="370">
        <v>10</v>
      </c>
      <c r="AW144" s="589">
        <v>2000</v>
      </c>
      <c r="AX144" s="687">
        <v>1</v>
      </c>
      <c r="AY144" s="174" t="s">
        <v>4384</v>
      </c>
      <c r="AZ144" s="55">
        <v>2012</v>
      </c>
      <c r="BA144" s="55">
        <v>1</v>
      </c>
      <c r="BB144" s="55">
        <v>1</v>
      </c>
      <c r="BC144" s="174" t="s">
        <v>4459</v>
      </c>
      <c r="BD144" s="55">
        <v>1979</v>
      </c>
      <c r="BE144" s="55">
        <v>0</v>
      </c>
      <c r="BF144" s="367" t="s">
        <v>145</v>
      </c>
      <c r="BG144" s="367">
        <v>0</v>
      </c>
      <c r="BH144" s="56" t="s">
        <v>145</v>
      </c>
      <c r="BI144" s="367">
        <v>3</v>
      </c>
      <c r="BJ144" s="367">
        <v>1</v>
      </c>
      <c r="BK144" s="1138">
        <v>10374.822</v>
      </c>
      <c r="BL144" s="1163">
        <f t="shared" si="121"/>
        <v>52.542164096887632</v>
      </c>
      <c r="BM144" s="1138">
        <v>4923.6660000000002</v>
      </c>
      <c r="BN144" s="1139">
        <v>5451.1559999999999</v>
      </c>
      <c r="BO144" s="888">
        <v>438.78100000000001</v>
      </c>
      <c r="BP144" s="1158">
        <f t="shared" si="135"/>
        <v>48.557025030710079</v>
      </c>
      <c r="BQ144" s="917">
        <v>225.72200000000001</v>
      </c>
      <c r="BR144" s="920">
        <v>213.059</v>
      </c>
      <c r="BS144" s="888">
        <v>488.90499999999997</v>
      </c>
      <c r="BT144" s="1158">
        <f t="shared" si="136"/>
        <v>48.943046195068575</v>
      </c>
      <c r="BU144" s="917">
        <v>249.62</v>
      </c>
      <c r="BV144" s="920">
        <v>239.285</v>
      </c>
      <c r="BW144" s="888">
        <v>526.80499999999995</v>
      </c>
      <c r="BX144" s="1158">
        <f t="shared" si="137"/>
        <v>48.831920729681769</v>
      </c>
      <c r="BY144" s="917">
        <v>269.55599999999998</v>
      </c>
      <c r="BZ144" s="920">
        <v>257.24900000000002</v>
      </c>
      <c r="CA144" s="888">
        <f t="shared" si="138"/>
        <v>8920.3309999999983</v>
      </c>
      <c r="CB144" s="1158">
        <f t="shared" si="139"/>
        <v>53.154563434921876</v>
      </c>
      <c r="CC144" s="917">
        <f t="shared" si="140"/>
        <v>4178.7680000000009</v>
      </c>
      <c r="CD144" s="920">
        <f t="shared" si="141"/>
        <v>4741.5630000000001</v>
      </c>
      <c r="CE144" s="914">
        <v>2015</v>
      </c>
      <c r="CF144" s="910" t="s">
        <v>5630</v>
      </c>
      <c r="CG144" s="930">
        <v>100</v>
      </c>
      <c r="CH144" s="1005">
        <v>100</v>
      </c>
      <c r="CI144" s="1006">
        <v>100</v>
      </c>
      <c r="CJ144" s="904" t="s">
        <v>1621</v>
      </c>
      <c r="CK144" s="904" t="s">
        <v>1621</v>
      </c>
      <c r="CL144" s="904">
        <v>2011</v>
      </c>
      <c r="CM144" s="905" t="s">
        <v>5576</v>
      </c>
      <c r="CN144" s="1044">
        <v>10374.822</v>
      </c>
      <c r="CO144" s="1045">
        <f t="shared" si="122"/>
        <v>100</v>
      </c>
      <c r="CP144" s="1049">
        <v>4923.6660000000002</v>
      </c>
      <c r="CQ144" s="1050">
        <v>5451.1559999999999</v>
      </c>
      <c r="CR144" s="1046">
        <v>2015</v>
      </c>
      <c r="CS144" s="1047" t="s">
        <v>5655</v>
      </c>
      <c r="CT144" s="1068">
        <f t="shared" si="123"/>
        <v>10</v>
      </c>
      <c r="CU144" s="1071">
        <v>18</v>
      </c>
      <c r="CV144" s="1068" t="s">
        <v>5992</v>
      </c>
      <c r="CW144" s="1113">
        <v>9684.9220000000005</v>
      </c>
      <c r="CX144" s="1113">
        <v>8757.8780000000006</v>
      </c>
      <c r="CY144" s="1113">
        <v>10825.308999999999</v>
      </c>
      <c r="CZ144" s="1048">
        <v>20</v>
      </c>
      <c r="DA144" s="1104">
        <v>5</v>
      </c>
      <c r="DB144" s="1050" t="s">
        <v>647</v>
      </c>
      <c r="DC144" s="1145" t="s">
        <v>323</v>
      </c>
      <c r="DD144" s="1131">
        <f t="shared" si="148"/>
        <v>0</v>
      </c>
      <c r="DE144" s="1132">
        <f t="shared" si="124"/>
        <v>0</v>
      </c>
      <c r="DF144" s="1132">
        <f t="shared" si="149"/>
        <v>0</v>
      </c>
      <c r="DG144" s="1133">
        <f t="shared" si="150"/>
        <v>0</v>
      </c>
      <c r="DH144" s="1133">
        <f t="shared" si="151"/>
        <v>0</v>
      </c>
      <c r="DI144" s="1132">
        <f t="shared" si="125"/>
        <v>0</v>
      </c>
      <c r="DJ144" s="1134">
        <f t="shared" si="126"/>
        <v>0</v>
      </c>
      <c r="DK144" s="1135">
        <f t="shared" si="127"/>
        <v>0</v>
      </c>
      <c r="DL144" s="1132">
        <f t="shared" si="152"/>
        <v>0</v>
      </c>
      <c r="DM144" s="1133">
        <f t="shared" si="128"/>
        <v>0</v>
      </c>
      <c r="DN144" s="1136">
        <f t="shared" si="129"/>
        <v>0</v>
      </c>
      <c r="DO144" s="1135">
        <f t="shared" si="130"/>
        <v>0</v>
      </c>
      <c r="DP144" s="1132">
        <f t="shared" si="153"/>
        <v>0</v>
      </c>
      <c r="DQ144" s="1133">
        <f t="shared" si="142"/>
        <v>0</v>
      </c>
      <c r="DR144" s="1136">
        <f t="shared" si="143"/>
        <v>0</v>
      </c>
      <c r="DS144" s="1135">
        <f t="shared" si="131"/>
        <v>0</v>
      </c>
      <c r="DT144" s="1137">
        <f t="shared" si="154"/>
        <v>0</v>
      </c>
      <c r="DU144" s="1133">
        <f t="shared" si="144"/>
        <v>0</v>
      </c>
      <c r="DV144" s="1136">
        <f t="shared" si="145"/>
        <v>0</v>
      </c>
      <c r="DW144" s="1132">
        <f t="shared" si="146"/>
        <v>0</v>
      </c>
      <c r="DX144" s="1134">
        <f t="shared" si="147"/>
        <v>0</v>
      </c>
      <c r="DY144" s="414" t="s">
        <v>145</v>
      </c>
      <c r="DZ144" s="111" t="s">
        <v>145</v>
      </c>
      <c r="EA144" s="368"/>
      <c r="EB144" s="123" t="s">
        <v>145</v>
      </c>
      <c r="EC144" s="113" t="s">
        <v>145</v>
      </c>
      <c r="ED144" s="20"/>
      <c r="EE144" s="414">
        <v>18</v>
      </c>
      <c r="EF144" s="121">
        <v>2006</v>
      </c>
      <c r="EG144" s="380">
        <v>94.47705078125</v>
      </c>
      <c r="EH144" s="24" t="s">
        <v>354</v>
      </c>
      <c r="EI144" s="288">
        <v>0</v>
      </c>
      <c r="EJ144" s="40" t="s">
        <v>145</v>
      </c>
      <c r="EK144" s="355" t="s">
        <v>145</v>
      </c>
      <c r="EL144" s="364" t="s">
        <v>145</v>
      </c>
      <c r="EM144" s="364" t="s">
        <v>145</v>
      </c>
      <c r="EN144" s="355" t="s">
        <v>145</v>
      </c>
      <c r="EO144" s="364" t="s">
        <v>145</v>
      </c>
      <c r="EP144" s="205" t="s">
        <v>145</v>
      </c>
      <c r="EQ144" s="207" t="s">
        <v>145</v>
      </c>
      <c r="ER144" s="517" t="s">
        <v>145</v>
      </c>
      <c r="ES144" s="183"/>
      <c r="ET144" s="183"/>
      <c r="EU144" s="82"/>
      <c r="EV144" s="82"/>
      <c r="EW144" s="82"/>
      <c r="EX144" s="360"/>
      <c r="EY144" s="159"/>
      <c r="EZ144" s="156"/>
      <c r="FA144" s="323"/>
      <c r="FB144" s="323"/>
      <c r="FC144" s="323"/>
      <c r="FD144" s="160"/>
      <c r="FE144" s="156"/>
      <c r="FF144" s="156"/>
      <c r="FG144" s="156"/>
      <c r="FH144" s="157"/>
      <c r="FI144" s="242"/>
      <c r="FJ144" s="373"/>
      <c r="FK144" s="179"/>
      <c r="FL144" s="179"/>
      <c r="FM144" s="179"/>
      <c r="FN144" s="369"/>
      <c r="FO144" s="164"/>
      <c r="FP144" s="255">
        <v>2</v>
      </c>
      <c r="FQ144" s="183"/>
      <c r="FR144" s="257"/>
      <c r="FS144" s="82"/>
      <c r="FT144" s="259"/>
      <c r="FU144" s="82"/>
      <c r="FV144" s="259"/>
      <c r="FW144" s="82"/>
      <c r="FX144" s="259"/>
      <c r="FY144" s="82"/>
      <c r="FZ144" s="259"/>
      <c r="GA144" s="82"/>
      <c r="GB144" s="261"/>
      <c r="GC144" s="360"/>
      <c r="GD144" s="76">
        <v>1</v>
      </c>
      <c r="GE144" s="445" t="s">
        <v>3424</v>
      </c>
      <c r="GF144" s="447" t="s">
        <v>10</v>
      </c>
      <c r="GG144" s="448">
        <v>1</v>
      </c>
      <c r="GH144" s="449">
        <v>1</v>
      </c>
      <c r="GI144" s="447" t="s">
        <v>145</v>
      </c>
      <c r="GJ144" s="449" t="s">
        <v>145</v>
      </c>
      <c r="GK144" s="447" t="s">
        <v>145</v>
      </c>
      <c r="GL144" s="448" t="s">
        <v>145</v>
      </c>
      <c r="GM144" s="449" t="s">
        <v>145</v>
      </c>
      <c r="GN144" s="447" t="s">
        <v>10</v>
      </c>
      <c r="GO144" s="449">
        <v>18</v>
      </c>
      <c r="GP144" s="447">
        <v>5</v>
      </c>
      <c r="GQ144" s="448">
        <v>7</v>
      </c>
      <c r="GR144" s="449">
        <v>6</v>
      </c>
      <c r="GS144" s="446">
        <v>10</v>
      </c>
      <c r="GT144" s="461">
        <v>1.0409666299819946</v>
      </c>
      <c r="GU144" s="462">
        <v>0.74059635400772095</v>
      </c>
      <c r="GV144" s="462">
        <v>1.227469801902771</v>
      </c>
      <c r="GW144" s="462">
        <v>0.78678429126739502</v>
      </c>
      <c r="GX144" s="462">
        <v>1.03294837474823</v>
      </c>
      <c r="GY144" s="463">
        <v>0.91559857130050659</v>
      </c>
      <c r="GZ144" s="10">
        <v>37</v>
      </c>
      <c r="HA144" s="536">
        <v>0.68996000000000002</v>
      </c>
      <c r="HB144" s="536">
        <v>0.64705000000000001</v>
      </c>
      <c r="HC144" s="525">
        <v>0.63778999999999997</v>
      </c>
      <c r="HD144" s="526">
        <v>0.60943000000000003</v>
      </c>
      <c r="HE144" s="527">
        <v>0.82269999999999999</v>
      </c>
      <c r="HF144" s="10">
        <v>43</v>
      </c>
      <c r="HG144" s="532">
        <v>6.67</v>
      </c>
      <c r="HH144" s="545">
        <v>7.67</v>
      </c>
      <c r="HI144" s="546">
        <v>4.6100000000000003</v>
      </c>
      <c r="HJ144" s="547">
        <v>8.77</v>
      </c>
      <c r="HK144" s="558" t="s">
        <v>4108</v>
      </c>
      <c r="HL144" s="585" t="s">
        <v>4820</v>
      </c>
      <c r="HM144" s="557">
        <v>1991</v>
      </c>
      <c r="HN144" s="557">
        <v>1998</v>
      </c>
      <c r="HO144" s="557" t="s">
        <v>3985</v>
      </c>
      <c r="HP144" s="562" t="s">
        <v>4080</v>
      </c>
      <c r="HQ144" s="639" t="s">
        <v>4819</v>
      </c>
      <c r="HR144" s="563" t="s">
        <v>4109</v>
      </c>
      <c r="HS144" s="545">
        <v>68</v>
      </c>
      <c r="HT144" s="557">
        <v>73</v>
      </c>
      <c r="HU144" s="557">
        <v>1993</v>
      </c>
      <c r="HV144" s="583" t="s">
        <v>4235</v>
      </c>
      <c r="HW144" s="557">
        <v>4</v>
      </c>
      <c r="HX144" s="557">
        <v>22</v>
      </c>
      <c r="HY144" s="557">
        <v>19</v>
      </c>
      <c r="HZ144" s="557">
        <v>10</v>
      </c>
      <c r="IA144" s="557">
        <v>14</v>
      </c>
      <c r="IB144" s="557">
        <v>0</v>
      </c>
      <c r="IC144" s="547">
        <v>4</v>
      </c>
      <c r="ID144" s="40" t="s">
        <v>5199</v>
      </c>
      <c r="IE144" s="355" t="s">
        <v>5200</v>
      </c>
      <c r="IF144" s="355"/>
      <c r="IG144" s="553"/>
      <c r="IH144" s="339"/>
      <c r="II144" s="553" t="s">
        <v>4920</v>
      </c>
      <c r="IJ144" s="424" t="s">
        <v>4925</v>
      </c>
      <c r="IK144" s="24">
        <v>0</v>
      </c>
      <c r="IL144" s="749">
        <f t="shared" si="132"/>
        <v>20</v>
      </c>
      <c r="IM144" s="747">
        <f t="shared" si="133"/>
        <v>80</v>
      </c>
      <c r="IN144" s="750" t="str">
        <f t="shared" si="134"/>
        <v>A</v>
      </c>
      <c r="IO144" s="446"/>
      <c r="IP144" s="902">
        <v>5</v>
      </c>
      <c r="IQ144" s="903">
        <v>0</v>
      </c>
      <c r="IR144" s="993">
        <v>0</v>
      </c>
      <c r="IT144" s="435"/>
      <c r="IU144" s="435"/>
      <c r="IV144" s="435"/>
    </row>
    <row r="145" spans="1:256">
      <c r="A145" s="21">
        <v>143</v>
      </c>
      <c r="B145" s="9"/>
      <c r="C145" s="430" t="s">
        <v>222</v>
      </c>
      <c r="D145" s="423" t="s">
        <v>410</v>
      </c>
      <c r="E145" s="24" t="s">
        <v>17</v>
      </c>
      <c r="F145" s="76" t="s">
        <v>879</v>
      </c>
      <c r="G145" s="102" t="s">
        <v>599</v>
      </c>
      <c r="H145" s="375" t="s">
        <v>2427</v>
      </c>
      <c r="I145" s="95" t="s">
        <v>2428</v>
      </c>
      <c r="J145" s="176">
        <v>3</v>
      </c>
      <c r="K145" s="88">
        <v>2005</v>
      </c>
      <c r="L145" s="371">
        <v>2</v>
      </c>
      <c r="M145" s="240" t="s">
        <v>1816</v>
      </c>
      <c r="N145" s="172" t="s">
        <v>2426</v>
      </c>
      <c r="O145" s="365" t="s">
        <v>3318</v>
      </c>
      <c r="P145" s="362" t="s">
        <v>2798</v>
      </c>
      <c r="Q145" s="370">
        <v>2</v>
      </c>
      <c r="R145" s="370">
        <v>2007</v>
      </c>
      <c r="S145" s="372" t="s">
        <v>1968</v>
      </c>
      <c r="T145" s="176">
        <v>1</v>
      </c>
      <c r="U145" s="370">
        <v>2</v>
      </c>
      <c r="V145" s="176">
        <v>15</v>
      </c>
      <c r="W145" s="369" t="s">
        <v>3317</v>
      </c>
      <c r="X145" s="170">
        <v>0</v>
      </c>
      <c r="Y145" s="369">
        <v>0</v>
      </c>
      <c r="Z145" s="273" t="s">
        <v>2078</v>
      </c>
      <c r="AA145" s="169">
        <v>1</v>
      </c>
      <c r="AB145" s="177">
        <v>1</v>
      </c>
      <c r="AC145" s="171"/>
      <c r="AD145" s="366" t="s">
        <v>972</v>
      </c>
      <c r="AE145" s="355">
        <v>2007</v>
      </c>
      <c r="AF145" s="804">
        <v>2</v>
      </c>
      <c r="AG145" s="550" t="s">
        <v>5171</v>
      </c>
      <c r="AH145" s="355" t="s">
        <v>2790</v>
      </c>
      <c r="AI145" s="55">
        <v>0</v>
      </c>
      <c r="AJ145" s="55">
        <v>1</v>
      </c>
      <c r="AK145" s="590" t="s">
        <v>145</v>
      </c>
      <c r="AL145" s="386">
        <v>1</v>
      </c>
      <c r="AM145" s="361" t="s">
        <v>2782</v>
      </c>
      <c r="AN145" s="342" t="s">
        <v>145</v>
      </c>
      <c r="AO145" s="170">
        <v>0</v>
      </c>
      <c r="AP145" s="369">
        <v>0</v>
      </c>
      <c r="AQ145" s="365" t="s">
        <v>5292</v>
      </c>
      <c r="AR145" s="378" t="s">
        <v>5293</v>
      </c>
      <c r="AS145" s="55">
        <v>2</v>
      </c>
      <c r="AT145" s="370">
        <v>2</v>
      </c>
      <c r="AU145" s="371">
        <v>2008</v>
      </c>
      <c r="AV145" s="370">
        <v>5</v>
      </c>
      <c r="AW145" s="589">
        <v>45</v>
      </c>
      <c r="AX145" s="687">
        <v>0</v>
      </c>
      <c r="AY145" s="174" t="s">
        <v>4385</v>
      </c>
      <c r="AZ145" s="55">
        <v>1997</v>
      </c>
      <c r="BA145" s="55">
        <v>1</v>
      </c>
      <c r="BB145" s="55">
        <v>2</v>
      </c>
      <c r="BC145" s="174" t="s">
        <v>4386</v>
      </c>
      <c r="BD145" s="55">
        <v>2011</v>
      </c>
      <c r="BE145" s="55">
        <v>2</v>
      </c>
      <c r="BF145" s="796" t="s">
        <v>4365</v>
      </c>
      <c r="BG145" s="371">
        <v>1</v>
      </c>
      <c r="BH145" s="1" t="s">
        <v>4605</v>
      </c>
      <c r="BI145" s="371">
        <v>1</v>
      </c>
      <c r="BJ145" s="371">
        <v>0</v>
      </c>
      <c r="BK145" s="1138">
        <v>2421.0549999999998</v>
      </c>
      <c r="BL145" s="1163">
        <f t="shared" si="121"/>
        <v>24.260415397419717</v>
      </c>
      <c r="BM145" s="1138">
        <v>1833.6969999999999</v>
      </c>
      <c r="BN145" s="1139">
        <v>587.35799999999995</v>
      </c>
      <c r="BO145" s="888">
        <v>132.38</v>
      </c>
      <c r="BP145" s="1158">
        <f t="shared" si="135"/>
        <v>49.008158332074331</v>
      </c>
      <c r="BQ145" s="917">
        <v>67.503</v>
      </c>
      <c r="BR145" s="920">
        <v>64.876999999999995</v>
      </c>
      <c r="BS145" s="888">
        <v>111.96599999999999</v>
      </c>
      <c r="BT145" s="1158">
        <f t="shared" si="136"/>
        <v>48.738902881231802</v>
      </c>
      <c r="BU145" s="917">
        <v>57.395000000000003</v>
      </c>
      <c r="BV145" s="920">
        <v>54.570999999999998</v>
      </c>
      <c r="BW145" s="888">
        <v>102.616</v>
      </c>
      <c r="BX145" s="1158">
        <f t="shared" si="137"/>
        <v>43.745614718952211</v>
      </c>
      <c r="BY145" s="917">
        <v>57.725999999999999</v>
      </c>
      <c r="BZ145" s="920">
        <v>44.89</v>
      </c>
      <c r="CA145" s="888">
        <f t="shared" si="138"/>
        <v>2074.0929999999998</v>
      </c>
      <c r="CB145" s="1158">
        <f t="shared" si="139"/>
        <v>20.395421034640201</v>
      </c>
      <c r="CC145" s="917">
        <f t="shared" si="140"/>
        <v>1651.0729999999999</v>
      </c>
      <c r="CD145" s="920">
        <f t="shared" si="141"/>
        <v>423.02</v>
      </c>
      <c r="CE145" s="914">
        <v>2015</v>
      </c>
      <c r="CF145" s="910" t="s">
        <v>5630</v>
      </c>
      <c r="CG145" s="931">
        <v>90</v>
      </c>
      <c r="CH145" s="504">
        <v>90</v>
      </c>
      <c r="CI145" s="1008">
        <v>90</v>
      </c>
      <c r="CJ145" s="906" t="s">
        <v>1621</v>
      </c>
      <c r="CK145" s="906" t="s">
        <v>1621</v>
      </c>
      <c r="CL145" s="906">
        <v>2014</v>
      </c>
      <c r="CM145" s="1002" t="s">
        <v>5719</v>
      </c>
      <c r="CN145" s="1044">
        <v>2224.5830000000001</v>
      </c>
      <c r="CO145" s="1045">
        <f t="shared" si="122"/>
        <v>91.884860112636858</v>
      </c>
      <c r="CP145" s="1049">
        <v>1693.4549999999999</v>
      </c>
      <c r="CQ145" s="1050">
        <v>531.12800000000004</v>
      </c>
      <c r="CR145" s="1046">
        <v>2015</v>
      </c>
      <c r="CS145" s="1047" t="s">
        <v>5985</v>
      </c>
      <c r="CT145" s="1068">
        <f t="shared" si="123"/>
        <v>15</v>
      </c>
      <c r="CU145" s="1071">
        <v>18</v>
      </c>
      <c r="CV145" s="1068" t="s">
        <v>5993</v>
      </c>
      <c r="CW145" s="1113" t="s">
        <v>145</v>
      </c>
      <c r="CX145" s="1113" t="s">
        <v>145</v>
      </c>
      <c r="CY145" s="1113" t="s">
        <v>145</v>
      </c>
      <c r="CZ145" s="1048">
        <v>20</v>
      </c>
      <c r="DA145" s="1104">
        <v>5</v>
      </c>
      <c r="DB145" s="1050" t="s">
        <v>647</v>
      </c>
      <c r="DC145" s="1146" t="s">
        <v>322</v>
      </c>
      <c r="DD145" s="978">
        <f t="shared" si="148"/>
        <v>196.47199999999975</v>
      </c>
      <c r="DE145" s="979">
        <f t="shared" si="124"/>
        <v>8.115139887363144</v>
      </c>
      <c r="DF145" s="979">
        <f t="shared" si="149"/>
        <v>28.619854228592352</v>
      </c>
      <c r="DG145" s="980">
        <f t="shared" si="150"/>
        <v>140.24199999999996</v>
      </c>
      <c r="DH145" s="980">
        <f t="shared" si="151"/>
        <v>56.229999999999897</v>
      </c>
      <c r="DI145" s="979">
        <f t="shared" si="125"/>
        <v>7.6480465420404782</v>
      </c>
      <c r="DJ145" s="981">
        <f t="shared" si="126"/>
        <v>9.5733777355547911</v>
      </c>
      <c r="DK145" s="984">
        <f t="shared" si="127"/>
        <v>161.77579999999975</v>
      </c>
      <c r="DL145" s="979">
        <f t="shared" si="152"/>
        <v>24.599600187419853</v>
      </c>
      <c r="DM145" s="980">
        <f t="shared" si="128"/>
        <v>121.97959999999996</v>
      </c>
      <c r="DN145" s="985">
        <f t="shared" si="129"/>
        <v>39.796199999999907</v>
      </c>
      <c r="DO145" s="984">
        <f t="shared" si="130"/>
        <v>21.458199999999994</v>
      </c>
      <c r="DP145" s="979">
        <f t="shared" si="153"/>
        <v>46.35104528804839</v>
      </c>
      <c r="DQ145" s="980">
        <f t="shared" si="142"/>
        <v>11.512099999999997</v>
      </c>
      <c r="DR145" s="985">
        <f t="shared" si="143"/>
        <v>9.9460999999999977</v>
      </c>
      <c r="DS145" s="984">
        <f t="shared" si="131"/>
        <v>13.237999999999996</v>
      </c>
      <c r="DT145" s="339">
        <f t="shared" si="154"/>
        <v>49.008158332074338</v>
      </c>
      <c r="DU145" s="980">
        <f t="shared" si="144"/>
        <v>6.7502999999999984</v>
      </c>
      <c r="DV145" s="985">
        <f t="shared" si="145"/>
        <v>6.4876999999999985</v>
      </c>
      <c r="DW145" s="979">
        <f t="shared" si="146"/>
        <v>9.9999999999999982</v>
      </c>
      <c r="DX145" s="981">
        <f t="shared" si="147"/>
        <v>9.9999999999999982</v>
      </c>
      <c r="DY145" s="414" t="s">
        <v>145</v>
      </c>
      <c r="DZ145" s="111" t="s">
        <v>145</v>
      </c>
      <c r="EA145" s="118"/>
      <c r="EB145" s="123" t="s">
        <v>145</v>
      </c>
      <c r="EC145" s="113" t="s">
        <v>145</v>
      </c>
      <c r="ED145" s="20"/>
      <c r="EE145" s="414" t="s">
        <v>145</v>
      </c>
      <c r="EF145" s="111" t="s">
        <v>145</v>
      </c>
      <c r="EG145" s="380">
        <v>96.678596496582003</v>
      </c>
      <c r="EH145" s="24" t="s">
        <v>328</v>
      </c>
      <c r="EI145" s="287">
        <v>0</v>
      </c>
      <c r="EJ145" s="40" t="s">
        <v>145</v>
      </c>
      <c r="EK145" s="35" t="s">
        <v>145</v>
      </c>
      <c r="EL145" s="95" t="s">
        <v>145</v>
      </c>
      <c r="EM145" s="95" t="s">
        <v>145</v>
      </c>
      <c r="EN145" s="35" t="s">
        <v>145</v>
      </c>
      <c r="EO145" s="95" t="s">
        <v>145</v>
      </c>
      <c r="EP145" s="205" t="s">
        <v>145</v>
      </c>
      <c r="EQ145" s="207" t="s">
        <v>145</v>
      </c>
      <c r="ER145" s="517" t="s">
        <v>145</v>
      </c>
      <c r="ES145" s="183"/>
      <c r="ET145" s="183"/>
      <c r="EU145" s="82"/>
      <c r="EV145" s="82"/>
      <c r="EW145" s="82"/>
      <c r="EX145" s="90"/>
      <c r="EY145" s="159"/>
      <c r="EZ145" s="156"/>
      <c r="FA145" s="323"/>
      <c r="FB145" s="323"/>
      <c r="FC145" s="323"/>
      <c r="FD145" s="160"/>
      <c r="FE145" s="156"/>
      <c r="FF145" s="156"/>
      <c r="FG145" s="156"/>
      <c r="FH145" s="157"/>
      <c r="FI145" s="242"/>
      <c r="FJ145" s="240"/>
      <c r="FK145" s="179"/>
      <c r="FL145" s="179"/>
      <c r="FM145" s="179"/>
      <c r="FN145" s="172"/>
      <c r="FO145" s="164"/>
      <c r="FP145" s="255"/>
      <c r="FQ145" s="183"/>
      <c r="FR145" s="257"/>
      <c r="FS145" s="82"/>
      <c r="FT145" s="259"/>
      <c r="FU145" s="82"/>
      <c r="FV145" s="259"/>
      <c r="FW145" s="82"/>
      <c r="FX145" s="259"/>
      <c r="FY145" s="82"/>
      <c r="FZ145" s="259"/>
      <c r="GA145" s="82"/>
      <c r="GB145" s="261"/>
      <c r="GC145" s="90"/>
      <c r="GD145" s="76">
        <v>3</v>
      </c>
      <c r="GE145" s="445" t="s">
        <v>3430</v>
      </c>
      <c r="GF145" s="447" t="s">
        <v>580</v>
      </c>
      <c r="GG145" s="448">
        <v>6</v>
      </c>
      <c r="GH145" s="449">
        <v>5</v>
      </c>
      <c r="GI145" s="447" t="s">
        <v>145</v>
      </c>
      <c r="GJ145" s="449" t="s">
        <v>145</v>
      </c>
      <c r="GK145" s="447" t="s">
        <v>145</v>
      </c>
      <c r="GL145" s="448" t="s">
        <v>145</v>
      </c>
      <c r="GM145" s="449" t="s">
        <v>145</v>
      </c>
      <c r="GN145" s="447" t="s">
        <v>580</v>
      </c>
      <c r="GO145" s="449">
        <v>67</v>
      </c>
      <c r="GP145" s="447">
        <v>20</v>
      </c>
      <c r="GQ145" s="448">
        <v>25</v>
      </c>
      <c r="GR145" s="449">
        <v>22</v>
      </c>
      <c r="GS145" s="446">
        <v>-10</v>
      </c>
      <c r="GT145" s="461">
        <v>-0.86297929286956787</v>
      </c>
      <c r="GU145" s="462">
        <v>1.2175445556640625</v>
      </c>
      <c r="GV145" s="462">
        <v>1.0707777738571167</v>
      </c>
      <c r="GW145" s="462">
        <v>0.74076825380325317</v>
      </c>
      <c r="GX145" s="462">
        <v>1.0435861349105835</v>
      </c>
      <c r="GY145" s="463">
        <v>1.2365845441818237</v>
      </c>
      <c r="GZ145" s="10">
        <v>44</v>
      </c>
      <c r="HA145" s="536">
        <v>0.63614999999999999</v>
      </c>
      <c r="HB145" s="536">
        <v>0.60784000000000005</v>
      </c>
      <c r="HC145" s="525">
        <v>0.65354000000000001</v>
      </c>
      <c r="HD145" s="526">
        <v>0.58786000000000005</v>
      </c>
      <c r="HE145" s="527">
        <v>0.66710000000000003</v>
      </c>
      <c r="HF145" s="10">
        <v>34</v>
      </c>
      <c r="HG145" s="532">
        <v>7.01</v>
      </c>
      <c r="HH145" s="545">
        <v>8.09</v>
      </c>
      <c r="HI145" s="546">
        <v>5.95</v>
      </c>
      <c r="HJ145" s="547">
        <v>6.95</v>
      </c>
      <c r="HK145" s="558" t="s">
        <v>4110</v>
      </c>
      <c r="HL145" s="585" t="s">
        <v>4821</v>
      </c>
      <c r="HM145" s="448">
        <v>2012</v>
      </c>
      <c r="HN145" s="809" t="s">
        <v>145</v>
      </c>
      <c r="HO145" s="448" t="s">
        <v>145</v>
      </c>
      <c r="HP145" s="562" t="s">
        <v>4822</v>
      </c>
      <c r="HQ145" s="639" t="s">
        <v>4823</v>
      </c>
      <c r="HR145" s="563" t="s">
        <v>145</v>
      </c>
      <c r="HS145" s="545" t="s">
        <v>145</v>
      </c>
      <c r="HT145" s="557" t="s">
        <v>145</v>
      </c>
      <c r="HU145" s="557" t="s">
        <v>145</v>
      </c>
      <c r="HV145" s="581" t="s">
        <v>145</v>
      </c>
      <c r="HW145" s="557" t="s">
        <v>145</v>
      </c>
      <c r="HX145" s="557" t="s">
        <v>145</v>
      </c>
      <c r="HY145" s="557" t="s">
        <v>145</v>
      </c>
      <c r="HZ145" s="557" t="s">
        <v>145</v>
      </c>
      <c r="IA145" s="557" t="s">
        <v>145</v>
      </c>
      <c r="IB145" s="557" t="s">
        <v>145</v>
      </c>
      <c r="IC145" s="547" t="s">
        <v>145</v>
      </c>
      <c r="ID145" s="40"/>
      <c r="IE145" s="550"/>
      <c r="IF145" s="550"/>
      <c r="IG145" s="553"/>
      <c r="IH145" s="115">
        <v>37.700000000000003</v>
      </c>
      <c r="II145" s="647" t="s">
        <v>4920</v>
      </c>
      <c r="IJ145" s="423" t="s">
        <v>4926</v>
      </c>
      <c r="IK145" s="10">
        <v>0</v>
      </c>
      <c r="IL145" s="749">
        <f t="shared" si="132"/>
        <v>20</v>
      </c>
      <c r="IM145" s="747">
        <f t="shared" si="133"/>
        <v>80</v>
      </c>
      <c r="IN145" s="750" t="str">
        <f t="shared" si="134"/>
        <v>A</v>
      </c>
      <c r="IO145" s="446"/>
      <c r="IP145" s="902">
        <v>3</v>
      </c>
      <c r="IQ145" s="903">
        <v>0</v>
      </c>
      <c r="IR145" s="993">
        <v>0</v>
      </c>
      <c r="IT145" s="435"/>
      <c r="IU145" s="435"/>
      <c r="IV145" s="435"/>
    </row>
    <row r="146" spans="1:256">
      <c r="A146" s="21">
        <v>144</v>
      </c>
      <c r="B146" s="9"/>
      <c r="C146" s="430" t="s">
        <v>224</v>
      </c>
      <c r="D146" s="424" t="s">
        <v>408</v>
      </c>
      <c r="E146" s="24" t="s">
        <v>12</v>
      </c>
      <c r="F146" s="76" t="s">
        <v>3145</v>
      </c>
      <c r="G146" s="102" t="s">
        <v>600</v>
      </c>
      <c r="H146" s="251" t="s">
        <v>2434</v>
      </c>
      <c r="I146" s="95" t="s">
        <v>2435</v>
      </c>
      <c r="J146" s="370">
        <v>5</v>
      </c>
      <c r="K146" s="88">
        <v>1864</v>
      </c>
      <c r="L146" s="371">
        <v>2</v>
      </c>
      <c r="M146" s="373" t="s">
        <v>1813</v>
      </c>
      <c r="N146" s="369" t="s">
        <v>1822</v>
      </c>
      <c r="O146" s="365" t="s">
        <v>2961</v>
      </c>
      <c r="P146" s="362" t="s">
        <v>2894</v>
      </c>
      <c r="Q146" s="370">
        <v>2</v>
      </c>
      <c r="R146" s="370">
        <v>1949</v>
      </c>
      <c r="S146" s="234" t="s">
        <v>2079</v>
      </c>
      <c r="T146" s="176">
        <v>1</v>
      </c>
      <c r="U146" s="370">
        <v>2</v>
      </c>
      <c r="V146" s="176">
        <v>14</v>
      </c>
      <c r="W146" s="369" t="s">
        <v>2036</v>
      </c>
      <c r="X146" s="170">
        <v>1</v>
      </c>
      <c r="Y146" s="369">
        <v>1</v>
      </c>
      <c r="Z146" s="273" t="s">
        <v>2025</v>
      </c>
      <c r="AA146" s="169"/>
      <c r="AB146" s="177">
        <v>1</v>
      </c>
      <c r="AC146" s="171"/>
      <c r="AD146" s="366" t="s">
        <v>2963</v>
      </c>
      <c r="AE146" s="355">
        <v>2016</v>
      </c>
      <c r="AF146" s="357">
        <v>2</v>
      </c>
      <c r="AG146" s="550" t="s">
        <v>5171</v>
      </c>
      <c r="AH146" s="355" t="s">
        <v>2964</v>
      </c>
      <c r="AI146" s="550">
        <v>1</v>
      </c>
      <c r="AJ146" s="550">
        <v>0</v>
      </c>
      <c r="AK146" s="590" t="s">
        <v>145</v>
      </c>
      <c r="AL146" s="387">
        <v>10</v>
      </c>
      <c r="AM146" s="361" t="s">
        <v>2965</v>
      </c>
      <c r="AN146" s="342" t="s">
        <v>145</v>
      </c>
      <c r="AO146" s="170">
        <v>0</v>
      </c>
      <c r="AP146" s="369">
        <v>0</v>
      </c>
      <c r="AQ146" s="365" t="s">
        <v>5294</v>
      </c>
      <c r="AR146" s="378" t="s">
        <v>5295</v>
      </c>
      <c r="AS146" s="55">
        <v>2</v>
      </c>
      <c r="AT146" s="370">
        <v>2</v>
      </c>
      <c r="AU146" s="371">
        <v>2009</v>
      </c>
      <c r="AV146" s="370">
        <v>5</v>
      </c>
      <c r="AW146" s="589">
        <v>2000</v>
      </c>
      <c r="AX146" s="687">
        <v>1</v>
      </c>
      <c r="AY146" s="174" t="s">
        <v>4387</v>
      </c>
      <c r="AZ146" s="55">
        <v>2002</v>
      </c>
      <c r="BA146" s="55">
        <v>1</v>
      </c>
      <c r="BB146" s="55">
        <v>2</v>
      </c>
      <c r="BC146" s="174" t="s">
        <v>4460</v>
      </c>
      <c r="BD146" s="55">
        <v>2004</v>
      </c>
      <c r="BE146" s="55">
        <v>2</v>
      </c>
      <c r="BF146" s="367" t="s">
        <v>4366</v>
      </c>
      <c r="BG146" s="367">
        <v>0</v>
      </c>
      <c r="BH146" s="56" t="s">
        <v>145</v>
      </c>
      <c r="BI146" s="367">
        <v>3</v>
      </c>
      <c r="BJ146" s="367">
        <v>1</v>
      </c>
      <c r="BK146" s="1138">
        <v>21729.870999999999</v>
      </c>
      <c r="BL146" s="1163">
        <f t="shared" si="121"/>
        <v>51.329757088755848</v>
      </c>
      <c r="BM146" s="1138">
        <v>10575.981</v>
      </c>
      <c r="BN146" s="1139">
        <v>11153.89</v>
      </c>
      <c r="BO146" s="888">
        <v>924.24400000000003</v>
      </c>
      <c r="BP146" s="1158">
        <f t="shared" si="135"/>
        <v>48.62547119591796</v>
      </c>
      <c r="BQ146" s="917">
        <v>474.82600000000002</v>
      </c>
      <c r="BR146" s="920">
        <v>449.41800000000001</v>
      </c>
      <c r="BS146" s="888">
        <v>1050.2090000000001</v>
      </c>
      <c r="BT146" s="1158">
        <f t="shared" si="136"/>
        <v>48.669550537083566</v>
      </c>
      <c r="BU146" s="917">
        <v>539.077</v>
      </c>
      <c r="BV146" s="920">
        <v>511.13200000000001</v>
      </c>
      <c r="BW146" s="888">
        <v>1053.818</v>
      </c>
      <c r="BX146" s="1158">
        <f t="shared" si="137"/>
        <v>48.703476311848917</v>
      </c>
      <c r="BY146" s="917">
        <v>540.572</v>
      </c>
      <c r="BZ146" s="920">
        <v>513.24599999999998</v>
      </c>
      <c r="CA146" s="888">
        <f t="shared" si="138"/>
        <v>18701.600000000002</v>
      </c>
      <c r="CB146" s="1158">
        <f t="shared" si="139"/>
        <v>51.76077982632502</v>
      </c>
      <c r="CC146" s="917">
        <f t="shared" si="140"/>
        <v>9021.5059999999994</v>
      </c>
      <c r="CD146" s="920">
        <f t="shared" si="141"/>
        <v>9680.094000000001</v>
      </c>
      <c r="CE146" s="914">
        <v>2015</v>
      </c>
      <c r="CF146" s="910" t="s">
        <v>5630</v>
      </c>
      <c r="CG146" s="931">
        <v>90</v>
      </c>
      <c r="CH146" s="504">
        <v>90</v>
      </c>
      <c r="CI146" s="1008">
        <v>90</v>
      </c>
      <c r="CJ146" s="906" t="s">
        <v>1621</v>
      </c>
      <c r="CK146" s="906" t="s">
        <v>1621</v>
      </c>
      <c r="CL146" s="906">
        <v>2013</v>
      </c>
      <c r="CM146" s="1002" t="s">
        <v>5720</v>
      </c>
      <c r="CN146" s="1125">
        <v>17645.517</v>
      </c>
      <c r="CO146" s="1045">
        <f t="shared" si="122"/>
        <v>81.203965729939227</v>
      </c>
      <c r="CP146" s="1040">
        <f>IF(OR(CZ146=1,CZ146=10),CN146*(1-BL146/100),IF(DA146=6,CN146*(1-BL146/100),CN146*(1-CB146/100)))</f>
        <v>8588.1159868448813</v>
      </c>
      <c r="CQ146" s="1041">
        <f>IF(OR(CZ146=1,CZ146=10),CN146*BL146/100,IF(DA146=6,CN146*BL146/100,CN146*CB146/100))</f>
        <v>9057.4010131551186</v>
      </c>
      <c r="CR146" s="1046">
        <v>2014</v>
      </c>
      <c r="CS146" s="1047" t="s">
        <v>5994</v>
      </c>
      <c r="CT146" s="1068">
        <f t="shared" si="123"/>
        <v>14</v>
      </c>
      <c r="CU146" s="1071">
        <v>18</v>
      </c>
      <c r="CV146" s="1068" t="s">
        <v>5995</v>
      </c>
      <c r="CW146" s="1113">
        <v>18280.993999999999</v>
      </c>
      <c r="CX146" s="1113">
        <v>17645.517</v>
      </c>
      <c r="CY146" s="1113">
        <v>21729.870999999999</v>
      </c>
      <c r="CZ146" s="494">
        <v>1</v>
      </c>
      <c r="DA146" s="1104">
        <v>4</v>
      </c>
      <c r="DB146" s="1050" t="s">
        <v>647</v>
      </c>
      <c r="DC146" s="1146" t="s">
        <v>322</v>
      </c>
      <c r="DD146" s="978">
        <f t="shared" si="148"/>
        <v>1358.9101000000021</v>
      </c>
      <c r="DE146" s="979">
        <f t="shared" si="124"/>
        <v>6.2536501022026414</v>
      </c>
      <c r="DF146" s="979">
        <f t="shared" si="149"/>
        <v>56.668398214486828</v>
      </c>
      <c r="DG146" s="980">
        <f t="shared" si="150"/>
        <v>588.83751315511813</v>
      </c>
      <c r="DH146" s="980">
        <f t="shared" si="151"/>
        <v>770.07258684488227</v>
      </c>
      <c r="DI146" s="979">
        <f t="shared" si="125"/>
        <v>5.5676869422809867</v>
      </c>
      <c r="DJ146" s="981">
        <f t="shared" si="126"/>
        <v>6.9040719143265914</v>
      </c>
      <c r="DK146" s="984">
        <f t="shared" si="127"/>
        <v>1056.0830000000024</v>
      </c>
      <c r="DL146" s="979">
        <f t="shared" si="152"/>
        <v>58.962504542245355</v>
      </c>
      <c r="DM146" s="980">
        <f t="shared" si="128"/>
        <v>433.39001315511814</v>
      </c>
      <c r="DN146" s="985">
        <f t="shared" si="129"/>
        <v>622.6929868448824</v>
      </c>
      <c r="DO146" s="984">
        <f t="shared" si="130"/>
        <v>210.40269999999995</v>
      </c>
      <c r="DP146" s="979">
        <f t="shared" si="153"/>
        <v>48.686542520604533</v>
      </c>
      <c r="DQ146" s="980">
        <f t="shared" si="142"/>
        <v>107.96489999999997</v>
      </c>
      <c r="DR146" s="985">
        <f t="shared" si="143"/>
        <v>102.43779999999998</v>
      </c>
      <c r="DS146" s="984">
        <f t="shared" si="131"/>
        <v>92.424399999999977</v>
      </c>
      <c r="DT146" s="339">
        <f t="shared" si="154"/>
        <v>48.625471195917967</v>
      </c>
      <c r="DU146" s="980">
        <f t="shared" si="144"/>
        <v>47.482599999999991</v>
      </c>
      <c r="DV146" s="985">
        <f t="shared" si="145"/>
        <v>44.941799999999994</v>
      </c>
      <c r="DW146" s="979">
        <f t="shared" si="146"/>
        <v>9.9999999999999982</v>
      </c>
      <c r="DX146" s="981">
        <f t="shared" si="147"/>
        <v>9.9999999999999982</v>
      </c>
      <c r="DY146" s="414">
        <v>0.4</v>
      </c>
      <c r="DZ146" s="111">
        <v>2011</v>
      </c>
      <c r="EA146" s="118">
        <v>86</v>
      </c>
      <c r="EB146" s="123">
        <v>13.8</v>
      </c>
      <c r="EC146" s="113">
        <v>2006</v>
      </c>
      <c r="ED146" s="20">
        <v>2951.82</v>
      </c>
      <c r="EE146" s="414">
        <v>22.2</v>
      </c>
      <c r="EF146" s="111">
        <v>2011</v>
      </c>
      <c r="EG146" s="380">
        <v>98.604286193847699</v>
      </c>
      <c r="EH146" s="24" t="s">
        <v>355</v>
      </c>
      <c r="EI146" s="287">
        <v>3</v>
      </c>
      <c r="EJ146" s="40" t="s">
        <v>145</v>
      </c>
      <c r="EK146" s="35" t="s">
        <v>145</v>
      </c>
      <c r="EL146" s="95" t="s">
        <v>145</v>
      </c>
      <c r="EM146" s="95" t="s">
        <v>145</v>
      </c>
      <c r="EN146" s="35" t="s">
        <v>145</v>
      </c>
      <c r="EO146" s="95" t="s">
        <v>145</v>
      </c>
      <c r="EP146" s="205" t="s">
        <v>145</v>
      </c>
      <c r="EQ146" s="207" t="s">
        <v>145</v>
      </c>
      <c r="ER146" s="517">
        <v>1</v>
      </c>
      <c r="ES146" s="183" t="s">
        <v>145</v>
      </c>
      <c r="ET146" s="183" t="s">
        <v>145</v>
      </c>
      <c r="EU146" s="82" t="s">
        <v>3789</v>
      </c>
      <c r="EV146" s="82" t="s">
        <v>145</v>
      </c>
      <c r="EW146" s="82" t="s">
        <v>145</v>
      </c>
      <c r="EX146" s="360" t="s">
        <v>145</v>
      </c>
      <c r="EY146" s="159"/>
      <c r="EZ146" s="156"/>
      <c r="FA146" s="323"/>
      <c r="FB146" s="323"/>
      <c r="FC146" s="323"/>
      <c r="FD146" s="160"/>
      <c r="FE146" s="156"/>
      <c r="FF146" s="156"/>
      <c r="FG146" s="156"/>
      <c r="FH146" s="157"/>
      <c r="FI146" s="242"/>
      <c r="FJ146" s="373"/>
      <c r="FK146" s="179"/>
      <c r="FL146" s="179"/>
      <c r="FM146" s="179"/>
      <c r="FN146" s="369"/>
      <c r="FO146" s="164"/>
      <c r="FP146" s="255"/>
      <c r="FQ146" s="183"/>
      <c r="FR146" s="257"/>
      <c r="FS146" s="82"/>
      <c r="FT146" s="259"/>
      <c r="FU146" s="82"/>
      <c r="FV146" s="259"/>
      <c r="FW146" s="82"/>
      <c r="FX146" s="259"/>
      <c r="FY146" s="82"/>
      <c r="FZ146" s="259"/>
      <c r="GA146" s="82"/>
      <c r="GB146" s="261"/>
      <c r="GC146" s="90"/>
      <c r="GD146" s="76">
        <v>1</v>
      </c>
      <c r="GE146" s="445" t="s">
        <v>3424</v>
      </c>
      <c r="GF146" s="447" t="s">
        <v>10</v>
      </c>
      <c r="GG146" s="448">
        <v>2</v>
      </c>
      <c r="GH146" s="449">
        <v>2</v>
      </c>
      <c r="GI146" s="447" t="s">
        <v>145</v>
      </c>
      <c r="GJ146" s="449" t="s">
        <v>145</v>
      </c>
      <c r="GK146" s="447" t="s">
        <v>145</v>
      </c>
      <c r="GL146" s="448" t="s">
        <v>145</v>
      </c>
      <c r="GM146" s="449" t="s">
        <v>145</v>
      </c>
      <c r="GN146" s="447" t="s">
        <v>590</v>
      </c>
      <c r="GO146" s="449">
        <v>41</v>
      </c>
      <c r="GP146" s="447">
        <v>12</v>
      </c>
      <c r="GQ146" s="448">
        <v>15</v>
      </c>
      <c r="GR146" s="449">
        <v>14</v>
      </c>
      <c r="GS146" s="446">
        <v>9</v>
      </c>
      <c r="GT146" s="461">
        <v>0.29095962643623352</v>
      </c>
      <c r="GU146" s="462">
        <v>0.15292498469352722</v>
      </c>
      <c r="GV146" s="462">
        <v>-7.3048219084739685E-2</v>
      </c>
      <c r="GW146" s="462">
        <v>0.58881789445877075</v>
      </c>
      <c r="GX146" s="462">
        <v>0.10646047443151474</v>
      </c>
      <c r="GY146" s="463">
        <v>-0.20338164269924164</v>
      </c>
      <c r="GZ146" s="10">
        <v>64</v>
      </c>
      <c r="HA146" s="536">
        <v>0.56315000000000004</v>
      </c>
      <c r="HB146" s="536">
        <v>0.47058</v>
      </c>
      <c r="HC146" s="525">
        <v>0.44094</v>
      </c>
      <c r="HD146" s="526">
        <v>0.43853999999999999</v>
      </c>
      <c r="HE146" s="527">
        <v>0.81</v>
      </c>
      <c r="HF146" s="10">
        <v>58</v>
      </c>
      <c r="HG146" s="532">
        <v>5.83</v>
      </c>
      <c r="HH146" s="545">
        <v>6.62</v>
      </c>
      <c r="HI146" s="546">
        <v>3.87</v>
      </c>
      <c r="HJ146" s="547">
        <v>8.17</v>
      </c>
      <c r="HK146" s="558" t="s">
        <v>4111</v>
      </c>
      <c r="HL146" s="585" t="s">
        <v>4824</v>
      </c>
      <c r="HM146" s="557">
        <v>2001</v>
      </c>
      <c r="HN146" s="557">
        <v>2005</v>
      </c>
      <c r="HO146" s="557" t="s">
        <v>3985</v>
      </c>
      <c r="HP146" s="562" t="s">
        <v>4112</v>
      </c>
      <c r="HQ146" s="639" t="s">
        <v>4825</v>
      </c>
      <c r="HR146" s="563" t="s">
        <v>4031</v>
      </c>
      <c r="HS146" s="545">
        <v>53</v>
      </c>
      <c r="HT146" s="557">
        <v>83</v>
      </c>
      <c r="HU146" s="557">
        <v>2001</v>
      </c>
      <c r="HV146" s="583" t="s">
        <v>4236</v>
      </c>
      <c r="HW146" s="557">
        <v>5</v>
      </c>
      <c r="HX146" s="557">
        <v>29</v>
      </c>
      <c r="HY146" s="557">
        <v>17</v>
      </c>
      <c r="HZ146" s="557">
        <v>13</v>
      </c>
      <c r="IA146" s="557">
        <v>4</v>
      </c>
      <c r="IB146" s="557">
        <v>6</v>
      </c>
      <c r="IC146" s="547">
        <v>9</v>
      </c>
      <c r="ID146" s="40" t="s">
        <v>5199</v>
      </c>
      <c r="IE146" s="550"/>
      <c r="IF146" s="550"/>
      <c r="IG146" s="553"/>
      <c r="IH146" s="339"/>
      <c r="II146" s="553" t="s">
        <v>4922</v>
      </c>
      <c r="IJ146" s="424"/>
      <c r="IK146" s="24">
        <v>0</v>
      </c>
      <c r="IL146" s="749">
        <f t="shared" si="132"/>
        <v>22</v>
      </c>
      <c r="IM146" s="747">
        <f t="shared" si="133"/>
        <v>88</v>
      </c>
      <c r="IN146" s="750" t="str">
        <f t="shared" si="134"/>
        <v>A</v>
      </c>
      <c r="IO146" s="446"/>
      <c r="IP146" s="902">
        <v>5</v>
      </c>
      <c r="IQ146" s="903">
        <v>0</v>
      </c>
      <c r="IR146" s="993">
        <v>0</v>
      </c>
      <c r="IT146" s="435"/>
      <c r="IU146" s="435"/>
      <c r="IV146" s="435"/>
    </row>
    <row r="147" spans="1:256">
      <c r="A147" s="21">
        <v>145</v>
      </c>
      <c r="B147" s="9"/>
      <c r="C147" s="430" t="s">
        <v>226</v>
      </c>
      <c r="D147" s="424" t="s">
        <v>408</v>
      </c>
      <c r="E147" s="697" t="s">
        <v>17</v>
      </c>
      <c r="F147" s="76" t="s">
        <v>880</v>
      </c>
      <c r="G147" s="102" t="s">
        <v>601</v>
      </c>
      <c r="H147" s="375" t="s">
        <v>2430</v>
      </c>
      <c r="I147" s="364" t="s">
        <v>2429</v>
      </c>
      <c r="J147" s="176">
        <v>6</v>
      </c>
      <c r="K147" s="359">
        <v>1917</v>
      </c>
      <c r="L147" s="371">
        <v>2</v>
      </c>
      <c r="M147" s="240" t="s">
        <v>1825</v>
      </c>
      <c r="N147" s="172" t="s">
        <v>1822</v>
      </c>
      <c r="O147" s="365" t="s">
        <v>2979</v>
      </c>
      <c r="P147" s="362" t="s">
        <v>2978</v>
      </c>
      <c r="Q147" s="176">
        <v>2</v>
      </c>
      <c r="R147" s="370">
        <v>1992</v>
      </c>
      <c r="S147" s="234" t="s">
        <v>2980</v>
      </c>
      <c r="T147" s="176">
        <v>1</v>
      </c>
      <c r="U147" s="370">
        <v>2</v>
      </c>
      <c r="V147" s="176">
        <v>16</v>
      </c>
      <c r="W147" s="369" t="s">
        <v>1822</v>
      </c>
      <c r="X147" s="170">
        <v>1</v>
      </c>
      <c r="Y147" s="369">
        <v>1</v>
      </c>
      <c r="Z147" s="273" t="s">
        <v>2040</v>
      </c>
      <c r="AA147" s="169">
        <v>1</v>
      </c>
      <c r="AB147" s="177"/>
      <c r="AC147" s="171"/>
      <c r="AD147" s="366" t="s">
        <v>2982</v>
      </c>
      <c r="AE147" s="357">
        <v>2013</v>
      </c>
      <c r="AF147" s="357">
        <v>2</v>
      </c>
      <c r="AG147" s="550" t="s">
        <v>5171</v>
      </c>
      <c r="AH147" s="355" t="s">
        <v>2746</v>
      </c>
      <c r="AI147" s="55">
        <v>1</v>
      </c>
      <c r="AJ147" s="55">
        <v>1</v>
      </c>
      <c r="AK147" s="590">
        <v>576</v>
      </c>
      <c r="AL147" s="386">
        <v>9</v>
      </c>
      <c r="AM147" s="361" t="s">
        <v>2981</v>
      </c>
      <c r="AN147" s="342" t="s">
        <v>145</v>
      </c>
      <c r="AO147" s="170">
        <v>1</v>
      </c>
      <c r="AP147" s="369">
        <v>1</v>
      </c>
      <c r="AQ147" s="365" t="s">
        <v>5296</v>
      </c>
      <c r="AR147" s="378" t="s">
        <v>2978</v>
      </c>
      <c r="AS147" s="55">
        <v>2</v>
      </c>
      <c r="AT147" s="370">
        <v>5</v>
      </c>
      <c r="AU147" s="371">
        <v>2006</v>
      </c>
      <c r="AV147" s="370">
        <v>10</v>
      </c>
      <c r="AW147" s="589">
        <v>7500</v>
      </c>
      <c r="AX147" s="687">
        <v>0</v>
      </c>
      <c r="AY147" s="174" t="s">
        <v>4288</v>
      </c>
      <c r="AZ147" s="55">
        <v>2000</v>
      </c>
      <c r="BA147" s="55">
        <v>1</v>
      </c>
      <c r="BB147" s="55">
        <v>1</v>
      </c>
      <c r="BC147" s="174" t="s">
        <v>4592</v>
      </c>
      <c r="BD147" s="55">
        <v>1993</v>
      </c>
      <c r="BE147" s="55">
        <v>0</v>
      </c>
      <c r="BF147" s="796" t="s">
        <v>145</v>
      </c>
      <c r="BG147" s="371">
        <v>0</v>
      </c>
      <c r="BH147" s="56" t="s">
        <v>145</v>
      </c>
      <c r="BI147" s="371">
        <v>3</v>
      </c>
      <c r="BJ147" s="371">
        <v>1</v>
      </c>
      <c r="BK147" s="888">
        <v>143456.91800000001</v>
      </c>
      <c r="BL147" s="925">
        <f t="shared" si="121"/>
        <v>53.544208303708295</v>
      </c>
      <c r="BM147" s="888">
        <v>66644.047000000006</v>
      </c>
      <c r="BN147" s="920">
        <v>76812.870999999999</v>
      </c>
      <c r="BO147" s="888">
        <v>9165.5889999999999</v>
      </c>
      <c r="BP147" s="1158">
        <f t="shared" si="135"/>
        <v>48.627273162695815</v>
      </c>
      <c r="BQ147" s="917">
        <v>4708.6130000000003</v>
      </c>
      <c r="BR147" s="920">
        <v>4456.9759999999997</v>
      </c>
      <c r="BS147" s="888">
        <v>7938.0240000000003</v>
      </c>
      <c r="BT147" s="1158">
        <f t="shared" si="136"/>
        <v>48.828826922166016</v>
      </c>
      <c r="BU147" s="917">
        <v>4061.98</v>
      </c>
      <c r="BV147" s="920">
        <v>3876.0439999999999</v>
      </c>
      <c r="BW147" s="888">
        <v>6928.1729999999998</v>
      </c>
      <c r="BX147" s="1158">
        <f t="shared" si="137"/>
        <v>48.773392350335364</v>
      </c>
      <c r="BY147" s="917">
        <v>3549.0680000000002</v>
      </c>
      <c r="BZ147" s="920">
        <v>3379.105</v>
      </c>
      <c r="CA147" s="888">
        <f t="shared" si="138"/>
        <v>119425.132</v>
      </c>
      <c r="CB147" s="1158">
        <f t="shared" si="139"/>
        <v>54.511763905774878</v>
      </c>
      <c r="CC147" s="917">
        <f t="shared" si="140"/>
        <v>54324.386000000006</v>
      </c>
      <c r="CD147" s="920">
        <f t="shared" si="141"/>
        <v>65100.746000000006</v>
      </c>
      <c r="CE147" s="914">
        <v>2015</v>
      </c>
      <c r="CF147" s="910" t="s">
        <v>5630</v>
      </c>
      <c r="CG147" s="930">
        <v>100</v>
      </c>
      <c r="CH147" s="1005">
        <v>100</v>
      </c>
      <c r="CI147" s="1006">
        <v>100</v>
      </c>
      <c r="CJ147" s="904" t="s">
        <v>1621</v>
      </c>
      <c r="CK147" s="904" t="s">
        <v>1621</v>
      </c>
      <c r="CL147" s="904">
        <v>2010</v>
      </c>
      <c r="CM147" s="905" t="s">
        <v>5576</v>
      </c>
      <c r="CN147" s="1044">
        <v>109860.33100000001</v>
      </c>
      <c r="CO147" s="1045">
        <f t="shared" si="122"/>
        <v>76.580713242424451</v>
      </c>
      <c r="CP147" s="1040">
        <f>IF(OR(CZ147=1,CZ147=10),CN147*(1-BL147/100),IF(DA147=6,CN147*(1-BL147/100),CN147*(1-CB147/100)))</f>
        <v>51036.486526216584</v>
      </c>
      <c r="CQ147" s="1041">
        <f>IF(OR(CZ147=1,CZ147=10),CN147*BL147/100,IF(DA147=6,CN147*BL147/100,CN147*CB147/100))</f>
        <v>58823.844473783422</v>
      </c>
      <c r="CR147" s="1046">
        <v>2012</v>
      </c>
      <c r="CS147" s="1120" t="s">
        <v>5746</v>
      </c>
      <c r="CT147" s="1068">
        <f t="shared" si="123"/>
        <v>16</v>
      </c>
      <c r="CU147" s="1071">
        <v>18</v>
      </c>
      <c r="CV147" s="1068" t="s">
        <v>5996</v>
      </c>
      <c r="CW147" s="1113">
        <v>109860.33100000001</v>
      </c>
      <c r="CX147" s="1113">
        <v>113140.98699999999</v>
      </c>
      <c r="CY147" s="1113">
        <v>138082.17800000001</v>
      </c>
      <c r="CZ147" s="494">
        <v>1</v>
      </c>
      <c r="DA147" s="1104">
        <v>4</v>
      </c>
      <c r="DB147" s="1050" t="s">
        <v>647</v>
      </c>
      <c r="DC147" s="1146" t="s">
        <v>322</v>
      </c>
      <c r="DD147" s="978">
        <f t="shared" si="148"/>
        <v>9564.8009999999922</v>
      </c>
      <c r="DE147" s="979">
        <f t="shared" si="124"/>
        <v>6.667368247796869</v>
      </c>
      <c r="DF147" s="979">
        <f t="shared" si="149"/>
        <v>65.625009095501213</v>
      </c>
      <c r="DG147" s="980">
        <f t="shared" si="150"/>
        <v>3287.8994737834219</v>
      </c>
      <c r="DH147" s="980">
        <f t="shared" si="151"/>
        <v>6276.9015262165849</v>
      </c>
      <c r="DI147" s="979">
        <f t="shared" si="125"/>
        <v>4.9335231304056633</v>
      </c>
      <c r="DJ147" s="981">
        <f t="shared" si="126"/>
        <v>8.1716793611536591</v>
      </c>
      <c r="DK147" s="984">
        <f t="shared" si="127"/>
        <v>9564.8009999999922</v>
      </c>
      <c r="DL147" s="979">
        <f t="shared" si="152"/>
        <v>65.625009095501213</v>
      </c>
      <c r="DM147" s="980">
        <f t="shared" si="128"/>
        <v>3287.8994737834219</v>
      </c>
      <c r="DN147" s="985">
        <f t="shared" si="129"/>
        <v>6276.9015262165849</v>
      </c>
      <c r="DO147" s="984">
        <f t="shared" si="130"/>
        <v>0</v>
      </c>
      <c r="DP147" s="979">
        <f t="shared" si="153"/>
        <v>0</v>
      </c>
      <c r="DQ147" s="980">
        <f t="shared" si="142"/>
        <v>0</v>
      </c>
      <c r="DR147" s="985">
        <f t="shared" si="143"/>
        <v>0</v>
      </c>
      <c r="DS147" s="984">
        <f t="shared" si="131"/>
        <v>0</v>
      </c>
      <c r="DT147" s="339">
        <f t="shared" si="154"/>
        <v>0</v>
      </c>
      <c r="DU147" s="980">
        <f t="shared" si="144"/>
        <v>0</v>
      </c>
      <c r="DV147" s="985">
        <f t="shared" si="145"/>
        <v>0</v>
      </c>
      <c r="DW147" s="979">
        <f t="shared" si="146"/>
        <v>0</v>
      </c>
      <c r="DX147" s="981">
        <f t="shared" si="147"/>
        <v>0</v>
      </c>
      <c r="DY147" s="414">
        <v>0</v>
      </c>
      <c r="DZ147" s="111">
        <v>2009</v>
      </c>
      <c r="EA147" s="118">
        <v>28</v>
      </c>
      <c r="EB147" s="123">
        <v>11.1</v>
      </c>
      <c r="EC147" s="113">
        <v>2006</v>
      </c>
      <c r="ED147" s="20">
        <v>15754.23</v>
      </c>
      <c r="EE147" s="414">
        <v>11</v>
      </c>
      <c r="EF147" s="111">
        <v>2013</v>
      </c>
      <c r="EG147" s="380">
        <v>99.684265136718807</v>
      </c>
      <c r="EH147" s="24" t="s">
        <v>356</v>
      </c>
      <c r="EI147" s="287">
        <v>0</v>
      </c>
      <c r="EJ147" s="40" t="s">
        <v>145</v>
      </c>
      <c r="EK147" s="35" t="s">
        <v>145</v>
      </c>
      <c r="EL147" s="95" t="s">
        <v>145</v>
      </c>
      <c r="EM147" s="95" t="s">
        <v>145</v>
      </c>
      <c r="EN147" s="35" t="s">
        <v>145</v>
      </c>
      <c r="EO147" s="95" t="s">
        <v>145</v>
      </c>
      <c r="EP147" s="205" t="s">
        <v>145</v>
      </c>
      <c r="EQ147" s="207" t="s">
        <v>145</v>
      </c>
      <c r="ER147" s="517">
        <v>1</v>
      </c>
      <c r="ES147" s="183" t="s">
        <v>145</v>
      </c>
      <c r="ET147" s="183" t="s">
        <v>145</v>
      </c>
      <c r="EU147" s="82" t="s">
        <v>145</v>
      </c>
      <c r="EV147" s="82" t="s">
        <v>145</v>
      </c>
      <c r="EW147" s="82" t="s">
        <v>145</v>
      </c>
      <c r="EX147" s="360" t="s">
        <v>3791</v>
      </c>
      <c r="EY147" s="159"/>
      <c r="EZ147" s="156"/>
      <c r="FA147" s="323"/>
      <c r="FB147" s="323"/>
      <c r="FC147" s="323"/>
      <c r="FD147" s="160"/>
      <c r="FE147" s="156"/>
      <c r="FF147" s="156"/>
      <c r="FG147" s="156"/>
      <c r="FH147" s="157"/>
      <c r="FI147" s="242"/>
      <c r="FJ147" s="240"/>
      <c r="FK147" s="179"/>
      <c r="FL147" s="179"/>
      <c r="FM147" s="179"/>
      <c r="FN147" s="172"/>
      <c r="FO147" s="164"/>
      <c r="FP147" s="255"/>
      <c r="FQ147" s="183"/>
      <c r="FR147" s="257"/>
      <c r="FS147" s="82"/>
      <c r="FT147" s="259"/>
      <c r="FU147" s="82"/>
      <c r="FV147" s="259"/>
      <c r="FW147" s="82"/>
      <c r="FX147" s="259"/>
      <c r="FY147" s="82"/>
      <c r="FZ147" s="259"/>
      <c r="GA147" s="82"/>
      <c r="GB147" s="261"/>
      <c r="GC147" s="90"/>
      <c r="GD147" s="76">
        <v>1</v>
      </c>
      <c r="GE147" s="445" t="s">
        <v>3424</v>
      </c>
      <c r="GF147" s="447" t="s">
        <v>580</v>
      </c>
      <c r="GG147" s="448">
        <v>6</v>
      </c>
      <c r="GH147" s="449">
        <v>5</v>
      </c>
      <c r="GI147" s="447" t="s">
        <v>590</v>
      </c>
      <c r="GJ147" s="449">
        <v>60</v>
      </c>
      <c r="GK147" s="447">
        <v>10</v>
      </c>
      <c r="GL147" s="448">
        <v>22</v>
      </c>
      <c r="GM147" s="449">
        <v>28</v>
      </c>
      <c r="GN147" s="447" t="s">
        <v>580</v>
      </c>
      <c r="GO147" s="449">
        <v>81</v>
      </c>
      <c r="GP147" s="447">
        <v>25</v>
      </c>
      <c r="GQ147" s="448">
        <v>32</v>
      </c>
      <c r="GR147" s="449">
        <v>24</v>
      </c>
      <c r="GS147" s="446">
        <v>6</v>
      </c>
      <c r="GT147" s="461">
        <v>-1.0131485462188721</v>
      </c>
      <c r="GU147" s="462">
        <v>-0.75042343139648438</v>
      </c>
      <c r="GV147" s="462">
        <v>-0.36124679446220398</v>
      </c>
      <c r="GW147" s="462">
        <v>-0.36933249235153198</v>
      </c>
      <c r="GX147" s="462">
        <v>-0.7835966944694519</v>
      </c>
      <c r="GY147" s="463">
        <v>-0.99341022968292236</v>
      </c>
      <c r="GZ147" s="10">
        <v>27</v>
      </c>
      <c r="HA147" s="536">
        <v>0.72958999999999996</v>
      </c>
      <c r="HB147" s="536">
        <v>0.68627000000000005</v>
      </c>
      <c r="HC147" s="525">
        <v>0.70865999999999996</v>
      </c>
      <c r="HD147" s="526">
        <v>0.64129999999999998</v>
      </c>
      <c r="HE147" s="527">
        <v>0.83879999999999999</v>
      </c>
      <c r="HF147" s="10">
        <v>42</v>
      </c>
      <c r="HG147" s="532">
        <v>6.7</v>
      </c>
      <c r="HH147" s="545">
        <v>7.25</v>
      </c>
      <c r="HI147" s="546">
        <v>4.97</v>
      </c>
      <c r="HJ147" s="547">
        <v>9.0299999999999994</v>
      </c>
      <c r="HK147" s="558" t="s">
        <v>4113</v>
      </c>
      <c r="HL147" s="585" t="s">
        <v>4766</v>
      </c>
      <c r="HM147" s="557">
        <v>2006</v>
      </c>
      <c r="HN147" s="557">
        <v>2011</v>
      </c>
      <c r="HO147" s="557" t="s">
        <v>3985</v>
      </c>
      <c r="HP147" s="562" t="s">
        <v>4114</v>
      </c>
      <c r="HQ147" s="639" t="s">
        <v>4767</v>
      </c>
      <c r="HR147" s="563" t="s">
        <v>4115</v>
      </c>
      <c r="HS147" s="545">
        <v>30</v>
      </c>
      <c r="HT147" s="557">
        <v>98</v>
      </c>
      <c r="HU147" s="557">
        <v>2009</v>
      </c>
      <c r="HV147" s="583" t="s">
        <v>4237</v>
      </c>
      <c r="HW147" s="557">
        <v>1</v>
      </c>
      <c r="HX147" s="557">
        <v>30</v>
      </c>
      <c r="HY147" s="557">
        <v>20</v>
      </c>
      <c r="HZ147" s="557">
        <v>12</v>
      </c>
      <c r="IA147" s="557">
        <v>26</v>
      </c>
      <c r="IB147" s="557">
        <v>1</v>
      </c>
      <c r="IC147" s="547">
        <v>8</v>
      </c>
      <c r="ID147" s="660"/>
      <c r="IE147" s="550"/>
      <c r="IF147" s="355" t="s">
        <v>5202</v>
      </c>
      <c r="IG147" s="553"/>
      <c r="IH147" s="339">
        <v>24.5</v>
      </c>
      <c r="II147" s="553" t="s">
        <v>4922</v>
      </c>
      <c r="IJ147" s="424" t="s">
        <v>4926</v>
      </c>
      <c r="IK147" s="24">
        <v>0</v>
      </c>
      <c r="IL147" s="749">
        <f t="shared" si="132"/>
        <v>19</v>
      </c>
      <c r="IM147" s="747">
        <f t="shared" si="133"/>
        <v>76</v>
      </c>
      <c r="IN147" s="750" t="str">
        <f t="shared" si="134"/>
        <v>A</v>
      </c>
      <c r="IO147" s="446"/>
      <c r="IP147" s="902">
        <v>5</v>
      </c>
      <c r="IQ147" s="903">
        <v>2</v>
      </c>
      <c r="IR147" s="993">
        <v>0</v>
      </c>
      <c r="IT147" s="435"/>
      <c r="IU147" s="435"/>
      <c r="IV147" s="435"/>
    </row>
    <row r="148" spans="1:256">
      <c r="A148" s="21">
        <v>146</v>
      </c>
      <c r="B148" s="9"/>
      <c r="C148" s="430" t="s">
        <v>227</v>
      </c>
      <c r="D148" s="423" t="s">
        <v>406</v>
      </c>
      <c r="E148" s="24" t="s">
        <v>9</v>
      </c>
      <c r="F148" s="76" t="s">
        <v>881</v>
      </c>
      <c r="G148" s="102" t="s">
        <v>602</v>
      </c>
      <c r="H148" s="375" t="s">
        <v>2433</v>
      </c>
      <c r="I148" s="95" t="s">
        <v>2432</v>
      </c>
      <c r="J148" s="370">
        <v>6</v>
      </c>
      <c r="K148" s="88">
        <v>1922</v>
      </c>
      <c r="L148" s="371">
        <v>2</v>
      </c>
      <c r="M148" s="373" t="s">
        <v>1810</v>
      </c>
      <c r="N148" s="369" t="s">
        <v>2431</v>
      </c>
      <c r="O148" s="365" t="s">
        <v>2943</v>
      </c>
      <c r="P148" s="377" t="s">
        <v>2939</v>
      </c>
      <c r="Q148" s="370">
        <v>6</v>
      </c>
      <c r="R148" s="370">
        <v>2011</v>
      </c>
      <c r="S148" s="372" t="s">
        <v>1961</v>
      </c>
      <c r="T148" s="370">
        <v>1</v>
      </c>
      <c r="U148" s="176">
        <v>2</v>
      </c>
      <c r="V148" s="370">
        <v>18</v>
      </c>
      <c r="W148" s="369" t="s">
        <v>2942</v>
      </c>
      <c r="X148" s="170">
        <v>1</v>
      </c>
      <c r="Y148" s="369">
        <v>1</v>
      </c>
      <c r="Z148" s="271"/>
      <c r="AA148" s="169">
        <v>1</v>
      </c>
      <c r="AB148" s="177">
        <v>1</v>
      </c>
      <c r="AC148" s="171"/>
      <c r="AD148" s="366" t="s">
        <v>1590</v>
      </c>
      <c r="AE148" s="357">
        <v>2008</v>
      </c>
      <c r="AF148" s="804">
        <v>2</v>
      </c>
      <c r="AG148" s="550" t="s">
        <v>5171</v>
      </c>
      <c r="AH148" s="355" t="s">
        <v>2940</v>
      </c>
      <c r="AI148" s="55">
        <v>1</v>
      </c>
      <c r="AJ148" s="550">
        <v>0</v>
      </c>
      <c r="AK148" s="590">
        <v>6100</v>
      </c>
      <c r="AL148" s="386">
        <v>9</v>
      </c>
      <c r="AM148" s="361" t="s">
        <v>2837</v>
      </c>
      <c r="AN148" s="342" t="s">
        <v>145</v>
      </c>
      <c r="AO148" s="170">
        <v>1</v>
      </c>
      <c r="AP148" s="172">
        <v>1</v>
      </c>
      <c r="AQ148" s="365" t="s">
        <v>5326</v>
      </c>
      <c r="AR148" s="377" t="s">
        <v>5327</v>
      </c>
      <c r="AS148" s="55">
        <v>1</v>
      </c>
      <c r="AT148" s="370">
        <v>2</v>
      </c>
      <c r="AU148" s="371">
        <v>2011</v>
      </c>
      <c r="AV148" s="370">
        <v>5</v>
      </c>
      <c r="AW148" s="589" t="s">
        <v>145</v>
      </c>
      <c r="AX148" s="687">
        <v>0</v>
      </c>
      <c r="AY148" s="174" t="s">
        <v>4289</v>
      </c>
      <c r="AZ148" s="55">
        <v>2008</v>
      </c>
      <c r="BA148" s="55">
        <v>1</v>
      </c>
      <c r="BB148" s="55">
        <v>0</v>
      </c>
      <c r="BC148" s="174" t="s">
        <v>145</v>
      </c>
      <c r="BD148" s="55" t="s">
        <v>145</v>
      </c>
      <c r="BE148" s="55">
        <v>0</v>
      </c>
      <c r="BF148" s="106" t="s">
        <v>145</v>
      </c>
      <c r="BG148" s="367">
        <v>0</v>
      </c>
      <c r="BH148" s="56" t="s">
        <v>145</v>
      </c>
      <c r="BI148" s="367">
        <v>0</v>
      </c>
      <c r="BJ148" s="367">
        <v>1</v>
      </c>
      <c r="BK148" s="888">
        <v>11609.665999999999</v>
      </c>
      <c r="BL148" s="925">
        <f t="shared" si="121"/>
        <v>52.112610302484164</v>
      </c>
      <c r="BM148" s="888">
        <v>5559.5659999999998</v>
      </c>
      <c r="BN148" s="920">
        <v>6050.1</v>
      </c>
      <c r="BO148" s="888">
        <v>1694.8810000000001</v>
      </c>
      <c r="BP148" s="1158">
        <f t="shared" si="135"/>
        <v>49.820193866118032</v>
      </c>
      <c r="BQ148" s="917">
        <v>850.48800000000006</v>
      </c>
      <c r="BR148" s="920">
        <v>844.39300000000003</v>
      </c>
      <c r="BS148" s="888">
        <v>1644.8409999999999</v>
      </c>
      <c r="BT148" s="1158">
        <f t="shared" si="136"/>
        <v>50.051767921641066</v>
      </c>
      <c r="BU148" s="917">
        <v>821.56899999999996</v>
      </c>
      <c r="BV148" s="920">
        <v>823.27200000000005</v>
      </c>
      <c r="BW148" s="888">
        <v>1426.28</v>
      </c>
      <c r="BX148" s="1158">
        <f t="shared" si="137"/>
        <v>50.201923885913004</v>
      </c>
      <c r="BY148" s="917">
        <v>710.26</v>
      </c>
      <c r="BZ148" s="920">
        <v>716.02</v>
      </c>
      <c r="CA148" s="888">
        <f t="shared" si="138"/>
        <v>6843.6639999999998</v>
      </c>
      <c r="CB148" s="1158">
        <f t="shared" si="139"/>
        <v>53.573860434995069</v>
      </c>
      <c r="CC148" s="917">
        <f t="shared" si="140"/>
        <v>3177.2489999999998</v>
      </c>
      <c r="CD148" s="920">
        <f t="shared" si="141"/>
        <v>3666.4150000000004</v>
      </c>
      <c r="CE148" s="914">
        <v>2015</v>
      </c>
      <c r="CF148" s="910" t="s">
        <v>5630</v>
      </c>
      <c r="CG148" s="1026">
        <v>63.2</v>
      </c>
      <c r="CH148" s="495">
        <v>63.6</v>
      </c>
      <c r="CI148" s="497">
        <v>62.9</v>
      </c>
      <c r="CJ148" s="904">
        <v>60.4</v>
      </c>
      <c r="CK148" s="904">
        <v>63.6</v>
      </c>
      <c r="CL148" s="904">
        <v>2010</v>
      </c>
      <c r="CM148" s="905" t="s">
        <v>5575</v>
      </c>
      <c r="CN148" s="1044">
        <v>5953.5309999999999</v>
      </c>
      <c r="CO148" s="1045">
        <f t="shared" si="122"/>
        <v>51.280812040587563</v>
      </c>
      <c r="CP148" s="1049">
        <v>2720.5479999999998</v>
      </c>
      <c r="CQ148" s="1050">
        <v>3232.9830000000002</v>
      </c>
      <c r="CR148" s="1046">
        <v>2013</v>
      </c>
      <c r="CS148" s="1047" t="s">
        <v>5997</v>
      </c>
      <c r="CT148" s="1068">
        <f t="shared" si="123"/>
        <v>18</v>
      </c>
      <c r="CU148" s="1071">
        <v>18</v>
      </c>
      <c r="CV148" s="1068" t="s">
        <v>6001</v>
      </c>
      <c r="CW148" s="1113">
        <v>5953.5309999999999</v>
      </c>
      <c r="CX148" s="1113">
        <v>5918.5829999999996</v>
      </c>
      <c r="CY148" s="1113">
        <v>12012.589</v>
      </c>
      <c r="CZ148" s="1048">
        <v>10</v>
      </c>
      <c r="DA148" s="1104">
        <v>4</v>
      </c>
      <c r="DB148" s="1050" t="s">
        <v>647</v>
      </c>
      <c r="DC148" s="1146" t="s">
        <v>322</v>
      </c>
      <c r="DD148" s="978">
        <f t="shared" si="148"/>
        <v>2644.0217359999997</v>
      </c>
      <c r="DE148" s="979">
        <f t="shared" si="124"/>
        <v>22.774313541836602</v>
      </c>
      <c r="DF148" s="979">
        <f t="shared" si="149"/>
        <v>49.839950899707745</v>
      </c>
      <c r="DG148" s="980">
        <f t="shared" si="150"/>
        <v>1323.864388</v>
      </c>
      <c r="DH148" s="980">
        <f t="shared" si="151"/>
        <v>1317.7791350000002</v>
      </c>
      <c r="DI148" s="979">
        <f t="shared" si="125"/>
        <v>23.812369310841891</v>
      </c>
      <c r="DJ148" s="981">
        <f t="shared" si="126"/>
        <v>21.781113287383683</v>
      </c>
      <c r="DK148" s="984">
        <f t="shared" si="127"/>
        <v>890.13299999999981</v>
      </c>
      <c r="DL148" s="979">
        <f t="shared" si="152"/>
        <v>48.692948132470129</v>
      </c>
      <c r="DM148" s="980">
        <f t="shared" si="128"/>
        <v>456.70100000000002</v>
      </c>
      <c r="DN148" s="985">
        <f t="shared" si="129"/>
        <v>433.43200000000024</v>
      </c>
      <c r="DO148" s="984">
        <f t="shared" si="130"/>
        <v>1130.1725280000001</v>
      </c>
      <c r="DP148" s="979">
        <f t="shared" si="153"/>
        <v>50.530102073052696</v>
      </c>
      <c r="DQ148" s="980">
        <f t="shared" si="142"/>
        <v>557.58575599999995</v>
      </c>
      <c r="DR148" s="985">
        <f t="shared" si="143"/>
        <v>571.07733200000007</v>
      </c>
      <c r="DS148" s="984">
        <f t="shared" si="131"/>
        <v>623.71620800000005</v>
      </c>
      <c r="DT148" s="339">
        <f t="shared" si="154"/>
        <v>50.226336750896174</v>
      </c>
      <c r="DU148" s="980">
        <f t="shared" si="144"/>
        <v>309.57763199999999</v>
      </c>
      <c r="DV148" s="985">
        <f t="shared" si="145"/>
        <v>313.26980300000002</v>
      </c>
      <c r="DW148" s="979">
        <f t="shared" si="146"/>
        <v>36.4</v>
      </c>
      <c r="DX148" s="981">
        <f t="shared" si="147"/>
        <v>37.1</v>
      </c>
      <c r="DY148" s="414">
        <v>63.17</v>
      </c>
      <c r="DZ148" s="111">
        <v>2011</v>
      </c>
      <c r="EA148" s="118">
        <v>6915.9444000000003</v>
      </c>
      <c r="EB148" s="123">
        <v>44.9</v>
      </c>
      <c r="EC148" s="113">
        <v>2011</v>
      </c>
      <c r="ED148" s="20">
        <v>4913.3845499999998</v>
      </c>
      <c r="EE148" s="414">
        <v>44.9</v>
      </c>
      <c r="EF148" s="111">
        <v>2011</v>
      </c>
      <c r="EG148" s="380">
        <v>65.852272033691406</v>
      </c>
      <c r="EH148" s="24" t="s">
        <v>335</v>
      </c>
      <c r="EI148" s="287">
        <v>1</v>
      </c>
      <c r="EJ148" s="40">
        <v>3</v>
      </c>
      <c r="EK148" s="35" t="s">
        <v>728</v>
      </c>
      <c r="EL148" s="95" t="s">
        <v>145</v>
      </c>
      <c r="EM148" s="95" t="s">
        <v>145</v>
      </c>
      <c r="EN148" s="35" t="s">
        <v>145</v>
      </c>
      <c r="EO148" s="95" t="s">
        <v>1646</v>
      </c>
      <c r="EP148" s="205">
        <v>0.82</v>
      </c>
      <c r="EQ148" s="207" t="s">
        <v>145</v>
      </c>
      <c r="ER148" s="517">
        <v>1</v>
      </c>
      <c r="ES148" s="183" t="s">
        <v>3768</v>
      </c>
      <c r="ET148" s="183" t="s">
        <v>145</v>
      </c>
      <c r="EU148" s="82" t="s">
        <v>145</v>
      </c>
      <c r="EV148" s="82" t="s">
        <v>145</v>
      </c>
      <c r="EW148" s="82" t="s">
        <v>145</v>
      </c>
      <c r="EX148" s="360" t="s">
        <v>145</v>
      </c>
      <c r="EY148" s="159"/>
      <c r="EZ148" s="156"/>
      <c r="FA148" s="323"/>
      <c r="FB148" s="323"/>
      <c r="FC148" s="323"/>
      <c r="FD148" s="160"/>
      <c r="FE148" s="156"/>
      <c r="FF148" s="156"/>
      <c r="FG148" s="156"/>
      <c r="FH148" s="157"/>
      <c r="FI148" s="242"/>
      <c r="FJ148" s="373"/>
      <c r="FK148" s="179"/>
      <c r="FL148" s="179"/>
      <c r="FM148" s="179"/>
      <c r="FN148" s="369"/>
      <c r="FO148" s="164"/>
      <c r="FP148" s="255">
        <v>1</v>
      </c>
      <c r="FQ148" s="183" t="s">
        <v>1928</v>
      </c>
      <c r="FR148" s="257">
        <v>1</v>
      </c>
      <c r="FS148" s="183" t="s">
        <v>1928</v>
      </c>
      <c r="FT148" s="259"/>
      <c r="FU148" s="82"/>
      <c r="FV148" s="259"/>
      <c r="FW148" s="82"/>
      <c r="FX148" s="259"/>
      <c r="FY148" s="82"/>
      <c r="FZ148" s="259">
        <v>1</v>
      </c>
      <c r="GA148" s="82" t="s">
        <v>1929</v>
      </c>
      <c r="GB148" s="261"/>
      <c r="GC148" s="90"/>
      <c r="GD148" s="76">
        <v>1</v>
      </c>
      <c r="GE148" s="445" t="s">
        <v>3434</v>
      </c>
      <c r="GF148" s="447" t="s">
        <v>580</v>
      </c>
      <c r="GG148" s="448">
        <v>6</v>
      </c>
      <c r="GH148" s="449">
        <v>5</v>
      </c>
      <c r="GI148" s="447" t="s">
        <v>590</v>
      </c>
      <c r="GJ148" s="449">
        <v>50</v>
      </c>
      <c r="GK148" s="447">
        <v>12</v>
      </c>
      <c r="GL148" s="448">
        <v>19</v>
      </c>
      <c r="GM148" s="449">
        <v>19</v>
      </c>
      <c r="GN148" s="447" t="s">
        <v>580</v>
      </c>
      <c r="GO148" s="449">
        <v>79</v>
      </c>
      <c r="GP148" s="447">
        <v>22</v>
      </c>
      <c r="GQ148" s="448">
        <v>33</v>
      </c>
      <c r="GR148" s="449">
        <v>24</v>
      </c>
      <c r="GS148" s="446">
        <v>-3</v>
      </c>
      <c r="GT148" s="461">
        <v>-1.178788423538208</v>
      </c>
      <c r="GU148" s="462">
        <v>-8.4214046597480774E-2</v>
      </c>
      <c r="GV148" s="462">
        <v>-5.2136623708065599E-5</v>
      </c>
      <c r="GW148" s="462">
        <v>3.295367956161499E-2</v>
      </c>
      <c r="GX148" s="462">
        <v>-0.14770473539829254</v>
      </c>
      <c r="GY148" s="463">
        <v>0.64729511737823486</v>
      </c>
      <c r="GZ148" s="10">
        <v>125</v>
      </c>
      <c r="HA148" s="536">
        <v>0.35887999999999998</v>
      </c>
      <c r="HB148" s="536">
        <v>0.50980000000000003</v>
      </c>
      <c r="HC148" s="525">
        <v>0.51180999999999999</v>
      </c>
      <c r="HD148" s="526">
        <v>8.2839999999999997E-2</v>
      </c>
      <c r="HE148" s="527">
        <v>0.48199999999999998</v>
      </c>
      <c r="HF148" s="10">
        <v>148</v>
      </c>
      <c r="HG148" s="532">
        <v>1.86</v>
      </c>
      <c r="HH148" s="545">
        <v>2.4300000000000002</v>
      </c>
      <c r="HI148" s="546">
        <v>0.49</v>
      </c>
      <c r="HJ148" s="547">
        <v>3.49</v>
      </c>
      <c r="HK148" s="558" t="s">
        <v>145</v>
      </c>
      <c r="HL148" s="82" t="s">
        <v>145</v>
      </c>
      <c r="HM148" s="557" t="s">
        <v>145</v>
      </c>
      <c r="HN148" s="557" t="s">
        <v>145</v>
      </c>
      <c r="HO148" s="557" t="s">
        <v>145</v>
      </c>
      <c r="HP148" s="562" t="s">
        <v>145</v>
      </c>
      <c r="HQ148" s="562" t="s">
        <v>145</v>
      </c>
      <c r="HR148" s="563" t="s">
        <v>145</v>
      </c>
      <c r="HS148" s="545">
        <v>61</v>
      </c>
      <c r="HT148" s="557">
        <v>77</v>
      </c>
      <c r="HU148" s="557">
        <v>2013</v>
      </c>
      <c r="HV148" s="583" t="s">
        <v>4238</v>
      </c>
      <c r="HW148" s="557">
        <v>2</v>
      </c>
      <c r="HX148" s="557">
        <v>30</v>
      </c>
      <c r="HY148" s="557">
        <v>8</v>
      </c>
      <c r="HZ148" s="557">
        <v>24</v>
      </c>
      <c r="IA148" s="557">
        <v>9</v>
      </c>
      <c r="IB148" s="557">
        <v>1</v>
      </c>
      <c r="IC148" s="547">
        <v>3</v>
      </c>
      <c r="ID148" s="40"/>
      <c r="IE148" s="550"/>
      <c r="IF148" s="550"/>
      <c r="IG148" s="553"/>
      <c r="IH148" s="115"/>
      <c r="II148" s="647" t="s">
        <v>4921</v>
      </c>
      <c r="IJ148" s="423" t="s">
        <v>4918</v>
      </c>
      <c r="IK148" s="10">
        <v>0</v>
      </c>
      <c r="IL148" s="749">
        <f t="shared" si="132"/>
        <v>14</v>
      </c>
      <c r="IM148" s="747">
        <f t="shared" si="133"/>
        <v>56.000000000000007</v>
      </c>
      <c r="IN148" s="750" t="str">
        <f t="shared" si="134"/>
        <v>B</v>
      </c>
      <c r="IO148" s="446">
        <v>1</v>
      </c>
      <c r="IP148" s="902">
        <v>3</v>
      </c>
      <c r="IQ148" s="903">
        <v>0</v>
      </c>
      <c r="IR148" s="993">
        <v>0</v>
      </c>
      <c r="IT148" s="435"/>
      <c r="IU148" s="435"/>
      <c r="IV148" s="435"/>
    </row>
    <row r="149" spans="1:256">
      <c r="A149" s="21">
        <v>147</v>
      </c>
      <c r="B149" s="9"/>
      <c r="C149" s="431" t="s">
        <v>402</v>
      </c>
      <c r="D149" s="424" t="s">
        <v>409</v>
      </c>
      <c r="E149" s="24" t="s">
        <v>17</v>
      </c>
      <c r="F149" s="76" t="s">
        <v>882</v>
      </c>
      <c r="G149" s="102" t="s">
        <v>545</v>
      </c>
      <c r="H149" s="375" t="s">
        <v>2438</v>
      </c>
      <c r="I149" s="364" t="s">
        <v>2439</v>
      </c>
      <c r="J149" s="370">
        <v>3</v>
      </c>
      <c r="K149" s="359">
        <v>1859</v>
      </c>
      <c r="L149" s="371">
        <v>1</v>
      </c>
      <c r="M149" s="373" t="s">
        <v>2440</v>
      </c>
      <c r="N149" s="369" t="s">
        <v>1822</v>
      </c>
      <c r="O149" s="365" t="s">
        <v>3384</v>
      </c>
      <c r="P149" s="362" t="s">
        <v>3115</v>
      </c>
      <c r="Q149" s="370">
        <v>2</v>
      </c>
      <c r="R149" s="370">
        <v>2008</v>
      </c>
      <c r="S149" s="372" t="s">
        <v>1961</v>
      </c>
      <c r="T149" s="370">
        <v>1</v>
      </c>
      <c r="U149" s="370">
        <v>1</v>
      </c>
      <c r="V149" s="370">
        <v>18</v>
      </c>
      <c r="W149" s="369" t="s">
        <v>1822</v>
      </c>
      <c r="X149" s="170">
        <v>0</v>
      </c>
      <c r="Y149" s="369">
        <v>0</v>
      </c>
      <c r="Z149" s="271"/>
      <c r="AA149" s="169"/>
      <c r="AB149" s="177"/>
      <c r="AC149" s="171"/>
      <c r="AD149" s="376" t="s">
        <v>145</v>
      </c>
      <c r="AE149" s="355" t="s">
        <v>145</v>
      </c>
      <c r="AF149" s="357">
        <v>0</v>
      </c>
      <c r="AG149" s="550">
        <v>1</v>
      </c>
      <c r="AH149" s="355" t="s">
        <v>145</v>
      </c>
      <c r="AI149" s="550" t="s">
        <v>145</v>
      </c>
      <c r="AJ149" s="550" t="s">
        <v>145</v>
      </c>
      <c r="AK149" s="590" t="s">
        <v>145</v>
      </c>
      <c r="AL149" s="355">
        <v>0</v>
      </c>
      <c r="AM149" s="360" t="s">
        <v>145</v>
      </c>
      <c r="AN149" s="384" t="s">
        <v>145</v>
      </c>
      <c r="AO149" s="170">
        <v>0</v>
      </c>
      <c r="AP149" s="369">
        <v>0</v>
      </c>
      <c r="AQ149" s="365" t="s">
        <v>5297</v>
      </c>
      <c r="AR149" s="378" t="s">
        <v>4993</v>
      </c>
      <c r="AS149" s="55">
        <v>2</v>
      </c>
      <c r="AT149" s="370">
        <v>3</v>
      </c>
      <c r="AU149" s="371">
        <v>2012</v>
      </c>
      <c r="AV149" s="370">
        <v>5</v>
      </c>
      <c r="AW149" s="589" t="s">
        <v>145</v>
      </c>
      <c r="AX149" s="687">
        <v>0</v>
      </c>
      <c r="AY149" s="174" t="s">
        <v>4290</v>
      </c>
      <c r="AZ149" s="55">
        <v>2009</v>
      </c>
      <c r="BA149" s="55">
        <v>1</v>
      </c>
      <c r="BB149" s="55">
        <v>1</v>
      </c>
      <c r="BC149" s="174" t="s">
        <v>4461</v>
      </c>
      <c r="BD149" s="55">
        <v>2003</v>
      </c>
      <c r="BE149" s="55">
        <v>0</v>
      </c>
      <c r="BF149" s="796" t="s">
        <v>145</v>
      </c>
      <c r="BG149" s="371">
        <v>0</v>
      </c>
      <c r="BH149" s="56" t="s">
        <v>145</v>
      </c>
      <c r="BI149" s="371">
        <v>1</v>
      </c>
      <c r="BJ149" s="371">
        <v>1</v>
      </c>
      <c r="BK149" s="888">
        <v>51.537999999999997</v>
      </c>
      <c r="BL149" s="925">
        <f t="shared" si="121"/>
        <v>50.009701579417133</v>
      </c>
      <c r="BM149" s="911">
        <v>25.763999999999999</v>
      </c>
      <c r="BN149" s="921">
        <v>25.773999999999997</v>
      </c>
      <c r="BO149" s="911">
        <v>3.58</v>
      </c>
      <c r="BP149" s="1159">
        <f t="shared" si="135"/>
        <v>49.720670391061446</v>
      </c>
      <c r="BQ149" s="918">
        <v>1.8</v>
      </c>
      <c r="BR149" s="921">
        <v>1.78</v>
      </c>
      <c r="BS149" s="911">
        <v>3.54</v>
      </c>
      <c r="BT149" s="1159">
        <f t="shared" si="136"/>
        <v>49.717514124293785</v>
      </c>
      <c r="BU149" s="918">
        <v>1.78</v>
      </c>
      <c r="BV149" s="921">
        <v>1.76</v>
      </c>
      <c r="BW149" s="911">
        <v>3.9180000000000001</v>
      </c>
      <c r="BX149" s="1159">
        <f t="shared" si="137"/>
        <v>50.48494129657989</v>
      </c>
      <c r="BY149" s="918">
        <v>1.94</v>
      </c>
      <c r="BZ149" s="921">
        <v>1.978</v>
      </c>
      <c r="CA149" s="911">
        <f t="shared" si="138"/>
        <v>40.5</v>
      </c>
      <c r="CB149" s="1159">
        <f t="shared" si="139"/>
        <v>50.014814814814798</v>
      </c>
      <c r="CC149" s="918">
        <f t="shared" si="140"/>
        <v>20.243999999999996</v>
      </c>
      <c r="CD149" s="921">
        <f t="shared" si="141"/>
        <v>20.255999999999993</v>
      </c>
      <c r="CE149" s="927">
        <v>2014</v>
      </c>
      <c r="CF149" s="926" t="s">
        <v>5690</v>
      </c>
      <c r="CG149" s="931">
        <v>100</v>
      </c>
      <c r="CH149" s="504">
        <v>100</v>
      </c>
      <c r="CI149" s="1008">
        <v>100</v>
      </c>
      <c r="CJ149" s="906" t="s">
        <v>1621</v>
      </c>
      <c r="CK149" s="906" t="s">
        <v>1621</v>
      </c>
      <c r="CL149" s="906">
        <v>2013</v>
      </c>
      <c r="CM149" s="1002" t="s">
        <v>5720</v>
      </c>
      <c r="CN149" s="1125">
        <v>39.4</v>
      </c>
      <c r="CO149" s="1045">
        <f t="shared" si="122"/>
        <v>76.448445806977389</v>
      </c>
      <c r="CP149" s="1040">
        <f t="shared" ref="CP149:CP154" si="155">IF(OR(CZ149=1,CZ149=10),CN149*(1-BL149/100),IF(DA149=6,CN149*(1-BL149/100),CN149*(1-CB149/100)))</f>
        <v>19.696177577709648</v>
      </c>
      <c r="CQ149" s="1041">
        <f t="shared" ref="CQ149:CQ154" si="156">IF(OR(CZ149=1,CZ149=10),CN149*BL149/100,IF(DA149=6,CN149*BL149/100,CN149*CB149/100))</f>
        <v>19.703822422290351</v>
      </c>
      <c r="CR149" s="1046">
        <v>2015</v>
      </c>
      <c r="CS149" s="1047" t="s">
        <v>5998</v>
      </c>
      <c r="CT149" s="1068">
        <f t="shared" si="123"/>
        <v>18</v>
      </c>
      <c r="CU149" s="1071">
        <v>18</v>
      </c>
      <c r="CV149" s="1068" t="s">
        <v>6002</v>
      </c>
      <c r="CW149" s="1113">
        <v>42.185000000000002</v>
      </c>
      <c r="CX149" s="1113">
        <v>39.4</v>
      </c>
      <c r="CY149" s="1113">
        <v>54.9</v>
      </c>
      <c r="CZ149" s="494">
        <v>1</v>
      </c>
      <c r="DA149" s="1104">
        <v>4</v>
      </c>
      <c r="DB149" s="1050" t="s">
        <v>647</v>
      </c>
      <c r="DC149" s="1146" t="s">
        <v>322</v>
      </c>
      <c r="DD149" s="978">
        <f t="shared" si="148"/>
        <v>1.1000000000000014</v>
      </c>
      <c r="DE149" s="979">
        <f t="shared" si="124"/>
        <v>2.134347471768407</v>
      </c>
      <c r="DF149" s="979">
        <f t="shared" si="149"/>
        <v>50.197961609967415</v>
      </c>
      <c r="DG149" s="980">
        <f t="shared" si="150"/>
        <v>0.5478224222903485</v>
      </c>
      <c r="DH149" s="980">
        <f t="shared" si="151"/>
        <v>0.55217757770964226</v>
      </c>
      <c r="DI149" s="979">
        <f t="shared" si="125"/>
        <v>2.1263096657753007</v>
      </c>
      <c r="DJ149" s="981">
        <f t="shared" si="126"/>
        <v>2.1423821591900456</v>
      </c>
      <c r="DK149" s="984">
        <f t="shared" si="127"/>
        <v>1.1000000000000014</v>
      </c>
      <c r="DL149" s="979">
        <f t="shared" si="152"/>
        <v>50.197961609967415</v>
      </c>
      <c r="DM149" s="980">
        <f t="shared" si="128"/>
        <v>0.5478224222903485</v>
      </c>
      <c r="DN149" s="985">
        <f t="shared" si="129"/>
        <v>0.55217757770964226</v>
      </c>
      <c r="DO149" s="984">
        <f t="shared" si="130"/>
        <v>0</v>
      </c>
      <c r="DP149" s="979">
        <f t="shared" si="153"/>
        <v>0</v>
      </c>
      <c r="DQ149" s="980">
        <f t="shared" si="142"/>
        <v>0</v>
      </c>
      <c r="DR149" s="985">
        <f t="shared" si="143"/>
        <v>0</v>
      </c>
      <c r="DS149" s="984">
        <f t="shared" si="131"/>
        <v>0</v>
      </c>
      <c r="DT149" s="339">
        <f t="shared" si="154"/>
        <v>0</v>
      </c>
      <c r="DU149" s="980">
        <f t="shared" si="144"/>
        <v>0</v>
      </c>
      <c r="DV149" s="985">
        <f t="shared" si="145"/>
        <v>0</v>
      </c>
      <c r="DW149" s="979">
        <f t="shared" si="146"/>
        <v>0</v>
      </c>
      <c r="DX149" s="981">
        <f t="shared" si="147"/>
        <v>0</v>
      </c>
      <c r="DY149" s="414">
        <v>31</v>
      </c>
      <c r="DZ149" s="111">
        <v>2012</v>
      </c>
      <c r="EA149" s="118" t="e">
        <f>#REF!*DY149/100</f>
        <v>#REF!</v>
      </c>
      <c r="EB149" s="123" t="s">
        <v>145</v>
      </c>
      <c r="EC149" s="113" t="s">
        <v>145</v>
      </c>
      <c r="ED149" s="20"/>
      <c r="EE149" s="414" t="s">
        <v>145</v>
      </c>
      <c r="EF149" s="111" t="s">
        <v>145</v>
      </c>
      <c r="EG149" s="380" t="s">
        <v>145</v>
      </c>
      <c r="EH149" s="24" t="s">
        <v>335</v>
      </c>
      <c r="EI149" s="287">
        <v>0</v>
      </c>
      <c r="EJ149" s="40" t="s">
        <v>145</v>
      </c>
      <c r="EK149" s="35" t="s">
        <v>145</v>
      </c>
      <c r="EL149" s="95" t="s">
        <v>145</v>
      </c>
      <c r="EM149" s="95" t="s">
        <v>145</v>
      </c>
      <c r="EN149" s="35" t="s">
        <v>145</v>
      </c>
      <c r="EO149" s="95" t="s">
        <v>145</v>
      </c>
      <c r="EP149" s="205" t="s">
        <v>145</v>
      </c>
      <c r="EQ149" s="207" t="s">
        <v>145</v>
      </c>
      <c r="ER149" s="517" t="s">
        <v>145</v>
      </c>
      <c r="ES149" s="183"/>
      <c r="ET149" s="183"/>
      <c r="EU149" s="82"/>
      <c r="EV149" s="82"/>
      <c r="EW149" s="82"/>
      <c r="EX149" s="90"/>
      <c r="EY149" s="159"/>
      <c r="EZ149" s="156"/>
      <c r="FA149" s="323"/>
      <c r="FB149" s="323"/>
      <c r="FC149" s="323"/>
      <c r="FD149" s="160"/>
      <c r="FE149" s="156"/>
      <c r="FF149" s="156"/>
      <c r="FG149" s="156"/>
      <c r="FH149" s="157"/>
      <c r="FI149" s="242"/>
      <c r="FJ149" s="373"/>
      <c r="FK149" s="179"/>
      <c r="FL149" s="179"/>
      <c r="FM149" s="179"/>
      <c r="FN149" s="369"/>
      <c r="FO149" s="164"/>
      <c r="FP149" s="255"/>
      <c r="FQ149" s="183"/>
      <c r="FR149" s="257"/>
      <c r="FS149" s="82"/>
      <c r="FT149" s="259"/>
      <c r="FU149" s="82"/>
      <c r="FV149" s="259"/>
      <c r="FW149" s="82"/>
      <c r="FX149" s="259"/>
      <c r="FY149" s="82"/>
      <c r="FZ149" s="259"/>
      <c r="GA149" s="82"/>
      <c r="GB149" s="261"/>
      <c r="GC149" s="90"/>
      <c r="GD149" s="76">
        <v>2</v>
      </c>
      <c r="GE149" s="445" t="s">
        <v>3425</v>
      </c>
      <c r="GF149" s="447" t="s">
        <v>10</v>
      </c>
      <c r="GG149" s="448">
        <v>1</v>
      </c>
      <c r="GH149" s="449">
        <v>1</v>
      </c>
      <c r="GI149" s="447" t="s">
        <v>145</v>
      </c>
      <c r="GJ149" s="449" t="s">
        <v>145</v>
      </c>
      <c r="GK149" s="447" t="s">
        <v>145</v>
      </c>
      <c r="GL149" s="448" t="s">
        <v>145</v>
      </c>
      <c r="GM149" s="449" t="s">
        <v>145</v>
      </c>
      <c r="GN149" s="447" t="s">
        <v>10</v>
      </c>
      <c r="GO149" s="449">
        <v>20</v>
      </c>
      <c r="GP149" s="447">
        <v>4</v>
      </c>
      <c r="GQ149" s="448">
        <v>9</v>
      </c>
      <c r="GR149" s="449">
        <v>7</v>
      </c>
      <c r="GS149" s="446"/>
      <c r="GT149" s="461">
        <v>1.1401336193084717</v>
      </c>
      <c r="GU149" s="462">
        <v>0.97778099775314331</v>
      </c>
      <c r="GV149" s="462">
        <v>0.9003409743309021</v>
      </c>
      <c r="GW149" s="462">
        <v>0.40207138657569885</v>
      </c>
      <c r="GX149" s="462">
        <v>0.72733807563781738</v>
      </c>
      <c r="GY149" s="463">
        <v>0.97651481628417969</v>
      </c>
      <c r="GZ149" s="10">
        <v>90</v>
      </c>
      <c r="HA149" s="536">
        <v>0.49795</v>
      </c>
      <c r="HB149" s="536">
        <v>0.11763999999999999</v>
      </c>
      <c r="HC149" s="525">
        <v>0.13385</v>
      </c>
      <c r="HD149" s="526">
        <v>0.63209000000000004</v>
      </c>
      <c r="HE149" s="527">
        <v>0.72789999999999999</v>
      </c>
      <c r="HF149" s="10">
        <v>54</v>
      </c>
      <c r="HG149" s="532">
        <v>6.01</v>
      </c>
      <c r="HH149" s="545">
        <v>7.29</v>
      </c>
      <c r="HI149" s="546">
        <v>4.21</v>
      </c>
      <c r="HJ149" s="547">
        <v>7.03</v>
      </c>
      <c r="HK149" s="352" t="s">
        <v>4894</v>
      </c>
      <c r="HL149" s="23" t="s">
        <v>4885</v>
      </c>
      <c r="HM149" s="696">
        <v>2013</v>
      </c>
      <c r="HN149" s="809" t="s">
        <v>145</v>
      </c>
      <c r="HO149" s="557" t="s">
        <v>3985</v>
      </c>
      <c r="HP149" s="562" t="s">
        <v>145</v>
      </c>
      <c r="HQ149" s="562" t="s">
        <v>145</v>
      </c>
      <c r="HR149" s="563" t="s">
        <v>145</v>
      </c>
      <c r="HS149" s="545" t="s">
        <v>145</v>
      </c>
      <c r="HT149" s="557" t="s">
        <v>145</v>
      </c>
      <c r="HU149" s="557">
        <v>2006</v>
      </c>
      <c r="HV149" s="583" t="s">
        <v>4768</v>
      </c>
      <c r="HW149" s="557" t="s">
        <v>145</v>
      </c>
      <c r="HX149" s="557" t="s">
        <v>145</v>
      </c>
      <c r="HY149" s="557" t="s">
        <v>145</v>
      </c>
      <c r="HZ149" s="557" t="s">
        <v>145</v>
      </c>
      <c r="IA149" s="557" t="s">
        <v>145</v>
      </c>
      <c r="IB149" s="557" t="s">
        <v>145</v>
      </c>
      <c r="IC149" s="547" t="s">
        <v>145</v>
      </c>
      <c r="ID149" s="660"/>
      <c r="IE149" s="550"/>
      <c r="IF149" s="550"/>
      <c r="IG149" s="553"/>
      <c r="IH149" s="339"/>
      <c r="II149" s="553" t="s">
        <v>4922</v>
      </c>
      <c r="IJ149" s="424" t="s">
        <v>4926</v>
      </c>
      <c r="IK149" s="24">
        <v>1</v>
      </c>
      <c r="IL149" s="749">
        <f t="shared" si="132"/>
        <v>10</v>
      </c>
      <c r="IM149" s="747">
        <f t="shared" si="133"/>
        <v>40</v>
      </c>
      <c r="IN149" s="750" t="str">
        <f t="shared" si="134"/>
        <v>C</v>
      </c>
      <c r="IO149" s="446"/>
      <c r="IP149" s="902">
        <v>6</v>
      </c>
      <c r="IQ149" s="903">
        <v>0</v>
      </c>
      <c r="IR149" s="993">
        <v>1</v>
      </c>
      <c r="IT149" s="435"/>
      <c r="IU149" s="435"/>
      <c r="IV149" s="435"/>
    </row>
    <row r="150" spans="1:256" ht="14.25" customHeight="1">
      <c r="A150" s="21">
        <v>148</v>
      </c>
      <c r="B150" s="9"/>
      <c r="C150" s="430" t="s">
        <v>403</v>
      </c>
      <c r="D150" s="424" t="s">
        <v>409</v>
      </c>
      <c r="E150" s="24" t="s">
        <v>12</v>
      </c>
      <c r="F150" s="76" t="s">
        <v>883</v>
      </c>
      <c r="G150" s="102" t="s">
        <v>552</v>
      </c>
      <c r="H150" s="375" t="s">
        <v>2437</v>
      </c>
      <c r="I150" s="95" t="s">
        <v>2436</v>
      </c>
      <c r="J150" s="176">
        <v>1</v>
      </c>
      <c r="K150" s="359">
        <v>1868</v>
      </c>
      <c r="L150" s="371">
        <v>2</v>
      </c>
      <c r="M150" s="373" t="s">
        <v>1841</v>
      </c>
      <c r="N150" s="369" t="s">
        <v>1822</v>
      </c>
      <c r="O150" s="365" t="s">
        <v>3319</v>
      </c>
      <c r="P150" s="362" t="s">
        <v>3320</v>
      </c>
      <c r="Q150" s="370">
        <v>2</v>
      </c>
      <c r="R150" s="370">
        <v>2011</v>
      </c>
      <c r="S150" s="372" t="s">
        <v>1961</v>
      </c>
      <c r="T150" s="370">
        <v>1</v>
      </c>
      <c r="U150" s="370">
        <v>1</v>
      </c>
      <c r="V150" s="370">
        <v>18</v>
      </c>
      <c r="W150" s="369" t="s">
        <v>3321</v>
      </c>
      <c r="X150" s="170">
        <v>0</v>
      </c>
      <c r="Y150" s="369">
        <v>0</v>
      </c>
      <c r="Z150" s="271"/>
      <c r="AA150" s="169">
        <v>1</v>
      </c>
      <c r="AB150" s="177"/>
      <c r="AC150" s="171"/>
      <c r="AD150" s="366" t="s">
        <v>3386</v>
      </c>
      <c r="AE150" s="355">
        <v>2014</v>
      </c>
      <c r="AF150" s="357">
        <v>2</v>
      </c>
      <c r="AG150" s="604">
        <v>2</v>
      </c>
      <c r="AH150" s="355" t="s">
        <v>2806</v>
      </c>
      <c r="AI150" s="604">
        <v>0</v>
      </c>
      <c r="AJ150" s="604">
        <v>0</v>
      </c>
      <c r="AK150" s="590" t="s">
        <v>145</v>
      </c>
      <c r="AL150" s="391">
        <v>9</v>
      </c>
      <c r="AM150" s="361" t="s">
        <v>3385</v>
      </c>
      <c r="AN150" s="384" t="s">
        <v>145</v>
      </c>
      <c r="AO150" s="170">
        <v>0</v>
      </c>
      <c r="AP150" s="172">
        <v>0</v>
      </c>
      <c r="AQ150" s="365" t="s">
        <v>5379</v>
      </c>
      <c r="AR150" s="362" t="s">
        <v>5237</v>
      </c>
      <c r="AS150" s="55">
        <v>1</v>
      </c>
      <c r="AT150" s="370">
        <v>3</v>
      </c>
      <c r="AU150" s="371">
        <v>2007</v>
      </c>
      <c r="AV150" s="370">
        <v>5</v>
      </c>
      <c r="AW150" s="727" t="s">
        <v>145</v>
      </c>
      <c r="AX150" s="687">
        <v>0</v>
      </c>
      <c r="AY150" s="174" t="s">
        <v>4291</v>
      </c>
      <c r="AZ150" s="55">
        <v>2000</v>
      </c>
      <c r="BA150" s="55">
        <v>1</v>
      </c>
      <c r="BB150" s="55">
        <v>1</v>
      </c>
      <c r="BC150" s="174" t="s">
        <v>4430</v>
      </c>
      <c r="BD150" s="55">
        <v>2008</v>
      </c>
      <c r="BE150" s="55">
        <v>0</v>
      </c>
      <c r="BF150" s="796" t="s">
        <v>145</v>
      </c>
      <c r="BG150" s="371">
        <v>0</v>
      </c>
      <c r="BH150" s="56" t="s">
        <v>145</v>
      </c>
      <c r="BI150" s="371">
        <v>3</v>
      </c>
      <c r="BJ150" s="371">
        <v>1</v>
      </c>
      <c r="BK150" s="888">
        <v>184.999</v>
      </c>
      <c r="BL150" s="925">
        <f t="shared" si="121"/>
        <v>50.940815896302141</v>
      </c>
      <c r="BM150" s="888">
        <v>90.759</v>
      </c>
      <c r="BN150" s="920">
        <v>94.24</v>
      </c>
      <c r="BO150" s="888">
        <v>13.771000000000001</v>
      </c>
      <c r="BP150" s="1158">
        <f t="shared" si="135"/>
        <v>49.350083508822891</v>
      </c>
      <c r="BQ150" s="917">
        <v>6.9749999999999996</v>
      </c>
      <c r="BR150" s="920">
        <v>6.7960000000000003</v>
      </c>
      <c r="BS150" s="888">
        <v>14.053000000000001</v>
      </c>
      <c r="BT150" s="1158">
        <f t="shared" si="136"/>
        <v>49.370241229630679</v>
      </c>
      <c r="BU150" s="917">
        <v>7.1150000000000002</v>
      </c>
      <c r="BV150" s="920">
        <v>6.9379999999999997</v>
      </c>
      <c r="BW150" s="888">
        <v>14.958</v>
      </c>
      <c r="BX150" s="1158">
        <f t="shared" si="137"/>
        <v>49.685786869902394</v>
      </c>
      <c r="BY150" s="917">
        <v>7.5259999999999998</v>
      </c>
      <c r="BZ150" s="920">
        <v>7.4320000000000004</v>
      </c>
      <c r="CA150" s="888">
        <f t="shared" si="138"/>
        <v>142.21700000000001</v>
      </c>
      <c r="CB150" s="1158">
        <f t="shared" si="139"/>
        <v>51.382042934388984</v>
      </c>
      <c r="CC150" s="917">
        <f t="shared" si="140"/>
        <v>69.143000000000015</v>
      </c>
      <c r="CD150" s="920">
        <f t="shared" si="141"/>
        <v>73.073999999999984</v>
      </c>
      <c r="CE150" s="914">
        <v>2015</v>
      </c>
      <c r="CF150" s="910" t="s">
        <v>5630</v>
      </c>
      <c r="CG150" s="930">
        <v>92</v>
      </c>
      <c r="CH150" s="495">
        <v>91.4</v>
      </c>
      <c r="CI150" s="497">
        <v>92.5</v>
      </c>
      <c r="CJ150" s="904">
        <v>91.1</v>
      </c>
      <c r="CK150" s="904">
        <v>92.2</v>
      </c>
      <c r="CL150" s="904">
        <v>2012</v>
      </c>
      <c r="CM150" s="905" t="s">
        <v>5573</v>
      </c>
      <c r="CN150" s="1125">
        <v>111.876</v>
      </c>
      <c r="CO150" s="1045">
        <f t="shared" si="122"/>
        <v>60.473840399137302</v>
      </c>
      <c r="CP150" s="1040">
        <f t="shared" si="155"/>
        <v>54.885452807853021</v>
      </c>
      <c r="CQ150" s="1041">
        <f t="shared" si="156"/>
        <v>56.990547192146984</v>
      </c>
      <c r="CR150" s="1046">
        <v>2011</v>
      </c>
      <c r="CS150" s="1047" t="s">
        <v>5999</v>
      </c>
      <c r="CT150" s="1068">
        <f t="shared" si="123"/>
        <v>18</v>
      </c>
      <c r="CU150" s="1071">
        <v>18</v>
      </c>
      <c r="CV150" s="1068" t="s">
        <v>6003</v>
      </c>
      <c r="CW150" s="1113">
        <v>150.99600000000001</v>
      </c>
      <c r="CX150" s="1113">
        <v>111.876</v>
      </c>
      <c r="CY150" s="1113">
        <v>161.55699999999999</v>
      </c>
      <c r="CZ150" s="494">
        <v>1</v>
      </c>
      <c r="DA150" s="1104">
        <v>4</v>
      </c>
      <c r="DB150" s="1050" t="s">
        <v>647</v>
      </c>
      <c r="DC150" s="1146" t="s">
        <v>322</v>
      </c>
      <c r="DD150" s="978">
        <f t="shared" si="148"/>
        <v>33.763560000000012</v>
      </c>
      <c r="DE150" s="979">
        <f t="shared" si="124"/>
        <v>18.250671625252036</v>
      </c>
      <c r="DF150" s="979">
        <f t="shared" si="149"/>
        <v>52.337202616824143</v>
      </c>
      <c r="DG150" s="980">
        <f t="shared" si="150"/>
        <v>16.116523192146992</v>
      </c>
      <c r="DH150" s="980">
        <f t="shared" si="151"/>
        <v>17.670902807852997</v>
      </c>
      <c r="DI150" s="979">
        <f t="shared" si="125"/>
        <v>17.757493132523489</v>
      </c>
      <c r="DJ150" s="981">
        <f t="shared" si="126"/>
        <v>18.750957987959463</v>
      </c>
      <c r="DK150" s="984">
        <f t="shared" si="127"/>
        <v>30.341000000000008</v>
      </c>
      <c r="DL150" s="979">
        <f t="shared" si="152"/>
        <v>53.008974021465995</v>
      </c>
      <c r="DM150" s="980">
        <f t="shared" si="128"/>
        <v>14.257547192146994</v>
      </c>
      <c r="DN150" s="985">
        <f t="shared" si="129"/>
        <v>16.083452807853</v>
      </c>
      <c r="DO150" s="984">
        <f t="shared" si="130"/>
        <v>2.3208799999999989</v>
      </c>
      <c r="DP150" s="979">
        <f t="shared" si="153"/>
        <v>46.437127296542684</v>
      </c>
      <c r="DQ150" s="980">
        <f t="shared" si="142"/>
        <v>1.2591259999999995</v>
      </c>
      <c r="DR150" s="985">
        <f t="shared" si="143"/>
        <v>1.0777499999999993</v>
      </c>
      <c r="DS150" s="984">
        <f t="shared" si="131"/>
        <v>1.1016799999999995</v>
      </c>
      <c r="DT150" s="339">
        <f t="shared" si="154"/>
        <v>46.265703289521447</v>
      </c>
      <c r="DU150" s="980">
        <f t="shared" si="144"/>
        <v>0.59984999999999977</v>
      </c>
      <c r="DV150" s="985">
        <f t="shared" si="145"/>
        <v>0.50969999999999971</v>
      </c>
      <c r="DW150" s="979">
        <f t="shared" si="146"/>
        <v>8.5999999999999961</v>
      </c>
      <c r="DX150" s="981">
        <f t="shared" si="147"/>
        <v>7.4999999999999956</v>
      </c>
      <c r="DY150" s="414">
        <v>19</v>
      </c>
      <c r="DZ150" s="111">
        <v>2012</v>
      </c>
      <c r="EA150" s="118" t="e">
        <f>#REF!*DY150/100</f>
        <v>#REF!</v>
      </c>
      <c r="EB150" s="123" t="s">
        <v>145</v>
      </c>
      <c r="EC150" s="113" t="s">
        <v>145</v>
      </c>
      <c r="ED150" s="20"/>
      <c r="EE150" s="414" t="s">
        <v>145</v>
      </c>
      <c r="EF150" s="111" t="s">
        <v>145</v>
      </c>
      <c r="EG150" s="380" t="s">
        <v>145</v>
      </c>
      <c r="EH150" s="24" t="s">
        <v>335</v>
      </c>
      <c r="EI150" s="287">
        <v>0</v>
      </c>
      <c r="EJ150" s="40" t="s">
        <v>145</v>
      </c>
      <c r="EK150" s="35" t="s">
        <v>145</v>
      </c>
      <c r="EL150" s="95" t="s">
        <v>145</v>
      </c>
      <c r="EM150" s="95" t="s">
        <v>145</v>
      </c>
      <c r="EN150" s="35" t="s">
        <v>145</v>
      </c>
      <c r="EO150" s="95" t="s">
        <v>145</v>
      </c>
      <c r="EP150" s="205" t="s">
        <v>145</v>
      </c>
      <c r="EQ150" s="207" t="s">
        <v>145</v>
      </c>
      <c r="ER150" s="517" t="s">
        <v>145</v>
      </c>
      <c r="ES150" s="183"/>
      <c r="ET150" s="183"/>
      <c r="EU150" s="82"/>
      <c r="EV150" s="82"/>
      <c r="EW150" s="82"/>
      <c r="EX150" s="90"/>
      <c r="EY150" s="159"/>
      <c r="EZ150" s="156"/>
      <c r="FA150" s="323"/>
      <c r="FB150" s="323"/>
      <c r="FC150" s="323"/>
      <c r="FD150" s="160"/>
      <c r="FE150" s="156"/>
      <c r="FF150" s="156"/>
      <c r="FG150" s="156"/>
      <c r="FH150" s="157"/>
      <c r="FI150" s="242"/>
      <c r="FJ150" s="240"/>
      <c r="FK150" s="179"/>
      <c r="FL150" s="179"/>
      <c r="FM150" s="179"/>
      <c r="FN150" s="369"/>
      <c r="FO150" s="164"/>
      <c r="FP150" s="255"/>
      <c r="FQ150" s="183"/>
      <c r="FR150" s="257"/>
      <c r="FS150" s="82"/>
      <c r="FT150" s="259"/>
      <c r="FU150" s="82"/>
      <c r="FV150" s="259"/>
      <c r="FW150" s="82"/>
      <c r="FX150" s="259"/>
      <c r="FY150" s="82"/>
      <c r="FZ150" s="259"/>
      <c r="GA150" s="82"/>
      <c r="GB150" s="261"/>
      <c r="GC150" s="90"/>
      <c r="GD150" s="76">
        <v>2</v>
      </c>
      <c r="GE150" s="445" t="s">
        <v>3431</v>
      </c>
      <c r="GF150" s="447" t="s">
        <v>10</v>
      </c>
      <c r="GG150" s="448">
        <v>1</v>
      </c>
      <c r="GH150" s="449">
        <v>1</v>
      </c>
      <c r="GI150" s="447" t="s">
        <v>145</v>
      </c>
      <c r="GJ150" s="449" t="s">
        <v>145</v>
      </c>
      <c r="GK150" s="447" t="s">
        <v>145</v>
      </c>
      <c r="GL150" s="448" t="s">
        <v>145</v>
      </c>
      <c r="GM150" s="449" t="s">
        <v>145</v>
      </c>
      <c r="GN150" s="447" t="s">
        <v>10</v>
      </c>
      <c r="GO150" s="449">
        <v>15</v>
      </c>
      <c r="GP150" s="447">
        <v>3</v>
      </c>
      <c r="GQ150" s="448">
        <v>8</v>
      </c>
      <c r="GR150" s="449">
        <v>4</v>
      </c>
      <c r="GS150" s="446"/>
      <c r="GT150" s="461">
        <v>1.1772879362106323</v>
      </c>
      <c r="GU150" s="462">
        <v>0.86909371614456177</v>
      </c>
      <c r="GV150" s="462">
        <v>0.96504664421081543</v>
      </c>
      <c r="GW150" s="462">
        <v>0.41810289025306702</v>
      </c>
      <c r="GX150" s="462">
        <v>0.74519360065460205</v>
      </c>
      <c r="GY150" s="463">
        <v>1.1732051372528076</v>
      </c>
      <c r="GZ150" s="10">
        <v>104</v>
      </c>
      <c r="HA150" s="536">
        <v>0.45247999999999999</v>
      </c>
      <c r="HB150" s="536">
        <v>0.27450000000000002</v>
      </c>
      <c r="HC150" s="525">
        <v>0.24409</v>
      </c>
      <c r="HD150" s="526">
        <v>0.40004000000000001</v>
      </c>
      <c r="HE150" s="527">
        <v>0.71330000000000005</v>
      </c>
      <c r="HF150" s="10">
        <v>79</v>
      </c>
      <c r="HG150" s="532">
        <v>4.8099999999999996</v>
      </c>
      <c r="HH150" s="545">
        <v>5.68</v>
      </c>
      <c r="HI150" s="546">
        <v>3.02</v>
      </c>
      <c r="HJ150" s="547">
        <v>6.67</v>
      </c>
      <c r="HK150" s="684" t="s">
        <v>4860</v>
      </c>
      <c r="HL150" s="23" t="s">
        <v>4769</v>
      </c>
      <c r="HM150" s="557">
        <v>2009</v>
      </c>
      <c r="HN150" s="557" t="s">
        <v>145</v>
      </c>
      <c r="HO150" s="557" t="s">
        <v>3985</v>
      </c>
      <c r="HP150" s="562" t="s">
        <v>3997</v>
      </c>
      <c r="HQ150" s="639" t="s">
        <v>4861</v>
      </c>
      <c r="HR150" s="563" t="s">
        <v>145</v>
      </c>
      <c r="HS150" s="545" t="s">
        <v>145</v>
      </c>
      <c r="HT150" s="557" t="s">
        <v>145</v>
      </c>
      <c r="HU150" s="557">
        <v>2008</v>
      </c>
      <c r="HV150" s="583" t="s">
        <v>4769</v>
      </c>
      <c r="HW150" s="557" t="s">
        <v>145</v>
      </c>
      <c r="HX150" s="557" t="s">
        <v>145</v>
      </c>
      <c r="HY150" s="557" t="s">
        <v>145</v>
      </c>
      <c r="HZ150" s="557" t="s">
        <v>145</v>
      </c>
      <c r="IA150" s="557" t="s">
        <v>145</v>
      </c>
      <c r="IB150" s="557" t="s">
        <v>145</v>
      </c>
      <c r="IC150" s="547" t="s">
        <v>145</v>
      </c>
      <c r="ID150" s="660"/>
      <c r="IE150" s="550"/>
      <c r="IF150" s="550"/>
      <c r="IG150" s="553"/>
      <c r="IH150" s="339"/>
      <c r="II150" s="553" t="s">
        <v>4923</v>
      </c>
      <c r="IJ150" s="424" t="s">
        <v>4926</v>
      </c>
      <c r="IK150" s="24">
        <v>1</v>
      </c>
      <c r="IL150" s="749">
        <f t="shared" si="132"/>
        <v>15</v>
      </c>
      <c r="IM150" s="747">
        <f t="shared" si="133"/>
        <v>60</v>
      </c>
      <c r="IN150" s="750" t="str">
        <f t="shared" si="134"/>
        <v>B</v>
      </c>
      <c r="IO150" s="446"/>
      <c r="IP150" s="902">
        <v>4</v>
      </c>
      <c r="IQ150" s="903">
        <v>0</v>
      </c>
      <c r="IR150" s="993">
        <v>1</v>
      </c>
      <c r="IT150" s="435"/>
      <c r="IU150" s="435"/>
      <c r="IV150" s="435"/>
    </row>
    <row r="151" spans="1:256">
      <c r="A151" s="21">
        <v>149</v>
      </c>
      <c r="B151" s="9"/>
      <c r="C151" s="430" t="s">
        <v>404</v>
      </c>
      <c r="D151" s="424" t="s">
        <v>409</v>
      </c>
      <c r="E151" s="24" t="s">
        <v>12</v>
      </c>
      <c r="F151" s="76" t="s">
        <v>884</v>
      </c>
      <c r="G151" s="102" t="s">
        <v>635</v>
      </c>
      <c r="H151" s="375" t="s">
        <v>2442</v>
      </c>
      <c r="I151" s="95" t="s">
        <v>2441</v>
      </c>
      <c r="J151" s="370">
        <v>1</v>
      </c>
      <c r="K151" s="359">
        <v>1864</v>
      </c>
      <c r="L151" s="371">
        <v>2</v>
      </c>
      <c r="M151" s="373" t="s">
        <v>1810</v>
      </c>
      <c r="N151" s="369" t="s">
        <v>1822</v>
      </c>
      <c r="O151" s="365" t="s">
        <v>3322</v>
      </c>
      <c r="P151" s="362" t="s">
        <v>3323</v>
      </c>
      <c r="Q151" s="370">
        <v>6</v>
      </c>
      <c r="R151" s="370">
        <v>2013</v>
      </c>
      <c r="S151" s="372" t="s">
        <v>1961</v>
      </c>
      <c r="T151" s="370">
        <v>1</v>
      </c>
      <c r="U151" s="370">
        <v>1</v>
      </c>
      <c r="V151" s="370">
        <v>0</v>
      </c>
      <c r="W151" s="369" t="s">
        <v>3324</v>
      </c>
      <c r="X151" s="170">
        <v>0</v>
      </c>
      <c r="Y151" s="369">
        <v>0</v>
      </c>
      <c r="Z151" s="271"/>
      <c r="AA151" s="169"/>
      <c r="AB151" s="177"/>
      <c r="AC151" s="171"/>
      <c r="AD151" s="366" t="s">
        <v>3325</v>
      </c>
      <c r="AE151" s="357">
        <v>2015</v>
      </c>
      <c r="AF151" s="804">
        <v>2</v>
      </c>
      <c r="AG151" s="55">
        <v>3</v>
      </c>
      <c r="AH151" s="355" t="s">
        <v>2806</v>
      </c>
      <c r="AI151" s="55">
        <v>0</v>
      </c>
      <c r="AJ151" s="55">
        <v>0</v>
      </c>
      <c r="AK151" s="590" t="s">
        <v>145</v>
      </c>
      <c r="AL151" s="391">
        <v>10</v>
      </c>
      <c r="AM151" s="361" t="s">
        <v>3197</v>
      </c>
      <c r="AN151" s="384" t="s">
        <v>145</v>
      </c>
      <c r="AO151" s="170">
        <v>0</v>
      </c>
      <c r="AP151" s="369">
        <v>0</v>
      </c>
      <c r="AQ151" s="365" t="s">
        <v>5328</v>
      </c>
      <c r="AR151" s="362" t="s">
        <v>5329</v>
      </c>
      <c r="AS151" s="55">
        <v>1</v>
      </c>
      <c r="AT151" s="370">
        <v>6</v>
      </c>
      <c r="AU151" s="371">
        <v>2014</v>
      </c>
      <c r="AV151" s="370">
        <v>5</v>
      </c>
      <c r="AW151" s="589" t="s">
        <v>145</v>
      </c>
      <c r="AX151" s="687">
        <v>0</v>
      </c>
      <c r="AY151" s="174" t="s">
        <v>4388</v>
      </c>
      <c r="AZ151" s="55">
        <v>2003</v>
      </c>
      <c r="BA151" s="55">
        <v>1</v>
      </c>
      <c r="BB151" s="55">
        <v>0</v>
      </c>
      <c r="BC151" s="108" t="s">
        <v>145</v>
      </c>
      <c r="BD151" s="55" t="s">
        <v>145</v>
      </c>
      <c r="BE151" s="55">
        <v>0</v>
      </c>
      <c r="BF151" s="796" t="s">
        <v>145</v>
      </c>
      <c r="BG151" s="371">
        <v>0</v>
      </c>
      <c r="BH151" s="56" t="s">
        <v>145</v>
      </c>
      <c r="BI151" s="371">
        <v>2</v>
      </c>
      <c r="BJ151" s="371">
        <v>1</v>
      </c>
      <c r="BK151" s="888">
        <v>109.462</v>
      </c>
      <c r="BL151" s="925">
        <f t="shared" si="121"/>
        <v>49.542306919296195</v>
      </c>
      <c r="BM151" s="888">
        <v>55.231999999999999</v>
      </c>
      <c r="BN151" s="920">
        <v>54.23</v>
      </c>
      <c r="BO151" s="888">
        <v>8.5120000000000005</v>
      </c>
      <c r="BP151" s="1158">
        <f t="shared" si="135"/>
        <v>49.412593984962413</v>
      </c>
      <c r="BQ151" s="917">
        <v>4.306</v>
      </c>
      <c r="BR151" s="920">
        <v>4.2060000000000004</v>
      </c>
      <c r="BS151" s="888">
        <v>9.0909999999999993</v>
      </c>
      <c r="BT151" s="1158">
        <f t="shared" si="136"/>
        <v>49.49950500494996</v>
      </c>
      <c r="BU151" s="917">
        <v>4.5910000000000002</v>
      </c>
      <c r="BV151" s="920">
        <v>4.5</v>
      </c>
      <c r="BW151" s="888">
        <v>9.2469999999999999</v>
      </c>
      <c r="BX151" s="1158">
        <f t="shared" si="137"/>
        <v>49.432248296744888</v>
      </c>
      <c r="BY151" s="917">
        <v>4.6760000000000002</v>
      </c>
      <c r="BZ151" s="920">
        <v>4.5709999999999997</v>
      </c>
      <c r="CA151" s="888">
        <f t="shared" si="138"/>
        <v>82.612000000000009</v>
      </c>
      <c r="CB151" s="1158">
        <f t="shared" si="139"/>
        <v>49.572701302474208</v>
      </c>
      <c r="CC151" s="917">
        <f t="shared" si="140"/>
        <v>41.658999999999999</v>
      </c>
      <c r="CD151" s="920">
        <f t="shared" si="141"/>
        <v>40.952999999999996</v>
      </c>
      <c r="CE151" s="914">
        <v>2015</v>
      </c>
      <c r="CF151" s="910" t="s">
        <v>5630</v>
      </c>
      <c r="CG151" s="931">
        <v>90</v>
      </c>
      <c r="CH151" s="504">
        <v>90</v>
      </c>
      <c r="CI151" s="1008">
        <v>90</v>
      </c>
      <c r="CJ151" s="906" t="s">
        <v>1621</v>
      </c>
      <c r="CK151" s="906" t="s">
        <v>1621</v>
      </c>
      <c r="CL151" s="906">
        <v>2013</v>
      </c>
      <c r="CM151" s="1002" t="s">
        <v>5720</v>
      </c>
      <c r="CN151" s="1125">
        <v>72.19</v>
      </c>
      <c r="CO151" s="1045">
        <f t="shared" si="122"/>
        <v>65.949827337340807</v>
      </c>
      <c r="CP151" s="1040">
        <f t="shared" si="155"/>
        <v>36.425408634960071</v>
      </c>
      <c r="CQ151" s="1041">
        <f t="shared" si="156"/>
        <v>35.764591365039927</v>
      </c>
      <c r="CR151" s="1046">
        <v>2010</v>
      </c>
      <c r="CS151" s="1047" t="s">
        <v>6000</v>
      </c>
      <c r="CT151" s="1068">
        <f t="shared" si="123"/>
        <v>0</v>
      </c>
      <c r="CU151" s="1071">
        <v>18</v>
      </c>
      <c r="CV151" s="1068" t="s">
        <v>6004</v>
      </c>
      <c r="CW151" s="1113">
        <v>101.06699999999999</v>
      </c>
      <c r="CX151" s="1113">
        <v>72.19</v>
      </c>
      <c r="CY151" s="1113">
        <v>104.217</v>
      </c>
      <c r="CZ151" s="494">
        <v>1</v>
      </c>
      <c r="DA151" s="1104">
        <v>4</v>
      </c>
      <c r="DB151" s="1050" t="s">
        <v>647</v>
      </c>
      <c r="DC151" s="1146" t="s">
        <v>322</v>
      </c>
      <c r="DD151" s="978">
        <f t="shared" si="148"/>
        <v>13.107000000000012</v>
      </c>
      <c r="DE151" s="979">
        <f t="shared" si="124"/>
        <v>11.974018380807962</v>
      </c>
      <c r="DF151" s="979">
        <f t="shared" si="149"/>
        <v>49.71472217105412</v>
      </c>
      <c r="DG151" s="980">
        <f t="shared" si="150"/>
        <v>6.5908913650399281</v>
      </c>
      <c r="DH151" s="980">
        <f t="shared" si="151"/>
        <v>6.5161086349600694</v>
      </c>
      <c r="DI151" s="979">
        <f t="shared" si="125"/>
        <v>11.933102848058965</v>
      </c>
      <c r="DJ151" s="981">
        <f t="shared" si="126"/>
        <v>12.015689904038483</v>
      </c>
      <c r="DK151" s="984">
        <f t="shared" si="127"/>
        <v>10.422000000000011</v>
      </c>
      <c r="DL151" s="979">
        <f t="shared" si="152"/>
        <v>49.783233879870117</v>
      </c>
      <c r="DM151" s="980">
        <f t="shared" si="128"/>
        <v>5.2335913650399277</v>
      </c>
      <c r="DN151" s="985">
        <f t="shared" si="129"/>
        <v>5.1884086349600693</v>
      </c>
      <c r="DO151" s="984">
        <f t="shared" si="130"/>
        <v>1.8337999999999994</v>
      </c>
      <c r="DP151" s="979">
        <f t="shared" si="153"/>
        <v>49.465590576944059</v>
      </c>
      <c r="DQ151" s="980">
        <f t="shared" si="142"/>
        <v>0.92669999999999986</v>
      </c>
      <c r="DR151" s="985">
        <f t="shared" si="143"/>
        <v>0.9070999999999998</v>
      </c>
      <c r="DS151" s="984">
        <f t="shared" si="131"/>
        <v>0.85119999999999985</v>
      </c>
      <c r="DT151" s="339">
        <f t="shared" si="154"/>
        <v>49.412593984962413</v>
      </c>
      <c r="DU151" s="980">
        <f t="shared" si="144"/>
        <v>0.43059999999999993</v>
      </c>
      <c r="DV151" s="985">
        <f t="shared" si="145"/>
        <v>0.42059999999999997</v>
      </c>
      <c r="DW151" s="979">
        <f t="shared" si="146"/>
        <v>9.9999999999999982</v>
      </c>
      <c r="DX151" s="981">
        <f t="shared" si="147"/>
        <v>9.9999999999999982</v>
      </c>
      <c r="DY151" s="414">
        <v>33</v>
      </c>
      <c r="DZ151" s="111">
        <v>2012</v>
      </c>
      <c r="EA151" s="118" t="e">
        <f>#REF!*DY151/100</f>
        <v>#REF!</v>
      </c>
      <c r="EB151" s="123" t="s">
        <v>145</v>
      </c>
      <c r="EC151" s="113" t="s">
        <v>145</v>
      </c>
      <c r="ED151" s="20"/>
      <c r="EE151" s="414" t="s">
        <v>145</v>
      </c>
      <c r="EF151" s="111" t="s">
        <v>145</v>
      </c>
      <c r="EG151" s="380" t="s">
        <v>145</v>
      </c>
      <c r="EH151" s="24" t="s">
        <v>335</v>
      </c>
      <c r="EI151" s="287">
        <v>0</v>
      </c>
      <c r="EJ151" s="40" t="s">
        <v>145</v>
      </c>
      <c r="EK151" s="35" t="s">
        <v>145</v>
      </c>
      <c r="EL151" s="95" t="s">
        <v>145</v>
      </c>
      <c r="EM151" s="95" t="s">
        <v>145</v>
      </c>
      <c r="EN151" s="35" t="s">
        <v>145</v>
      </c>
      <c r="EO151" s="95" t="s">
        <v>145</v>
      </c>
      <c r="EP151" s="205" t="s">
        <v>145</v>
      </c>
      <c r="EQ151" s="207" t="s">
        <v>145</v>
      </c>
      <c r="ER151" s="517" t="s">
        <v>145</v>
      </c>
      <c r="ES151" s="183"/>
      <c r="ET151" s="183"/>
      <c r="EU151" s="82"/>
      <c r="EV151" s="82"/>
      <c r="EW151" s="82"/>
      <c r="EX151" s="90"/>
      <c r="EY151" s="159"/>
      <c r="EZ151" s="156"/>
      <c r="FA151" s="323"/>
      <c r="FB151" s="323"/>
      <c r="FC151" s="323"/>
      <c r="FD151" s="160"/>
      <c r="FE151" s="156"/>
      <c r="FF151" s="156"/>
      <c r="FG151" s="156"/>
      <c r="FH151" s="157"/>
      <c r="FI151" s="242"/>
      <c r="FJ151" s="373"/>
      <c r="FK151" s="179"/>
      <c r="FL151" s="179"/>
      <c r="FM151" s="179"/>
      <c r="FN151" s="369"/>
      <c r="FO151" s="164"/>
      <c r="FP151" s="255"/>
      <c r="FQ151" s="183"/>
      <c r="FR151" s="257"/>
      <c r="FS151" s="82"/>
      <c r="FT151" s="259"/>
      <c r="FU151" s="82"/>
      <c r="FV151" s="259"/>
      <c r="FW151" s="82"/>
      <c r="FX151" s="259"/>
      <c r="FY151" s="82"/>
      <c r="FZ151" s="259"/>
      <c r="GA151" s="82"/>
      <c r="GB151" s="261"/>
      <c r="GC151" s="90"/>
      <c r="GD151" s="76">
        <v>2</v>
      </c>
      <c r="GE151" s="445" t="s">
        <v>3425</v>
      </c>
      <c r="GF151" s="447" t="s">
        <v>10</v>
      </c>
      <c r="GG151" s="448">
        <v>1</v>
      </c>
      <c r="GH151" s="449">
        <v>1</v>
      </c>
      <c r="GI151" s="447" t="s">
        <v>145</v>
      </c>
      <c r="GJ151" s="449" t="s">
        <v>145</v>
      </c>
      <c r="GK151" s="447" t="s">
        <v>145</v>
      </c>
      <c r="GL151" s="448" t="s">
        <v>145</v>
      </c>
      <c r="GM151" s="449" t="s">
        <v>145</v>
      </c>
      <c r="GN151" s="447" t="s">
        <v>10</v>
      </c>
      <c r="GO151" s="449">
        <v>17</v>
      </c>
      <c r="GP151" s="447">
        <v>4</v>
      </c>
      <c r="GQ151" s="448">
        <v>7</v>
      </c>
      <c r="GR151" s="449">
        <v>6</v>
      </c>
      <c r="GS151" s="446"/>
      <c r="GT151" s="461">
        <v>1.0459977388381958</v>
      </c>
      <c r="GU151" s="462">
        <v>0.91567397117614746</v>
      </c>
      <c r="GV151" s="462">
        <v>0.9003409743309021</v>
      </c>
      <c r="GW151" s="462">
        <v>0.3129216730594635</v>
      </c>
      <c r="GX151" s="462">
        <v>0.85766142606735229</v>
      </c>
      <c r="GY151" s="463">
        <v>0.97651481628417969</v>
      </c>
      <c r="GZ151" s="10">
        <v>113</v>
      </c>
      <c r="HA151" s="536">
        <v>0.41577999999999998</v>
      </c>
      <c r="HB151" s="536">
        <v>0.15686</v>
      </c>
      <c r="HC151" s="525">
        <v>0.15748000000000001</v>
      </c>
      <c r="HD151" s="526">
        <v>0.38103999999999999</v>
      </c>
      <c r="HE151" s="527">
        <v>0.70879999999999999</v>
      </c>
      <c r="HF151" s="10">
        <v>72</v>
      </c>
      <c r="HG151" s="532">
        <v>5.17</v>
      </c>
      <c r="HH151" s="545">
        <v>6.85</v>
      </c>
      <c r="HI151" s="546">
        <v>2.4700000000000002</v>
      </c>
      <c r="HJ151" s="547">
        <v>7.23</v>
      </c>
      <c r="HK151" s="558" t="s">
        <v>4116</v>
      </c>
      <c r="HL151" s="585" t="s">
        <v>4770</v>
      </c>
      <c r="HM151" s="557">
        <v>2003</v>
      </c>
      <c r="HN151" s="557" t="s">
        <v>145</v>
      </c>
      <c r="HO151" s="557" t="s">
        <v>4095</v>
      </c>
      <c r="HP151" s="562" t="s">
        <v>145</v>
      </c>
      <c r="HQ151" s="562" t="s">
        <v>145</v>
      </c>
      <c r="HR151" s="563" t="s">
        <v>145</v>
      </c>
      <c r="HS151" s="545">
        <v>74</v>
      </c>
      <c r="HT151" s="557">
        <v>70</v>
      </c>
      <c r="HU151" s="557">
        <v>2003</v>
      </c>
      <c r="HV151" s="583" t="s">
        <v>4239</v>
      </c>
      <c r="HW151" s="557">
        <v>2</v>
      </c>
      <c r="HX151" s="557">
        <v>21</v>
      </c>
      <c r="HY151" s="557">
        <v>17</v>
      </c>
      <c r="HZ151" s="557">
        <v>18</v>
      </c>
      <c r="IA151" s="557">
        <v>2</v>
      </c>
      <c r="IB151" s="557">
        <v>2</v>
      </c>
      <c r="IC151" s="547">
        <v>8</v>
      </c>
      <c r="ID151" s="660"/>
      <c r="IE151" s="550"/>
      <c r="IF151" s="550"/>
      <c r="IG151" s="553"/>
      <c r="IH151" s="339"/>
      <c r="II151" s="553" t="s">
        <v>4923</v>
      </c>
      <c r="IJ151" s="424" t="s">
        <v>4926</v>
      </c>
      <c r="IK151" s="24">
        <v>1</v>
      </c>
      <c r="IL151" s="749">
        <f t="shared" si="132"/>
        <v>14</v>
      </c>
      <c r="IM151" s="747">
        <f t="shared" si="133"/>
        <v>56.000000000000007</v>
      </c>
      <c r="IN151" s="750" t="str">
        <f t="shared" si="134"/>
        <v>B</v>
      </c>
      <c r="IO151" s="446"/>
      <c r="IP151" s="902">
        <v>2</v>
      </c>
      <c r="IQ151" s="903">
        <v>0</v>
      </c>
      <c r="IR151" s="993">
        <v>0</v>
      </c>
      <c r="IT151" s="435"/>
      <c r="IU151" s="435"/>
      <c r="IV151" s="435"/>
    </row>
    <row r="152" spans="1:256">
      <c r="A152" s="21">
        <v>150</v>
      </c>
      <c r="B152" s="9"/>
      <c r="C152" s="430" t="s">
        <v>232</v>
      </c>
      <c r="D152" s="424" t="s">
        <v>407</v>
      </c>
      <c r="E152" s="24" t="s">
        <v>20</v>
      </c>
      <c r="F152" s="76" t="s">
        <v>885</v>
      </c>
      <c r="G152" s="102" t="s">
        <v>639</v>
      </c>
      <c r="H152" s="375" t="s">
        <v>2447</v>
      </c>
      <c r="I152" s="95" t="s">
        <v>2445</v>
      </c>
      <c r="J152" s="176">
        <v>1</v>
      </c>
      <c r="K152" s="359">
        <v>1962</v>
      </c>
      <c r="L152" s="371">
        <v>2</v>
      </c>
      <c r="M152" s="373" t="s">
        <v>2446</v>
      </c>
      <c r="N152" s="369" t="s">
        <v>1822</v>
      </c>
      <c r="O152" s="379" t="s">
        <v>145</v>
      </c>
      <c r="P152" s="362" t="s">
        <v>145</v>
      </c>
      <c r="Q152" s="370">
        <v>0</v>
      </c>
      <c r="R152" s="370" t="s">
        <v>145</v>
      </c>
      <c r="S152" s="372" t="s">
        <v>145</v>
      </c>
      <c r="T152" s="370">
        <v>0</v>
      </c>
      <c r="U152" s="370">
        <v>0</v>
      </c>
      <c r="V152" s="370" t="s">
        <v>145</v>
      </c>
      <c r="W152" s="369" t="s">
        <v>145</v>
      </c>
      <c r="X152" s="170">
        <v>0</v>
      </c>
      <c r="Y152" s="369">
        <v>0</v>
      </c>
      <c r="Z152" s="271"/>
      <c r="AA152" s="169"/>
      <c r="AB152" s="177"/>
      <c r="AC152" s="171"/>
      <c r="AD152" s="376" t="s">
        <v>145</v>
      </c>
      <c r="AE152" s="355" t="s">
        <v>145</v>
      </c>
      <c r="AF152" s="357">
        <v>0</v>
      </c>
      <c r="AG152" s="550">
        <v>0</v>
      </c>
      <c r="AH152" s="355" t="s">
        <v>145</v>
      </c>
      <c r="AI152" s="550" t="s">
        <v>145</v>
      </c>
      <c r="AJ152" s="550" t="s">
        <v>145</v>
      </c>
      <c r="AK152" s="590" t="s">
        <v>145</v>
      </c>
      <c r="AL152" s="357">
        <v>0</v>
      </c>
      <c r="AM152" s="360" t="s">
        <v>145</v>
      </c>
      <c r="AN152" s="384" t="s">
        <v>145</v>
      </c>
      <c r="AO152" s="170">
        <v>0</v>
      </c>
      <c r="AP152" s="172">
        <v>0</v>
      </c>
      <c r="AQ152" s="365" t="s">
        <v>5380</v>
      </c>
      <c r="AR152" s="362" t="s">
        <v>5381</v>
      </c>
      <c r="AS152" s="55">
        <v>1</v>
      </c>
      <c r="AT152" s="370">
        <v>6</v>
      </c>
      <c r="AU152" s="371">
        <v>2011</v>
      </c>
      <c r="AV152" s="370">
        <v>5</v>
      </c>
      <c r="AW152" s="589" t="s">
        <v>145</v>
      </c>
      <c r="AX152" s="687">
        <v>0</v>
      </c>
      <c r="AY152" s="174" t="s">
        <v>4274</v>
      </c>
      <c r="AZ152" s="55">
        <v>2008</v>
      </c>
      <c r="BA152" s="55">
        <v>1</v>
      </c>
      <c r="BB152" s="55">
        <v>1</v>
      </c>
      <c r="BC152" s="174" t="s">
        <v>4431</v>
      </c>
      <c r="BD152" s="55">
        <v>2008</v>
      </c>
      <c r="BE152" s="55">
        <v>0</v>
      </c>
      <c r="BF152" s="796" t="s">
        <v>145</v>
      </c>
      <c r="BG152" s="371">
        <v>0</v>
      </c>
      <c r="BH152" s="56" t="s">
        <v>145</v>
      </c>
      <c r="BI152" s="371">
        <v>0</v>
      </c>
      <c r="BJ152" s="371">
        <v>0</v>
      </c>
      <c r="BK152" s="888">
        <v>193.22800000000001</v>
      </c>
      <c r="BL152" s="925">
        <f t="shared" si="121"/>
        <v>48.431904278882975</v>
      </c>
      <c r="BM152" s="888">
        <v>99.644000000000005</v>
      </c>
      <c r="BN152" s="920">
        <v>93.584000000000003</v>
      </c>
      <c r="BO152" s="888">
        <v>24.175999999999998</v>
      </c>
      <c r="BP152" s="1158">
        <f t="shared" si="135"/>
        <v>48.122104566512249</v>
      </c>
      <c r="BQ152" s="917">
        <v>12.542</v>
      </c>
      <c r="BR152" s="920">
        <v>11.634</v>
      </c>
      <c r="BS152" s="888">
        <v>25.209</v>
      </c>
      <c r="BT152" s="1158">
        <f t="shared" si="136"/>
        <v>48.117735729303028</v>
      </c>
      <c r="BU152" s="917">
        <v>13.079000000000001</v>
      </c>
      <c r="BV152" s="920">
        <v>12.13</v>
      </c>
      <c r="BW152" s="888">
        <v>22.670999999999999</v>
      </c>
      <c r="BX152" s="1158">
        <f t="shared" si="137"/>
        <v>48.52454677782189</v>
      </c>
      <c r="BY152" s="917">
        <v>11.67</v>
      </c>
      <c r="BZ152" s="920">
        <v>11.000999999999999</v>
      </c>
      <c r="CA152" s="888">
        <f t="shared" si="138"/>
        <v>121.17200000000003</v>
      </c>
      <c r="CB152" s="1158">
        <f t="shared" si="139"/>
        <v>48.541742316706824</v>
      </c>
      <c r="CC152" s="917">
        <f t="shared" si="140"/>
        <v>62.352999999999994</v>
      </c>
      <c r="CD152" s="920">
        <f t="shared" si="141"/>
        <v>58.81900000000001</v>
      </c>
      <c r="CE152" s="914">
        <v>2015</v>
      </c>
      <c r="CF152" s="910" t="s">
        <v>5630</v>
      </c>
      <c r="CG152" s="1026">
        <v>47.7</v>
      </c>
      <c r="CH152" s="495">
        <v>48.1</v>
      </c>
      <c r="CI152" s="497">
        <v>47.4</v>
      </c>
      <c r="CJ152" s="904">
        <v>62.1</v>
      </c>
      <c r="CK152" s="904">
        <v>44.4</v>
      </c>
      <c r="CL152" s="904">
        <v>2009</v>
      </c>
      <c r="CM152" s="905" t="s">
        <v>5575</v>
      </c>
      <c r="CN152" s="1044">
        <v>79.284000000000006</v>
      </c>
      <c r="CO152" s="1045">
        <f t="shared" si="122"/>
        <v>41.031320512555119</v>
      </c>
      <c r="CP152" s="1040">
        <f t="shared" si="155"/>
        <v>40.885249011530426</v>
      </c>
      <c r="CQ152" s="1041">
        <f t="shared" si="156"/>
        <v>38.39875098846958</v>
      </c>
      <c r="CR152" s="1046">
        <v>2011</v>
      </c>
      <c r="CS152" s="1047" t="s">
        <v>6005</v>
      </c>
      <c r="CT152" s="1068" t="str">
        <f t="shared" si="123"/>
        <v>-</v>
      </c>
      <c r="CU152" s="1071">
        <v>21</v>
      </c>
      <c r="CV152" s="1068" t="s">
        <v>6009</v>
      </c>
      <c r="CW152" s="1113">
        <v>79.284000000000006</v>
      </c>
      <c r="CX152" s="1113">
        <v>100.59699999999999</v>
      </c>
      <c r="CY152" s="1113">
        <v>193.161</v>
      </c>
      <c r="CZ152" s="494">
        <v>1</v>
      </c>
      <c r="DA152" s="1104">
        <v>4</v>
      </c>
      <c r="DB152" s="1050" t="s">
        <v>647</v>
      </c>
      <c r="DC152" s="1146" t="s">
        <v>322</v>
      </c>
      <c r="DD152" s="978">
        <f t="shared" si="148"/>
        <v>79.573288000000019</v>
      </c>
      <c r="DE152" s="979">
        <f t="shared" si="124"/>
        <v>41.181033804624597</v>
      </c>
      <c r="DF152" s="979">
        <f t="shared" si="149"/>
        <v>48.642754351850357</v>
      </c>
      <c r="DG152" s="980">
        <f t="shared" si="150"/>
        <v>40.821779988469572</v>
      </c>
      <c r="DH152" s="980">
        <f t="shared" si="151"/>
        <v>38.706639011530427</v>
      </c>
      <c r="DI152" s="979">
        <f t="shared" si="125"/>
        <v>40.967624732517329</v>
      </c>
      <c r="DJ152" s="981">
        <f t="shared" si="126"/>
        <v>41.36031694683966</v>
      </c>
      <c r="DK152" s="984">
        <f t="shared" si="127"/>
        <v>41.888000000000019</v>
      </c>
      <c r="DL152" s="979">
        <f t="shared" si="152"/>
        <v>48.749639542423658</v>
      </c>
      <c r="DM152" s="980">
        <f t="shared" si="128"/>
        <v>21.467750988469568</v>
      </c>
      <c r="DN152" s="985">
        <f t="shared" si="129"/>
        <v>20.42024901153043</v>
      </c>
      <c r="DO152" s="984">
        <f t="shared" si="130"/>
        <v>25.041239999999995</v>
      </c>
      <c r="DP152" s="979">
        <f t="shared" si="153"/>
        <v>48.587474102720165</v>
      </c>
      <c r="DQ152" s="980">
        <f t="shared" si="142"/>
        <v>12.844730999999999</v>
      </c>
      <c r="DR152" s="985">
        <f t="shared" si="143"/>
        <v>12.166906000000001</v>
      </c>
      <c r="DS152" s="984">
        <f t="shared" si="131"/>
        <v>12.644047999999996</v>
      </c>
      <c r="DT152" s="339">
        <f t="shared" si="154"/>
        <v>48.398139583146175</v>
      </c>
      <c r="DU152" s="980">
        <f t="shared" si="144"/>
        <v>6.5092979999999985</v>
      </c>
      <c r="DV152" s="985">
        <f t="shared" si="145"/>
        <v>6.1194840000000008</v>
      </c>
      <c r="DW152" s="979">
        <f t="shared" si="146"/>
        <v>51.899999999999991</v>
      </c>
      <c r="DX152" s="981">
        <f t="shared" si="147"/>
        <v>52.6</v>
      </c>
      <c r="DY152" s="414" t="s">
        <v>145</v>
      </c>
      <c r="DZ152" s="111" t="s">
        <v>145</v>
      </c>
      <c r="EA152" s="118"/>
      <c r="EB152" s="123">
        <v>25</v>
      </c>
      <c r="EC152" s="113">
        <v>2012</v>
      </c>
      <c r="ED152" s="20" t="e">
        <f>#REF!*EB152/100</f>
        <v>#REF!</v>
      </c>
      <c r="EE152" s="414" t="s">
        <v>145</v>
      </c>
      <c r="EF152" s="111" t="s">
        <v>145</v>
      </c>
      <c r="EG152" s="380">
        <v>98.864883422851605</v>
      </c>
      <c r="EH152" s="24" t="s">
        <v>335</v>
      </c>
      <c r="EI152" s="287">
        <v>0</v>
      </c>
      <c r="EJ152" s="40" t="s">
        <v>145</v>
      </c>
      <c r="EK152" s="35" t="s">
        <v>145</v>
      </c>
      <c r="EL152" s="95" t="s">
        <v>145</v>
      </c>
      <c r="EM152" s="95" t="s">
        <v>145</v>
      </c>
      <c r="EN152" s="35" t="s">
        <v>145</v>
      </c>
      <c r="EO152" s="95" t="s">
        <v>145</v>
      </c>
      <c r="EP152" s="205" t="s">
        <v>145</v>
      </c>
      <c r="EQ152" s="207" t="s">
        <v>145</v>
      </c>
      <c r="ER152" s="517" t="s">
        <v>145</v>
      </c>
      <c r="ES152" s="183"/>
      <c r="ET152" s="183"/>
      <c r="EU152" s="82"/>
      <c r="EV152" s="82"/>
      <c r="EW152" s="82"/>
      <c r="EX152" s="90"/>
      <c r="EY152" s="159"/>
      <c r="EZ152" s="156"/>
      <c r="FA152" s="323"/>
      <c r="FB152" s="323"/>
      <c r="FC152" s="323"/>
      <c r="FD152" s="160"/>
      <c r="FE152" s="156"/>
      <c r="FF152" s="156"/>
      <c r="FG152" s="156"/>
      <c r="FH152" s="157"/>
      <c r="FI152" s="242"/>
      <c r="FJ152" s="240"/>
      <c r="FK152" s="179"/>
      <c r="FL152" s="179"/>
      <c r="FM152" s="179"/>
      <c r="FN152" s="172"/>
      <c r="FO152" s="164"/>
      <c r="FP152" s="255"/>
      <c r="FQ152" s="183"/>
      <c r="FR152" s="257"/>
      <c r="FS152" s="82"/>
      <c r="FT152" s="259"/>
      <c r="FU152" s="82"/>
      <c r="FV152" s="259"/>
      <c r="FW152" s="82"/>
      <c r="FX152" s="259"/>
      <c r="FY152" s="82"/>
      <c r="FZ152" s="259"/>
      <c r="GA152" s="82"/>
      <c r="GB152" s="261"/>
      <c r="GC152" s="90"/>
      <c r="GD152" s="76">
        <v>2</v>
      </c>
      <c r="GE152" s="445" t="s">
        <v>3433</v>
      </c>
      <c r="GF152" s="447" t="s">
        <v>10</v>
      </c>
      <c r="GG152" s="448">
        <v>2</v>
      </c>
      <c r="GH152" s="449">
        <v>2</v>
      </c>
      <c r="GI152" s="447" t="s">
        <v>145</v>
      </c>
      <c r="GJ152" s="449" t="s">
        <v>145</v>
      </c>
      <c r="GK152" s="447" t="s">
        <v>145</v>
      </c>
      <c r="GL152" s="448" t="s">
        <v>145</v>
      </c>
      <c r="GM152" s="449" t="s">
        <v>145</v>
      </c>
      <c r="GN152" s="447" t="s">
        <v>10</v>
      </c>
      <c r="GO152" s="449">
        <v>29</v>
      </c>
      <c r="GP152" s="447">
        <v>7</v>
      </c>
      <c r="GQ152" s="448">
        <v>13</v>
      </c>
      <c r="GR152" s="449">
        <v>9</v>
      </c>
      <c r="GS152" s="446"/>
      <c r="GT152" s="461">
        <v>0.47094151377677917</v>
      </c>
      <c r="GU152" s="462">
        <v>1.0088344812393188</v>
      </c>
      <c r="GV152" s="462">
        <v>0.13573737442493439</v>
      </c>
      <c r="GW152" s="462">
        <v>-0.23428522050380707</v>
      </c>
      <c r="GX152" s="462">
        <v>0.71896731853485107</v>
      </c>
      <c r="GY152" s="463">
        <v>0.19516046345233917</v>
      </c>
      <c r="GZ152" s="10">
        <v>111</v>
      </c>
      <c r="HA152" s="536">
        <v>0.42038999999999999</v>
      </c>
      <c r="HB152" s="536">
        <v>0.39215</v>
      </c>
      <c r="HC152" s="525">
        <v>0.24409</v>
      </c>
      <c r="HD152" s="526">
        <v>0.26723000000000002</v>
      </c>
      <c r="HE152" s="527">
        <v>0.74990000000000001</v>
      </c>
      <c r="HF152" s="10" t="s">
        <v>145</v>
      </c>
      <c r="HG152" s="532" t="s">
        <v>145</v>
      </c>
      <c r="HH152" s="524" t="s">
        <v>145</v>
      </c>
      <c r="HI152" s="525" t="s">
        <v>145</v>
      </c>
      <c r="HJ152" s="527" t="s">
        <v>145</v>
      </c>
      <c r="HK152" s="558" t="s">
        <v>145</v>
      </c>
      <c r="HL152" s="82" t="s">
        <v>145</v>
      </c>
      <c r="HM152" s="557" t="s">
        <v>145</v>
      </c>
      <c r="HN152" s="557" t="s">
        <v>145</v>
      </c>
      <c r="HO152" s="526" t="s">
        <v>145</v>
      </c>
      <c r="HP152" s="564" t="s">
        <v>145</v>
      </c>
      <c r="HQ152" s="564" t="s">
        <v>145</v>
      </c>
      <c r="HR152" s="565" t="s">
        <v>145</v>
      </c>
      <c r="HS152" s="524" t="s">
        <v>145</v>
      </c>
      <c r="HT152" s="526" t="s">
        <v>145</v>
      </c>
      <c r="HU152" s="526" t="s">
        <v>145</v>
      </c>
      <c r="HV152" s="582" t="s">
        <v>145</v>
      </c>
      <c r="HW152" s="526" t="s">
        <v>145</v>
      </c>
      <c r="HX152" s="526" t="s">
        <v>145</v>
      </c>
      <c r="HY152" s="526" t="s">
        <v>145</v>
      </c>
      <c r="HZ152" s="526" t="s">
        <v>145</v>
      </c>
      <c r="IA152" s="526" t="s">
        <v>145</v>
      </c>
      <c r="IB152" s="526" t="s">
        <v>145</v>
      </c>
      <c r="IC152" s="527" t="s">
        <v>145</v>
      </c>
      <c r="ID152" s="660"/>
      <c r="IE152" s="550"/>
      <c r="IF152" s="550"/>
      <c r="IG152" s="553"/>
      <c r="IH152" s="339"/>
      <c r="II152" s="553" t="s">
        <v>4921</v>
      </c>
      <c r="IJ152" s="424" t="s">
        <v>4926</v>
      </c>
      <c r="IK152" s="24">
        <v>1</v>
      </c>
      <c r="IL152" s="749">
        <f t="shared" si="132"/>
        <v>5</v>
      </c>
      <c r="IM152" s="747">
        <f t="shared" si="133"/>
        <v>20</v>
      </c>
      <c r="IN152" s="750" t="str">
        <f t="shared" si="134"/>
        <v>D</v>
      </c>
      <c r="IO152" s="446"/>
      <c r="IP152" s="902">
        <v>4</v>
      </c>
      <c r="IQ152" s="903">
        <v>0</v>
      </c>
      <c r="IR152" s="993">
        <v>0</v>
      </c>
      <c r="IT152" s="435"/>
      <c r="IU152" s="435"/>
      <c r="IV152" s="435"/>
    </row>
    <row r="153" spans="1:256">
      <c r="A153" s="21">
        <v>151</v>
      </c>
      <c r="B153" s="9"/>
      <c r="C153" s="430" t="s">
        <v>234</v>
      </c>
      <c r="D153" s="424"/>
      <c r="E153" s="24" t="s">
        <v>17</v>
      </c>
      <c r="F153" s="76" t="s">
        <v>886</v>
      </c>
      <c r="G153" s="102" t="s">
        <v>611</v>
      </c>
      <c r="H153" s="375" t="s">
        <v>2454</v>
      </c>
      <c r="I153" s="364" t="s">
        <v>2453</v>
      </c>
      <c r="J153" s="370">
        <v>2</v>
      </c>
      <c r="K153" s="370">
        <v>1870</v>
      </c>
      <c r="L153" s="371">
        <v>2</v>
      </c>
      <c r="M153" s="373" t="s">
        <v>1847</v>
      </c>
      <c r="N153" s="369" t="s">
        <v>1822</v>
      </c>
      <c r="O153" s="365" t="s">
        <v>3387</v>
      </c>
      <c r="P153" s="362" t="s">
        <v>3388</v>
      </c>
      <c r="Q153" s="370">
        <v>2</v>
      </c>
      <c r="R153" s="370">
        <v>2011</v>
      </c>
      <c r="S153" s="372" t="s">
        <v>1961</v>
      </c>
      <c r="T153" s="370">
        <v>1</v>
      </c>
      <c r="U153" s="370">
        <v>2</v>
      </c>
      <c r="V153" s="370">
        <v>0</v>
      </c>
      <c r="W153" s="369" t="s">
        <v>1822</v>
      </c>
      <c r="X153" s="170">
        <v>0</v>
      </c>
      <c r="Y153" s="369">
        <v>0</v>
      </c>
      <c r="Z153" s="271"/>
      <c r="AA153" s="169"/>
      <c r="AB153" s="177"/>
      <c r="AC153" s="171"/>
      <c r="AD153" s="366" t="s">
        <v>3389</v>
      </c>
      <c r="AE153" s="357">
        <v>2011</v>
      </c>
      <c r="AF153" s="357">
        <v>2</v>
      </c>
      <c r="AG153" s="550" t="s">
        <v>5171</v>
      </c>
      <c r="AH153" s="355" t="s">
        <v>3326</v>
      </c>
      <c r="AI153" s="550">
        <v>0</v>
      </c>
      <c r="AJ153" s="550">
        <v>0</v>
      </c>
      <c r="AK153" s="590" t="s">
        <v>145</v>
      </c>
      <c r="AL153" s="391">
        <v>9</v>
      </c>
      <c r="AM153" s="361" t="s">
        <v>3327</v>
      </c>
      <c r="AN153" s="384" t="s">
        <v>145</v>
      </c>
      <c r="AO153" s="170">
        <v>0</v>
      </c>
      <c r="AP153" s="369">
        <v>0</v>
      </c>
      <c r="AQ153" s="365" t="s">
        <v>5298</v>
      </c>
      <c r="AR153" s="378" t="s">
        <v>4993</v>
      </c>
      <c r="AS153" s="55">
        <v>2</v>
      </c>
      <c r="AT153" s="370">
        <v>3</v>
      </c>
      <c r="AU153" s="371">
        <v>2006</v>
      </c>
      <c r="AV153" s="370">
        <v>5</v>
      </c>
      <c r="AW153" s="589">
        <v>10</v>
      </c>
      <c r="AX153" s="687">
        <v>1</v>
      </c>
      <c r="AY153" s="174" t="s">
        <v>4275</v>
      </c>
      <c r="AZ153" s="55">
        <v>1995</v>
      </c>
      <c r="BA153" s="55">
        <v>1</v>
      </c>
      <c r="BB153" s="55">
        <v>2</v>
      </c>
      <c r="BC153" s="174" t="s">
        <v>4427</v>
      </c>
      <c r="BD153" s="55">
        <v>2012</v>
      </c>
      <c r="BE153" s="55">
        <v>2</v>
      </c>
      <c r="BF153" s="367" t="s">
        <v>4393</v>
      </c>
      <c r="BG153" s="367">
        <v>0</v>
      </c>
      <c r="BH153" s="56" t="s">
        <v>145</v>
      </c>
      <c r="BI153" s="367">
        <v>3</v>
      </c>
      <c r="BJ153" s="367">
        <v>0</v>
      </c>
      <c r="BK153" s="888">
        <v>32.743000000000002</v>
      </c>
      <c r="BL153" s="925">
        <f t="shared" si="121"/>
        <v>51.543841431756412</v>
      </c>
      <c r="BM153" s="911">
        <v>15.866</v>
      </c>
      <c r="BN153" s="921">
        <v>16.877000000000002</v>
      </c>
      <c r="BO153" s="911">
        <v>1.56</v>
      </c>
      <c r="BP153" s="1159">
        <f t="shared" si="135"/>
        <v>48.076923076923073</v>
      </c>
      <c r="BQ153" s="918">
        <v>0.81</v>
      </c>
      <c r="BR153" s="921">
        <v>0.75</v>
      </c>
      <c r="BS153" s="911">
        <v>1.75</v>
      </c>
      <c r="BT153" s="1159">
        <f t="shared" si="136"/>
        <v>46.285714285714292</v>
      </c>
      <c r="BU153" s="918">
        <v>0.94</v>
      </c>
      <c r="BV153" s="921">
        <v>0.81</v>
      </c>
      <c r="BW153" s="911">
        <v>1.92</v>
      </c>
      <c r="BX153" s="1159">
        <f t="shared" si="137"/>
        <v>46.354166666666671</v>
      </c>
      <c r="BY153" s="918">
        <v>1.03</v>
      </c>
      <c r="BZ153" s="921">
        <v>0.89</v>
      </c>
      <c r="CA153" s="911">
        <f t="shared" si="138"/>
        <v>27.513000000000005</v>
      </c>
      <c r="CB153" s="1159">
        <f t="shared" si="139"/>
        <v>52.437029767746147</v>
      </c>
      <c r="CC153" s="918">
        <f t="shared" si="140"/>
        <v>13.086</v>
      </c>
      <c r="CD153" s="921">
        <f t="shared" si="141"/>
        <v>14.427000000000001</v>
      </c>
      <c r="CE153" s="927">
        <v>2014</v>
      </c>
      <c r="CF153" s="926" t="s">
        <v>5691</v>
      </c>
      <c r="CG153" s="930">
        <v>100</v>
      </c>
      <c r="CH153" s="1005">
        <v>100</v>
      </c>
      <c r="CI153" s="1006">
        <v>100</v>
      </c>
      <c r="CJ153" s="904" t="s">
        <v>1621</v>
      </c>
      <c r="CK153" s="904" t="s">
        <v>1621</v>
      </c>
      <c r="CL153" s="904">
        <v>2009</v>
      </c>
      <c r="CM153" s="905" t="s">
        <v>5576</v>
      </c>
      <c r="CN153" s="1044">
        <v>25.760999999999999</v>
      </c>
      <c r="CO153" s="1045">
        <f t="shared" si="122"/>
        <v>78.676358305592032</v>
      </c>
      <c r="CP153" s="1040">
        <f t="shared" si="155"/>
        <v>12.482791008765231</v>
      </c>
      <c r="CQ153" s="1041">
        <f t="shared" si="156"/>
        <v>13.27820899123477</v>
      </c>
      <c r="CR153" s="1046">
        <v>2012</v>
      </c>
      <c r="CS153" s="1047" t="s">
        <v>6006</v>
      </c>
      <c r="CT153" s="1068">
        <f t="shared" si="123"/>
        <v>0</v>
      </c>
      <c r="CU153" s="1071">
        <v>18</v>
      </c>
      <c r="CV153" s="1068" t="s">
        <v>6010</v>
      </c>
      <c r="CW153" s="1113">
        <v>33.106000000000002</v>
      </c>
      <c r="CX153" s="1113">
        <v>25.760999999999999</v>
      </c>
      <c r="CY153" s="1113">
        <v>32.14</v>
      </c>
      <c r="CZ153" s="494">
        <v>1</v>
      </c>
      <c r="DA153" s="1104">
        <v>4</v>
      </c>
      <c r="DB153" s="1050" t="s">
        <v>647</v>
      </c>
      <c r="DC153" s="1145" t="s">
        <v>323</v>
      </c>
      <c r="DD153" s="1131">
        <f t="shared" si="148"/>
        <v>1.752000000000006</v>
      </c>
      <c r="DE153" s="1132">
        <f t="shared" si="124"/>
        <v>5.3507619949302327</v>
      </c>
      <c r="DF153" s="1132">
        <f t="shared" si="149"/>
        <v>65.570263057375982</v>
      </c>
      <c r="DG153" s="1133">
        <f t="shared" si="150"/>
        <v>0.60320899123476934</v>
      </c>
      <c r="DH153" s="1133">
        <f t="shared" si="151"/>
        <v>1.1487910087652313</v>
      </c>
      <c r="DI153" s="1132">
        <f t="shared" si="125"/>
        <v>3.8018970832898611</v>
      </c>
      <c r="DJ153" s="1134">
        <f t="shared" si="126"/>
        <v>6.8068436852831136</v>
      </c>
      <c r="DK153" s="1135">
        <f t="shared" si="127"/>
        <v>1.752000000000006</v>
      </c>
      <c r="DL153" s="1132">
        <f t="shared" si="152"/>
        <v>65.570263057375982</v>
      </c>
      <c r="DM153" s="1133">
        <f t="shared" si="128"/>
        <v>0.60320899123476934</v>
      </c>
      <c r="DN153" s="1136">
        <f t="shared" si="129"/>
        <v>1.1487910087652313</v>
      </c>
      <c r="DO153" s="1135">
        <f t="shared" si="130"/>
        <v>0</v>
      </c>
      <c r="DP153" s="1132">
        <f t="shared" si="153"/>
        <v>0</v>
      </c>
      <c r="DQ153" s="1133">
        <f t="shared" si="142"/>
        <v>0</v>
      </c>
      <c r="DR153" s="1136">
        <f t="shared" si="143"/>
        <v>0</v>
      </c>
      <c r="DS153" s="1135">
        <f t="shared" si="131"/>
        <v>0</v>
      </c>
      <c r="DT153" s="1137">
        <f t="shared" si="154"/>
        <v>0</v>
      </c>
      <c r="DU153" s="1133">
        <f t="shared" si="144"/>
        <v>0</v>
      </c>
      <c r="DV153" s="1136">
        <f t="shared" si="145"/>
        <v>0</v>
      </c>
      <c r="DW153" s="1132">
        <f t="shared" si="146"/>
        <v>0</v>
      </c>
      <c r="DX153" s="1134">
        <f t="shared" si="147"/>
        <v>0</v>
      </c>
      <c r="DY153" s="414" t="s">
        <v>145</v>
      </c>
      <c r="DZ153" s="111" t="s">
        <v>145</v>
      </c>
      <c r="EA153" s="368"/>
      <c r="EB153" s="123" t="s">
        <v>145</v>
      </c>
      <c r="EC153" s="113" t="s">
        <v>145</v>
      </c>
      <c r="ED153" s="20"/>
      <c r="EE153" s="414" t="s">
        <v>145</v>
      </c>
      <c r="EF153" s="111" t="s">
        <v>145</v>
      </c>
      <c r="EG153" s="380" t="s">
        <v>145</v>
      </c>
      <c r="EH153" s="24" t="s">
        <v>343</v>
      </c>
      <c r="EI153" s="287">
        <v>0</v>
      </c>
      <c r="EJ153" s="40" t="s">
        <v>145</v>
      </c>
      <c r="EK153" s="355" t="s">
        <v>145</v>
      </c>
      <c r="EL153" s="364" t="s">
        <v>145</v>
      </c>
      <c r="EM153" s="364" t="s">
        <v>145</v>
      </c>
      <c r="EN153" s="355" t="s">
        <v>145</v>
      </c>
      <c r="EO153" s="364" t="s">
        <v>145</v>
      </c>
      <c r="EP153" s="205" t="s">
        <v>145</v>
      </c>
      <c r="EQ153" s="207" t="s">
        <v>145</v>
      </c>
      <c r="ER153" s="517" t="s">
        <v>145</v>
      </c>
      <c r="ES153" s="183"/>
      <c r="ET153" s="183"/>
      <c r="EU153" s="82"/>
      <c r="EV153" s="82"/>
      <c r="EW153" s="82"/>
      <c r="EX153" s="360"/>
      <c r="EY153" s="159"/>
      <c r="EZ153" s="156"/>
      <c r="FA153" s="323"/>
      <c r="FB153" s="323"/>
      <c r="FC153" s="323"/>
      <c r="FD153" s="160"/>
      <c r="FE153" s="156"/>
      <c r="FF153" s="156"/>
      <c r="FG153" s="156"/>
      <c r="FH153" s="157"/>
      <c r="FI153" s="242"/>
      <c r="FJ153" s="373"/>
      <c r="FK153" s="179"/>
      <c r="FL153" s="179"/>
      <c r="FM153" s="179"/>
      <c r="FN153" s="369"/>
      <c r="FO153" s="164"/>
      <c r="FP153" s="255"/>
      <c r="FQ153" s="183"/>
      <c r="FR153" s="257"/>
      <c r="FS153" s="82"/>
      <c r="FT153" s="259"/>
      <c r="FU153" s="82"/>
      <c r="FV153" s="259"/>
      <c r="FW153" s="82"/>
      <c r="FX153" s="259"/>
      <c r="FY153" s="82"/>
      <c r="FZ153" s="259"/>
      <c r="GA153" s="82"/>
      <c r="GB153" s="261"/>
      <c r="GC153" s="360"/>
      <c r="GD153" s="76">
        <v>1</v>
      </c>
      <c r="GE153" s="445" t="s">
        <v>3424</v>
      </c>
      <c r="GF153" s="447" t="s">
        <v>10</v>
      </c>
      <c r="GG153" s="448">
        <v>1</v>
      </c>
      <c r="GH153" s="449">
        <v>1</v>
      </c>
      <c r="GI153" s="447" t="s">
        <v>145</v>
      </c>
      <c r="GJ153" s="449" t="s">
        <v>145</v>
      </c>
      <c r="GK153" s="447" t="s">
        <v>145</v>
      </c>
      <c r="GL153" s="448" t="s">
        <v>145</v>
      </c>
      <c r="GM153" s="449" t="s">
        <v>145</v>
      </c>
      <c r="GN153" s="447" t="s">
        <v>10</v>
      </c>
      <c r="GO153" s="449">
        <v>16</v>
      </c>
      <c r="GP153" s="447">
        <v>4</v>
      </c>
      <c r="GQ153" s="448">
        <v>5</v>
      </c>
      <c r="GR153" s="449">
        <v>7</v>
      </c>
      <c r="GS153" s="446"/>
      <c r="GT153" s="461">
        <v>1.2062194347381592</v>
      </c>
      <c r="GU153" s="462">
        <v>1.0969746112823486</v>
      </c>
      <c r="GV153" s="462" t="e">
        <v>#N/A</v>
      </c>
      <c r="GW153" s="462" t="e">
        <v>#N/A</v>
      </c>
      <c r="GX153" s="462">
        <v>0.94137513637542725</v>
      </c>
      <c r="GY153" s="463" t="e">
        <v>#N/A</v>
      </c>
      <c r="GZ153" s="10">
        <v>62</v>
      </c>
      <c r="HA153" s="536">
        <v>0.58225000000000005</v>
      </c>
      <c r="HB153" s="536">
        <v>0.19606999999999999</v>
      </c>
      <c r="HC153" s="525">
        <v>0.27559</v>
      </c>
      <c r="HD153" s="526">
        <v>0.63576999999999995</v>
      </c>
      <c r="HE153" s="527">
        <v>0.83540000000000003</v>
      </c>
      <c r="HF153" s="10" t="s">
        <v>145</v>
      </c>
      <c r="HG153" s="532" t="s">
        <v>145</v>
      </c>
      <c r="HH153" s="524" t="s">
        <v>145</v>
      </c>
      <c r="HI153" s="525" t="s">
        <v>145</v>
      </c>
      <c r="HJ153" s="527" t="s">
        <v>145</v>
      </c>
      <c r="HK153" s="558" t="s">
        <v>4862</v>
      </c>
      <c r="HL153" s="23" t="s">
        <v>4863</v>
      </c>
      <c r="HM153" s="557">
        <v>1983</v>
      </c>
      <c r="HN153" s="557">
        <v>1995</v>
      </c>
      <c r="HO153" s="526" t="s">
        <v>3985</v>
      </c>
      <c r="HP153" s="564" t="s">
        <v>4117</v>
      </c>
      <c r="HQ153" s="655" t="s">
        <v>4864</v>
      </c>
      <c r="HR153" s="565" t="s">
        <v>145</v>
      </c>
      <c r="HS153" s="524" t="s">
        <v>145</v>
      </c>
      <c r="HT153" s="526" t="s">
        <v>145</v>
      </c>
      <c r="HU153" s="526" t="s">
        <v>145</v>
      </c>
      <c r="HV153" s="582" t="s">
        <v>145</v>
      </c>
      <c r="HW153" s="526" t="s">
        <v>145</v>
      </c>
      <c r="HX153" s="526" t="s">
        <v>145</v>
      </c>
      <c r="HY153" s="526" t="s">
        <v>145</v>
      </c>
      <c r="HZ153" s="526" t="s">
        <v>145</v>
      </c>
      <c r="IA153" s="526" t="s">
        <v>145</v>
      </c>
      <c r="IB153" s="526" t="s">
        <v>145</v>
      </c>
      <c r="IC153" s="527" t="s">
        <v>145</v>
      </c>
      <c r="ID153" s="660" t="s">
        <v>5020</v>
      </c>
      <c r="IE153" s="550"/>
      <c r="IF153" s="550"/>
      <c r="IG153" s="553"/>
      <c r="IH153" s="339"/>
      <c r="II153" s="553" t="s">
        <v>4920</v>
      </c>
      <c r="IJ153" s="424" t="s">
        <v>4926</v>
      </c>
      <c r="IK153" s="24">
        <v>1</v>
      </c>
      <c r="IL153" s="749">
        <f t="shared" si="132"/>
        <v>21</v>
      </c>
      <c r="IM153" s="747">
        <f t="shared" si="133"/>
        <v>84</v>
      </c>
      <c r="IN153" s="750" t="str">
        <f t="shared" si="134"/>
        <v>A</v>
      </c>
      <c r="IO153" s="446"/>
      <c r="IP153" s="902">
        <v>4</v>
      </c>
      <c r="IQ153" s="903">
        <v>0</v>
      </c>
      <c r="IR153" s="993">
        <v>0</v>
      </c>
      <c r="IT153" s="435"/>
      <c r="IU153" s="435"/>
      <c r="IV153" s="435"/>
    </row>
    <row r="154" spans="1:256">
      <c r="A154" s="21">
        <v>152</v>
      </c>
      <c r="B154" s="9"/>
      <c r="C154" s="431" t="s">
        <v>236</v>
      </c>
      <c r="D154" s="423" t="s">
        <v>406</v>
      </c>
      <c r="E154" s="24" t="s">
        <v>20</v>
      </c>
      <c r="F154" s="76" t="s">
        <v>741</v>
      </c>
      <c r="G154" s="102" t="s">
        <v>615</v>
      </c>
      <c r="H154" s="375" t="s">
        <v>2456</v>
      </c>
      <c r="I154" s="364" t="s">
        <v>2455</v>
      </c>
      <c r="J154" s="176">
        <v>6</v>
      </c>
      <c r="K154" s="359">
        <v>1875</v>
      </c>
      <c r="L154" s="371">
        <v>1</v>
      </c>
      <c r="M154" s="373" t="s">
        <v>2200</v>
      </c>
      <c r="N154" s="369" t="s">
        <v>1822</v>
      </c>
      <c r="O154" s="379" t="s">
        <v>145</v>
      </c>
      <c r="P154" s="362" t="s">
        <v>145</v>
      </c>
      <c r="Q154" s="370">
        <v>0</v>
      </c>
      <c r="R154" s="370" t="s">
        <v>145</v>
      </c>
      <c r="S154" s="372" t="s">
        <v>145</v>
      </c>
      <c r="T154" s="370">
        <v>0</v>
      </c>
      <c r="U154" s="370">
        <v>0</v>
      </c>
      <c r="V154" s="370" t="s">
        <v>145</v>
      </c>
      <c r="W154" s="369" t="s">
        <v>145</v>
      </c>
      <c r="X154" s="170">
        <v>0</v>
      </c>
      <c r="Y154" s="369">
        <v>0</v>
      </c>
      <c r="Z154" s="271"/>
      <c r="AA154" s="169"/>
      <c r="AB154" s="177"/>
      <c r="AC154" s="171"/>
      <c r="AD154" s="376" t="s">
        <v>145</v>
      </c>
      <c r="AE154" s="355" t="s">
        <v>145</v>
      </c>
      <c r="AF154" s="357">
        <v>0</v>
      </c>
      <c r="AG154" s="550">
        <v>0</v>
      </c>
      <c r="AH154" s="355" t="s">
        <v>145</v>
      </c>
      <c r="AI154" s="550" t="s">
        <v>145</v>
      </c>
      <c r="AJ154" s="550" t="s">
        <v>145</v>
      </c>
      <c r="AK154" s="590" t="s">
        <v>145</v>
      </c>
      <c r="AL154" s="357">
        <v>0</v>
      </c>
      <c r="AM154" s="360" t="s">
        <v>145</v>
      </c>
      <c r="AN154" s="384" t="s">
        <v>145</v>
      </c>
      <c r="AO154" s="170">
        <v>0</v>
      </c>
      <c r="AP154" s="369">
        <v>0</v>
      </c>
      <c r="AQ154" s="365" t="s">
        <v>5382</v>
      </c>
      <c r="AR154" s="362" t="s">
        <v>4934</v>
      </c>
      <c r="AS154" s="55">
        <v>1</v>
      </c>
      <c r="AT154" s="370">
        <v>3</v>
      </c>
      <c r="AU154" s="371">
        <v>2010</v>
      </c>
      <c r="AV154" s="370">
        <v>5</v>
      </c>
      <c r="AW154" s="589" t="s">
        <v>145</v>
      </c>
      <c r="AX154" s="687">
        <v>0</v>
      </c>
      <c r="AY154" s="174" t="s">
        <v>4276</v>
      </c>
      <c r="AZ154" s="55">
        <v>2010</v>
      </c>
      <c r="BA154" s="55">
        <v>1</v>
      </c>
      <c r="BB154" s="55">
        <v>0</v>
      </c>
      <c r="BC154" s="108" t="s">
        <v>145</v>
      </c>
      <c r="BD154" s="55" t="s">
        <v>145</v>
      </c>
      <c r="BE154" s="55">
        <v>0</v>
      </c>
      <c r="BF154" s="371" t="s">
        <v>145</v>
      </c>
      <c r="BG154" s="371">
        <v>0</v>
      </c>
      <c r="BH154" s="56" t="s">
        <v>145</v>
      </c>
      <c r="BI154" s="371">
        <v>0</v>
      </c>
      <c r="BJ154" s="371">
        <v>0</v>
      </c>
      <c r="BK154" s="888">
        <v>190.34399999999999</v>
      </c>
      <c r="BL154" s="925">
        <f t="shared" si="121"/>
        <v>50.216975581053248</v>
      </c>
      <c r="BM154" s="888">
        <v>94.759</v>
      </c>
      <c r="BN154" s="920">
        <v>95.584999999999994</v>
      </c>
      <c r="BO154" s="888">
        <v>29.576000000000001</v>
      </c>
      <c r="BP154" s="1158">
        <f t="shared" si="135"/>
        <v>49.533405463889643</v>
      </c>
      <c r="BQ154" s="917">
        <v>14.926</v>
      </c>
      <c r="BR154" s="920">
        <v>14.65</v>
      </c>
      <c r="BS154" s="888">
        <v>27.030999999999999</v>
      </c>
      <c r="BT154" s="1158">
        <f t="shared" si="136"/>
        <v>49.628204653915873</v>
      </c>
      <c r="BU154" s="917">
        <v>13.616</v>
      </c>
      <c r="BV154" s="920">
        <v>13.414999999999999</v>
      </c>
      <c r="BW154" s="888">
        <v>24.532</v>
      </c>
      <c r="BX154" s="1158">
        <f t="shared" si="137"/>
        <v>49.653513777922711</v>
      </c>
      <c r="BY154" s="917">
        <v>12.351000000000001</v>
      </c>
      <c r="BZ154" s="920">
        <v>12.180999999999999</v>
      </c>
      <c r="CA154" s="888">
        <f t="shared" si="138"/>
        <v>109.205</v>
      </c>
      <c r="CB154" s="1158">
        <f t="shared" si="139"/>
        <v>50.674419669429035</v>
      </c>
      <c r="CC154" s="917">
        <f t="shared" si="140"/>
        <v>53.866</v>
      </c>
      <c r="CD154" s="920">
        <f t="shared" si="141"/>
        <v>55.338999999999984</v>
      </c>
      <c r="CE154" s="914">
        <v>2015</v>
      </c>
      <c r="CF154" s="910" t="s">
        <v>5630</v>
      </c>
      <c r="CG154" s="930">
        <v>75.099999999999994</v>
      </c>
      <c r="CH154" s="495">
        <v>74.599999999999994</v>
      </c>
      <c r="CI154" s="497">
        <v>75.5</v>
      </c>
      <c r="CJ154" s="904">
        <v>76.400000000000006</v>
      </c>
      <c r="CK154" s="904">
        <v>73.8</v>
      </c>
      <c r="CL154" s="904" t="s">
        <v>5574</v>
      </c>
      <c r="CM154" s="905" t="s">
        <v>5575</v>
      </c>
      <c r="CN154" s="1044">
        <v>92.638999999999996</v>
      </c>
      <c r="CO154" s="1045">
        <f t="shared" si="122"/>
        <v>48.669251460513593</v>
      </c>
      <c r="CP154" s="1040">
        <f t="shared" si="155"/>
        <v>46.11849599146808</v>
      </c>
      <c r="CQ154" s="1041">
        <f t="shared" si="156"/>
        <v>46.520504008531915</v>
      </c>
      <c r="CR154" s="1046">
        <v>2011</v>
      </c>
      <c r="CS154" s="1047" t="s">
        <v>6006</v>
      </c>
      <c r="CT154" s="1068" t="str">
        <f t="shared" si="123"/>
        <v>-</v>
      </c>
      <c r="CU154" s="1071">
        <v>18</v>
      </c>
      <c r="CV154" s="1068" t="s">
        <v>6011</v>
      </c>
      <c r="CW154" s="1113">
        <v>92.638999999999996</v>
      </c>
      <c r="CX154" s="1113">
        <v>96.302000000000007</v>
      </c>
      <c r="CY154" s="1113">
        <v>179.59100000000001</v>
      </c>
      <c r="CZ154" s="494">
        <v>1</v>
      </c>
      <c r="DA154" s="1104">
        <v>4</v>
      </c>
      <c r="DB154" s="1050" t="s">
        <v>647</v>
      </c>
      <c r="DC154" s="1146" t="s">
        <v>322</v>
      </c>
      <c r="DD154" s="978">
        <f t="shared" si="148"/>
        <v>36.769611000000012</v>
      </c>
      <c r="DE154" s="979">
        <f t="shared" si="124"/>
        <v>19.317452086748212</v>
      </c>
      <c r="DF154" s="979">
        <f t="shared" si="149"/>
        <v>50.799465872695968</v>
      </c>
      <c r="DG154" s="980">
        <f t="shared" si="150"/>
        <v>18.134326008531918</v>
      </c>
      <c r="DH154" s="980">
        <f t="shared" si="151"/>
        <v>18.678765991468069</v>
      </c>
      <c r="DI154" s="979">
        <f t="shared" si="125"/>
        <v>19.137312559790541</v>
      </c>
      <c r="DJ154" s="981">
        <f t="shared" si="126"/>
        <v>19.541524288819449</v>
      </c>
      <c r="DK154" s="984">
        <f t="shared" si="127"/>
        <v>16.566000000000003</v>
      </c>
      <c r="DL154" s="979">
        <f t="shared" si="152"/>
        <v>53.232500250320335</v>
      </c>
      <c r="DM154" s="980">
        <f t="shared" si="128"/>
        <v>7.7475040085319193</v>
      </c>
      <c r="DN154" s="985">
        <f t="shared" si="129"/>
        <v>8.818495991468069</v>
      </c>
      <c r="DO154" s="984">
        <f t="shared" si="130"/>
        <v>12.839187000000006</v>
      </c>
      <c r="DP154" s="979">
        <f t="shared" si="153"/>
        <v>48.84281224348549</v>
      </c>
      <c r="DQ154" s="980">
        <f t="shared" si="142"/>
        <v>6.595618</v>
      </c>
      <c r="DR154" s="985">
        <f t="shared" si="143"/>
        <v>6.27102</v>
      </c>
      <c r="DS154" s="984">
        <f t="shared" si="131"/>
        <v>7.3644240000000032</v>
      </c>
      <c r="DT154" s="339">
        <f t="shared" si="154"/>
        <v>48.737688107039986</v>
      </c>
      <c r="DU154" s="980">
        <f t="shared" si="144"/>
        <v>3.791204</v>
      </c>
      <c r="DV154" s="985">
        <f t="shared" si="145"/>
        <v>3.5892499999999998</v>
      </c>
      <c r="DW154" s="979">
        <f t="shared" si="146"/>
        <v>25.4</v>
      </c>
      <c r="DX154" s="981">
        <f t="shared" si="147"/>
        <v>24.5</v>
      </c>
      <c r="DY154" s="414">
        <v>28.2</v>
      </c>
      <c r="DZ154" s="111">
        <v>2001</v>
      </c>
      <c r="EA154" s="118">
        <v>47.524332000000001</v>
      </c>
      <c r="EB154" s="123">
        <v>66.2</v>
      </c>
      <c r="EC154" s="113">
        <v>2009</v>
      </c>
      <c r="ED154" s="20">
        <v>111.56421200000001</v>
      </c>
      <c r="EE154" s="414">
        <v>66.2</v>
      </c>
      <c r="EF154" s="111">
        <v>2009</v>
      </c>
      <c r="EG154" s="380">
        <v>69.536384582519503</v>
      </c>
      <c r="EH154" s="24" t="s">
        <v>354</v>
      </c>
      <c r="EI154" s="287">
        <v>1</v>
      </c>
      <c r="EJ154" s="40">
        <v>3</v>
      </c>
      <c r="EK154" s="35" t="s">
        <v>145</v>
      </c>
      <c r="EL154" s="364" t="s">
        <v>145</v>
      </c>
      <c r="EM154" s="364" t="s">
        <v>145</v>
      </c>
      <c r="EN154" s="35" t="s">
        <v>145</v>
      </c>
      <c r="EO154" s="364" t="s">
        <v>1646</v>
      </c>
      <c r="EP154" s="205">
        <v>0.48</v>
      </c>
      <c r="EQ154" s="207" t="s">
        <v>145</v>
      </c>
      <c r="ER154" s="517" t="s">
        <v>145</v>
      </c>
      <c r="ES154" s="183"/>
      <c r="ET154" s="183"/>
      <c r="EU154" s="82"/>
      <c r="EV154" s="82"/>
      <c r="EW154" s="82"/>
      <c r="EX154" s="90"/>
      <c r="EY154" s="159"/>
      <c r="EZ154" s="156"/>
      <c r="FA154" s="323"/>
      <c r="FB154" s="323"/>
      <c r="FC154" s="323"/>
      <c r="FD154" s="160"/>
      <c r="FE154" s="156"/>
      <c r="FF154" s="156"/>
      <c r="FG154" s="156"/>
      <c r="FH154" s="157"/>
      <c r="FI154" s="242"/>
      <c r="FJ154" s="240"/>
      <c r="FK154" s="179"/>
      <c r="FL154" s="179"/>
      <c r="FM154" s="179"/>
      <c r="FN154" s="172"/>
      <c r="FO154" s="164"/>
      <c r="FP154" s="255"/>
      <c r="FQ154" s="183"/>
      <c r="FR154" s="257"/>
      <c r="FS154" s="82"/>
      <c r="FT154" s="259"/>
      <c r="FU154" s="82"/>
      <c r="FV154" s="259"/>
      <c r="FW154" s="82"/>
      <c r="FX154" s="259"/>
      <c r="FY154" s="82"/>
      <c r="FZ154" s="259"/>
      <c r="GA154" s="82"/>
      <c r="GB154" s="261"/>
      <c r="GC154" s="90"/>
      <c r="GD154" s="76">
        <v>1</v>
      </c>
      <c r="GE154" s="445" t="s">
        <v>3424</v>
      </c>
      <c r="GF154" s="447" t="s">
        <v>10</v>
      </c>
      <c r="GG154" s="448">
        <v>2</v>
      </c>
      <c r="GH154" s="449">
        <v>2</v>
      </c>
      <c r="GI154" s="447" t="s">
        <v>145</v>
      </c>
      <c r="GJ154" s="449" t="s">
        <v>145</v>
      </c>
      <c r="GK154" s="447" t="s">
        <v>145</v>
      </c>
      <c r="GL154" s="448" t="s">
        <v>145</v>
      </c>
      <c r="GM154" s="449" t="s">
        <v>145</v>
      </c>
      <c r="GN154" s="447" t="s">
        <v>10</v>
      </c>
      <c r="GO154" s="449">
        <v>28</v>
      </c>
      <c r="GP154" s="447">
        <v>4</v>
      </c>
      <c r="GQ154" s="448">
        <v>11</v>
      </c>
      <c r="GR154" s="449">
        <v>13</v>
      </c>
      <c r="GS154" s="446"/>
      <c r="GT154" s="461">
        <v>0.10747502744197845</v>
      </c>
      <c r="GU154" s="462">
        <v>0.12203626334667206</v>
      </c>
      <c r="GV154" s="462">
        <v>-0.73540413379669189</v>
      </c>
      <c r="GW154" s="462">
        <v>-0.81422299146652222</v>
      </c>
      <c r="GX154" s="462">
        <v>-0.82349950075149536</v>
      </c>
      <c r="GY154" s="463">
        <v>-0.38216298818588257</v>
      </c>
      <c r="GZ154" s="10">
        <v>169</v>
      </c>
      <c r="HA154" s="536">
        <v>0.22178999999999999</v>
      </c>
      <c r="HB154" s="536">
        <v>1.9599999999999999E-2</v>
      </c>
      <c r="HC154" s="525">
        <v>7.8700000000000003E-3</v>
      </c>
      <c r="HD154" s="526">
        <v>0.13976</v>
      </c>
      <c r="HE154" s="527">
        <v>0.51770000000000005</v>
      </c>
      <c r="HF154" s="10" t="s">
        <v>145</v>
      </c>
      <c r="HG154" s="532" t="s">
        <v>145</v>
      </c>
      <c r="HH154" s="524" t="s">
        <v>145</v>
      </c>
      <c r="HI154" s="525" t="s">
        <v>145</v>
      </c>
      <c r="HJ154" s="527" t="s">
        <v>145</v>
      </c>
      <c r="HK154" s="558" t="s">
        <v>145</v>
      </c>
      <c r="HL154" s="82" t="s">
        <v>145</v>
      </c>
      <c r="HM154" s="557" t="s">
        <v>145</v>
      </c>
      <c r="HN154" s="557" t="s">
        <v>145</v>
      </c>
      <c r="HO154" s="526" t="s">
        <v>145</v>
      </c>
      <c r="HP154" s="564" t="s">
        <v>145</v>
      </c>
      <c r="HQ154" s="564" t="s">
        <v>145</v>
      </c>
      <c r="HR154" s="565" t="s">
        <v>145</v>
      </c>
      <c r="HS154" s="524" t="s">
        <v>145</v>
      </c>
      <c r="HT154" s="526" t="s">
        <v>145</v>
      </c>
      <c r="HU154" s="526" t="s">
        <v>145</v>
      </c>
      <c r="HV154" s="582" t="s">
        <v>145</v>
      </c>
      <c r="HW154" s="526" t="s">
        <v>145</v>
      </c>
      <c r="HX154" s="526" t="s">
        <v>145</v>
      </c>
      <c r="HY154" s="526" t="s">
        <v>145</v>
      </c>
      <c r="HZ154" s="526" t="s">
        <v>145</v>
      </c>
      <c r="IA154" s="526" t="s">
        <v>145</v>
      </c>
      <c r="IB154" s="526" t="s">
        <v>145</v>
      </c>
      <c r="IC154" s="527" t="s">
        <v>145</v>
      </c>
      <c r="ID154" s="40"/>
      <c r="IE154" s="550"/>
      <c r="IF154" s="550"/>
      <c r="IG154" s="553"/>
      <c r="IH154" s="115"/>
      <c r="II154" s="647" t="s">
        <v>4921</v>
      </c>
      <c r="IJ154" s="423" t="s">
        <v>4918</v>
      </c>
      <c r="IK154" s="10">
        <v>1</v>
      </c>
      <c r="IL154" s="749">
        <f t="shared" si="132"/>
        <v>3</v>
      </c>
      <c r="IM154" s="747">
        <f t="shared" si="133"/>
        <v>12</v>
      </c>
      <c r="IN154" s="750" t="str">
        <f t="shared" si="134"/>
        <v>D</v>
      </c>
      <c r="IO154" s="446">
        <v>1</v>
      </c>
      <c r="IP154" s="902">
        <v>4</v>
      </c>
      <c r="IQ154" s="903">
        <v>0</v>
      </c>
      <c r="IR154" s="993">
        <v>0</v>
      </c>
      <c r="IT154" s="435"/>
      <c r="IU154" s="435"/>
      <c r="IV154" s="435"/>
    </row>
    <row r="155" spans="1:256">
      <c r="A155" s="21">
        <v>153</v>
      </c>
      <c r="B155" s="9"/>
      <c r="C155" s="430" t="s">
        <v>237</v>
      </c>
      <c r="D155" s="423" t="s">
        <v>410</v>
      </c>
      <c r="E155" s="24" t="s">
        <v>17</v>
      </c>
      <c r="F155" s="76" t="s">
        <v>887</v>
      </c>
      <c r="G155" s="102" t="s">
        <v>603</v>
      </c>
      <c r="H155" s="375" t="s">
        <v>2457</v>
      </c>
      <c r="I155" s="364" t="s">
        <v>1677</v>
      </c>
      <c r="J155" s="370">
        <v>2</v>
      </c>
      <c r="K155" s="359">
        <v>1924</v>
      </c>
      <c r="L155" s="371">
        <v>2</v>
      </c>
      <c r="M155" s="373" t="s">
        <v>2322</v>
      </c>
      <c r="N155" s="369" t="s">
        <v>1822</v>
      </c>
      <c r="O155" s="365" t="s">
        <v>2457</v>
      </c>
      <c r="P155" s="362" t="s">
        <v>3328</v>
      </c>
      <c r="Q155" s="370">
        <v>2</v>
      </c>
      <c r="R155" s="370">
        <v>1926</v>
      </c>
      <c r="S155" s="372" t="s">
        <v>2080</v>
      </c>
      <c r="T155" s="370">
        <v>1</v>
      </c>
      <c r="U155" s="370">
        <v>2</v>
      </c>
      <c r="V155" s="370">
        <v>15</v>
      </c>
      <c r="W155" s="369" t="s">
        <v>145</v>
      </c>
      <c r="X155" s="170">
        <v>1</v>
      </c>
      <c r="Y155" s="369">
        <v>1</v>
      </c>
      <c r="Z155" s="273" t="s">
        <v>2058</v>
      </c>
      <c r="AA155" s="169">
        <v>1</v>
      </c>
      <c r="AB155" s="177"/>
      <c r="AC155" s="171"/>
      <c r="AD155" s="366" t="s">
        <v>2457</v>
      </c>
      <c r="AE155" s="357">
        <v>2009</v>
      </c>
      <c r="AF155" s="357">
        <v>2</v>
      </c>
      <c r="AG155" s="550" t="s">
        <v>5171</v>
      </c>
      <c r="AH155" s="355" t="s">
        <v>2790</v>
      </c>
      <c r="AI155" s="55">
        <v>0</v>
      </c>
      <c r="AJ155" s="55">
        <v>0</v>
      </c>
      <c r="AK155" s="590" t="s">
        <v>145</v>
      </c>
      <c r="AL155" s="386">
        <v>1</v>
      </c>
      <c r="AM155" s="361" t="s">
        <v>2780</v>
      </c>
      <c r="AN155" s="384" t="s">
        <v>145</v>
      </c>
      <c r="AO155" s="170">
        <v>0</v>
      </c>
      <c r="AP155" s="369">
        <v>0</v>
      </c>
      <c r="AQ155" s="365" t="s">
        <v>5308</v>
      </c>
      <c r="AR155" s="378" t="s">
        <v>2798</v>
      </c>
      <c r="AS155" s="55">
        <v>1</v>
      </c>
      <c r="AT155" s="370">
        <v>2</v>
      </c>
      <c r="AU155" s="371">
        <v>2006</v>
      </c>
      <c r="AV155" s="370">
        <v>5</v>
      </c>
      <c r="AW155" s="589" t="s">
        <v>145</v>
      </c>
      <c r="AX155" s="687">
        <v>0</v>
      </c>
      <c r="AY155" s="174" t="s">
        <v>4277</v>
      </c>
      <c r="AZ155" s="55">
        <v>2008</v>
      </c>
      <c r="BA155" s="55">
        <v>1</v>
      </c>
      <c r="BB155" s="55">
        <v>2</v>
      </c>
      <c r="BC155" s="174" t="s">
        <v>4432</v>
      </c>
      <c r="BD155" s="55">
        <v>1996</v>
      </c>
      <c r="BE155" s="55">
        <v>2</v>
      </c>
      <c r="BF155" s="371" t="s">
        <v>4396</v>
      </c>
      <c r="BG155" s="371">
        <v>1</v>
      </c>
      <c r="BH155" s="1" t="s">
        <v>4595</v>
      </c>
      <c r="BI155" s="371">
        <v>0</v>
      </c>
      <c r="BJ155" s="371">
        <v>0</v>
      </c>
      <c r="BK155" s="888">
        <v>31540.371999999999</v>
      </c>
      <c r="BL155" s="925">
        <f t="shared" si="121"/>
        <v>43.450540152157998</v>
      </c>
      <c r="BM155" s="888">
        <v>17835.91</v>
      </c>
      <c r="BN155" s="920">
        <v>13704.462</v>
      </c>
      <c r="BO155" s="888">
        <v>3161.462</v>
      </c>
      <c r="BP155" s="1158">
        <f t="shared" si="135"/>
        <v>49.148337066838067</v>
      </c>
      <c r="BQ155" s="917">
        <v>1607.6559999999999</v>
      </c>
      <c r="BR155" s="920">
        <v>1553.806</v>
      </c>
      <c r="BS155" s="888">
        <v>3100.1080000000002</v>
      </c>
      <c r="BT155" s="1158">
        <f t="shared" si="136"/>
        <v>48.832137461017481</v>
      </c>
      <c r="BU155" s="917">
        <v>1586.259</v>
      </c>
      <c r="BV155" s="920">
        <v>1513.8489999999999</v>
      </c>
      <c r="BW155" s="888">
        <v>2753.3029999999999</v>
      </c>
      <c r="BX155" s="1158">
        <f t="shared" si="137"/>
        <v>48.891712971656226</v>
      </c>
      <c r="BY155" s="917">
        <v>1407.1659999999999</v>
      </c>
      <c r="BZ155" s="920">
        <v>1346.1369999999999</v>
      </c>
      <c r="CA155" s="888">
        <f t="shared" si="138"/>
        <v>22525.499</v>
      </c>
      <c r="CB155" s="1158">
        <f t="shared" si="139"/>
        <v>41.245124025887279</v>
      </c>
      <c r="CC155" s="917">
        <f t="shared" si="140"/>
        <v>13234.829000000002</v>
      </c>
      <c r="CD155" s="920">
        <f t="shared" si="141"/>
        <v>9290.6699999999983</v>
      </c>
      <c r="CE155" s="914">
        <v>2015</v>
      </c>
      <c r="CF155" s="910" t="s">
        <v>5630</v>
      </c>
      <c r="CG155" s="931">
        <v>75</v>
      </c>
      <c r="CH155" s="504">
        <v>75</v>
      </c>
      <c r="CI155" s="1008">
        <v>75</v>
      </c>
      <c r="CJ155" s="906" t="s">
        <v>1621</v>
      </c>
      <c r="CK155" s="906" t="s">
        <v>1621</v>
      </c>
      <c r="CL155" s="906">
        <v>2014</v>
      </c>
      <c r="CM155" s="1002" t="s">
        <v>5711</v>
      </c>
      <c r="CN155" s="1044">
        <v>1480</v>
      </c>
      <c r="CO155" s="1045">
        <f t="shared" si="122"/>
        <v>4.6923986819178927</v>
      </c>
      <c r="CP155" s="1049">
        <v>1350</v>
      </c>
      <c r="CQ155" s="1050">
        <v>130</v>
      </c>
      <c r="CR155" s="1046">
        <v>2015</v>
      </c>
      <c r="CS155" s="1047" t="s">
        <v>5822</v>
      </c>
      <c r="CT155" s="1068">
        <f t="shared" si="123"/>
        <v>15</v>
      </c>
      <c r="CU155" s="1071">
        <v>18</v>
      </c>
      <c r="CV155" s="1117" t="s">
        <v>5823</v>
      </c>
      <c r="CW155" s="1113" t="s">
        <v>145</v>
      </c>
      <c r="CX155" s="1113" t="s">
        <v>145</v>
      </c>
      <c r="CY155" s="1113" t="s">
        <v>145</v>
      </c>
      <c r="CZ155" s="1048">
        <v>10</v>
      </c>
      <c r="DA155" s="1104">
        <v>2</v>
      </c>
      <c r="DB155" s="1050" t="s">
        <v>5753</v>
      </c>
      <c r="DC155" s="1146" t="s">
        <v>322</v>
      </c>
      <c r="DD155" s="978">
        <f t="shared" si="148"/>
        <v>23299.217250000002</v>
      </c>
      <c r="DE155" s="979">
        <f t="shared" si="124"/>
        <v>73.871092103796371</v>
      </c>
      <c r="DF155" s="979">
        <f t="shared" si="149"/>
        <v>44.053488535113758</v>
      </c>
      <c r="DG155" s="980">
        <f t="shared" si="150"/>
        <v>13035.099250000003</v>
      </c>
      <c r="DH155" s="980">
        <f t="shared" si="151"/>
        <v>10264.117999999997</v>
      </c>
      <c r="DI155" s="979">
        <f t="shared" si="125"/>
        <v>73.083454951275286</v>
      </c>
      <c r="DJ155" s="981">
        <f t="shared" si="126"/>
        <v>74.896176150512133</v>
      </c>
      <c r="DK155" s="984">
        <f t="shared" si="127"/>
        <v>21045.499</v>
      </c>
      <c r="DL155" s="979">
        <f t="shared" si="152"/>
        <v>43.527929653746853</v>
      </c>
      <c r="DM155" s="980">
        <f t="shared" si="128"/>
        <v>11884.829000000002</v>
      </c>
      <c r="DN155" s="985">
        <f t="shared" si="129"/>
        <v>9160.6699999999983</v>
      </c>
      <c r="DO155" s="984">
        <f t="shared" si="130"/>
        <v>1463.35275</v>
      </c>
      <c r="DP155" s="979">
        <f t="shared" si="153"/>
        <v>48.860160340697071</v>
      </c>
      <c r="DQ155" s="980">
        <f t="shared" si="142"/>
        <v>748.35625000000005</v>
      </c>
      <c r="DR155" s="985">
        <f t="shared" si="143"/>
        <v>714.99649999999997</v>
      </c>
      <c r="DS155" s="984">
        <f t="shared" si="131"/>
        <v>790.3655</v>
      </c>
      <c r="DT155" s="339">
        <f t="shared" si="154"/>
        <v>49.148337066838067</v>
      </c>
      <c r="DU155" s="980">
        <f t="shared" si="144"/>
        <v>401.91399999999999</v>
      </c>
      <c r="DV155" s="985">
        <f t="shared" si="145"/>
        <v>388.45150000000001</v>
      </c>
      <c r="DW155" s="979">
        <f t="shared" si="146"/>
        <v>25</v>
      </c>
      <c r="DX155" s="981">
        <f t="shared" si="147"/>
        <v>25</v>
      </c>
      <c r="DY155" s="414" t="s">
        <v>145</v>
      </c>
      <c r="DZ155" s="111" t="s">
        <v>145</v>
      </c>
      <c r="EA155" s="368"/>
      <c r="EB155" s="123" t="s">
        <v>145</v>
      </c>
      <c r="EC155" s="113" t="s">
        <v>145</v>
      </c>
      <c r="ED155" s="20"/>
      <c r="EE155" s="414" t="s">
        <v>145</v>
      </c>
      <c r="EF155" s="111" t="s">
        <v>145</v>
      </c>
      <c r="EG155" s="380">
        <v>94.426345825195298</v>
      </c>
      <c r="EH155" s="24" t="s">
        <v>328</v>
      </c>
      <c r="EI155" s="287">
        <v>0</v>
      </c>
      <c r="EJ155" s="40" t="s">
        <v>145</v>
      </c>
      <c r="EK155" s="355" t="s">
        <v>145</v>
      </c>
      <c r="EL155" s="364" t="s">
        <v>145</v>
      </c>
      <c r="EM155" s="364" t="s">
        <v>145</v>
      </c>
      <c r="EN155" s="355" t="s">
        <v>145</v>
      </c>
      <c r="EO155" s="364" t="s">
        <v>145</v>
      </c>
      <c r="EP155" s="205" t="s">
        <v>145</v>
      </c>
      <c r="EQ155" s="207" t="s">
        <v>145</v>
      </c>
      <c r="ER155" s="517" t="s">
        <v>145</v>
      </c>
      <c r="ES155" s="183"/>
      <c r="ET155" s="183"/>
      <c r="EU155" s="82"/>
      <c r="EV155" s="82"/>
      <c r="EW155" s="82"/>
      <c r="EX155" s="360"/>
      <c r="EY155" s="159"/>
      <c r="EZ155" s="156"/>
      <c r="FA155" s="323"/>
      <c r="FB155" s="323"/>
      <c r="FC155" s="323"/>
      <c r="FD155" s="160"/>
      <c r="FE155" s="156"/>
      <c r="FF155" s="156"/>
      <c r="FG155" s="156"/>
      <c r="FH155" s="157"/>
      <c r="FI155" s="242"/>
      <c r="FJ155" s="373"/>
      <c r="FK155" s="179"/>
      <c r="FL155" s="179"/>
      <c r="FM155" s="179"/>
      <c r="FN155" s="369"/>
      <c r="FO155" s="164"/>
      <c r="FP155" s="255"/>
      <c r="FQ155" s="183"/>
      <c r="FR155" s="257"/>
      <c r="FS155" s="82"/>
      <c r="FT155" s="259"/>
      <c r="FU155" s="82"/>
      <c r="FV155" s="259"/>
      <c r="FW155" s="82"/>
      <c r="FX155" s="259"/>
      <c r="FY155" s="82"/>
      <c r="FZ155" s="259"/>
      <c r="GA155" s="82"/>
      <c r="GB155" s="261"/>
      <c r="GC155" s="360"/>
      <c r="GD155" s="76">
        <v>3</v>
      </c>
      <c r="GE155" s="445" t="s">
        <v>3426</v>
      </c>
      <c r="GF155" s="447" t="s">
        <v>580</v>
      </c>
      <c r="GG155" s="448">
        <v>7</v>
      </c>
      <c r="GH155" s="449">
        <v>7</v>
      </c>
      <c r="GI155" s="447" t="s">
        <v>580</v>
      </c>
      <c r="GJ155" s="449">
        <v>73</v>
      </c>
      <c r="GK155" s="447">
        <v>15</v>
      </c>
      <c r="GL155" s="448">
        <v>24</v>
      </c>
      <c r="GM155" s="449">
        <v>34</v>
      </c>
      <c r="GN155" s="447" t="s">
        <v>580</v>
      </c>
      <c r="GO155" s="449">
        <v>83</v>
      </c>
      <c r="GP155" s="447">
        <v>29</v>
      </c>
      <c r="GQ155" s="448">
        <v>29</v>
      </c>
      <c r="GR155" s="449">
        <v>25</v>
      </c>
      <c r="GS155" s="446">
        <v>-10</v>
      </c>
      <c r="GT155" s="461">
        <v>-1.8237768411636353</v>
      </c>
      <c r="GU155" s="462">
        <v>-0.40861624479293823</v>
      </c>
      <c r="GV155" s="462">
        <v>6.0536958277225494E-2</v>
      </c>
      <c r="GW155" s="462">
        <v>7.7040068805217743E-2</v>
      </c>
      <c r="GX155" s="462">
        <v>0.26479586958885193</v>
      </c>
      <c r="GY155" s="463">
        <v>-8.0722123384475708E-3</v>
      </c>
      <c r="GZ155" s="10">
        <v>36</v>
      </c>
      <c r="HA155" s="536">
        <v>0.69001000000000001</v>
      </c>
      <c r="HB155" s="536">
        <v>0.56862000000000001</v>
      </c>
      <c r="HC155" s="525">
        <v>0.77164999999999995</v>
      </c>
      <c r="HD155" s="526">
        <v>0.55227000000000004</v>
      </c>
      <c r="HE155" s="527">
        <v>0.74609999999999999</v>
      </c>
      <c r="HF155" s="10">
        <v>47</v>
      </c>
      <c r="HG155" s="532">
        <v>6.36</v>
      </c>
      <c r="HH155" s="545">
        <v>7.04</v>
      </c>
      <c r="HI155" s="546">
        <v>4.7699999999999996</v>
      </c>
      <c r="HJ155" s="547">
        <v>8.17</v>
      </c>
      <c r="HK155" s="558" t="s">
        <v>145</v>
      </c>
      <c r="HL155" s="82" t="s">
        <v>145</v>
      </c>
      <c r="HM155" s="557" t="s">
        <v>145</v>
      </c>
      <c r="HN155" s="557" t="s">
        <v>145</v>
      </c>
      <c r="HO155" s="557" t="s">
        <v>145</v>
      </c>
      <c r="HP155" s="562" t="s">
        <v>145</v>
      </c>
      <c r="HQ155" s="562" t="s">
        <v>145</v>
      </c>
      <c r="HR155" s="563" t="s">
        <v>145</v>
      </c>
      <c r="HS155" s="545" t="s">
        <v>145</v>
      </c>
      <c r="HT155" s="557" t="s">
        <v>145</v>
      </c>
      <c r="HU155" s="557" t="s">
        <v>145</v>
      </c>
      <c r="HV155" s="581" t="s">
        <v>145</v>
      </c>
      <c r="HW155" s="557" t="s">
        <v>145</v>
      </c>
      <c r="HX155" s="557" t="s">
        <v>145</v>
      </c>
      <c r="HY155" s="557" t="s">
        <v>145</v>
      </c>
      <c r="HZ155" s="557" t="s">
        <v>145</v>
      </c>
      <c r="IA155" s="557" t="s">
        <v>145</v>
      </c>
      <c r="IB155" s="557" t="s">
        <v>145</v>
      </c>
      <c r="IC155" s="547" t="s">
        <v>145</v>
      </c>
      <c r="ID155" s="40"/>
      <c r="IE155" s="550"/>
      <c r="IF155" s="550"/>
      <c r="IG155" s="553"/>
      <c r="IH155" s="115">
        <v>42</v>
      </c>
      <c r="II155" s="647" t="s">
        <v>4920</v>
      </c>
      <c r="IJ155" s="423" t="s">
        <v>4926</v>
      </c>
      <c r="IK155" s="10">
        <v>0</v>
      </c>
      <c r="IL155" s="749">
        <f t="shared" si="132"/>
        <v>18</v>
      </c>
      <c r="IM155" s="747">
        <f t="shared" si="133"/>
        <v>72</v>
      </c>
      <c r="IN155" s="750" t="str">
        <f t="shared" si="134"/>
        <v>B</v>
      </c>
      <c r="IO155" s="446"/>
      <c r="IP155" s="902">
        <v>1</v>
      </c>
      <c r="IQ155" s="903">
        <v>2</v>
      </c>
      <c r="IR155" s="993">
        <v>0</v>
      </c>
      <c r="IT155" s="435"/>
      <c r="IU155" s="435"/>
      <c r="IV155" s="435"/>
    </row>
    <row r="156" spans="1:256">
      <c r="A156" s="71">
        <v>154</v>
      </c>
      <c r="B156" s="9"/>
      <c r="C156" s="430" t="s">
        <v>239</v>
      </c>
      <c r="D156" s="423" t="s">
        <v>406</v>
      </c>
      <c r="E156" s="24" t="s">
        <v>20</v>
      </c>
      <c r="F156" s="76" t="s">
        <v>888</v>
      </c>
      <c r="G156" s="102" t="s">
        <v>612</v>
      </c>
      <c r="H156" s="375" t="s">
        <v>2458</v>
      </c>
      <c r="I156" s="364" t="s">
        <v>2459</v>
      </c>
      <c r="J156" s="370">
        <v>6</v>
      </c>
      <c r="K156" s="359">
        <v>1730</v>
      </c>
      <c r="L156" s="371">
        <v>2</v>
      </c>
      <c r="M156" s="373" t="s">
        <v>2129</v>
      </c>
      <c r="N156" s="369" t="s">
        <v>1822</v>
      </c>
      <c r="O156" s="365" t="s">
        <v>2555</v>
      </c>
      <c r="P156" s="362" t="s">
        <v>3329</v>
      </c>
      <c r="Q156" s="370">
        <v>2</v>
      </c>
      <c r="R156" s="370">
        <v>2011</v>
      </c>
      <c r="S156" s="372" t="s">
        <v>1961</v>
      </c>
      <c r="T156" s="370">
        <v>1</v>
      </c>
      <c r="U156" s="370">
        <v>2</v>
      </c>
      <c r="V156" s="370">
        <v>15</v>
      </c>
      <c r="W156" s="369" t="s">
        <v>2036</v>
      </c>
      <c r="X156" s="170">
        <v>1</v>
      </c>
      <c r="Y156" s="369">
        <v>1</v>
      </c>
      <c r="Z156" s="271"/>
      <c r="AA156" s="169">
        <v>1</v>
      </c>
      <c r="AB156" s="177">
        <v>1</v>
      </c>
      <c r="AC156" s="171"/>
      <c r="AD156" s="366" t="s">
        <v>1591</v>
      </c>
      <c r="AE156" s="357">
        <v>2005</v>
      </c>
      <c r="AF156" s="357">
        <v>2</v>
      </c>
      <c r="AG156" s="55">
        <v>2</v>
      </c>
      <c r="AH156" s="355" t="s">
        <v>3122</v>
      </c>
      <c r="AI156" s="55">
        <v>0</v>
      </c>
      <c r="AJ156" s="55">
        <v>0</v>
      </c>
      <c r="AK156" s="590" t="s">
        <v>145</v>
      </c>
      <c r="AL156" s="386">
        <v>9</v>
      </c>
      <c r="AM156" s="361" t="s">
        <v>3390</v>
      </c>
      <c r="AN156" s="384" t="s">
        <v>145</v>
      </c>
      <c r="AO156" s="170">
        <v>0</v>
      </c>
      <c r="AP156" s="369">
        <v>0</v>
      </c>
      <c r="AQ156" s="365" t="s">
        <v>5305</v>
      </c>
      <c r="AR156" s="378" t="s">
        <v>2798</v>
      </c>
      <c r="AS156" s="55">
        <v>1</v>
      </c>
      <c r="AT156" s="370">
        <v>2</v>
      </c>
      <c r="AU156" s="371">
        <v>2007</v>
      </c>
      <c r="AV156" s="370">
        <v>5</v>
      </c>
      <c r="AW156" s="589">
        <v>1300</v>
      </c>
      <c r="AX156" s="687">
        <v>0</v>
      </c>
      <c r="AY156" s="174" t="s">
        <v>4586</v>
      </c>
      <c r="AZ156" s="55">
        <v>2007</v>
      </c>
      <c r="BA156" s="55">
        <v>1</v>
      </c>
      <c r="BB156" s="55">
        <v>2</v>
      </c>
      <c r="BC156" s="174" t="s">
        <v>4587</v>
      </c>
      <c r="BD156" s="55">
        <v>2007</v>
      </c>
      <c r="BE156" s="55">
        <v>1</v>
      </c>
      <c r="BF156" s="367" t="s">
        <v>323</v>
      </c>
      <c r="BG156" s="367">
        <v>0</v>
      </c>
      <c r="BH156" s="56" t="s">
        <v>145</v>
      </c>
      <c r="BI156" s="367">
        <v>3</v>
      </c>
      <c r="BJ156" s="367">
        <v>0</v>
      </c>
      <c r="BK156" s="888">
        <v>15129.272999999999</v>
      </c>
      <c r="BL156" s="925">
        <f t="shared" si="121"/>
        <v>50.898632075711767</v>
      </c>
      <c r="BM156" s="888">
        <v>7428.68</v>
      </c>
      <c r="BN156" s="920">
        <v>7700.5929999999998</v>
      </c>
      <c r="BO156" s="888">
        <v>2601.3119999999999</v>
      </c>
      <c r="BP156" s="1158">
        <f t="shared" si="135"/>
        <v>49.316460309259327</v>
      </c>
      <c r="BQ156" s="917">
        <v>1318.4369999999999</v>
      </c>
      <c r="BR156" s="920">
        <v>1282.875</v>
      </c>
      <c r="BS156" s="888">
        <v>2171.0940000000001</v>
      </c>
      <c r="BT156" s="1158">
        <f t="shared" si="136"/>
        <v>49.371146527971611</v>
      </c>
      <c r="BU156" s="917">
        <v>1099.2</v>
      </c>
      <c r="BV156" s="920">
        <v>1071.894</v>
      </c>
      <c r="BW156" s="888">
        <v>1848.481</v>
      </c>
      <c r="BX156" s="1158">
        <f t="shared" si="137"/>
        <v>49.510273570569566</v>
      </c>
      <c r="BY156" s="917">
        <v>933.29300000000001</v>
      </c>
      <c r="BZ156" s="920">
        <v>915.18799999999999</v>
      </c>
      <c r="CA156" s="888">
        <f t="shared" si="138"/>
        <v>8508.3859999999986</v>
      </c>
      <c r="CB156" s="1158">
        <f t="shared" si="139"/>
        <v>52.073754058642848</v>
      </c>
      <c r="CC156" s="917">
        <f t="shared" si="140"/>
        <v>4077.7500000000005</v>
      </c>
      <c r="CD156" s="920">
        <f t="shared" si="141"/>
        <v>4430.6359999999995</v>
      </c>
      <c r="CE156" s="914">
        <v>2015</v>
      </c>
      <c r="CF156" s="910" t="s">
        <v>5630</v>
      </c>
      <c r="CG156" s="930">
        <v>73</v>
      </c>
      <c r="CH156" s="495">
        <v>74.099999999999994</v>
      </c>
      <c r="CI156" s="497">
        <v>71.900000000000006</v>
      </c>
      <c r="CJ156" s="904">
        <v>91.4</v>
      </c>
      <c r="CK156" s="904">
        <v>63.7</v>
      </c>
      <c r="CL156" s="904" t="s">
        <v>5597</v>
      </c>
      <c r="CM156" s="905" t="s">
        <v>5608</v>
      </c>
      <c r="CN156" s="1044">
        <v>5368.7830000000004</v>
      </c>
      <c r="CO156" s="1045">
        <f t="shared" si="122"/>
        <v>35.486060698356098</v>
      </c>
      <c r="CP156" s="1040">
        <f>IF(OR(CZ156=1,CZ156=10),CN156*(1-BL156/100),IF(DA156=6,CN156*(1-BL156/100),CN156*(1-CB156/100)))</f>
        <v>2636.1458938866394</v>
      </c>
      <c r="CQ156" s="1041">
        <f>IF(OR(CZ156=1,CZ156=10),CN156*BL156/100,IF(DA156=6,CN156*BL156/100,CN156*CB156/100))</f>
        <v>2732.6371061133605</v>
      </c>
      <c r="CR156" s="1046">
        <v>2012</v>
      </c>
      <c r="CS156" s="1047" t="s">
        <v>6007</v>
      </c>
      <c r="CT156" s="1068">
        <f t="shared" si="123"/>
        <v>15</v>
      </c>
      <c r="CU156" s="1071">
        <v>18</v>
      </c>
      <c r="CV156" s="1068" t="s">
        <v>6012</v>
      </c>
      <c r="CW156" s="1113">
        <v>5368.7830000000004</v>
      </c>
      <c r="CX156" s="1113">
        <v>6504.0929999999998</v>
      </c>
      <c r="CY156" s="1113">
        <v>12969.606</v>
      </c>
      <c r="CZ156" s="494">
        <v>1</v>
      </c>
      <c r="DA156" s="1104">
        <v>4</v>
      </c>
      <c r="DB156" s="1050" t="s">
        <v>647</v>
      </c>
      <c r="DC156" s="1143" t="s">
        <v>320</v>
      </c>
      <c r="DD156" s="978">
        <f t="shared" si="148"/>
        <v>4927.2424899999978</v>
      </c>
      <c r="DE156" s="979">
        <f t="shared" si="124"/>
        <v>32.567609097938799</v>
      </c>
      <c r="DF156" s="979">
        <f t="shared" si="149"/>
        <v>53.109965994116102</v>
      </c>
      <c r="DG156" s="980">
        <f t="shared" si="150"/>
        <v>2309.4949761133612</v>
      </c>
      <c r="DH156" s="980">
        <f t="shared" si="151"/>
        <v>2616.8568108866384</v>
      </c>
      <c r="DI156" s="979">
        <f t="shared" si="125"/>
        <v>31.088901071433433</v>
      </c>
      <c r="DJ156" s="981">
        <f t="shared" si="126"/>
        <v>33.982536291512076</v>
      </c>
      <c r="DK156" s="984">
        <f t="shared" si="127"/>
        <v>3139.6029999999982</v>
      </c>
      <c r="DL156" s="979">
        <f t="shared" si="152"/>
        <v>54.083235806776841</v>
      </c>
      <c r="DM156" s="980">
        <f t="shared" si="128"/>
        <v>1441.604106113361</v>
      </c>
      <c r="DN156" s="985">
        <f t="shared" si="129"/>
        <v>1697.9988938866391</v>
      </c>
      <c r="DO156" s="984">
        <f t="shared" si="130"/>
        <v>1085.2852499999999</v>
      </c>
      <c r="DP156" s="979">
        <f t="shared" si="153"/>
        <v>51.449150534387144</v>
      </c>
      <c r="DQ156" s="980">
        <f t="shared" si="142"/>
        <v>526.41568700000005</v>
      </c>
      <c r="DR156" s="985">
        <f t="shared" si="143"/>
        <v>558.37004199999978</v>
      </c>
      <c r="DS156" s="984">
        <f t="shared" si="131"/>
        <v>702.35424</v>
      </c>
      <c r="DT156" s="339">
        <f t="shared" si="154"/>
        <v>51.325649432969875</v>
      </c>
      <c r="DU156" s="980">
        <f t="shared" si="144"/>
        <v>341.47518299999996</v>
      </c>
      <c r="DV156" s="985">
        <f t="shared" si="145"/>
        <v>360.48787499999992</v>
      </c>
      <c r="DW156" s="979">
        <f t="shared" si="146"/>
        <v>25.900000000000002</v>
      </c>
      <c r="DX156" s="981">
        <f t="shared" si="147"/>
        <v>28.099999999999991</v>
      </c>
      <c r="DY156" s="414">
        <v>29.61</v>
      </c>
      <c r="DZ156" s="111">
        <v>2011</v>
      </c>
      <c r="EA156" s="368">
        <v>3779.1965760000003</v>
      </c>
      <c r="EB156" s="123">
        <v>46.7</v>
      </c>
      <c r="EC156" s="113">
        <v>2011</v>
      </c>
      <c r="ED156" s="20">
        <v>5962.4486520000009</v>
      </c>
      <c r="EE156" s="414">
        <v>54</v>
      </c>
      <c r="EF156" s="111">
        <v>2001</v>
      </c>
      <c r="EG156" s="380">
        <v>52.051959991455099</v>
      </c>
      <c r="EH156" s="24" t="s">
        <v>372</v>
      </c>
      <c r="EI156" s="287">
        <v>1</v>
      </c>
      <c r="EJ156" s="40">
        <v>2</v>
      </c>
      <c r="EK156" s="355" t="s">
        <v>728</v>
      </c>
      <c r="EL156" s="364" t="s">
        <v>1645</v>
      </c>
      <c r="EM156" s="364" t="s">
        <v>145</v>
      </c>
      <c r="EN156" s="355" t="s">
        <v>145</v>
      </c>
      <c r="EO156" s="364" t="s">
        <v>1646</v>
      </c>
      <c r="EP156" s="205">
        <v>0.55000000000000004</v>
      </c>
      <c r="EQ156" s="207" t="s">
        <v>145</v>
      </c>
      <c r="ER156" s="517" t="s">
        <v>145</v>
      </c>
      <c r="ES156" s="183"/>
      <c r="ET156" s="183"/>
      <c r="EU156" s="82"/>
      <c r="EV156" s="82"/>
      <c r="EW156" s="82"/>
      <c r="EX156" s="360"/>
      <c r="EY156" s="159"/>
      <c r="EZ156" s="156"/>
      <c r="FA156" s="323"/>
      <c r="FB156" s="323"/>
      <c r="FC156" s="323"/>
      <c r="FD156" s="160"/>
      <c r="FE156" s="156"/>
      <c r="FF156" s="156"/>
      <c r="FG156" s="156"/>
      <c r="FH156" s="157"/>
      <c r="FI156" s="242"/>
      <c r="FJ156" s="373"/>
      <c r="FK156" s="179"/>
      <c r="FL156" s="179"/>
      <c r="FM156" s="179"/>
      <c r="FN156" s="369"/>
      <c r="FO156" s="164"/>
      <c r="FP156" s="255"/>
      <c r="FQ156" s="183"/>
      <c r="FR156" s="257">
        <v>1</v>
      </c>
      <c r="FS156" s="82" t="s">
        <v>1702</v>
      </c>
      <c r="FT156" s="259"/>
      <c r="FU156" s="82"/>
      <c r="FV156" s="259"/>
      <c r="FW156" s="82"/>
      <c r="FX156" s="259"/>
      <c r="FY156" s="82"/>
      <c r="FZ156" s="259"/>
      <c r="GA156" s="82"/>
      <c r="GB156" s="261">
        <v>1</v>
      </c>
      <c r="GC156" s="360" t="s">
        <v>1931</v>
      </c>
      <c r="GD156" s="76">
        <v>1</v>
      </c>
      <c r="GE156" s="445" t="s">
        <v>3424</v>
      </c>
      <c r="GF156" s="447" t="s">
        <v>10</v>
      </c>
      <c r="GG156" s="448">
        <v>2</v>
      </c>
      <c r="GH156" s="449">
        <v>2</v>
      </c>
      <c r="GI156" s="447" t="s">
        <v>145</v>
      </c>
      <c r="GJ156" s="449" t="s">
        <v>145</v>
      </c>
      <c r="GK156" s="447" t="s">
        <v>145</v>
      </c>
      <c r="GL156" s="448" t="s">
        <v>145</v>
      </c>
      <c r="GM156" s="449" t="s">
        <v>145</v>
      </c>
      <c r="GN156" s="447" t="s">
        <v>590</v>
      </c>
      <c r="GO156" s="449">
        <v>48</v>
      </c>
      <c r="GP156" s="447">
        <v>18</v>
      </c>
      <c r="GQ156" s="448">
        <v>16</v>
      </c>
      <c r="GR156" s="449">
        <v>14</v>
      </c>
      <c r="GS156" s="446">
        <v>8</v>
      </c>
      <c r="GT156" s="461">
        <v>3.4599132835865021E-2</v>
      </c>
      <c r="GU156" s="462">
        <v>-8.6355820298194885E-2</v>
      </c>
      <c r="GV156" s="462">
        <v>-0.47856616973876953</v>
      </c>
      <c r="GW156" s="462">
        <v>-4.8149283975362778E-2</v>
      </c>
      <c r="GX156" s="462">
        <v>-0.27289211750030518</v>
      </c>
      <c r="GY156" s="463">
        <v>-0.28196507692337036</v>
      </c>
      <c r="GZ156" s="10">
        <v>151</v>
      </c>
      <c r="HA156" s="536">
        <v>0.26656999999999997</v>
      </c>
      <c r="HB156" s="536">
        <v>0.35293999999999998</v>
      </c>
      <c r="HC156" s="525">
        <v>0.30708000000000002</v>
      </c>
      <c r="HD156" s="526">
        <v>0.16436999999999999</v>
      </c>
      <c r="HE156" s="527">
        <v>0.32829999999999998</v>
      </c>
      <c r="HF156" s="10">
        <v>130</v>
      </c>
      <c r="HG156" s="532">
        <v>2.46</v>
      </c>
      <c r="HH156" s="545">
        <v>3.23</v>
      </c>
      <c r="HI156" s="546">
        <v>1.25</v>
      </c>
      <c r="HJ156" s="547">
        <v>3.35</v>
      </c>
      <c r="HK156" s="558" t="s">
        <v>4118</v>
      </c>
      <c r="HL156" s="585" t="s">
        <v>4771</v>
      </c>
      <c r="HM156" s="557">
        <v>2008</v>
      </c>
      <c r="HN156" s="557">
        <v>2008</v>
      </c>
      <c r="HO156" s="557" t="s">
        <v>3985</v>
      </c>
      <c r="HP156" s="562" t="s">
        <v>4119</v>
      </c>
      <c r="HQ156" s="639" t="s">
        <v>4772</v>
      </c>
      <c r="HR156" s="563" t="s">
        <v>4010</v>
      </c>
      <c r="HS156" s="545" t="s">
        <v>145</v>
      </c>
      <c r="HT156" s="557" t="s">
        <v>145</v>
      </c>
      <c r="HU156" s="557" t="s">
        <v>145</v>
      </c>
      <c r="HV156" s="582" t="s">
        <v>145</v>
      </c>
      <c r="HW156" s="557" t="s">
        <v>145</v>
      </c>
      <c r="HX156" s="557" t="s">
        <v>145</v>
      </c>
      <c r="HY156" s="557" t="s">
        <v>145</v>
      </c>
      <c r="HZ156" s="557" t="s">
        <v>145</v>
      </c>
      <c r="IA156" s="557" t="s">
        <v>145</v>
      </c>
      <c r="IB156" s="557" t="s">
        <v>145</v>
      </c>
      <c r="IC156" s="547" t="s">
        <v>145</v>
      </c>
      <c r="ID156" s="40"/>
      <c r="IE156" s="550"/>
      <c r="IF156" s="550"/>
      <c r="IG156" s="553"/>
      <c r="IH156" s="115"/>
      <c r="II156" s="647" t="s">
        <v>4921</v>
      </c>
      <c r="IJ156" s="423" t="s">
        <v>4918</v>
      </c>
      <c r="IK156" s="10">
        <v>0</v>
      </c>
      <c r="IL156" s="749">
        <f t="shared" si="132"/>
        <v>17</v>
      </c>
      <c r="IM156" s="747">
        <f t="shared" si="133"/>
        <v>68</v>
      </c>
      <c r="IN156" s="750" t="str">
        <f t="shared" si="134"/>
        <v>B</v>
      </c>
      <c r="IO156" s="446">
        <v>1</v>
      </c>
      <c r="IP156" s="902">
        <v>3</v>
      </c>
      <c r="IQ156" s="903">
        <v>0</v>
      </c>
      <c r="IR156" s="993">
        <v>0</v>
      </c>
      <c r="IT156" s="435"/>
      <c r="IU156" s="435"/>
      <c r="IV156" s="435"/>
    </row>
    <row r="157" spans="1:256">
      <c r="A157" s="21">
        <v>155</v>
      </c>
      <c r="B157" s="9"/>
      <c r="C157" s="430" t="s">
        <v>241</v>
      </c>
      <c r="D157" s="424" t="s">
        <v>408</v>
      </c>
      <c r="E157" s="24" t="s">
        <v>12</v>
      </c>
      <c r="F157" s="76" t="s">
        <v>889</v>
      </c>
      <c r="G157" s="102" t="s">
        <v>648</v>
      </c>
      <c r="H157" s="375" t="s">
        <v>2463</v>
      </c>
      <c r="I157" s="95" t="s">
        <v>2464</v>
      </c>
      <c r="J157" s="176">
        <v>5</v>
      </c>
      <c r="K157" s="359">
        <v>1895</v>
      </c>
      <c r="L157" s="371">
        <v>2</v>
      </c>
      <c r="M157" s="373" t="s">
        <v>1825</v>
      </c>
      <c r="N157" s="369" t="s">
        <v>1822</v>
      </c>
      <c r="O157" s="365" t="s">
        <v>2461</v>
      </c>
      <c r="P157" s="362" t="s">
        <v>1677</v>
      </c>
      <c r="Q157" s="370">
        <v>2</v>
      </c>
      <c r="R157" s="370">
        <v>2004</v>
      </c>
      <c r="S157" s="372" t="s">
        <v>2062</v>
      </c>
      <c r="T157" s="370">
        <v>1</v>
      </c>
      <c r="U157" s="370">
        <v>2</v>
      </c>
      <c r="V157" s="370">
        <v>10</v>
      </c>
      <c r="W157" s="369" t="s">
        <v>3330</v>
      </c>
      <c r="X157" s="170">
        <v>1</v>
      </c>
      <c r="Y157" s="369">
        <v>1</v>
      </c>
      <c r="Z157" s="273" t="s">
        <v>2041</v>
      </c>
      <c r="AA157" s="169"/>
      <c r="AB157" s="177"/>
      <c r="AC157" s="171"/>
      <c r="AD157" s="366" t="s">
        <v>3331</v>
      </c>
      <c r="AE157" s="357">
        <v>2006</v>
      </c>
      <c r="AF157" s="357">
        <v>2</v>
      </c>
      <c r="AG157" s="550" t="s">
        <v>5171</v>
      </c>
      <c r="AH157" s="355" t="s">
        <v>3014</v>
      </c>
      <c r="AI157" s="55">
        <v>1</v>
      </c>
      <c r="AJ157" s="550">
        <v>0</v>
      </c>
      <c r="AK157" s="590" t="s">
        <v>145</v>
      </c>
      <c r="AL157" s="386">
        <v>9</v>
      </c>
      <c r="AM157" s="361" t="s">
        <v>3332</v>
      </c>
      <c r="AN157" s="384" t="s">
        <v>145</v>
      </c>
      <c r="AO157" s="170">
        <v>0</v>
      </c>
      <c r="AP157" s="369">
        <v>0</v>
      </c>
      <c r="AQ157" s="365" t="s">
        <v>4982</v>
      </c>
      <c r="AR157" s="378" t="s">
        <v>2798</v>
      </c>
      <c r="AS157" s="55">
        <v>2</v>
      </c>
      <c r="AT157" s="370">
        <v>2</v>
      </c>
      <c r="AU157" s="371">
        <v>2008</v>
      </c>
      <c r="AV157" s="370">
        <v>10</v>
      </c>
      <c r="AW157" s="589">
        <v>1300</v>
      </c>
      <c r="AX157" s="687">
        <v>1</v>
      </c>
      <c r="AY157" s="174" t="s">
        <v>2177</v>
      </c>
      <c r="AZ157" s="55">
        <v>2005</v>
      </c>
      <c r="BA157" s="55">
        <v>1</v>
      </c>
      <c r="BB157" s="55">
        <v>1</v>
      </c>
      <c r="BC157" s="174" t="s">
        <v>4433</v>
      </c>
      <c r="BD157" s="55">
        <v>2002</v>
      </c>
      <c r="BE157" s="55">
        <v>1</v>
      </c>
      <c r="BF157" s="367" t="s">
        <v>323</v>
      </c>
      <c r="BG157" s="367">
        <v>0</v>
      </c>
      <c r="BH157" s="56" t="s">
        <v>145</v>
      </c>
      <c r="BI157" s="367">
        <v>3</v>
      </c>
      <c r="BJ157" s="367">
        <v>1</v>
      </c>
      <c r="BK157" s="888">
        <v>8850.9750000000004</v>
      </c>
      <c r="BL157" s="925">
        <f t="shared" si="121"/>
        <v>51.195806111756049</v>
      </c>
      <c r="BM157" s="888">
        <v>4319.6469999999999</v>
      </c>
      <c r="BN157" s="920">
        <v>4531.3280000000004</v>
      </c>
      <c r="BO157" s="888">
        <v>450.85599999999999</v>
      </c>
      <c r="BP157" s="1158">
        <f t="shared" si="135"/>
        <v>48.811593945738771</v>
      </c>
      <c r="BQ157" s="917">
        <v>230.786</v>
      </c>
      <c r="BR157" s="920">
        <v>220.07</v>
      </c>
      <c r="BS157" s="888">
        <v>469.46600000000001</v>
      </c>
      <c r="BT157" s="1158">
        <f t="shared" si="136"/>
        <v>48.841449647045792</v>
      </c>
      <c r="BU157" s="917">
        <v>240.172</v>
      </c>
      <c r="BV157" s="920">
        <v>229.29400000000001</v>
      </c>
      <c r="BW157" s="888">
        <v>522.41499999999996</v>
      </c>
      <c r="BX157" s="1158">
        <f t="shared" si="137"/>
        <v>48.783821291501972</v>
      </c>
      <c r="BY157" s="917">
        <v>267.56099999999998</v>
      </c>
      <c r="BZ157" s="920">
        <v>254.85400000000001</v>
      </c>
      <c r="CA157" s="888">
        <f t="shared" si="138"/>
        <v>7408.2380000000003</v>
      </c>
      <c r="CB157" s="1158">
        <f t="shared" si="139"/>
        <v>51.660192342632641</v>
      </c>
      <c r="CC157" s="917">
        <f t="shared" si="140"/>
        <v>3581.1279999999997</v>
      </c>
      <c r="CD157" s="920">
        <f t="shared" si="141"/>
        <v>3827.110000000001</v>
      </c>
      <c r="CE157" s="914">
        <v>2015</v>
      </c>
      <c r="CF157" s="910" t="s">
        <v>5630</v>
      </c>
      <c r="CG157" s="930">
        <v>98.9</v>
      </c>
      <c r="CH157" s="495">
        <v>99.2</v>
      </c>
      <c r="CI157" s="497">
        <v>98.7</v>
      </c>
      <c r="CJ157" s="904">
        <v>98.6</v>
      </c>
      <c r="CK157" s="904">
        <v>99.3</v>
      </c>
      <c r="CL157" s="904">
        <v>2010</v>
      </c>
      <c r="CM157" s="905" t="s">
        <v>5573</v>
      </c>
      <c r="CN157" s="1044">
        <v>6766.5749999999998</v>
      </c>
      <c r="CO157" s="1045">
        <f t="shared" si="122"/>
        <v>76.45005211290281</v>
      </c>
      <c r="CP157" s="1040">
        <f>IF(OR(CZ157=1,CZ157=10),CN157*(1-BL157/100),IF(DA157=6,CN157*(1-BL157/100),CN157*(1-CB157/100)))</f>
        <v>3302.372382593443</v>
      </c>
      <c r="CQ157" s="1041">
        <f>IF(OR(CZ157=1,CZ157=10),CN157*BL157/100,IF(DA157=6,CN157*BL157/100,CN157*CB157/100))</f>
        <v>3464.2026174065568</v>
      </c>
      <c r="CR157" s="1046">
        <v>2014</v>
      </c>
      <c r="CS157" s="1047" t="s">
        <v>6008</v>
      </c>
      <c r="CT157" s="1068">
        <f t="shared" si="123"/>
        <v>10</v>
      </c>
      <c r="CU157" s="1071">
        <v>18</v>
      </c>
      <c r="CV157" s="1068" t="s">
        <v>6013</v>
      </c>
      <c r="CW157" s="1113">
        <v>6766.5749999999998</v>
      </c>
      <c r="CX157" s="1113">
        <v>5658.4409999999998</v>
      </c>
      <c r="CY157" s="1113">
        <v>7209.7640000000001</v>
      </c>
      <c r="CZ157" s="494">
        <v>1</v>
      </c>
      <c r="DA157" s="1104">
        <v>4</v>
      </c>
      <c r="DB157" s="1050" t="s">
        <v>647</v>
      </c>
      <c r="DC157" s="1146" t="s">
        <v>322</v>
      </c>
      <c r="DD157" s="978">
        <f t="shared" si="148"/>
        <v>657.53310700000031</v>
      </c>
      <c r="DE157" s="979">
        <f t="shared" si="124"/>
        <v>7.4289341795677908</v>
      </c>
      <c r="DF157" s="979">
        <f t="shared" si="149"/>
        <v>56.584560173856623</v>
      </c>
      <c r="DG157" s="980">
        <f t="shared" si="150"/>
        <v>284.6637694065567</v>
      </c>
      <c r="DH157" s="980">
        <f t="shared" si="151"/>
        <v>372.06221659344425</v>
      </c>
      <c r="DI157" s="979">
        <f t="shared" si="125"/>
        <v>6.5899775932282596</v>
      </c>
      <c r="DJ157" s="981">
        <f t="shared" si="126"/>
        <v>8.2108868877610313</v>
      </c>
      <c r="DK157" s="984">
        <f t="shared" si="127"/>
        <v>641.66300000000047</v>
      </c>
      <c r="DL157" s="979">
        <f t="shared" si="152"/>
        <v>56.557317874560944</v>
      </c>
      <c r="DM157" s="980">
        <f t="shared" si="128"/>
        <v>278.75561740655667</v>
      </c>
      <c r="DN157" s="985">
        <f t="shared" si="129"/>
        <v>362.90738259344425</v>
      </c>
      <c r="DO157" s="984">
        <f t="shared" si="130"/>
        <v>10.9106909999999</v>
      </c>
      <c r="DP157" s="979">
        <f t="shared" si="153"/>
        <v>57.685842262420074</v>
      </c>
      <c r="DQ157" s="980">
        <f t="shared" si="142"/>
        <v>4.0618640000000035</v>
      </c>
      <c r="DR157" s="985">
        <f t="shared" si="143"/>
        <v>6.2939240000000058</v>
      </c>
      <c r="DS157" s="984">
        <f t="shared" si="131"/>
        <v>4.9594159999999539</v>
      </c>
      <c r="DT157" s="339">
        <f t="shared" si="154"/>
        <v>57.686429208600956</v>
      </c>
      <c r="DU157" s="980">
        <f t="shared" si="144"/>
        <v>1.8462880000000017</v>
      </c>
      <c r="DV157" s="985">
        <f t="shared" si="145"/>
        <v>2.8609100000000023</v>
      </c>
      <c r="DW157" s="979">
        <f t="shared" si="146"/>
        <v>0.80000000000000071</v>
      </c>
      <c r="DX157" s="981">
        <f t="shared" si="147"/>
        <v>1.3000000000000012</v>
      </c>
      <c r="DY157" s="414">
        <v>0.21</v>
      </c>
      <c r="DZ157" s="111">
        <v>2010</v>
      </c>
      <c r="EA157" s="118">
        <v>15</v>
      </c>
      <c r="EB157" s="123">
        <v>9.1999999999999993</v>
      </c>
      <c r="EC157" s="113">
        <v>2010</v>
      </c>
      <c r="ED157" s="20">
        <v>668.01199999999994</v>
      </c>
      <c r="EE157" s="414">
        <v>9.1</v>
      </c>
      <c r="EF157" s="111">
        <v>2013</v>
      </c>
      <c r="EG157" s="380">
        <v>98.156669616699205</v>
      </c>
      <c r="EH157" s="24" t="s">
        <v>359</v>
      </c>
      <c r="EI157" s="287">
        <v>0</v>
      </c>
      <c r="EJ157" s="40" t="s">
        <v>145</v>
      </c>
      <c r="EK157" s="35" t="s">
        <v>145</v>
      </c>
      <c r="EL157" s="95" t="s">
        <v>145</v>
      </c>
      <c r="EM157" s="95" t="s">
        <v>145</v>
      </c>
      <c r="EN157" s="35" t="s">
        <v>145</v>
      </c>
      <c r="EO157" s="95" t="s">
        <v>145</v>
      </c>
      <c r="EP157" s="205" t="s">
        <v>145</v>
      </c>
      <c r="EQ157" s="207" t="s">
        <v>145</v>
      </c>
      <c r="ER157" s="517" t="s">
        <v>145</v>
      </c>
      <c r="ES157" s="183"/>
      <c r="ET157" s="183"/>
      <c r="EU157" s="82"/>
      <c r="EV157" s="82"/>
      <c r="EW157" s="82"/>
      <c r="EX157" s="90"/>
      <c r="EY157" s="159"/>
      <c r="EZ157" s="156"/>
      <c r="FA157" s="323"/>
      <c r="FB157" s="323"/>
      <c r="FC157" s="323"/>
      <c r="FD157" s="160"/>
      <c r="FE157" s="156"/>
      <c r="FF157" s="156"/>
      <c r="FG157" s="156"/>
      <c r="FH157" s="157"/>
      <c r="FI157" s="242"/>
      <c r="FJ157" s="240"/>
      <c r="FK157" s="179"/>
      <c r="FL157" s="179"/>
      <c r="FM157" s="179"/>
      <c r="FN157" s="369"/>
      <c r="FO157" s="164"/>
      <c r="FP157" s="255"/>
      <c r="FQ157" s="183"/>
      <c r="FR157" s="257"/>
      <c r="FS157" s="82"/>
      <c r="FT157" s="259"/>
      <c r="FU157" s="82"/>
      <c r="FV157" s="259"/>
      <c r="FW157" s="82"/>
      <c r="FX157" s="259"/>
      <c r="FY157" s="82"/>
      <c r="FZ157" s="259"/>
      <c r="GA157" s="82"/>
      <c r="GB157" s="261"/>
      <c r="GC157" s="90"/>
      <c r="GD157" s="76">
        <v>1</v>
      </c>
      <c r="GE157" s="445" t="s">
        <v>3424</v>
      </c>
      <c r="GF157" s="447" t="s">
        <v>10</v>
      </c>
      <c r="GG157" s="448">
        <v>2</v>
      </c>
      <c r="GH157" s="449">
        <v>2</v>
      </c>
      <c r="GI157" s="447" t="s">
        <v>145</v>
      </c>
      <c r="GJ157" s="449" t="s">
        <v>145</v>
      </c>
      <c r="GK157" s="447" t="s">
        <v>145</v>
      </c>
      <c r="GL157" s="448" t="s">
        <v>145</v>
      </c>
      <c r="GM157" s="449" t="s">
        <v>145</v>
      </c>
      <c r="GN157" s="447" t="s">
        <v>590</v>
      </c>
      <c r="GO157" s="449">
        <v>37</v>
      </c>
      <c r="GP157" s="447">
        <v>9</v>
      </c>
      <c r="GQ157" s="448">
        <v>16</v>
      </c>
      <c r="GR157" s="449">
        <v>12</v>
      </c>
      <c r="GS157" s="446">
        <v>8</v>
      </c>
      <c r="GT157" s="461">
        <v>0.28628209233283997</v>
      </c>
      <c r="GU157" s="462">
        <v>-9.5441080629825592E-2</v>
      </c>
      <c r="GV157" s="462">
        <v>-0.10224834084510803</v>
      </c>
      <c r="GW157" s="462">
        <v>-7.4908822774887085E-2</v>
      </c>
      <c r="GX157" s="462">
        <v>-0.342977374792099</v>
      </c>
      <c r="GY157" s="463">
        <v>-0.27401041984558105</v>
      </c>
      <c r="GZ157" s="10">
        <v>69</v>
      </c>
      <c r="HA157" s="536">
        <v>0.54715000000000003</v>
      </c>
      <c r="HB157" s="536">
        <v>0.41176000000000001</v>
      </c>
      <c r="HC157" s="525">
        <v>0.39369999999999999</v>
      </c>
      <c r="HD157" s="526">
        <v>0.46814</v>
      </c>
      <c r="HE157" s="527">
        <v>0.77959999999999996</v>
      </c>
      <c r="HF157" s="10">
        <v>50</v>
      </c>
      <c r="HG157" s="532">
        <v>6.24</v>
      </c>
      <c r="HH157" s="545">
        <v>7.22</v>
      </c>
      <c r="HI157" s="546">
        <v>4.34</v>
      </c>
      <c r="HJ157" s="547">
        <v>8.07</v>
      </c>
      <c r="HK157" s="558" t="s">
        <v>4050</v>
      </c>
      <c r="HL157" s="585" t="s">
        <v>4773</v>
      </c>
      <c r="HM157" s="557">
        <v>2008</v>
      </c>
      <c r="HN157" s="557">
        <v>2008</v>
      </c>
      <c r="HO157" s="557" t="s">
        <v>3985</v>
      </c>
      <c r="HP157" s="562" t="s">
        <v>4120</v>
      </c>
      <c r="HQ157" s="639" t="s">
        <v>4774</v>
      </c>
      <c r="HR157" s="563" t="s">
        <v>4012</v>
      </c>
      <c r="HS157" s="545">
        <v>1</v>
      </c>
      <c r="HT157" s="557">
        <v>135</v>
      </c>
      <c r="HU157" s="557">
        <v>2003</v>
      </c>
      <c r="HV157" s="583" t="s">
        <v>4240</v>
      </c>
      <c r="HW157" s="557">
        <v>5</v>
      </c>
      <c r="HX157" s="557">
        <v>30</v>
      </c>
      <c r="HY157" s="557">
        <v>22</v>
      </c>
      <c r="HZ157" s="557">
        <v>26</v>
      </c>
      <c r="IA157" s="557">
        <v>29</v>
      </c>
      <c r="IB157" s="557">
        <v>7</v>
      </c>
      <c r="IC157" s="547">
        <v>16</v>
      </c>
      <c r="ID157" s="660"/>
      <c r="IE157" s="550"/>
      <c r="IF157" s="550"/>
      <c r="IG157" s="553"/>
      <c r="IH157" s="339"/>
      <c r="II157" s="553" t="s">
        <v>4922</v>
      </c>
      <c r="IJ157" s="424" t="s">
        <v>4926</v>
      </c>
      <c r="IK157" s="24">
        <v>0</v>
      </c>
      <c r="IL157" s="749">
        <f t="shared" si="132"/>
        <v>20</v>
      </c>
      <c r="IM157" s="747">
        <f t="shared" si="133"/>
        <v>80</v>
      </c>
      <c r="IN157" s="750" t="str">
        <f t="shared" si="134"/>
        <v>A</v>
      </c>
      <c r="IO157" s="446"/>
      <c r="IP157" s="902">
        <v>1</v>
      </c>
      <c r="IQ157" s="903">
        <v>0</v>
      </c>
      <c r="IR157" s="993">
        <v>0</v>
      </c>
      <c r="IT157" s="435"/>
      <c r="IU157" s="435"/>
      <c r="IV157" s="435"/>
    </row>
    <row r="158" spans="1:256">
      <c r="A158" s="21">
        <v>156</v>
      </c>
      <c r="B158" s="9"/>
      <c r="C158" s="430" t="s">
        <v>242</v>
      </c>
      <c r="D158" s="423" t="s">
        <v>406</v>
      </c>
      <c r="E158" s="24" t="s">
        <v>12</v>
      </c>
      <c r="F158" s="76" t="s">
        <v>890</v>
      </c>
      <c r="G158" s="102" t="s">
        <v>604</v>
      </c>
      <c r="H158" s="251" t="s">
        <v>2460</v>
      </c>
      <c r="I158" s="95" t="s">
        <v>2462</v>
      </c>
      <c r="J158" s="370">
        <v>2</v>
      </c>
      <c r="K158" s="359">
        <v>1794</v>
      </c>
      <c r="L158" s="371">
        <v>2</v>
      </c>
      <c r="M158" s="373" t="s">
        <v>1825</v>
      </c>
      <c r="N158" s="369" t="s">
        <v>1822</v>
      </c>
      <c r="O158" s="365" t="s">
        <v>3333</v>
      </c>
      <c r="P158" s="362" t="s">
        <v>3334</v>
      </c>
      <c r="Q158" s="370">
        <v>2</v>
      </c>
      <c r="R158" s="370">
        <v>1995</v>
      </c>
      <c r="S158" s="372" t="s">
        <v>1961</v>
      </c>
      <c r="T158" s="370">
        <v>2</v>
      </c>
      <c r="U158" s="370">
        <v>2</v>
      </c>
      <c r="V158" s="370">
        <v>0</v>
      </c>
      <c r="W158" s="369" t="s">
        <v>3335</v>
      </c>
      <c r="X158" s="170">
        <v>0</v>
      </c>
      <c r="Y158" s="369">
        <v>0</v>
      </c>
      <c r="Z158" s="271"/>
      <c r="AA158" s="169">
        <v>1</v>
      </c>
      <c r="AB158" s="177">
        <v>1</v>
      </c>
      <c r="AC158" s="171"/>
      <c r="AD158" s="366" t="s">
        <v>1592</v>
      </c>
      <c r="AE158" s="357">
        <v>2012</v>
      </c>
      <c r="AF158" s="357">
        <v>2</v>
      </c>
      <c r="AG158" s="550" t="s">
        <v>5171</v>
      </c>
      <c r="AH158" s="355" t="s">
        <v>2748</v>
      </c>
      <c r="AI158" s="550">
        <v>0</v>
      </c>
      <c r="AJ158" s="550">
        <v>1</v>
      </c>
      <c r="AK158" s="590" t="s">
        <v>145</v>
      </c>
      <c r="AL158" s="391">
        <v>9</v>
      </c>
      <c r="AM158" s="361" t="s">
        <v>3336</v>
      </c>
      <c r="AN158" s="384" t="s">
        <v>145</v>
      </c>
      <c r="AO158" s="170">
        <v>0</v>
      </c>
      <c r="AP158" s="369">
        <v>0</v>
      </c>
      <c r="AQ158" s="365" t="s">
        <v>5383</v>
      </c>
      <c r="AR158" s="362" t="s">
        <v>5381</v>
      </c>
      <c r="AS158" s="55">
        <v>1</v>
      </c>
      <c r="AT158" s="370">
        <v>5</v>
      </c>
      <c r="AU158" s="371">
        <v>2012</v>
      </c>
      <c r="AV158" s="370">
        <v>5</v>
      </c>
      <c r="AW158" s="589" t="s">
        <v>145</v>
      </c>
      <c r="AX158" s="687">
        <v>0</v>
      </c>
      <c r="AY158" s="174" t="s">
        <v>4278</v>
      </c>
      <c r="AZ158" s="55">
        <v>1994</v>
      </c>
      <c r="BA158" s="55">
        <v>1</v>
      </c>
      <c r="BB158" s="55">
        <v>1</v>
      </c>
      <c r="BC158" s="174" t="s">
        <v>4434</v>
      </c>
      <c r="BD158" s="55">
        <v>2010</v>
      </c>
      <c r="BE158" s="55">
        <v>0</v>
      </c>
      <c r="BF158" s="367" t="s">
        <v>145</v>
      </c>
      <c r="BG158" s="371">
        <v>0</v>
      </c>
      <c r="BH158" s="56" t="s">
        <v>145</v>
      </c>
      <c r="BI158" s="371">
        <v>2</v>
      </c>
      <c r="BJ158" s="371">
        <v>0</v>
      </c>
      <c r="BK158" s="888">
        <v>96.471000000000004</v>
      </c>
      <c r="BL158" s="925">
        <f t="shared" si="121"/>
        <v>49.346435716432914</v>
      </c>
      <c r="BM158" s="888">
        <v>48.866</v>
      </c>
      <c r="BN158" s="920">
        <v>47.604999999999997</v>
      </c>
      <c r="BO158" s="888">
        <v>8.3789999999999996</v>
      </c>
      <c r="BP158" s="1158">
        <f t="shared" si="135"/>
        <v>48.764769065520952</v>
      </c>
      <c r="BQ158" s="917">
        <v>4.2930000000000001</v>
      </c>
      <c r="BR158" s="920">
        <v>4.0860000000000003</v>
      </c>
      <c r="BS158" s="888">
        <v>7.6989999999999998</v>
      </c>
      <c r="BT158" s="1158">
        <f t="shared" si="136"/>
        <v>48.928432263930382</v>
      </c>
      <c r="BU158" s="917">
        <v>3.9319999999999999</v>
      </c>
      <c r="BV158" s="920">
        <v>3.7669999999999999</v>
      </c>
      <c r="BW158" s="888">
        <v>6.54</v>
      </c>
      <c r="BX158" s="1158">
        <f t="shared" si="137"/>
        <v>49.097859327217122</v>
      </c>
      <c r="BY158" s="917">
        <v>3.3290000000000002</v>
      </c>
      <c r="BZ158" s="920">
        <v>3.2109999999999999</v>
      </c>
      <c r="CA158" s="888">
        <f t="shared" si="138"/>
        <v>73.852999999999994</v>
      </c>
      <c r="CB158" s="1158">
        <f t="shared" si="139"/>
        <v>49.47801714216078</v>
      </c>
      <c r="CC158" s="917">
        <f t="shared" si="140"/>
        <v>37.311999999999998</v>
      </c>
      <c r="CD158" s="920">
        <f t="shared" si="141"/>
        <v>36.540999999999997</v>
      </c>
      <c r="CE158" s="914">
        <v>2015</v>
      </c>
      <c r="CF158" s="910" t="s">
        <v>5630</v>
      </c>
      <c r="CG158" s="931">
        <v>90</v>
      </c>
      <c r="CH158" s="504">
        <v>90</v>
      </c>
      <c r="CI158" s="1008">
        <v>90</v>
      </c>
      <c r="CJ158" s="904" t="s">
        <v>1621</v>
      </c>
      <c r="CK158" s="904" t="s">
        <v>1621</v>
      </c>
      <c r="CL158" s="906">
        <v>2013</v>
      </c>
      <c r="CM158" s="1002" t="s">
        <v>5695</v>
      </c>
      <c r="CN158" s="1113">
        <v>70.942999999999998</v>
      </c>
      <c r="CO158" s="1045">
        <f t="shared" si="122"/>
        <v>73.538161727358471</v>
      </c>
      <c r="CP158" s="1040">
        <f>IF(OR(CZ158=1,CZ158=10),CN158*(1-BL158/100),IF(DA158=6,CN158*(1-BL158/100),CN158*(1-CB158/100)))</f>
        <v>35.935158109690995</v>
      </c>
      <c r="CQ158" s="1041">
        <f>IF(OR(CZ158=1,CZ158=10),CN158*BL158/100,IF(DA158=6,CN158*BL158/100,CN158*CB158/100))</f>
        <v>35.007841890309003</v>
      </c>
      <c r="CR158" s="1046">
        <v>2015</v>
      </c>
      <c r="CS158" s="1047" t="s">
        <v>6109</v>
      </c>
      <c r="CT158" s="1068">
        <f t="shared" si="123"/>
        <v>0</v>
      </c>
      <c r="CU158" s="1071">
        <v>18</v>
      </c>
      <c r="CV158" s="1068" t="s">
        <v>6014</v>
      </c>
      <c r="CW158" s="1113">
        <v>70.942999999999998</v>
      </c>
      <c r="CX158" s="1113">
        <v>69.903999999999996</v>
      </c>
      <c r="CY158" s="1113">
        <v>92.43</v>
      </c>
      <c r="CZ158" s="494">
        <v>1</v>
      </c>
      <c r="DA158" s="1104">
        <v>5</v>
      </c>
      <c r="DB158" s="1050" t="s">
        <v>647</v>
      </c>
      <c r="DC158" s="1146" t="s">
        <v>322</v>
      </c>
      <c r="DD158" s="978">
        <f t="shared" si="148"/>
        <v>5.1717999999999957</v>
      </c>
      <c r="DE158" s="979">
        <f t="shared" si="124"/>
        <v>5.3609893128504895</v>
      </c>
      <c r="DF158" s="979">
        <f t="shared" si="149"/>
        <v>51.037513238930273</v>
      </c>
      <c r="DG158" s="980">
        <f t="shared" si="150"/>
        <v>2.532241890309002</v>
      </c>
      <c r="DH158" s="980">
        <f t="shared" si="151"/>
        <v>2.6395581096909941</v>
      </c>
      <c r="DI158" s="979">
        <f t="shared" si="125"/>
        <v>5.1820118084332707</v>
      </c>
      <c r="DJ158" s="981">
        <f t="shared" si="126"/>
        <v>5.5447077191282306</v>
      </c>
      <c r="DK158" s="984">
        <f t="shared" si="127"/>
        <v>2.9099999999999966</v>
      </c>
      <c r="DL158" s="979">
        <f t="shared" si="152"/>
        <v>52.685845693848663</v>
      </c>
      <c r="DM158" s="980">
        <f t="shared" si="128"/>
        <v>1.3768418903090023</v>
      </c>
      <c r="DN158" s="985">
        <f t="shared" si="129"/>
        <v>1.5331581096909943</v>
      </c>
      <c r="DO158" s="984">
        <f t="shared" si="130"/>
        <v>1.4238999999999997</v>
      </c>
      <c r="DP158" s="979">
        <f t="shared" si="153"/>
        <v>49.006250438935318</v>
      </c>
      <c r="DQ158" s="980">
        <f t="shared" si="142"/>
        <v>0.72609999999999975</v>
      </c>
      <c r="DR158" s="985">
        <f t="shared" si="143"/>
        <v>0.69779999999999986</v>
      </c>
      <c r="DS158" s="984">
        <f t="shared" si="131"/>
        <v>0.83789999999999976</v>
      </c>
      <c r="DT158" s="339">
        <f t="shared" si="154"/>
        <v>48.764769065520959</v>
      </c>
      <c r="DU158" s="980">
        <f t="shared" si="144"/>
        <v>0.4292999999999999</v>
      </c>
      <c r="DV158" s="985">
        <f t="shared" si="145"/>
        <v>0.40859999999999996</v>
      </c>
      <c r="DW158" s="979">
        <f t="shared" si="146"/>
        <v>9.9999999999999982</v>
      </c>
      <c r="DX158" s="981">
        <f t="shared" si="147"/>
        <v>9.9999999999999982</v>
      </c>
      <c r="DY158" s="414">
        <v>0.25</v>
      </c>
      <c r="DZ158" s="111">
        <v>2007</v>
      </c>
      <c r="EA158" s="118" t="e">
        <f>#REF!*DY158/100</f>
        <v>#REF!</v>
      </c>
      <c r="EB158" s="123" t="s">
        <v>145</v>
      </c>
      <c r="EC158" s="113" t="s">
        <v>145</v>
      </c>
      <c r="ED158" s="20"/>
      <c r="EE158" s="414" t="s">
        <v>145</v>
      </c>
      <c r="EF158" s="111" t="s">
        <v>145</v>
      </c>
      <c r="EG158" s="380">
        <v>91.836463928222699</v>
      </c>
      <c r="EH158" s="24" t="s">
        <v>335</v>
      </c>
      <c r="EI158" s="287">
        <v>0</v>
      </c>
      <c r="EJ158" s="40" t="s">
        <v>145</v>
      </c>
      <c r="EK158" s="35" t="s">
        <v>145</v>
      </c>
      <c r="EL158" s="95" t="s">
        <v>145</v>
      </c>
      <c r="EM158" s="95" t="s">
        <v>145</v>
      </c>
      <c r="EN158" s="35" t="s">
        <v>145</v>
      </c>
      <c r="EO158" s="95" t="s">
        <v>145</v>
      </c>
      <c r="EP158" s="205" t="s">
        <v>145</v>
      </c>
      <c r="EQ158" s="207" t="s">
        <v>145</v>
      </c>
      <c r="ER158" s="517" t="s">
        <v>145</v>
      </c>
      <c r="ES158" s="183"/>
      <c r="ET158" s="183"/>
      <c r="EU158" s="82"/>
      <c r="EV158" s="82"/>
      <c r="EW158" s="82"/>
      <c r="EX158" s="90"/>
      <c r="EY158" s="159"/>
      <c r="EZ158" s="156"/>
      <c r="FA158" s="323"/>
      <c r="FB158" s="323"/>
      <c r="FC158" s="323"/>
      <c r="FD158" s="160"/>
      <c r="FE158" s="156"/>
      <c r="FF158" s="156"/>
      <c r="FG158" s="156"/>
      <c r="FH158" s="157"/>
      <c r="FI158" s="242"/>
      <c r="FJ158" s="373"/>
      <c r="FK158" s="179"/>
      <c r="FL158" s="179"/>
      <c r="FM158" s="179"/>
      <c r="FN158" s="369"/>
      <c r="FO158" s="164"/>
      <c r="FP158" s="255"/>
      <c r="FQ158" s="183"/>
      <c r="FR158" s="257"/>
      <c r="FS158" s="82"/>
      <c r="FT158" s="259"/>
      <c r="FU158" s="82"/>
      <c r="FV158" s="259"/>
      <c r="FW158" s="82"/>
      <c r="FX158" s="259"/>
      <c r="FY158" s="82"/>
      <c r="FZ158" s="259"/>
      <c r="GA158" s="82"/>
      <c r="GB158" s="261"/>
      <c r="GC158" s="90"/>
      <c r="GD158" s="76">
        <v>1</v>
      </c>
      <c r="GE158" s="445" t="s">
        <v>3431</v>
      </c>
      <c r="GF158" s="447" t="s">
        <v>590</v>
      </c>
      <c r="GG158" s="448">
        <v>3</v>
      </c>
      <c r="GH158" s="449">
        <v>3</v>
      </c>
      <c r="GI158" s="447" t="s">
        <v>145</v>
      </c>
      <c r="GJ158" s="449" t="s">
        <v>145</v>
      </c>
      <c r="GK158" s="447" t="s">
        <v>145</v>
      </c>
      <c r="GL158" s="448" t="s">
        <v>145</v>
      </c>
      <c r="GM158" s="449" t="s">
        <v>145</v>
      </c>
      <c r="GN158" s="447" t="s">
        <v>590</v>
      </c>
      <c r="GO158" s="449">
        <v>52</v>
      </c>
      <c r="GP158" s="447">
        <v>16</v>
      </c>
      <c r="GQ158" s="448">
        <v>19</v>
      </c>
      <c r="GR158" s="449">
        <v>17</v>
      </c>
      <c r="GS158" s="446"/>
      <c r="GT158" s="461">
        <v>5.7323602959513664E-3</v>
      </c>
      <c r="GU158" s="462">
        <v>0.86937069892883301</v>
      </c>
      <c r="GV158" s="462">
        <v>0.28202110528945923</v>
      </c>
      <c r="GW158" s="462">
        <v>-0.29335296154022217</v>
      </c>
      <c r="GX158" s="462">
        <v>4.2723555117845535E-2</v>
      </c>
      <c r="GY158" s="463">
        <v>0.38587310910224915</v>
      </c>
      <c r="GZ158" s="10">
        <v>81</v>
      </c>
      <c r="HA158" s="536">
        <v>0.51126000000000005</v>
      </c>
      <c r="HB158" s="536">
        <v>0.25490000000000002</v>
      </c>
      <c r="HC158" s="525">
        <v>0.33069999999999999</v>
      </c>
      <c r="HD158" s="526">
        <v>0.47205999999999998</v>
      </c>
      <c r="HE158" s="527">
        <v>0.73099999999999998</v>
      </c>
      <c r="HF158" s="10">
        <v>75</v>
      </c>
      <c r="HG158" s="532">
        <v>4.97</v>
      </c>
      <c r="HH158" s="545">
        <v>6.46</v>
      </c>
      <c r="HI158" s="546">
        <v>2.74</v>
      </c>
      <c r="HJ158" s="547">
        <v>6.44</v>
      </c>
      <c r="HK158" s="379" t="s">
        <v>3991</v>
      </c>
      <c r="HL158" s="23" t="s">
        <v>4775</v>
      </c>
      <c r="HM158" s="696">
        <v>2003</v>
      </c>
      <c r="HN158" s="557">
        <v>2003</v>
      </c>
      <c r="HO158" s="557" t="s">
        <v>3985</v>
      </c>
      <c r="HP158" s="562" t="s">
        <v>145</v>
      </c>
      <c r="HQ158" s="562" t="s">
        <v>145</v>
      </c>
      <c r="HR158" s="563" t="s">
        <v>145</v>
      </c>
      <c r="HS158" s="545" t="s">
        <v>145</v>
      </c>
      <c r="HT158" s="557" t="s">
        <v>145</v>
      </c>
      <c r="HU158" s="557" t="s">
        <v>145</v>
      </c>
      <c r="HV158" s="581" t="s">
        <v>145</v>
      </c>
      <c r="HW158" s="557" t="s">
        <v>145</v>
      </c>
      <c r="HX158" s="557" t="s">
        <v>145</v>
      </c>
      <c r="HY158" s="557" t="s">
        <v>145</v>
      </c>
      <c r="HZ158" s="557" t="s">
        <v>145</v>
      </c>
      <c r="IA158" s="557" t="s">
        <v>145</v>
      </c>
      <c r="IB158" s="557" t="s">
        <v>145</v>
      </c>
      <c r="IC158" s="547" t="s">
        <v>145</v>
      </c>
      <c r="ID158" s="40"/>
      <c r="IE158" s="550"/>
      <c r="IF158" s="550"/>
      <c r="IG158" s="553"/>
      <c r="IH158" s="115"/>
      <c r="II158" s="647" t="s">
        <v>4922</v>
      </c>
      <c r="IJ158" s="423" t="s">
        <v>4926</v>
      </c>
      <c r="IK158" s="10">
        <v>1</v>
      </c>
      <c r="IL158" s="749">
        <f t="shared" si="132"/>
        <v>17</v>
      </c>
      <c r="IM158" s="747">
        <f t="shared" si="133"/>
        <v>68</v>
      </c>
      <c r="IN158" s="750" t="str">
        <f t="shared" si="134"/>
        <v>B</v>
      </c>
      <c r="IO158" s="446">
        <v>1</v>
      </c>
      <c r="IP158" s="902">
        <v>2</v>
      </c>
      <c r="IQ158" s="903">
        <v>0</v>
      </c>
      <c r="IR158" s="993">
        <v>0</v>
      </c>
      <c r="IT158" s="435"/>
      <c r="IU158" s="435"/>
      <c r="IV158" s="435"/>
    </row>
    <row r="159" spans="1:256">
      <c r="A159" s="71">
        <v>157</v>
      </c>
      <c r="B159" s="9"/>
      <c r="C159" s="430" t="s">
        <v>243</v>
      </c>
      <c r="D159" s="423" t="s">
        <v>406</v>
      </c>
      <c r="E159" s="24" t="s">
        <v>9</v>
      </c>
      <c r="F159" s="76" t="s">
        <v>891</v>
      </c>
      <c r="G159" s="102" t="s">
        <v>610</v>
      </c>
      <c r="H159" s="375" t="s">
        <v>2466</v>
      </c>
      <c r="I159" s="364" t="s">
        <v>2465</v>
      </c>
      <c r="J159" s="370">
        <v>3</v>
      </c>
      <c r="K159" s="359">
        <v>1867</v>
      </c>
      <c r="L159" s="371">
        <v>2</v>
      </c>
      <c r="M159" s="373" t="s">
        <v>1825</v>
      </c>
      <c r="N159" s="369" t="s">
        <v>1822</v>
      </c>
      <c r="O159" s="365" t="s">
        <v>3391</v>
      </c>
      <c r="P159" s="362" t="s">
        <v>3002</v>
      </c>
      <c r="Q159" s="370">
        <v>2</v>
      </c>
      <c r="R159" s="370">
        <v>2001</v>
      </c>
      <c r="S159" s="372" t="s">
        <v>1961</v>
      </c>
      <c r="T159" s="370">
        <v>2</v>
      </c>
      <c r="U159" s="370">
        <v>2</v>
      </c>
      <c r="V159" s="370">
        <v>0</v>
      </c>
      <c r="W159" s="369" t="s">
        <v>1822</v>
      </c>
      <c r="X159" s="170">
        <v>0</v>
      </c>
      <c r="Y159" s="369">
        <v>0</v>
      </c>
      <c r="Z159" s="271"/>
      <c r="AA159" s="169"/>
      <c r="AB159" s="177">
        <v>1</v>
      </c>
      <c r="AC159" s="171"/>
      <c r="AD159" s="366" t="s">
        <v>3393</v>
      </c>
      <c r="AE159" s="355">
        <v>2016</v>
      </c>
      <c r="AF159" s="357">
        <v>2</v>
      </c>
      <c r="AG159" s="550" t="s">
        <v>5171</v>
      </c>
      <c r="AH159" s="355" t="s">
        <v>3122</v>
      </c>
      <c r="AI159" s="550">
        <v>0</v>
      </c>
      <c r="AJ159" s="550">
        <v>0</v>
      </c>
      <c r="AK159" s="589">
        <v>2760</v>
      </c>
      <c r="AL159" s="386">
        <v>10</v>
      </c>
      <c r="AM159" s="361" t="s">
        <v>3392</v>
      </c>
      <c r="AN159" s="384" t="s">
        <v>145</v>
      </c>
      <c r="AO159" s="170">
        <v>0</v>
      </c>
      <c r="AP159" s="369">
        <v>0</v>
      </c>
      <c r="AQ159" s="365" t="s">
        <v>5330</v>
      </c>
      <c r="AR159" s="362" t="s">
        <v>4934</v>
      </c>
      <c r="AS159" s="55">
        <v>1</v>
      </c>
      <c r="AT159" s="370">
        <v>3</v>
      </c>
      <c r="AU159" s="371">
        <v>2002</v>
      </c>
      <c r="AV159" s="370">
        <v>5</v>
      </c>
      <c r="AW159" s="589" t="s">
        <v>145</v>
      </c>
      <c r="AX159" s="687">
        <v>0</v>
      </c>
      <c r="AY159" s="174" t="s">
        <v>4279</v>
      </c>
      <c r="AZ159" s="55">
        <v>2008</v>
      </c>
      <c r="BA159" s="55">
        <v>1</v>
      </c>
      <c r="BB159" s="55">
        <v>1</v>
      </c>
      <c r="BC159" s="174" t="s">
        <v>4435</v>
      </c>
      <c r="BD159" s="55">
        <v>2009</v>
      </c>
      <c r="BE159" s="55">
        <v>0</v>
      </c>
      <c r="BF159" s="371" t="s">
        <v>145</v>
      </c>
      <c r="BG159" s="371">
        <v>0</v>
      </c>
      <c r="BH159" s="56" t="s">
        <v>145</v>
      </c>
      <c r="BI159" s="371">
        <v>2</v>
      </c>
      <c r="BJ159" s="371">
        <v>1</v>
      </c>
      <c r="BK159" s="888">
        <v>6453.1840000000002</v>
      </c>
      <c r="BL159" s="925">
        <f t="shared" si="121"/>
        <v>50.516845637750293</v>
      </c>
      <c r="BM159" s="888">
        <v>3193.239</v>
      </c>
      <c r="BN159" s="920">
        <v>3259.9450000000002</v>
      </c>
      <c r="BO159" s="888">
        <v>1004.248</v>
      </c>
      <c r="BP159" s="1158">
        <f t="shared" si="135"/>
        <v>49.884490683576168</v>
      </c>
      <c r="BQ159" s="917">
        <v>503.28399999999999</v>
      </c>
      <c r="BR159" s="920">
        <v>500.964</v>
      </c>
      <c r="BS159" s="888">
        <v>921.10900000000004</v>
      </c>
      <c r="BT159" s="1158">
        <f t="shared" si="136"/>
        <v>50.105904947188648</v>
      </c>
      <c r="BU159" s="917">
        <v>459.57900000000001</v>
      </c>
      <c r="BV159" s="920">
        <v>461.53</v>
      </c>
      <c r="BW159" s="888">
        <v>808.40099999999995</v>
      </c>
      <c r="BX159" s="1158">
        <f t="shared" si="137"/>
        <v>50.228537569844669</v>
      </c>
      <c r="BY159" s="917">
        <v>402.35300000000001</v>
      </c>
      <c r="BZ159" s="920">
        <v>406.048</v>
      </c>
      <c r="CA159" s="888">
        <f t="shared" si="138"/>
        <v>3719.4259999999995</v>
      </c>
      <c r="CB159" s="1158">
        <f t="shared" si="139"/>
        <v>50.852013186981004</v>
      </c>
      <c r="CC159" s="917">
        <f t="shared" si="140"/>
        <v>1828.0229999999997</v>
      </c>
      <c r="CD159" s="920">
        <f t="shared" si="141"/>
        <v>1891.403</v>
      </c>
      <c r="CE159" s="914">
        <v>2015</v>
      </c>
      <c r="CF159" s="910" t="s">
        <v>5630</v>
      </c>
      <c r="CG159" s="930">
        <v>78</v>
      </c>
      <c r="CH159" s="495">
        <v>77.7</v>
      </c>
      <c r="CI159" s="497">
        <v>78.3</v>
      </c>
      <c r="CJ159" s="904">
        <v>77.599999999999994</v>
      </c>
      <c r="CK159" s="904">
        <v>78.2</v>
      </c>
      <c r="CL159" s="904">
        <v>2010</v>
      </c>
      <c r="CM159" s="905" t="s">
        <v>5573</v>
      </c>
      <c r="CN159" s="1044">
        <v>2701.299</v>
      </c>
      <c r="CO159" s="1045">
        <f t="shared" si="122"/>
        <v>41.859940767224366</v>
      </c>
      <c r="CP159" s="1040">
        <f>IF(OR(CZ159=1,CZ159=10),CN159*(1-BL159/100),IF(DA159=6,CN159*(1-BL159/100),CN159*(1-CB159/100)))</f>
        <v>1336.6879539559077</v>
      </c>
      <c r="CQ159" s="1041">
        <f>IF(OR(CZ159=1,CZ159=10),CN159*BL159/100,IF(DA159=6,CN159*BL159/100,CN159*CB159/100))</f>
        <v>1364.6110460440923</v>
      </c>
      <c r="CR159" s="1046">
        <v>2012</v>
      </c>
      <c r="CS159" s="1047" t="s">
        <v>6015</v>
      </c>
      <c r="CT159" s="1068">
        <f t="shared" si="123"/>
        <v>0</v>
      </c>
      <c r="CU159" s="1071">
        <v>18</v>
      </c>
      <c r="CV159" s="1068" t="s">
        <v>6019</v>
      </c>
      <c r="CW159" s="1113">
        <v>2701.299</v>
      </c>
      <c r="CX159" s="1113">
        <v>2786.886</v>
      </c>
      <c r="CY159" s="1113">
        <v>5485.9979999999996</v>
      </c>
      <c r="CZ159" s="494">
        <v>1</v>
      </c>
      <c r="DA159" s="1104">
        <v>4</v>
      </c>
      <c r="DB159" s="1050" t="s">
        <v>647</v>
      </c>
      <c r="DC159" s="1143" t="s">
        <v>320</v>
      </c>
      <c r="DD159" s="978">
        <f t="shared" si="148"/>
        <v>1619.5537599999993</v>
      </c>
      <c r="DE159" s="979">
        <f t="shared" si="124"/>
        <v>25.096971665460018</v>
      </c>
      <c r="DF159" s="979">
        <f t="shared" si="149"/>
        <v>50.863737178808321</v>
      </c>
      <c r="DG159" s="980">
        <f t="shared" si="150"/>
        <v>795.77821404409201</v>
      </c>
      <c r="DH159" s="980">
        <f t="shared" si="151"/>
        <v>823.76556795590784</v>
      </c>
      <c r="DI159" s="979">
        <f t="shared" si="125"/>
        <v>24.92072200183237</v>
      </c>
      <c r="DJ159" s="981">
        <f t="shared" si="126"/>
        <v>25.269308775329268</v>
      </c>
      <c r="DK159" s="984">
        <f t="shared" si="127"/>
        <v>1018.1269999999995</v>
      </c>
      <c r="DL159" s="979">
        <f t="shared" si="152"/>
        <v>51.741281191433686</v>
      </c>
      <c r="DM159" s="980">
        <f t="shared" si="128"/>
        <v>491.335046044092</v>
      </c>
      <c r="DN159" s="985">
        <f t="shared" si="129"/>
        <v>526.79195395590773</v>
      </c>
      <c r="DO159" s="984">
        <f t="shared" si="130"/>
        <v>380.49219999999991</v>
      </c>
      <c r="DP159" s="979">
        <f t="shared" si="153"/>
        <v>49.479181439199053</v>
      </c>
      <c r="DQ159" s="980">
        <f t="shared" si="142"/>
        <v>192.21083599999997</v>
      </c>
      <c r="DR159" s="985">
        <f t="shared" si="143"/>
        <v>188.26442600000007</v>
      </c>
      <c r="DS159" s="984">
        <f t="shared" si="131"/>
        <v>220.93455999999998</v>
      </c>
      <c r="DT159" s="339">
        <f t="shared" si="154"/>
        <v>49.204247628800154</v>
      </c>
      <c r="DU159" s="980">
        <f t="shared" si="144"/>
        <v>112.23233199999999</v>
      </c>
      <c r="DV159" s="985">
        <f t="shared" si="145"/>
        <v>108.70918800000004</v>
      </c>
      <c r="DW159" s="979">
        <f t="shared" si="146"/>
        <v>22.299999999999997</v>
      </c>
      <c r="DX159" s="981">
        <f t="shared" si="147"/>
        <v>21.70000000000001</v>
      </c>
      <c r="DY159" s="414">
        <v>51.71</v>
      </c>
      <c r="DZ159" s="111">
        <v>2011</v>
      </c>
      <c r="EA159" s="118">
        <v>3202.6575240000002</v>
      </c>
      <c r="EB159" s="123">
        <v>66.400000000000006</v>
      </c>
      <c r="EC159" s="113">
        <v>2003</v>
      </c>
      <c r="ED159" s="20">
        <v>3982.3307040000004</v>
      </c>
      <c r="EE159" s="414">
        <v>70.2</v>
      </c>
      <c r="EF159" s="121">
        <v>2004</v>
      </c>
      <c r="EG159" s="380">
        <v>44.464729309082003</v>
      </c>
      <c r="EH159" s="24" t="s">
        <v>335</v>
      </c>
      <c r="EI159" s="288">
        <v>1</v>
      </c>
      <c r="EJ159" s="40">
        <v>3</v>
      </c>
      <c r="EK159" s="35" t="s">
        <v>728</v>
      </c>
      <c r="EL159" s="95" t="s">
        <v>145</v>
      </c>
      <c r="EM159" s="95" t="s">
        <v>145</v>
      </c>
      <c r="EN159" s="35" t="s">
        <v>145</v>
      </c>
      <c r="EO159" s="95" t="s">
        <v>1646</v>
      </c>
      <c r="EP159" s="205">
        <v>0.51</v>
      </c>
      <c r="EQ159" s="207" t="s">
        <v>145</v>
      </c>
      <c r="ER159" s="517">
        <v>1</v>
      </c>
      <c r="ES159" s="183" t="s">
        <v>145</v>
      </c>
      <c r="ET159" s="183" t="s">
        <v>3769</v>
      </c>
      <c r="EU159" s="82" t="s">
        <v>145</v>
      </c>
      <c r="EV159" s="82" t="s">
        <v>145</v>
      </c>
      <c r="EW159" s="82" t="s">
        <v>145</v>
      </c>
      <c r="EX159" s="360" t="s">
        <v>145</v>
      </c>
      <c r="EY159" s="159"/>
      <c r="EZ159" s="156"/>
      <c r="FA159" s="323"/>
      <c r="FB159" s="323"/>
      <c r="FC159" s="323"/>
      <c r="FD159" s="160"/>
      <c r="FE159" s="156"/>
      <c r="FF159" s="156"/>
      <c r="FG159" s="156"/>
      <c r="FH159" s="157"/>
      <c r="FI159" s="242"/>
      <c r="FJ159" s="373"/>
      <c r="FK159" s="179"/>
      <c r="FL159" s="179"/>
      <c r="FM159" s="179"/>
      <c r="FN159" s="369"/>
      <c r="FO159" s="164"/>
      <c r="FP159" s="255"/>
      <c r="FQ159" s="183"/>
      <c r="FR159" s="257">
        <v>1</v>
      </c>
      <c r="FS159" s="82" t="s">
        <v>1702</v>
      </c>
      <c r="FT159" s="259"/>
      <c r="FU159" s="82"/>
      <c r="FV159" s="259"/>
      <c r="FW159" s="82"/>
      <c r="FX159" s="259"/>
      <c r="FY159" s="82"/>
      <c r="FZ159" s="259"/>
      <c r="GA159" s="82"/>
      <c r="GB159" s="261"/>
      <c r="GC159" s="90"/>
      <c r="GD159" s="76">
        <v>2</v>
      </c>
      <c r="GE159" s="445" t="s">
        <v>3433</v>
      </c>
      <c r="GF159" s="447" t="s">
        <v>590</v>
      </c>
      <c r="GG159" s="448">
        <v>3</v>
      </c>
      <c r="GH159" s="449">
        <v>3</v>
      </c>
      <c r="GI159" s="447" t="s">
        <v>145</v>
      </c>
      <c r="GJ159" s="449" t="s">
        <v>145</v>
      </c>
      <c r="GK159" s="447" t="s">
        <v>145</v>
      </c>
      <c r="GL159" s="448" t="s">
        <v>145</v>
      </c>
      <c r="GM159" s="449" t="s">
        <v>145</v>
      </c>
      <c r="GN159" s="447" t="s">
        <v>590</v>
      </c>
      <c r="GO159" s="449">
        <v>49</v>
      </c>
      <c r="GP159" s="447">
        <v>14</v>
      </c>
      <c r="GQ159" s="448">
        <v>19</v>
      </c>
      <c r="GR159" s="449">
        <v>16</v>
      </c>
      <c r="GS159" s="446">
        <v>7</v>
      </c>
      <c r="GT159" s="461">
        <v>-0.38529446721076965</v>
      </c>
      <c r="GU159" s="462">
        <v>-0.15270420908927917</v>
      </c>
      <c r="GV159" s="462">
        <v>-1.144575834274292</v>
      </c>
      <c r="GW159" s="462">
        <v>-0.68941646814346313</v>
      </c>
      <c r="GX159" s="462">
        <v>-0.87730908393859863</v>
      </c>
      <c r="GY159" s="463">
        <v>-0.89972198009490967</v>
      </c>
      <c r="GZ159" s="10">
        <v>186</v>
      </c>
      <c r="HA159" s="536">
        <v>0.13286000000000001</v>
      </c>
      <c r="HB159" s="536">
        <v>9.8030000000000006E-2</v>
      </c>
      <c r="HC159" s="525">
        <v>4.7239999999999997E-2</v>
      </c>
      <c r="HD159" s="526">
        <v>8.2110000000000002E-2</v>
      </c>
      <c r="HE159" s="527">
        <v>0.26919999999999999</v>
      </c>
      <c r="HF159" s="10" t="s">
        <v>145</v>
      </c>
      <c r="HG159" s="532" t="s">
        <v>145</v>
      </c>
      <c r="HH159" s="524" t="s">
        <v>145</v>
      </c>
      <c r="HI159" s="525" t="s">
        <v>145</v>
      </c>
      <c r="HJ159" s="527" t="s">
        <v>145</v>
      </c>
      <c r="HK159" s="558" t="s">
        <v>4776</v>
      </c>
      <c r="HL159" s="585" t="s">
        <v>4777</v>
      </c>
      <c r="HM159" s="557">
        <v>2010</v>
      </c>
      <c r="HN159" s="557" t="s">
        <v>145</v>
      </c>
      <c r="HO159" s="526" t="s">
        <v>3985</v>
      </c>
      <c r="HP159" s="562" t="s">
        <v>145</v>
      </c>
      <c r="HQ159" s="564" t="s">
        <v>145</v>
      </c>
      <c r="HR159" s="565" t="s">
        <v>145</v>
      </c>
      <c r="HS159" s="576">
        <v>6</v>
      </c>
      <c r="HT159" s="577">
        <v>122</v>
      </c>
      <c r="HU159" s="577">
        <v>2013</v>
      </c>
      <c r="HV159" s="584" t="s">
        <v>4241</v>
      </c>
      <c r="HW159" s="577">
        <v>0</v>
      </c>
      <c r="HX159" s="577">
        <v>29</v>
      </c>
      <c r="HY159" s="577">
        <v>25</v>
      </c>
      <c r="HZ159" s="577">
        <v>18</v>
      </c>
      <c r="IA159" s="577">
        <v>28</v>
      </c>
      <c r="IB159" s="577">
        <v>7</v>
      </c>
      <c r="IC159" s="578">
        <v>15</v>
      </c>
      <c r="ID159" s="40"/>
      <c r="IE159" s="550"/>
      <c r="IF159" s="550"/>
      <c r="IG159" s="553">
        <v>1</v>
      </c>
      <c r="IH159" s="115"/>
      <c r="II159" s="647" t="s">
        <v>4921</v>
      </c>
      <c r="IJ159" s="423" t="s">
        <v>4918</v>
      </c>
      <c r="IK159" s="10">
        <v>0</v>
      </c>
      <c r="IL159" s="749">
        <f t="shared" si="132"/>
        <v>18</v>
      </c>
      <c r="IM159" s="747">
        <f t="shared" si="133"/>
        <v>72</v>
      </c>
      <c r="IN159" s="750" t="str">
        <f t="shared" si="134"/>
        <v>B</v>
      </c>
      <c r="IO159" s="446">
        <v>1</v>
      </c>
      <c r="IP159" s="902">
        <v>4</v>
      </c>
      <c r="IQ159" s="903">
        <v>0</v>
      </c>
      <c r="IR159" s="993">
        <v>0</v>
      </c>
      <c r="IT159" s="435"/>
      <c r="IU159" s="435"/>
      <c r="IV159" s="435"/>
    </row>
    <row r="160" spans="1:256">
      <c r="A160" s="21">
        <v>158</v>
      </c>
      <c r="B160" s="9"/>
      <c r="C160" s="430" t="s">
        <v>244</v>
      </c>
      <c r="D160" s="424" t="s">
        <v>407</v>
      </c>
      <c r="E160" s="24" t="s">
        <v>17</v>
      </c>
      <c r="F160" s="76" t="s">
        <v>892</v>
      </c>
      <c r="G160" s="102" t="s">
        <v>607</v>
      </c>
      <c r="H160" s="375" t="s">
        <v>2470</v>
      </c>
      <c r="I160" s="95" t="s">
        <v>2471</v>
      </c>
      <c r="J160" s="370">
        <v>2</v>
      </c>
      <c r="K160" s="359">
        <v>1872</v>
      </c>
      <c r="L160" s="371">
        <v>2</v>
      </c>
      <c r="M160" s="373" t="s">
        <v>1834</v>
      </c>
      <c r="N160" s="369" t="s">
        <v>2469</v>
      </c>
      <c r="O160" s="365" t="s">
        <v>3337</v>
      </c>
      <c r="P160" s="362" t="s">
        <v>3338</v>
      </c>
      <c r="Q160" s="370">
        <v>2</v>
      </c>
      <c r="R160" s="370">
        <v>1965</v>
      </c>
      <c r="S160" s="372" t="s">
        <v>1969</v>
      </c>
      <c r="T160" s="370">
        <v>1</v>
      </c>
      <c r="U160" s="370">
        <v>2</v>
      </c>
      <c r="V160" s="370">
        <v>15</v>
      </c>
      <c r="W160" s="369" t="s">
        <v>2036</v>
      </c>
      <c r="X160" s="170">
        <v>1</v>
      </c>
      <c r="Y160" s="369">
        <v>1</v>
      </c>
      <c r="Z160" s="273" t="s">
        <v>2005</v>
      </c>
      <c r="AA160" s="169">
        <v>1</v>
      </c>
      <c r="AB160" s="177">
        <v>1</v>
      </c>
      <c r="AC160" s="171">
        <v>1</v>
      </c>
      <c r="AD160" s="366" t="s">
        <v>3339</v>
      </c>
      <c r="AE160" s="357">
        <v>2010</v>
      </c>
      <c r="AF160" s="804">
        <v>3</v>
      </c>
      <c r="AG160" s="550" t="s">
        <v>4272</v>
      </c>
      <c r="AH160" s="355" t="s">
        <v>3340</v>
      </c>
      <c r="AI160" s="55">
        <v>1</v>
      </c>
      <c r="AJ160" s="55">
        <v>0</v>
      </c>
      <c r="AK160" s="590">
        <v>3100</v>
      </c>
      <c r="AL160" s="386">
        <v>1</v>
      </c>
      <c r="AM160" s="361" t="s">
        <v>2875</v>
      </c>
      <c r="AN160" s="384" t="s">
        <v>145</v>
      </c>
      <c r="AO160" s="170">
        <v>0</v>
      </c>
      <c r="AP160" s="369">
        <v>0</v>
      </c>
      <c r="AQ160" s="365" t="s">
        <v>4983</v>
      </c>
      <c r="AR160" s="378" t="s">
        <v>4984</v>
      </c>
      <c r="AS160" s="55">
        <v>2</v>
      </c>
      <c r="AT160" s="370">
        <v>2</v>
      </c>
      <c r="AU160" s="371">
        <v>2006</v>
      </c>
      <c r="AV160" s="370">
        <v>5</v>
      </c>
      <c r="AW160" s="589">
        <v>3000</v>
      </c>
      <c r="AX160" s="687">
        <v>0</v>
      </c>
      <c r="AY160" s="174" t="s">
        <v>4280</v>
      </c>
      <c r="AZ160" s="55">
        <v>2004</v>
      </c>
      <c r="BA160" s="55">
        <v>1</v>
      </c>
      <c r="BB160" s="55">
        <v>2</v>
      </c>
      <c r="BC160" s="174" t="s">
        <v>4281</v>
      </c>
      <c r="BD160" s="55">
        <v>2009</v>
      </c>
      <c r="BE160" s="55">
        <v>2</v>
      </c>
      <c r="BF160" s="367" t="s">
        <v>4396</v>
      </c>
      <c r="BG160" s="367">
        <v>1</v>
      </c>
      <c r="BH160" s="1" t="s">
        <v>4282</v>
      </c>
      <c r="BI160" s="367">
        <v>3</v>
      </c>
      <c r="BJ160" s="367">
        <v>0</v>
      </c>
      <c r="BK160" s="888">
        <v>5603.74</v>
      </c>
      <c r="BL160" s="925">
        <f t="shared" si="121"/>
        <v>50.657328855371595</v>
      </c>
      <c r="BM160" s="888">
        <v>2765.0349999999999</v>
      </c>
      <c r="BN160" s="920">
        <v>2838.7049999999999</v>
      </c>
      <c r="BO160" s="888">
        <v>268.726</v>
      </c>
      <c r="BP160" s="1158">
        <f t="shared" si="135"/>
        <v>48.392414578418169</v>
      </c>
      <c r="BQ160" s="917">
        <v>138.68299999999999</v>
      </c>
      <c r="BR160" s="920">
        <v>130.04300000000001</v>
      </c>
      <c r="BS160" s="888">
        <v>285.23200000000003</v>
      </c>
      <c r="BT160" s="1158">
        <f t="shared" si="136"/>
        <v>49.206260167162164</v>
      </c>
      <c r="BU160" s="917">
        <v>144.88</v>
      </c>
      <c r="BV160" s="920">
        <v>140.352</v>
      </c>
      <c r="BW160" s="888">
        <v>317.029</v>
      </c>
      <c r="BX160" s="1158">
        <f t="shared" si="137"/>
        <v>48.994256045976861</v>
      </c>
      <c r="BY160" s="917">
        <v>161.703</v>
      </c>
      <c r="BZ160" s="920">
        <v>155.32599999999999</v>
      </c>
      <c r="CA160" s="888">
        <f t="shared" si="138"/>
        <v>4732.7530000000006</v>
      </c>
      <c r="CB160" s="1158">
        <f t="shared" si="139"/>
        <v>50.984786233298031</v>
      </c>
      <c r="CC160" s="917">
        <f t="shared" si="140"/>
        <v>2319.7689999999998</v>
      </c>
      <c r="CD160" s="920">
        <f t="shared" si="141"/>
        <v>2412.9839999999999</v>
      </c>
      <c r="CE160" s="914">
        <v>2015</v>
      </c>
      <c r="CF160" s="910" t="s">
        <v>5630</v>
      </c>
      <c r="CG160" s="931">
        <v>95</v>
      </c>
      <c r="CH160" s="504">
        <v>95</v>
      </c>
      <c r="CI160" s="1008">
        <v>95</v>
      </c>
      <c r="CJ160" s="906" t="s">
        <v>1621</v>
      </c>
      <c r="CK160" s="906" t="s">
        <v>1621</v>
      </c>
      <c r="CL160" s="906">
        <v>2013</v>
      </c>
      <c r="CM160" s="1002" t="s">
        <v>5720</v>
      </c>
      <c r="CN160" s="1044">
        <v>3375</v>
      </c>
      <c r="CO160" s="1045">
        <f t="shared" si="122"/>
        <v>60.227633687501559</v>
      </c>
      <c r="CP160" s="1049">
        <v>1678.8</v>
      </c>
      <c r="CQ160" s="1050">
        <v>1696.2</v>
      </c>
      <c r="CR160" s="1046">
        <v>2015</v>
      </c>
      <c r="CS160" s="1047" t="s">
        <v>6016</v>
      </c>
      <c r="CT160" s="1068">
        <f t="shared" si="123"/>
        <v>15</v>
      </c>
      <c r="CU160" s="1071">
        <v>21</v>
      </c>
      <c r="CV160" s="1068" t="s">
        <v>6020</v>
      </c>
      <c r="CW160" s="1113">
        <v>2462.9259999999999</v>
      </c>
      <c r="CX160" s="1113">
        <v>4420.3710000000001</v>
      </c>
      <c r="CY160" s="1113">
        <v>5674.4719999999998</v>
      </c>
      <c r="CZ160" s="1048">
        <v>20</v>
      </c>
      <c r="DA160" s="1104">
        <v>5</v>
      </c>
      <c r="DB160" s="1050" t="s">
        <v>647</v>
      </c>
      <c r="DC160" s="1146" t="s">
        <v>322</v>
      </c>
      <c r="DD160" s="978">
        <f t="shared" si="148"/>
        <v>2228.7399999999998</v>
      </c>
      <c r="DE160" s="979">
        <f t="shared" si="124"/>
        <v>39.772366312498434</v>
      </c>
      <c r="DF160" s="979">
        <f t="shared" si="149"/>
        <v>51.262372461570216</v>
      </c>
      <c r="DG160" s="980">
        <f t="shared" si="150"/>
        <v>1086.2349999999999</v>
      </c>
      <c r="DH160" s="980">
        <f t="shared" si="151"/>
        <v>1142.5049999999999</v>
      </c>
      <c r="DI160" s="979">
        <f t="shared" si="125"/>
        <v>39.284674515874116</v>
      </c>
      <c r="DJ160" s="981">
        <f t="shared" si="126"/>
        <v>40.247401544013904</v>
      </c>
      <c r="DK160" s="984">
        <f t="shared" si="127"/>
        <v>2185.19065</v>
      </c>
      <c r="DL160" s="979">
        <f t="shared" si="152"/>
        <v>51.309891427551179</v>
      </c>
      <c r="DM160" s="980">
        <f t="shared" si="128"/>
        <v>1063.9716999999998</v>
      </c>
      <c r="DN160" s="985">
        <f t="shared" si="129"/>
        <v>1121.2189499999999</v>
      </c>
      <c r="DO160" s="984">
        <f t="shared" si="130"/>
        <v>30.11305000000003</v>
      </c>
      <c r="DP160" s="979">
        <f t="shared" si="153"/>
        <v>49.094661616807329</v>
      </c>
      <c r="DQ160" s="980">
        <f t="shared" si="142"/>
        <v>15.329150000000013</v>
      </c>
      <c r="DR160" s="985">
        <f t="shared" si="143"/>
        <v>14.783900000000013</v>
      </c>
      <c r="DS160" s="984">
        <f t="shared" si="131"/>
        <v>13.436300000000012</v>
      </c>
      <c r="DT160" s="339">
        <f t="shared" si="154"/>
        <v>48.392414578418176</v>
      </c>
      <c r="DU160" s="980">
        <f t="shared" si="144"/>
        <v>6.934150000000006</v>
      </c>
      <c r="DV160" s="985">
        <f t="shared" si="145"/>
        <v>6.5021500000000065</v>
      </c>
      <c r="DW160" s="979">
        <f t="shared" si="146"/>
        <v>5.0000000000000044</v>
      </c>
      <c r="DX160" s="981">
        <f t="shared" si="147"/>
        <v>5.0000000000000044</v>
      </c>
      <c r="DY160" s="414" t="s">
        <v>145</v>
      </c>
      <c r="DZ160" s="111" t="s">
        <v>145</v>
      </c>
      <c r="EA160" s="118"/>
      <c r="EB160" s="123" t="s">
        <v>145</v>
      </c>
      <c r="EC160" s="113" t="s">
        <v>145</v>
      </c>
      <c r="ED160" s="20"/>
      <c r="EE160" s="414" t="s">
        <v>145</v>
      </c>
      <c r="EF160" s="111" t="s">
        <v>145</v>
      </c>
      <c r="EG160" s="380">
        <v>96.365982055664105</v>
      </c>
      <c r="EH160" s="24" t="s">
        <v>335</v>
      </c>
      <c r="EI160" s="287">
        <v>0</v>
      </c>
      <c r="EJ160" s="40" t="s">
        <v>145</v>
      </c>
      <c r="EK160" s="35" t="s">
        <v>145</v>
      </c>
      <c r="EL160" s="95" t="s">
        <v>145</v>
      </c>
      <c r="EM160" s="95" t="s">
        <v>145</v>
      </c>
      <c r="EN160" s="35" t="s">
        <v>145</v>
      </c>
      <c r="EO160" s="95" t="s">
        <v>145</v>
      </c>
      <c r="EP160" s="205" t="s">
        <v>145</v>
      </c>
      <c r="EQ160" s="207" t="s">
        <v>145</v>
      </c>
      <c r="ER160" s="517" t="s">
        <v>145</v>
      </c>
      <c r="ES160" s="183"/>
      <c r="ET160" s="183"/>
      <c r="EU160" s="82"/>
      <c r="EV160" s="82"/>
      <c r="EW160" s="82"/>
      <c r="EX160" s="90"/>
      <c r="EY160" s="159"/>
      <c r="EZ160" s="156"/>
      <c r="FA160" s="323"/>
      <c r="FB160" s="323"/>
      <c r="FC160" s="323"/>
      <c r="FD160" s="160"/>
      <c r="FE160" s="156"/>
      <c r="FF160" s="156"/>
      <c r="FG160" s="156"/>
      <c r="FH160" s="157"/>
      <c r="FI160" s="242"/>
      <c r="FJ160" s="373"/>
      <c r="FK160" s="179"/>
      <c r="FL160" s="179"/>
      <c r="FM160" s="179"/>
      <c r="FN160" s="369"/>
      <c r="FO160" s="164"/>
      <c r="FP160" s="255"/>
      <c r="FQ160" s="183"/>
      <c r="FR160" s="257"/>
      <c r="FS160" s="82"/>
      <c r="FT160" s="259"/>
      <c r="FU160" s="82"/>
      <c r="FV160" s="259"/>
      <c r="FW160" s="82"/>
      <c r="FX160" s="259"/>
      <c r="FY160" s="82"/>
      <c r="FZ160" s="259"/>
      <c r="GA160" s="82"/>
      <c r="GB160" s="261"/>
      <c r="GC160" s="90"/>
      <c r="GD160" s="76">
        <v>2</v>
      </c>
      <c r="GE160" s="445" t="s">
        <v>3425</v>
      </c>
      <c r="GF160" s="447" t="s">
        <v>590</v>
      </c>
      <c r="GG160" s="448">
        <v>4</v>
      </c>
      <c r="GH160" s="449">
        <v>4</v>
      </c>
      <c r="GI160" s="447" t="s">
        <v>590</v>
      </c>
      <c r="GJ160" s="449">
        <v>40</v>
      </c>
      <c r="GK160" s="447">
        <v>6</v>
      </c>
      <c r="GL160" s="448">
        <v>14</v>
      </c>
      <c r="GM160" s="449">
        <v>20</v>
      </c>
      <c r="GN160" s="447" t="s">
        <v>580</v>
      </c>
      <c r="GO160" s="449">
        <v>67</v>
      </c>
      <c r="GP160" s="447">
        <v>24</v>
      </c>
      <c r="GQ160" s="448">
        <v>22</v>
      </c>
      <c r="GR160" s="449">
        <v>21</v>
      </c>
      <c r="GS160" s="446">
        <v>7</v>
      </c>
      <c r="GT160" s="461">
        <v>6.2018100172281265E-2</v>
      </c>
      <c r="GU160" s="462">
        <v>1.3338669538497925</v>
      </c>
      <c r="GV160" s="462">
        <v>2.0741393566131592</v>
      </c>
      <c r="GW160" s="462">
        <v>1.9603413343429565</v>
      </c>
      <c r="GX160" s="462">
        <v>1.7431162595748901</v>
      </c>
      <c r="GY160" s="463">
        <v>2.0799944400787354</v>
      </c>
      <c r="GZ160" s="10">
        <v>3</v>
      </c>
      <c r="HA160" s="536">
        <v>0.90761999999999998</v>
      </c>
      <c r="HB160" s="536">
        <v>0.90195999999999998</v>
      </c>
      <c r="HC160" s="525">
        <v>0.99212</v>
      </c>
      <c r="HD160" s="526">
        <v>0.87927</v>
      </c>
      <c r="HE160" s="527">
        <v>0.85150000000000003</v>
      </c>
      <c r="HF160" s="10">
        <v>16</v>
      </c>
      <c r="HG160" s="532">
        <v>7.9</v>
      </c>
      <c r="HH160" s="545">
        <v>8.61</v>
      </c>
      <c r="HI160" s="546">
        <v>7.19</v>
      </c>
      <c r="HJ160" s="547">
        <v>7.9</v>
      </c>
      <c r="HK160" s="558" t="s">
        <v>3992</v>
      </c>
      <c r="HL160" s="585" t="s">
        <v>4778</v>
      </c>
      <c r="HM160" s="557">
        <v>2012</v>
      </c>
      <c r="HN160" s="557" t="s">
        <v>145</v>
      </c>
      <c r="HO160" s="557" t="s">
        <v>145</v>
      </c>
      <c r="HP160" s="562" t="s">
        <v>4121</v>
      </c>
      <c r="HQ160" s="639" t="s">
        <v>4779</v>
      </c>
      <c r="HR160" s="563" t="s">
        <v>145</v>
      </c>
      <c r="HS160" s="545" t="s">
        <v>145</v>
      </c>
      <c r="HT160" s="557" t="s">
        <v>145</v>
      </c>
      <c r="HU160" s="557" t="s">
        <v>145</v>
      </c>
      <c r="HV160" s="582" t="s">
        <v>145</v>
      </c>
      <c r="HW160" s="557" t="s">
        <v>145</v>
      </c>
      <c r="HX160" s="557" t="s">
        <v>145</v>
      </c>
      <c r="HY160" s="557" t="s">
        <v>145</v>
      </c>
      <c r="HZ160" s="557" t="s">
        <v>145</v>
      </c>
      <c r="IA160" s="557" t="s">
        <v>145</v>
      </c>
      <c r="IB160" s="557" t="s">
        <v>145</v>
      </c>
      <c r="IC160" s="547" t="s">
        <v>145</v>
      </c>
      <c r="ID160" s="660"/>
      <c r="IE160" s="550"/>
      <c r="IF160" s="355" t="s">
        <v>5202</v>
      </c>
      <c r="IG160" s="553"/>
      <c r="IH160" s="339"/>
      <c r="II160" s="553" t="s">
        <v>4920</v>
      </c>
      <c r="IJ160" s="424" t="s">
        <v>4926</v>
      </c>
      <c r="IK160" s="24">
        <v>0</v>
      </c>
      <c r="IL160" s="749">
        <f t="shared" si="132"/>
        <v>21</v>
      </c>
      <c r="IM160" s="747">
        <f t="shared" si="133"/>
        <v>84</v>
      </c>
      <c r="IN160" s="750" t="str">
        <f t="shared" si="134"/>
        <v>A</v>
      </c>
      <c r="IO160" s="446"/>
      <c r="IP160" s="902">
        <v>4</v>
      </c>
      <c r="IQ160" s="903">
        <v>0</v>
      </c>
      <c r="IR160" s="993">
        <v>0</v>
      </c>
      <c r="IT160" s="435"/>
      <c r="IU160" s="435"/>
      <c r="IV160" s="435"/>
    </row>
    <row r="161" spans="1:256">
      <c r="A161" s="21">
        <v>159</v>
      </c>
      <c r="B161" s="9"/>
      <c r="C161" s="430" t="s">
        <v>317</v>
      </c>
      <c r="D161" s="424" t="s">
        <v>408</v>
      </c>
      <c r="E161" s="24" t="s">
        <v>17</v>
      </c>
      <c r="F161" s="76" t="s">
        <v>893</v>
      </c>
      <c r="G161" s="102" t="s">
        <v>609</v>
      </c>
      <c r="H161" s="375" t="s">
        <v>2473</v>
      </c>
      <c r="I161" s="364" t="s">
        <v>2472</v>
      </c>
      <c r="J161" s="370">
        <v>2</v>
      </c>
      <c r="K161" s="359">
        <v>1730</v>
      </c>
      <c r="L161" s="371">
        <v>2</v>
      </c>
      <c r="M161" s="373" t="s">
        <v>2265</v>
      </c>
      <c r="N161" s="369" t="s">
        <v>1822</v>
      </c>
      <c r="O161" s="365" t="s">
        <v>3341</v>
      </c>
      <c r="P161" s="23" t="s">
        <v>2988</v>
      </c>
      <c r="Q161" s="370">
        <v>2</v>
      </c>
      <c r="R161" s="370">
        <v>2008</v>
      </c>
      <c r="S161" s="372" t="s">
        <v>2081</v>
      </c>
      <c r="T161" s="370">
        <v>1</v>
      </c>
      <c r="U161" s="370">
        <v>2</v>
      </c>
      <c r="V161" s="370">
        <v>15</v>
      </c>
      <c r="W161" s="369" t="s">
        <v>1822</v>
      </c>
      <c r="X161" s="170">
        <v>1</v>
      </c>
      <c r="Y161" s="369">
        <v>1</v>
      </c>
      <c r="Z161" s="271"/>
      <c r="AA161" s="169">
        <v>1</v>
      </c>
      <c r="AB161" s="177">
        <v>1</v>
      </c>
      <c r="AC161" s="171"/>
      <c r="AD161" s="366" t="s">
        <v>1593</v>
      </c>
      <c r="AE161" s="695">
        <v>2015</v>
      </c>
      <c r="AF161" s="357">
        <v>2</v>
      </c>
      <c r="AG161" s="55">
        <v>4</v>
      </c>
      <c r="AH161" s="355" t="s">
        <v>4627</v>
      </c>
      <c r="AI161" s="55">
        <v>1</v>
      </c>
      <c r="AJ161" s="550">
        <v>0</v>
      </c>
      <c r="AK161" s="652">
        <v>2000</v>
      </c>
      <c r="AL161" s="386">
        <v>12</v>
      </c>
      <c r="AM161" s="361" t="s">
        <v>3342</v>
      </c>
      <c r="AN161" s="384" t="s">
        <v>145</v>
      </c>
      <c r="AO161" s="170">
        <v>0</v>
      </c>
      <c r="AP161" s="369">
        <v>0</v>
      </c>
      <c r="AQ161" s="365" t="s">
        <v>4985</v>
      </c>
      <c r="AR161" s="378" t="s">
        <v>2798</v>
      </c>
      <c r="AS161" s="55">
        <v>2</v>
      </c>
      <c r="AT161" s="370">
        <v>2</v>
      </c>
      <c r="AU161" s="371">
        <v>2008</v>
      </c>
      <c r="AV161" s="370">
        <v>10</v>
      </c>
      <c r="AW161" s="589">
        <v>1500</v>
      </c>
      <c r="AX161" s="687">
        <v>1</v>
      </c>
      <c r="AY161" s="174" t="s">
        <v>4283</v>
      </c>
      <c r="AZ161" s="55">
        <v>2003</v>
      </c>
      <c r="BA161" s="55">
        <v>1</v>
      </c>
      <c r="BB161" s="55">
        <v>1</v>
      </c>
      <c r="BC161" s="174" t="s">
        <v>4427</v>
      </c>
      <c r="BD161" s="55">
        <v>2001</v>
      </c>
      <c r="BE161" s="55">
        <v>0</v>
      </c>
      <c r="BF161" s="371" t="s">
        <v>145</v>
      </c>
      <c r="BG161" s="367">
        <v>0</v>
      </c>
      <c r="BH161" s="56" t="s">
        <v>145</v>
      </c>
      <c r="BI161" s="367">
        <v>3</v>
      </c>
      <c r="BJ161" s="367">
        <v>1</v>
      </c>
      <c r="BK161" s="888">
        <v>5426.2579999999998</v>
      </c>
      <c r="BL161" s="925">
        <f t="shared" si="121"/>
        <v>51.529488645766577</v>
      </c>
      <c r="BM161" s="888">
        <v>2630.1350000000002</v>
      </c>
      <c r="BN161" s="920">
        <v>2796.123</v>
      </c>
      <c r="BO161" s="888">
        <v>282.95400000000001</v>
      </c>
      <c r="BP161" s="1158">
        <f t="shared" si="135"/>
        <v>48.811467588371258</v>
      </c>
      <c r="BQ161" s="917">
        <v>144.84</v>
      </c>
      <c r="BR161" s="920">
        <v>138.114</v>
      </c>
      <c r="BS161" s="888">
        <v>279.54399999999998</v>
      </c>
      <c r="BT161" s="1158">
        <f t="shared" si="136"/>
        <v>48.831668717625853</v>
      </c>
      <c r="BU161" s="917">
        <v>143.03800000000001</v>
      </c>
      <c r="BV161" s="920">
        <v>136.506</v>
      </c>
      <c r="BW161" s="888">
        <v>258.14999999999998</v>
      </c>
      <c r="BX161" s="1158">
        <f t="shared" si="137"/>
        <v>48.828588030214995</v>
      </c>
      <c r="BY161" s="917">
        <v>132.09899999999999</v>
      </c>
      <c r="BZ161" s="920">
        <v>126.051</v>
      </c>
      <c r="CA161" s="888">
        <f t="shared" si="138"/>
        <v>4605.6100000000006</v>
      </c>
      <c r="CB161" s="1158">
        <f t="shared" si="139"/>
        <v>52.011611925456123</v>
      </c>
      <c r="CC161" s="917">
        <f t="shared" si="140"/>
        <v>2210.1579999999999</v>
      </c>
      <c r="CD161" s="920">
        <f t="shared" si="141"/>
        <v>2395.4520000000002</v>
      </c>
      <c r="CE161" s="914">
        <v>2015</v>
      </c>
      <c r="CF161" s="910" t="s">
        <v>5630</v>
      </c>
      <c r="CG161" s="930">
        <v>100</v>
      </c>
      <c r="CH161" s="1005">
        <v>100</v>
      </c>
      <c r="CI161" s="1006">
        <v>100</v>
      </c>
      <c r="CJ161" s="904" t="s">
        <v>1621</v>
      </c>
      <c r="CK161" s="904" t="s">
        <v>1621</v>
      </c>
      <c r="CL161" s="904">
        <v>2010</v>
      </c>
      <c r="CM161" s="905" t="s">
        <v>5576</v>
      </c>
      <c r="CN161" s="1044">
        <v>4406.2610000000004</v>
      </c>
      <c r="CO161" s="1045">
        <f t="shared" si="122"/>
        <v>81.202570906138277</v>
      </c>
      <c r="CP161" s="1040">
        <f t="shared" ref="CP161:CP183" si="157">IF(OR(CZ161=1,CZ161=10),CN161*(1-BL161/100),IF(DA161=6,CN161*(1-BL161/100),CN161*(1-CB161/100)))</f>
        <v>2135.7372383021593</v>
      </c>
      <c r="CQ161" s="1041">
        <f t="shared" ref="CQ161:CQ183" si="158">IF(OR(CZ161=1,CZ161=10),CN161*BL161/100,IF(DA161=6,CN161*BL161/100,CN161*CB161/100))</f>
        <v>2270.5237616978411</v>
      </c>
      <c r="CR161" s="1046">
        <v>2014</v>
      </c>
      <c r="CS161" s="1047" t="s">
        <v>6017</v>
      </c>
      <c r="CT161" s="1068">
        <f t="shared" si="123"/>
        <v>15</v>
      </c>
      <c r="CU161" s="1071">
        <v>18</v>
      </c>
      <c r="CV161" s="1068" t="s">
        <v>6021</v>
      </c>
      <c r="CW161" s="1113">
        <v>4406.2610000000004</v>
      </c>
      <c r="CX161" s="1113">
        <v>4351.8059999999996</v>
      </c>
      <c r="CY161" s="1113">
        <v>5443.5829999999996</v>
      </c>
      <c r="CZ161" s="494">
        <v>1</v>
      </c>
      <c r="DA161" s="1104">
        <v>6</v>
      </c>
      <c r="DB161" s="1050" t="s">
        <v>647</v>
      </c>
      <c r="DC161" s="1146" t="s">
        <v>322</v>
      </c>
      <c r="DD161" s="978">
        <f t="shared" si="148"/>
        <v>199.34900000000016</v>
      </c>
      <c r="DE161" s="979">
        <f t="shared" si="124"/>
        <v>3.6737840331219074</v>
      </c>
      <c r="DF161" s="979">
        <f t="shared" si="149"/>
        <v>62.668103829043041</v>
      </c>
      <c r="DG161" s="980">
        <f t="shared" si="150"/>
        <v>74.420761697840589</v>
      </c>
      <c r="DH161" s="980">
        <f t="shared" si="151"/>
        <v>124.92823830215912</v>
      </c>
      <c r="DI161" s="979">
        <f t="shared" si="125"/>
        <v>2.8295415139466447</v>
      </c>
      <c r="DJ161" s="981">
        <f t="shared" si="126"/>
        <v>4.4679092551421782</v>
      </c>
      <c r="DK161" s="984">
        <f t="shared" si="127"/>
        <v>199.34900000000016</v>
      </c>
      <c r="DL161" s="979">
        <f t="shared" si="152"/>
        <v>62.668103829043041</v>
      </c>
      <c r="DM161" s="980">
        <f t="shared" si="128"/>
        <v>74.420761697840589</v>
      </c>
      <c r="DN161" s="985">
        <f t="shared" si="129"/>
        <v>124.92823830215912</v>
      </c>
      <c r="DO161" s="984">
        <f t="shared" si="130"/>
        <v>0</v>
      </c>
      <c r="DP161" s="979">
        <f t="shared" si="153"/>
        <v>0</v>
      </c>
      <c r="DQ161" s="980">
        <f t="shared" si="142"/>
        <v>0</v>
      </c>
      <c r="DR161" s="985">
        <f t="shared" si="143"/>
        <v>0</v>
      </c>
      <c r="DS161" s="984">
        <f t="shared" si="131"/>
        <v>0</v>
      </c>
      <c r="DT161" s="339">
        <f t="shared" si="154"/>
        <v>0</v>
      </c>
      <c r="DU161" s="980">
        <f t="shared" si="144"/>
        <v>0</v>
      </c>
      <c r="DV161" s="985">
        <f t="shared" si="145"/>
        <v>0</v>
      </c>
      <c r="DW161" s="979">
        <f t="shared" si="146"/>
        <v>0</v>
      </c>
      <c r="DX161" s="981">
        <f t="shared" si="147"/>
        <v>0</v>
      </c>
      <c r="DY161" s="414">
        <v>0.06</v>
      </c>
      <c r="DZ161" s="111">
        <v>2009</v>
      </c>
      <c r="EA161" s="118">
        <v>3</v>
      </c>
      <c r="EB161" s="123" t="s">
        <v>145</v>
      </c>
      <c r="EC161" s="113" t="s">
        <v>145</v>
      </c>
      <c r="ED161" s="20"/>
      <c r="EE161" s="414">
        <v>21</v>
      </c>
      <c r="EF161" s="121">
        <v>2002</v>
      </c>
      <c r="EG161" s="380" t="s">
        <v>145</v>
      </c>
      <c r="EH161" s="24" t="s">
        <v>384</v>
      </c>
      <c r="EI161" s="288">
        <v>0</v>
      </c>
      <c r="EJ161" s="40" t="s">
        <v>145</v>
      </c>
      <c r="EK161" s="35" t="s">
        <v>145</v>
      </c>
      <c r="EL161" s="364" t="s">
        <v>145</v>
      </c>
      <c r="EM161" s="364" t="s">
        <v>145</v>
      </c>
      <c r="EN161" s="35" t="s">
        <v>145</v>
      </c>
      <c r="EO161" s="364" t="s">
        <v>145</v>
      </c>
      <c r="EP161" s="205" t="s">
        <v>145</v>
      </c>
      <c r="EQ161" s="207" t="s">
        <v>145</v>
      </c>
      <c r="ER161" s="517" t="s">
        <v>145</v>
      </c>
      <c r="ES161" s="183"/>
      <c r="ET161" s="183"/>
      <c r="EU161" s="82"/>
      <c r="EV161" s="82"/>
      <c r="EW161" s="82"/>
      <c r="EX161" s="90"/>
      <c r="EY161" s="159"/>
      <c r="EZ161" s="156"/>
      <c r="FA161" s="323"/>
      <c r="FB161" s="323"/>
      <c r="FC161" s="323"/>
      <c r="FD161" s="160"/>
      <c r="FE161" s="156"/>
      <c r="FF161" s="156"/>
      <c r="FG161" s="156"/>
      <c r="FH161" s="157"/>
      <c r="FI161" s="242"/>
      <c r="FJ161" s="373"/>
      <c r="FK161" s="179"/>
      <c r="FL161" s="179"/>
      <c r="FM161" s="179"/>
      <c r="FN161" s="369"/>
      <c r="FO161" s="164"/>
      <c r="FP161" s="255"/>
      <c r="FQ161" s="183"/>
      <c r="FR161" s="257"/>
      <c r="FS161" s="82"/>
      <c r="FT161" s="259"/>
      <c r="FU161" s="82"/>
      <c r="FV161" s="259"/>
      <c r="FW161" s="82"/>
      <c r="FX161" s="259"/>
      <c r="FY161" s="82"/>
      <c r="FZ161" s="259"/>
      <c r="GA161" s="82"/>
      <c r="GB161" s="261"/>
      <c r="GC161" s="90"/>
      <c r="GD161" s="76">
        <v>1</v>
      </c>
      <c r="GE161" s="445" t="s">
        <v>3424</v>
      </c>
      <c r="GF161" s="447" t="s">
        <v>10</v>
      </c>
      <c r="GG161" s="448">
        <v>1</v>
      </c>
      <c r="GH161" s="449">
        <v>1</v>
      </c>
      <c r="GI161" s="447" t="s">
        <v>145</v>
      </c>
      <c r="GJ161" s="449" t="s">
        <v>145</v>
      </c>
      <c r="GK161" s="447" t="s">
        <v>145</v>
      </c>
      <c r="GL161" s="448" t="s">
        <v>145</v>
      </c>
      <c r="GM161" s="449" t="s">
        <v>145</v>
      </c>
      <c r="GN161" s="447" t="s">
        <v>10</v>
      </c>
      <c r="GO161" s="449">
        <v>23</v>
      </c>
      <c r="GP161" s="447">
        <v>7</v>
      </c>
      <c r="GQ161" s="448">
        <v>9</v>
      </c>
      <c r="GR161" s="449">
        <v>7</v>
      </c>
      <c r="GS161" s="446">
        <v>10</v>
      </c>
      <c r="GT161" s="461">
        <v>0.93626224994659424</v>
      </c>
      <c r="GU161" s="462">
        <v>1.0998666286468506</v>
      </c>
      <c r="GV161" s="462">
        <v>0.77703297138214111</v>
      </c>
      <c r="GW161" s="462">
        <v>0.91470295190811157</v>
      </c>
      <c r="GX161" s="462">
        <v>0.44625633955001831</v>
      </c>
      <c r="GY161" s="463">
        <v>5.8034248650074005E-2</v>
      </c>
      <c r="GZ161" s="10">
        <v>51</v>
      </c>
      <c r="HA161" s="536">
        <v>0.61477999999999999</v>
      </c>
      <c r="HB161" s="536">
        <v>0.62744999999999995</v>
      </c>
      <c r="HC161" s="525">
        <v>0.48818</v>
      </c>
      <c r="HD161" s="526">
        <v>0.52963000000000005</v>
      </c>
      <c r="HE161" s="527">
        <v>0.82650000000000001</v>
      </c>
      <c r="HF161" s="10">
        <v>45</v>
      </c>
      <c r="HG161" s="532">
        <v>6.58</v>
      </c>
      <c r="HH161" s="545">
        <v>7.03</v>
      </c>
      <c r="HI161" s="546">
        <v>5.28</v>
      </c>
      <c r="HJ161" s="547">
        <v>8.2799999999999994</v>
      </c>
      <c r="HK161" s="558" t="s">
        <v>3984</v>
      </c>
      <c r="HL161" s="585" t="s">
        <v>4780</v>
      </c>
      <c r="HM161" s="557">
        <v>1992</v>
      </c>
      <c r="HN161" s="557">
        <v>2013</v>
      </c>
      <c r="HO161" s="557" t="s">
        <v>3985</v>
      </c>
      <c r="HP161" s="562" t="s">
        <v>4122</v>
      </c>
      <c r="HQ161" s="639" t="s">
        <v>4781</v>
      </c>
      <c r="HR161" s="563" t="s">
        <v>4031</v>
      </c>
      <c r="HS161" s="545">
        <v>75</v>
      </c>
      <c r="HT161" s="557">
        <v>70</v>
      </c>
      <c r="HU161" s="557">
        <v>2000</v>
      </c>
      <c r="HV161" s="583" t="s">
        <v>4242</v>
      </c>
      <c r="HW161" s="557">
        <v>3</v>
      </c>
      <c r="HX161" s="557">
        <v>20</v>
      </c>
      <c r="HY161" s="557">
        <v>25</v>
      </c>
      <c r="HZ161" s="557">
        <v>14</v>
      </c>
      <c r="IA161" s="557">
        <v>4</v>
      </c>
      <c r="IB161" s="557">
        <v>2</v>
      </c>
      <c r="IC161" s="547">
        <v>2</v>
      </c>
      <c r="ID161" s="40" t="s">
        <v>5199</v>
      </c>
      <c r="IE161" s="355" t="s">
        <v>5200</v>
      </c>
      <c r="IF161" s="355"/>
      <c r="IG161" s="553"/>
      <c r="IH161" s="339"/>
      <c r="II161" s="553" t="s">
        <v>4920</v>
      </c>
      <c r="IJ161" s="424" t="s">
        <v>4925</v>
      </c>
      <c r="IK161" s="24">
        <v>0</v>
      </c>
      <c r="IL161" s="749">
        <f t="shared" si="132"/>
        <v>19</v>
      </c>
      <c r="IM161" s="747">
        <f t="shared" si="133"/>
        <v>76</v>
      </c>
      <c r="IN161" s="750" t="str">
        <f t="shared" si="134"/>
        <v>A</v>
      </c>
      <c r="IO161" s="446"/>
      <c r="IP161" s="902">
        <v>6</v>
      </c>
      <c r="IQ161" s="903">
        <v>0</v>
      </c>
      <c r="IR161" s="993">
        <v>0</v>
      </c>
      <c r="IT161" s="435"/>
      <c r="IU161" s="435"/>
      <c r="IV161" s="435"/>
    </row>
    <row r="162" spans="1:256">
      <c r="A162" s="21">
        <v>160</v>
      </c>
      <c r="B162" s="9"/>
      <c r="C162" s="430" t="s">
        <v>246</v>
      </c>
      <c r="D162" s="424" t="s">
        <v>408</v>
      </c>
      <c r="E162" s="24" t="s">
        <v>17</v>
      </c>
      <c r="F162" s="76" t="s">
        <v>894</v>
      </c>
      <c r="G162" s="102" t="s">
        <v>608</v>
      </c>
      <c r="H162" s="375" t="s">
        <v>2474</v>
      </c>
      <c r="I162" s="364" t="s">
        <v>1677</v>
      </c>
      <c r="J162" s="370">
        <v>2</v>
      </c>
      <c r="K162" s="359">
        <v>1812</v>
      </c>
      <c r="L162" s="371">
        <v>2</v>
      </c>
      <c r="M162" s="373" t="s">
        <v>1813</v>
      </c>
      <c r="N162" s="369" t="s">
        <v>1822</v>
      </c>
      <c r="O162" s="365" t="s">
        <v>3343</v>
      </c>
      <c r="P162" s="378" t="s">
        <v>2104</v>
      </c>
      <c r="Q162" s="370">
        <v>2</v>
      </c>
      <c r="R162" s="370">
        <v>2008</v>
      </c>
      <c r="S162" s="372" t="s">
        <v>2082</v>
      </c>
      <c r="T162" s="370">
        <v>1</v>
      </c>
      <c r="U162" s="370">
        <v>2</v>
      </c>
      <c r="V162" s="370">
        <v>18</v>
      </c>
      <c r="W162" s="369" t="s">
        <v>2036</v>
      </c>
      <c r="X162" s="170">
        <v>1</v>
      </c>
      <c r="Y162" s="369">
        <v>1</v>
      </c>
      <c r="Z162" s="271"/>
      <c r="AA162" s="169"/>
      <c r="AB162" s="177">
        <v>1</v>
      </c>
      <c r="AC162" s="171"/>
      <c r="AD162" s="366" t="s">
        <v>962</v>
      </c>
      <c r="AE162" s="357">
        <v>2003</v>
      </c>
      <c r="AF162" s="804">
        <v>2</v>
      </c>
      <c r="AG162" s="55">
        <v>3</v>
      </c>
      <c r="AH162" s="355" t="s">
        <v>2872</v>
      </c>
      <c r="AI162" s="55">
        <v>0</v>
      </c>
      <c r="AJ162" s="55">
        <v>0</v>
      </c>
      <c r="AK162" s="590" t="s">
        <v>145</v>
      </c>
      <c r="AL162" s="386">
        <v>9</v>
      </c>
      <c r="AM162" s="361" t="s">
        <v>3344</v>
      </c>
      <c r="AN162" s="384" t="s">
        <v>145</v>
      </c>
      <c r="AO162" s="170">
        <v>0</v>
      </c>
      <c r="AP162" s="369">
        <v>0</v>
      </c>
      <c r="AQ162" s="365" t="s">
        <v>4986</v>
      </c>
      <c r="AR162" s="378" t="s">
        <v>2798</v>
      </c>
      <c r="AS162" s="55">
        <v>2</v>
      </c>
      <c r="AT162" s="370">
        <v>2</v>
      </c>
      <c r="AU162" s="371">
        <v>2006</v>
      </c>
      <c r="AV162" s="370">
        <v>10</v>
      </c>
      <c r="AW162" s="589">
        <v>250</v>
      </c>
      <c r="AX162" s="687">
        <v>1</v>
      </c>
      <c r="AY162" s="174" t="s">
        <v>4284</v>
      </c>
      <c r="AZ162" s="55">
        <v>2008</v>
      </c>
      <c r="BA162" s="55">
        <v>1</v>
      </c>
      <c r="BB162" s="55">
        <v>2</v>
      </c>
      <c r="BC162" s="174" t="s">
        <v>4436</v>
      </c>
      <c r="BD162" s="55">
        <v>2008</v>
      </c>
      <c r="BE162" s="55">
        <v>2</v>
      </c>
      <c r="BF162" s="371" t="s">
        <v>4366</v>
      </c>
      <c r="BG162" s="371">
        <v>1</v>
      </c>
      <c r="BH162" s="1" t="s">
        <v>4285</v>
      </c>
      <c r="BI162" s="371">
        <v>3</v>
      </c>
      <c r="BJ162" s="371">
        <v>1</v>
      </c>
      <c r="BK162" s="888">
        <v>2067.5259999999998</v>
      </c>
      <c r="BL162" s="925">
        <f t="shared" si="121"/>
        <v>50.432159015170797</v>
      </c>
      <c r="BM162" s="888">
        <v>1024.828</v>
      </c>
      <c r="BN162" s="920">
        <v>1042.6980000000001</v>
      </c>
      <c r="BO162" s="888">
        <v>110.996</v>
      </c>
      <c r="BP162" s="1158">
        <f t="shared" si="135"/>
        <v>48.514360877869471</v>
      </c>
      <c r="BQ162" s="917">
        <v>57.146999999999998</v>
      </c>
      <c r="BR162" s="920">
        <v>53.848999999999997</v>
      </c>
      <c r="BS162" s="888">
        <v>103.79</v>
      </c>
      <c r="BT162" s="1158">
        <f t="shared" si="136"/>
        <v>48.690625301088737</v>
      </c>
      <c r="BU162" s="917">
        <v>53.253999999999998</v>
      </c>
      <c r="BV162" s="920">
        <v>50.536000000000001</v>
      </c>
      <c r="BW162" s="888">
        <v>90.885999999999996</v>
      </c>
      <c r="BX162" s="1158">
        <f t="shared" si="137"/>
        <v>48.467310696917018</v>
      </c>
      <c r="BY162" s="917">
        <v>46.835999999999999</v>
      </c>
      <c r="BZ162" s="920">
        <v>44.05</v>
      </c>
      <c r="CA162" s="888">
        <f t="shared" si="138"/>
        <v>1761.8539999999998</v>
      </c>
      <c r="CB162" s="1158">
        <f t="shared" si="139"/>
        <v>50.756929915872732</v>
      </c>
      <c r="CC162" s="917">
        <f t="shared" si="140"/>
        <v>867.59099999999989</v>
      </c>
      <c r="CD162" s="920">
        <f t="shared" si="141"/>
        <v>894.26300000000015</v>
      </c>
      <c r="CE162" s="914">
        <v>2015</v>
      </c>
      <c r="CF162" s="910" t="s">
        <v>5630</v>
      </c>
      <c r="CG162" s="930">
        <v>100</v>
      </c>
      <c r="CH162" s="1005">
        <v>100</v>
      </c>
      <c r="CI162" s="1006">
        <v>100</v>
      </c>
      <c r="CJ162" s="904" t="s">
        <v>1621</v>
      </c>
      <c r="CK162" s="904" t="s">
        <v>1621</v>
      </c>
      <c r="CL162" s="904">
        <v>2011</v>
      </c>
      <c r="CM162" s="905" t="s">
        <v>5576</v>
      </c>
      <c r="CN162" s="1044">
        <v>1713.067</v>
      </c>
      <c r="CO162" s="1045">
        <f t="shared" si="122"/>
        <v>82.855886697434528</v>
      </c>
      <c r="CP162" s="1040">
        <f t="shared" si="157"/>
        <v>849.13032652358413</v>
      </c>
      <c r="CQ162" s="1041">
        <f t="shared" si="158"/>
        <v>863.93667347641588</v>
      </c>
      <c r="CR162" s="1046">
        <v>2014</v>
      </c>
      <c r="CS162" s="1047" t="s">
        <v>6018</v>
      </c>
      <c r="CT162" s="1068">
        <f t="shared" si="123"/>
        <v>18</v>
      </c>
      <c r="CU162" s="1071">
        <v>18</v>
      </c>
      <c r="CV162" s="1068" t="s">
        <v>6022</v>
      </c>
      <c r="CW162" s="1113">
        <v>1713.067</v>
      </c>
      <c r="CX162" s="1113">
        <v>1638.2470000000001</v>
      </c>
      <c r="CY162" s="1113">
        <v>1988.2919999999999</v>
      </c>
      <c r="CZ162" s="494">
        <v>1</v>
      </c>
      <c r="DA162" s="1104">
        <v>6</v>
      </c>
      <c r="DB162" s="1050" t="s">
        <v>647</v>
      </c>
      <c r="DC162" s="1146" t="s">
        <v>322</v>
      </c>
      <c r="DD162" s="978">
        <f t="shared" si="148"/>
        <v>48.786999999999807</v>
      </c>
      <c r="DE162" s="979">
        <f t="shared" si="124"/>
        <v>2.3596801201048891</v>
      </c>
      <c r="DF162" s="979">
        <f t="shared" si="149"/>
        <v>62.160670923779684</v>
      </c>
      <c r="DG162" s="980">
        <f t="shared" si="150"/>
        <v>18.460673476415764</v>
      </c>
      <c r="DH162" s="980">
        <f t="shared" si="151"/>
        <v>30.326326523584271</v>
      </c>
      <c r="DI162" s="979">
        <f t="shared" si="125"/>
        <v>1.8013435890135481</v>
      </c>
      <c r="DJ162" s="981">
        <f t="shared" si="126"/>
        <v>2.9084477503154575</v>
      </c>
      <c r="DK162" s="984">
        <f t="shared" si="127"/>
        <v>48.786999999999807</v>
      </c>
      <c r="DL162" s="979">
        <f t="shared" si="152"/>
        <v>62.160670923779684</v>
      </c>
      <c r="DM162" s="980">
        <f t="shared" si="128"/>
        <v>18.460673476415764</v>
      </c>
      <c r="DN162" s="985">
        <f t="shared" si="129"/>
        <v>30.326326523584271</v>
      </c>
      <c r="DO162" s="984">
        <f t="shared" si="130"/>
        <v>0</v>
      </c>
      <c r="DP162" s="979">
        <f t="shared" si="153"/>
        <v>0</v>
      </c>
      <c r="DQ162" s="980">
        <f t="shared" si="142"/>
        <v>0</v>
      </c>
      <c r="DR162" s="985">
        <f t="shared" si="143"/>
        <v>0</v>
      </c>
      <c r="DS162" s="984">
        <f t="shared" si="131"/>
        <v>0</v>
      </c>
      <c r="DT162" s="339">
        <f t="shared" si="154"/>
        <v>0</v>
      </c>
      <c r="DU162" s="980">
        <f t="shared" si="144"/>
        <v>0</v>
      </c>
      <c r="DV162" s="985">
        <f t="shared" si="145"/>
        <v>0</v>
      </c>
      <c r="DW162" s="979">
        <f t="shared" si="146"/>
        <v>0</v>
      </c>
      <c r="DX162" s="981">
        <f t="shared" si="147"/>
        <v>0</v>
      </c>
      <c r="DY162" s="414">
        <v>0.06</v>
      </c>
      <c r="DZ162" s="111">
        <v>2004</v>
      </c>
      <c r="EA162" s="368" t="e">
        <f>#REF!*DY162/100</f>
        <v>#REF!</v>
      </c>
      <c r="EB162" s="123" t="s">
        <v>145</v>
      </c>
      <c r="EC162" s="113" t="s">
        <v>145</v>
      </c>
      <c r="ED162" s="20"/>
      <c r="EE162" s="414">
        <v>13.5</v>
      </c>
      <c r="EF162" s="121">
        <v>2012</v>
      </c>
      <c r="EG162" s="380">
        <v>99.700630187988295</v>
      </c>
      <c r="EH162" s="24" t="s">
        <v>357</v>
      </c>
      <c r="EI162" s="288">
        <v>0</v>
      </c>
      <c r="EJ162" s="40" t="s">
        <v>145</v>
      </c>
      <c r="EK162" s="355" t="s">
        <v>145</v>
      </c>
      <c r="EL162" s="364" t="s">
        <v>145</v>
      </c>
      <c r="EM162" s="364" t="s">
        <v>145</v>
      </c>
      <c r="EN162" s="355" t="s">
        <v>145</v>
      </c>
      <c r="EO162" s="364" t="s">
        <v>145</v>
      </c>
      <c r="EP162" s="205" t="s">
        <v>145</v>
      </c>
      <c r="EQ162" s="207" t="s">
        <v>145</v>
      </c>
      <c r="ER162" s="517" t="s">
        <v>145</v>
      </c>
      <c r="ES162" s="183"/>
      <c r="ET162" s="183"/>
      <c r="EU162" s="82"/>
      <c r="EV162" s="82"/>
      <c r="EW162" s="82"/>
      <c r="EX162" s="360"/>
      <c r="EY162" s="159"/>
      <c r="EZ162" s="156"/>
      <c r="FA162" s="323"/>
      <c r="FB162" s="323"/>
      <c r="FC162" s="323"/>
      <c r="FD162" s="160"/>
      <c r="FE162" s="156"/>
      <c r="FF162" s="156"/>
      <c r="FG162" s="156"/>
      <c r="FH162" s="157"/>
      <c r="FI162" s="242"/>
      <c r="FJ162" s="373"/>
      <c r="FK162" s="179"/>
      <c r="FL162" s="179"/>
      <c r="FM162" s="179"/>
      <c r="FN162" s="369"/>
      <c r="FO162" s="164"/>
      <c r="FP162" s="255"/>
      <c r="FQ162" s="183"/>
      <c r="FR162" s="257"/>
      <c r="FS162" s="82"/>
      <c r="FT162" s="259"/>
      <c r="FU162" s="82"/>
      <c r="FV162" s="259"/>
      <c r="FW162" s="82"/>
      <c r="FX162" s="259"/>
      <c r="FY162" s="82"/>
      <c r="FZ162" s="259"/>
      <c r="GA162" s="82"/>
      <c r="GB162" s="261"/>
      <c r="GC162" s="360"/>
      <c r="GD162" s="76">
        <v>1</v>
      </c>
      <c r="GE162" s="445" t="s">
        <v>3424</v>
      </c>
      <c r="GF162" s="447" t="s">
        <v>10</v>
      </c>
      <c r="GG162" s="448">
        <v>1</v>
      </c>
      <c r="GH162" s="449">
        <v>1</v>
      </c>
      <c r="GI162" s="447" t="s">
        <v>145</v>
      </c>
      <c r="GJ162" s="449" t="s">
        <v>145</v>
      </c>
      <c r="GK162" s="447" t="s">
        <v>145</v>
      </c>
      <c r="GL162" s="448" t="s">
        <v>145</v>
      </c>
      <c r="GM162" s="449" t="s">
        <v>145</v>
      </c>
      <c r="GN162" s="447" t="s">
        <v>10</v>
      </c>
      <c r="GO162" s="449">
        <v>24</v>
      </c>
      <c r="GP162" s="447">
        <v>6</v>
      </c>
      <c r="GQ162" s="448">
        <v>11</v>
      </c>
      <c r="GR162" s="449">
        <v>7</v>
      </c>
      <c r="GS162" s="446">
        <v>10</v>
      </c>
      <c r="GT162" s="461">
        <v>0.98151713609695435</v>
      </c>
      <c r="GU162" s="462">
        <v>0.86564362049102783</v>
      </c>
      <c r="GV162" s="462">
        <v>1.0006476640701294</v>
      </c>
      <c r="GW162" s="462">
        <v>0.60731571912765503</v>
      </c>
      <c r="GX162" s="462">
        <v>0.96852403879165649</v>
      </c>
      <c r="GY162" s="463">
        <v>0.70180833339691162</v>
      </c>
      <c r="GZ162" s="10">
        <v>41</v>
      </c>
      <c r="HA162" s="536">
        <v>0.65054000000000001</v>
      </c>
      <c r="HB162" s="536">
        <v>0.39215</v>
      </c>
      <c r="HC162" s="525">
        <v>0.42519000000000001</v>
      </c>
      <c r="HD162" s="526">
        <v>0.61924999999999997</v>
      </c>
      <c r="HE162" s="527">
        <v>0.90720000000000001</v>
      </c>
      <c r="HF162" s="10">
        <v>31</v>
      </c>
      <c r="HG162" s="532">
        <v>7.13</v>
      </c>
      <c r="HH162" s="545">
        <v>7.91</v>
      </c>
      <c r="HI162" s="546">
        <v>5.21</v>
      </c>
      <c r="HJ162" s="547">
        <v>9.43</v>
      </c>
      <c r="HK162" s="558" t="s">
        <v>3992</v>
      </c>
      <c r="HL162" s="585" t="s">
        <v>4782</v>
      </c>
      <c r="HM162" s="557">
        <v>1990</v>
      </c>
      <c r="HN162" s="557">
        <v>2004</v>
      </c>
      <c r="HO162" s="557" t="s">
        <v>3985</v>
      </c>
      <c r="HP162" s="562" t="s">
        <v>3997</v>
      </c>
      <c r="HQ162" s="639" t="s">
        <v>4783</v>
      </c>
      <c r="HR162" s="563" t="s">
        <v>4042</v>
      </c>
      <c r="HS162" s="545">
        <v>2</v>
      </c>
      <c r="HT162" s="557">
        <v>129</v>
      </c>
      <c r="HU162" s="557">
        <v>2003</v>
      </c>
      <c r="HV162" s="583" t="s">
        <v>4243</v>
      </c>
      <c r="HW162" s="557">
        <v>3</v>
      </c>
      <c r="HX162" s="557">
        <v>30</v>
      </c>
      <c r="HY162" s="557">
        <v>26</v>
      </c>
      <c r="HZ162" s="557">
        <v>25</v>
      </c>
      <c r="IA162" s="557">
        <v>28</v>
      </c>
      <c r="IB162" s="557">
        <v>4</v>
      </c>
      <c r="IC162" s="547">
        <v>13</v>
      </c>
      <c r="ID162" s="40" t="s">
        <v>5199</v>
      </c>
      <c r="IE162" s="355" t="s">
        <v>5200</v>
      </c>
      <c r="IF162" s="355"/>
      <c r="IG162" s="553"/>
      <c r="IH162" s="339"/>
      <c r="II162" s="553" t="s">
        <v>4920</v>
      </c>
      <c r="IJ162" s="424" t="s">
        <v>4925</v>
      </c>
      <c r="IK162" s="24">
        <v>0</v>
      </c>
      <c r="IL162" s="749">
        <f t="shared" si="132"/>
        <v>22</v>
      </c>
      <c r="IM162" s="747">
        <f t="shared" si="133"/>
        <v>88</v>
      </c>
      <c r="IN162" s="750" t="str">
        <f t="shared" si="134"/>
        <v>A</v>
      </c>
      <c r="IO162" s="446"/>
      <c r="IP162" s="902">
        <v>6</v>
      </c>
      <c r="IQ162" s="903">
        <v>0</v>
      </c>
      <c r="IR162" s="993">
        <v>0</v>
      </c>
      <c r="IT162" s="435"/>
      <c r="IU162" s="435"/>
      <c r="IV162" s="435"/>
    </row>
    <row r="163" spans="1:256">
      <c r="A163" s="21">
        <v>161</v>
      </c>
      <c r="B163" s="9"/>
      <c r="C163" s="430" t="s">
        <v>247</v>
      </c>
      <c r="D163" s="424" t="s">
        <v>407</v>
      </c>
      <c r="E163" s="24" t="s">
        <v>20</v>
      </c>
      <c r="F163" s="76" t="s">
        <v>895</v>
      </c>
      <c r="G163" s="102" t="s">
        <v>1606</v>
      </c>
      <c r="H163" s="251" t="s">
        <v>2477</v>
      </c>
      <c r="I163" s="95" t="s">
        <v>2476</v>
      </c>
      <c r="J163" s="370">
        <v>2</v>
      </c>
      <c r="K163" s="359">
        <v>1988</v>
      </c>
      <c r="L163" s="371">
        <v>2</v>
      </c>
      <c r="M163" s="373" t="s">
        <v>145</v>
      </c>
      <c r="N163" s="369" t="s">
        <v>1822</v>
      </c>
      <c r="O163" s="278" t="s">
        <v>145</v>
      </c>
      <c r="P163" s="362" t="s">
        <v>145</v>
      </c>
      <c r="Q163" s="370">
        <v>0</v>
      </c>
      <c r="R163" s="370" t="s">
        <v>145</v>
      </c>
      <c r="S163" s="372" t="s">
        <v>145</v>
      </c>
      <c r="T163" s="370">
        <v>0</v>
      </c>
      <c r="U163" s="370">
        <v>0</v>
      </c>
      <c r="V163" s="370" t="s">
        <v>145</v>
      </c>
      <c r="W163" s="369" t="s">
        <v>145</v>
      </c>
      <c r="X163" s="170">
        <v>0</v>
      </c>
      <c r="Y163" s="369">
        <v>0</v>
      </c>
      <c r="Z163" s="271"/>
      <c r="AA163" s="169"/>
      <c r="AB163" s="177"/>
      <c r="AC163" s="171"/>
      <c r="AD163" s="376" t="s">
        <v>145</v>
      </c>
      <c r="AE163" s="355" t="s">
        <v>145</v>
      </c>
      <c r="AF163" s="357">
        <v>0</v>
      </c>
      <c r="AG163" s="550">
        <v>0</v>
      </c>
      <c r="AH163" s="355" t="s">
        <v>145</v>
      </c>
      <c r="AI163" s="550" t="s">
        <v>145</v>
      </c>
      <c r="AJ163" s="550" t="s">
        <v>145</v>
      </c>
      <c r="AK163" s="590" t="s">
        <v>145</v>
      </c>
      <c r="AL163" s="55">
        <v>0</v>
      </c>
      <c r="AM163" s="361" t="s">
        <v>145</v>
      </c>
      <c r="AN163" s="384">
        <v>6</v>
      </c>
      <c r="AO163" s="170">
        <v>0</v>
      </c>
      <c r="AP163" s="369">
        <v>0</v>
      </c>
      <c r="AQ163" s="278" t="s">
        <v>5423</v>
      </c>
      <c r="AR163" s="362" t="s">
        <v>5424</v>
      </c>
      <c r="AS163" s="55">
        <v>1</v>
      </c>
      <c r="AT163" s="370">
        <v>1</v>
      </c>
      <c r="AU163" s="371">
        <v>2011</v>
      </c>
      <c r="AV163" s="370">
        <v>5</v>
      </c>
      <c r="AW163" s="589" t="s">
        <v>145</v>
      </c>
      <c r="AX163" s="794">
        <v>0</v>
      </c>
      <c r="AY163" s="174" t="s">
        <v>2475</v>
      </c>
      <c r="AZ163" s="55">
        <v>2010</v>
      </c>
      <c r="BA163" s="55">
        <v>1</v>
      </c>
      <c r="BB163" s="55">
        <v>0</v>
      </c>
      <c r="BC163" s="108" t="s">
        <v>145</v>
      </c>
      <c r="BD163" s="55" t="s">
        <v>145</v>
      </c>
      <c r="BE163" s="55">
        <v>0</v>
      </c>
      <c r="BF163" s="371" t="s">
        <v>145</v>
      </c>
      <c r="BG163" s="371">
        <v>0</v>
      </c>
      <c r="BH163" s="56" t="s">
        <v>145</v>
      </c>
      <c r="BI163" s="371">
        <v>0</v>
      </c>
      <c r="BJ163" s="371">
        <v>0</v>
      </c>
      <c r="BK163" s="888">
        <v>583.59100000000001</v>
      </c>
      <c r="BL163" s="925">
        <f t="shared" ref="BL163:BL194" si="159">BN163/BK163*100</f>
        <v>49.224199824877346</v>
      </c>
      <c r="BM163" s="888">
        <v>296.32299999999998</v>
      </c>
      <c r="BN163" s="920">
        <v>287.26799999999997</v>
      </c>
      <c r="BO163" s="888">
        <v>81.736000000000004</v>
      </c>
      <c r="BP163" s="1158">
        <f t="shared" si="135"/>
        <v>48.443770186943325</v>
      </c>
      <c r="BQ163" s="917">
        <v>42.14</v>
      </c>
      <c r="BR163" s="920">
        <v>39.595999999999997</v>
      </c>
      <c r="BS163" s="888">
        <v>78.007999999999996</v>
      </c>
      <c r="BT163" s="1158">
        <f t="shared" si="136"/>
        <v>48.397600246128604</v>
      </c>
      <c r="BU163" s="917">
        <v>40.253999999999998</v>
      </c>
      <c r="BV163" s="920">
        <v>37.753999999999998</v>
      </c>
      <c r="BW163" s="888">
        <v>70.710999999999999</v>
      </c>
      <c r="BX163" s="1158">
        <f t="shared" si="137"/>
        <v>48.473363408804857</v>
      </c>
      <c r="BY163" s="917">
        <v>36.435000000000002</v>
      </c>
      <c r="BZ163" s="920">
        <v>34.276000000000003</v>
      </c>
      <c r="CA163" s="888">
        <f t="shared" si="138"/>
        <v>353.13600000000002</v>
      </c>
      <c r="CB163" s="1158">
        <f t="shared" si="139"/>
        <v>49.737778079833248</v>
      </c>
      <c r="CC163" s="917">
        <f t="shared" si="140"/>
        <v>177.494</v>
      </c>
      <c r="CD163" s="920">
        <f t="shared" si="141"/>
        <v>175.64199999999997</v>
      </c>
      <c r="CE163" s="914">
        <v>2015</v>
      </c>
      <c r="CF163" s="910" t="s">
        <v>5630</v>
      </c>
      <c r="CG163" s="931">
        <v>80</v>
      </c>
      <c r="CH163" s="504">
        <v>80</v>
      </c>
      <c r="CI163" s="1008">
        <v>80</v>
      </c>
      <c r="CJ163" s="904" t="s">
        <v>1621</v>
      </c>
      <c r="CK163" s="904" t="s">
        <v>1621</v>
      </c>
      <c r="CL163" s="906">
        <v>2014</v>
      </c>
      <c r="CM163" s="1002" t="s">
        <v>5721</v>
      </c>
      <c r="CN163" s="1044">
        <v>287.43799999999999</v>
      </c>
      <c r="CO163" s="1045">
        <f t="shared" ref="CO163:CO194" si="160">CN163/BK163*100</f>
        <v>49.253329814887479</v>
      </c>
      <c r="CP163" s="1040">
        <f t="shared" si="157"/>
        <v>145.94894450736905</v>
      </c>
      <c r="CQ163" s="1041">
        <f t="shared" si="158"/>
        <v>141.48905549263094</v>
      </c>
      <c r="CR163" s="1046">
        <v>2014</v>
      </c>
      <c r="CS163" s="1047" t="s">
        <v>5656</v>
      </c>
      <c r="CT163" s="1068" t="str">
        <f t="shared" ref="CT163:CT194" si="161">V163</f>
        <v>-</v>
      </c>
      <c r="CU163" s="1071">
        <v>21</v>
      </c>
      <c r="CV163" s="1068" t="s">
        <v>6023</v>
      </c>
      <c r="CW163" s="1113">
        <v>290</v>
      </c>
      <c r="CX163" s="1113">
        <v>321.23599999999999</v>
      </c>
      <c r="CY163" s="1113">
        <v>609.88300000000004</v>
      </c>
      <c r="CZ163" s="494">
        <v>1</v>
      </c>
      <c r="DA163" s="1104">
        <v>5</v>
      </c>
      <c r="DB163" s="1050" t="s">
        <v>647</v>
      </c>
      <c r="DC163" s="1146" t="s">
        <v>322</v>
      </c>
      <c r="DD163" s="978">
        <f t="shared" si="148"/>
        <v>111.78900000000003</v>
      </c>
      <c r="DE163" s="979">
        <f t="shared" ref="DE163:DE194" si="162">DD163/BK163*100</f>
        <v>19.155367372012254</v>
      </c>
      <c r="DF163" s="979">
        <f t="shared" si="149"/>
        <v>50.522094756522563</v>
      </c>
      <c r="DG163" s="980">
        <f t="shared" si="150"/>
        <v>55.310855492630942</v>
      </c>
      <c r="DH163" s="980">
        <f t="shared" si="151"/>
        <v>56.478144507369024</v>
      </c>
      <c r="DI163" s="979">
        <f t="shared" ref="DI163:DI194" si="163">DG163/BM163*100</f>
        <v>18.665731479713337</v>
      </c>
      <c r="DJ163" s="981">
        <f t="shared" ref="DJ163:DJ194" si="164">DH163/BN163*100</f>
        <v>19.660437120517784</v>
      </c>
      <c r="DK163" s="984">
        <f t="shared" ref="DK163:DK194" si="165">IF(OR($CZ163=1,$CZ163=10),CA163-CN163,BK163-CN163-DO163-DS163)</f>
        <v>65.698000000000036</v>
      </c>
      <c r="DL163" s="979">
        <f t="shared" si="152"/>
        <v>51.98475525490732</v>
      </c>
      <c r="DM163" s="980">
        <f t="shared" ref="DM163:DM194" si="166">IF(OR($CZ163=1,$CZ163=10),CC163-CP163,BM163-CP163-DQ163-DU163)</f>
        <v>31.545055492630951</v>
      </c>
      <c r="DN163" s="985">
        <f t="shared" ref="DN163:DN194" si="167">IF(OR($CZ163=1,$CZ163=10),CD163-CQ163,BN163-CQ163-DR163-DV163)</f>
        <v>34.152944507369028</v>
      </c>
      <c r="DO163" s="984">
        <f t="shared" ref="DO163:DO194" si="168">BS163*(1-$CG163/100)+BW163*(1-$CG163/100)</f>
        <v>29.743799999999993</v>
      </c>
      <c r="DP163" s="979">
        <f t="shared" si="153"/>
        <v>48.433623141629518</v>
      </c>
      <c r="DQ163" s="980">
        <f t="shared" si="142"/>
        <v>15.337799999999996</v>
      </c>
      <c r="DR163" s="985">
        <f t="shared" si="143"/>
        <v>14.405999999999997</v>
      </c>
      <c r="DS163" s="984">
        <f t="shared" ref="DS163:DS194" si="169">BO163*(1-$CG163/100)</f>
        <v>16.347199999999997</v>
      </c>
      <c r="DT163" s="339">
        <f t="shared" si="154"/>
        <v>48.443770186943318</v>
      </c>
      <c r="DU163" s="980">
        <f t="shared" si="144"/>
        <v>8.427999999999999</v>
      </c>
      <c r="DV163" s="985">
        <f t="shared" si="145"/>
        <v>7.9191999999999974</v>
      </c>
      <c r="DW163" s="979">
        <f t="shared" si="146"/>
        <v>20</v>
      </c>
      <c r="DX163" s="981">
        <f t="shared" si="147"/>
        <v>19.999999999999996</v>
      </c>
      <c r="DY163" s="414" t="s">
        <v>145</v>
      </c>
      <c r="DZ163" s="111" t="s">
        <v>145</v>
      </c>
      <c r="EA163" s="118"/>
      <c r="EB163" s="123">
        <v>22.7</v>
      </c>
      <c r="EC163" s="113">
        <v>2006</v>
      </c>
      <c r="ED163" s="20">
        <v>125.364609</v>
      </c>
      <c r="EE163" s="414" t="s">
        <v>145</v>
      </c>
      <c r="EF163" s="111" t="s">
        <v>145</v>
      </c>
      <c r="EG163" s="380">
        <v>76.599998474121094</v>
      </c>
      <c r="EH163" s="24" t="s">
        <v>335</v>
      </c>
      <c r="EI163" s="287">
        <v>3</v>
      </c>
      <c r="EJ163" s="40">
        <v>1</v>
      </c>
      <c r="EK163" s="35" t="s">
        <v>728</v>
      </c>
      <c r="EL163" s="95" t="s">
        <v>1638</v>
      </c>
      <c r="EM163" s="95" t="s">
        <v>1639</v>
      </c>
      <c r="EN163" s="35" t="s">
        <v>145</v>
      </c>
      <c r="EO163" s="95" t="s">
        <v>1656</v>
      </c>
      <c r="EP163" s="205">
        <v>0.8</v>
      </c>
      <c r="EQ163" s="207" t="s">
        <v>145</v>
      </c>
      <c r="ER163" s="517" t="s">
        <v>145</v>
      </c>
      <c r="ES163" s="183"/>
      <c r="ET163" s="183"/>
      <c r="EU163" s="82"/>
      <c r="EV163" s="82"/>
      <c r="EW163" s="82"/>
      <c r="EX163" s="90"/>
      <c r="EY163" s="159"/>
      <c r="EZ163" s="156"/>
      <c r="FA163" s="323"/>
      <c r="FB163" s="323"/>
      <c r="FC163" s="323"/>
      <c r="FD163" s="160"/>
      <c r="FE163" s="156"/>
      <c r="FF163" s="156"/>
      <c r="FG163" s="156"/>
      <c r="FH163" s="157"/>
      <c r="FI163" s="242"/>
      <c r="FJ163" s="373"/>
      <c r="FK163" s="179"/>
      <c r="FL163" s="179"/>
      <c r="FM163" s="179"/>
      <c r="FN163" s="369"/>
      <c r="FO163" s="164"/>
      <c r="FP163" s="255"/>
      <c r="FQ163" s="183"/>
      <c r="FR163" s="257"/>
      <c r="FS163" s="82"/>
      <c r="FT163" s="259"/>
      <c r="FU163" s="82"/>
      <c r="FV163" s="259"/>
      <c r="FW163" s="82"/>
      <c r="FX163" s="259"/>
      <c r="FY163" s="82"/>
      <c r="FZ163" s="259"/>
      <c r="GA163" s="82"/>
      <c r="GB163" s="261"/>
      <c r="GC163" s="90"/>
      <c r="GD163" s="76">
        <v>2</v>
      </c>
      <c r="GE163" s="445" t="s">
        <v>3433</v>
      </c>
      <c r="GF163" s="447" t="s">
        <v>590</v>
      </c>
      <c r="GG163" s="448">
        <v>4</v>
      </c>
      <c r="GH163" s="449">
        <v>3</v>
      </c>
      <c r="GI163" s="447" t="s">
        <v>145</v>
      </c>
      <c r="GJ163" s="449" t="s">
        <v>145</v>
      </c>
      <c r="GK163" s="447" t="s">
        <v>145</v>
      </c>
      <c r="GL163" s="448" t="s">
        <v>145</v>
      </c>
      <c r="GM163" s="449" t="s">
        <v>145</v>
      </c>
      <c r="GN163" s="447" t="s">
        <v>10</v>
      </c>
      <c r="GO163" s="449">
        <v>28</v>
      </c>
      <c r="GP163" s="447">
        <v>6</v>
      </c>
      <c r="GQ163" s="448">
        <v>11</v>
      </c>
      <c r="GR163" s="449">
        <v>11</v>
      </c>
      <c r="GS163" s="446">
        <v>8</v>
      </c>
      <c r="GT163" s="461">
        <v>-1.8821204081177711E-2</v>
      </c>
      <c r="GU163" s="462">
        <v>0.37246048450469971</v>
      </c>
      <c r="GV163" s="462">
        <v>-0.85506123304367065</v>
      </c>
      <c r="GW163" s="462">
        <v>-1.1328575611114502</v>
      </c>
      <c r="GX163" s="462">
        <v>-0.60345649719238281</v>
      </c>
      <c r="GY163" s="463">
        <v>-0.4515451192855835</v>
      </c>
      <c r="GZ163" s="10">
        <v>170</v>
      </c>
      <c r="HA163" s="536">
        <v>0.20871000000000001</v>
      </c>
      <c r="HB163" s="536">
        <v>7.843E-2</v>
      </c>
      <c r="HC163" s="525">
        <v>5.5109999999999999E-2</v>
      </c>
      <c r="HD163" s="526">
        <v>0.10084</v>
      </c>
      <c r="HE163" s="527">
        <v>0.47020000000000001</v>
      </c>
      <c r="HF163" s="10">
        <v>136</v>
      </c>
      <c r="HG163" s="532">
        <v>2.29</v>
      </c>
      <c r="HH163" s="545">
        <v>2.4500000000000002</v>
      </c>
      <c r="HI163" s="546">
        <v>0.55000000000000004</v>
      </c>
      <c r="HJ163" s="547">
        <v>5.44</v>
      </c>
      <c r="HK163" s="558" t="s">
        <v>145</v>
      </c>
      <c r="HL163" s="82" t="s">
        <v>145</v>
      </c>
      <c r="HM163" s="557" t="s">
        <v>145</v>
      </c>
      <c r="HN163" s="557" t="s">
        <v>145</v>
      </c>
      <c r="HO163" s="557" t="s">
        <v>145</v>
      </c>
      <c r="HP163" s="562" t="s">
        <v>145</v>
      </c>
      <c r="HQ163" s="562" t="s">
        <v>145</v>
      </c>
      <c r="HR163" s="563" t="s">
        <v>145</v>
      </c>
      <c r="HS163" s="545" t="s">
        <v>145</v>
      </c>
      <c r="HT163" s="557" t="s">
        <v>145</v>
      </c>
      <c r="HU163" s="557" t="s">
        <v>145</v>
      </c>
      <c r="HV163" s="581" t="s">
        <v>145</v>
      </c>
      <c r="HW163" s="557" t="s">
        <v>145</v>
      </c>
      <c r="HX163" s="557" t="s">
        <v>145</v>
      </c>
      <c r="HY163" s="557" t="s">
        <v>145</v>
      </c>
      <c r="HZ163" s="557" t="s">
        <v>145</v>
      </c>
      <c r="IA163" s="557" t="s">
        <v>145</v>
      </c>
      <c r="IB163" s="557" t="s">
        <v>145</v>
      </c>
      <c r="IC163" s="547" t="s">
        <v>145</v>
      </c>
      <c r="ID163" s="660"/>
      <c r="IE163" s="550"/>
      <c r="IF163" s="550"/>
      <c r="IG163" s="553">
        <v>1</v>
      </c>
      <c r="IH163" s="339"/>
      <c r="II163" s="553" t="s">
        <v>4921</v>
      </c>
      <c r="IJ163" s="424" t="s">
        <v>4926</v>
      </c>
      <c r="IK163" s="24">
        <v>0</v>
      </c>
      <c r="IL163" s="749">
        <f t="shared" ref="IL163:IL194" si="170">L163+T163+U163+AF163+(IF(AG163="2B",2,IF(AG163="3B",3,IF(AG163="4B",4,AG163))))+AS163+BA163+BB163+BE163+BG163+BI163+BJ163</f>
        <v>4</v>
      </c>
      <c r="IM163" s="747">
        <f t="shared" ref="IM163:IM194" si="171">IL163/25*100</f>
        <v>16</v>
      </c>
      <c r="IN163" s="750" t="str">
        <f t="shared" ref="IN163:IN194" si="172">IF(IM163&lt;25,"D",IF(IM163&lt;50,"C",IF(IM163&lt;75,"B","A")))</f>
        <v>D</v>
      </c>
      <c r="IO163" s="446"/>
      <c r="IP163" s="902">
        <v>5</v>
      </c>
      <c r="IQ163" s="903">
        <v>0</v>
      </c>
      <c r="IR163" s="993">
        <v>0</v>
      </c>
      <c r="IT163" s="435"/>
      <c r="IU163" s="435"/>
      <c r="IV163" s="435"/>
    </row>
    <row r="164" spans="1:256">
      <c r="A164" s="21">
        <v>162</v>
      </c>
      <c r="B164" s="9"/>
      <c r="C164" s="430" t="s">
        <v>249</v>
      </c>
      <c r="D164" s="423" t="s">
        <v>406</v>
      </c>
      <c r="E164" s="24" t="s">
        <v>9</v>
      </c>
      <c r="F164" s="76" t="s">
        <v>896</v>
      </c>
      <c r="G164" s="102" t="s">
        <v>613</v>
      </c>
      <c r="H164" s="251" t="s">
        <v>2480</v>
      </c>
      <c r="I164" s="95" t="s">
        <v>2482</v>
      </c>
      <c r="J164" s="370">
        <v>1</v>
      </c>
      <c r="K164" s="359">
        <v>1973</v>
      </c>
      <c r="L164" s="371">
        <v>2</v>
      </c>
      <c r="M164" s="373" t="s">
        <v>145</v>
      </c>
      <c r="N164" s="369" t="s">
        <v>1822</v>
      </c>
      <c r="O164" s="365" t="s">
        <v>3395</v>
      </c>
      <c r="P164" s="362" t="s">
        <v>3345</v>
      </c>
      <c r="Q164" s="370">
        <v>5</v>
      </c>
      <c r="R164" s="370">
        <v>2014</v>
      </c>
      <c r="S164" s="372" t="s">
        <v>1961</v>
      </c>
      <c r="T164" s="370">
        <v>1</v>
      </c>
      <c r="U164" s="370">
        <v>2</v>
      </c>
      <c r="V164" s="370">
        <v>15</v>
      </c>
      <c r="W164" s="369" t="s">
        <v>3394</v>
      </c>
      <c r="X164" s="170">
        <v>0</v>
      </c>
      <c r="Y164" s="369">
        <v>0</v>
      </c>
      <c r="Z164" s="271"/>
      <c r="AA164" s="169"/>
      <c r="AB164" s="177"/>
      <c r="AC164" s="171"/>
      <c r="AD164" s="366" t="s">
        <v>3162</v>
      </c>
      <c r="AE164" s="357">
        <v>2014</v>
      </c>
      <c r="AF164" s="357">
        <v>1</v>
      </c>
      <c r="AG164" s="55">
        <v>4</v>
      </c>
      <c r="AH164" s="355" t="s">
        <v>323</v>
      </c>
      <c r="AI164" s="55">
        <v>0</v>
      </c>
      <c r="AJ164" s="55">
        <v>0</v>
      </c>
      <c r="AK164" s="590" t="s">
        <v>145</v>
      </c>
      <c r="AL164" s="386">
        <v>7</v>
      </c>
      <c r="AM164" s="361" t="s">
        <v>3346</v>
      </c>
      <c r="AN164" s="384">
        <v>4</v>
      </c>
      <c r="AO164" s="170">
        <v>0</v>
      </c>
      <c r="AP164" s="369">
        <v>0</v>
      </c>
      <c r="AQ164" s="365" t="s">
        <v>5153</v>
      </c>
      <c r="AR164" s="378" t="s">
        <v>4987</v>
      </c>
      <c r="AS164" s="55">
        <v>2</v>
      </c>
      <c r="AT164" s="370">
        <v>2</v>
      </c>
      <c r="AU164" s="371">
        <v>2013</v>
      </c>
      <c r="AV164" s="370">
        <v>5</v>
      </c>
      <c r="AW164" s="589" t="s">
        <v>145</v>
      </c>
      <c r="AX164" s="687">
        <v>0</v>
      </c>
      <c r="AY164" s="174" t="s">
        <v>4589</v>
      </c>
      <c r="AZ164" s="55">
        <v>1991</v>
      </c>
      <c r="BA164" s="55">
        <v>0</v>
      </c>
      <c r="BB164" s="55">
        <v>0</v>
      </c>
      <c r="BC164" s="108" t="s">
        <v>145</v>
      </c>
      <c r="BD164" s="55" t="s">
        <v>145</v>
      </c>
      <c r="BE164" s="55">
        <v>0</v>
      </c>
      <c r="BF164" s="371" t="s">
        <v>145</v>
      </c>
      <c r="BG164" s="371">
        <v>0</v>
      </c>
      <c r="BH164" s="56" t="s">
        <v>145</v>
      </c>
      <c r="BI164" s="371">
        <v>0</v>
      </c>
      <c r="BJ164" s="371">
        <v>0</v>
      </c>
      <c r="BK164" s="888">
        <v>10787.103999999999</v>
      </c>
      <c r="BL164" s="925">
        <f t="shared" si="159"/>
        <v>50.23745947012285</v>
      </c>
      <c r="BM164" s="888">
        <v>5367.9369999999999</v>
      </c>
      <c r="BN164" s="920">
        <v>5419.1670000000004</v>
      </c>
      <c r="BO164" s="888">
        <v>1971.0229999999999</v>
      </c>
      <c r="BP164" s="1158">
        <f t="shared" si="135"/>
        <v>49.582120553641431</v>
      </c>
      <c r="BQ164" s="917">
        <v>993.74800000000005</v>
      </c>
      <c r="BR164" s="920">
        <v>977.27499999999998</v>
      </c>
      <c r="BS164" s="888">
        <v>1669.722</v>
      </c>
      <c r="BT164" s="1158">
        <f t="shared" si="136"/>
        <v>49.70366324454011</v>
      </c>
      <c r="BU164" s="917">
        <v>839.80899999999997</v>
      </c>
      <c r="BV164" s="920">
        <v>829.91300000000001</v>
      </c>
      <c r="BW164" s="888">
        <v>1397.3789999999999</v>
      </c>
      <c r="BX164" s="1158">
        <f t="shared" si="137"/>
        <v>49.806673779983818</v>
      </c>
      <c r="BY164" s="917">
        <v>701.39099999999996</v>
      </c>
      <c r="BZ164" s="920">
        <v>695.98800000000006</v>
      </c>
      <c r="CA164" s="888">
        <f t="shared" si="138"/>
        <v>5748.9800000000005</v>
      </c>
      <c r="CB164" s="1158">
        <f t="shared" si="139"/>
        <v>50.721884577785978</v>
      </c>
      <c r="CC164" s="917">
        <f t="shared" si="140"/>
        <v>2832.989</v>
      </c>
      <c r="CD164" s="920">
        <f t="shared" si="141"/>
        <v>2915.9910000000009</v>
      </c>
      <c r="CE164" s="914">
        <v>2015</v>
      </c>
      <c r="CF164" s="910" t="s">
        <v>5630</v>
      </c>
      <c r="CG164" s="1026">
        <v>3</v>
      </c>
      <c r="CH164" s="495">
        <v>3.3</v>
      </c>
      <c r="CI164" s="497">
        <v>2.7</v>
      </c>
      <c r="CJ164" s="904">
        <v>5.6</v>
      </c>
      <c r="CK164" s="904">
        <v>1.5</v>
      </c>
      <c r="CL164" s="904">
        <v>2006</v>
      </c>
      <c r="CM164" s="905" t="s">
        <v>5573</v>
      </c>
      <c r="CN164" s="1044">
        <v>4220.4660000000003</v>
      </c>
      <c r="CO164" s="1045">
        <f t="shared" si="160"/>
        <v>39.125107164999989</v>
      </c>
      <c r="CP164" s="1040">
        <f t="shared" si="157"/>
        <v>2100.2111037996851</v>
      </c>
      <c r="CQ164" s="1041">
        <f t="shared" si="158"/>
        <v>2120.2548962003152</v>
      </c>
      <c r="CR164" s="1046">
        <v>1984</v>
      </c>
      <c r="CS164" s="1047" t="s">
        <v>6024</v>
      </c>
      <c r="CT164" s="1068">
        <f t="shared" si="161"/>
        <v>15</v>
      </c>
      <c r="CU164" s="1071">
        <v>18</v>
      </c>
      <c r="CV164" s="1068" t="s">
        <v>6036</v>
      </c>
      <c r="CW164" s="1113">
        <v>4220.4660000000003</v>
      </c>
      <c r="CX164" s="1113">
        <v>2952.2890000000002</v>
      </c>
      <c r="CY164" s="1113">
        <v>6217.7380000000003</v>
      </c>
      <c r="CZ164" s="494">
        <v>1</v>
      </c>
      <c r="DA164" s="1104">
        <v>4</v>
      </c>
      <c r="DB164" s="1050" t="s">
        <v>647</v>
      </c>
      <c r="DC164" s="1143" t="s">
        <v>320</v>
      </c>
      <c r="DD164" s="978">
        <f t="shared" si="148"/>
        <v>6415.4942799999999</v>
      </c>
      <c r="DE164" s="979">
        <f t="shared" si="162"/>
        <v>59.473740866872149</v>
      </c>
      <c r="DF164" s="979">
        <f t="shared" si="149"/>
        <v>50.367535388086814</v>
      </c>
      <c r="DG164" s="980">
        <f t="shared" si="150"/>
        <v>3184.0726122003152</v>
      </c>
      <c r="DH164" s="980">
        <f t="shared" si="151"/>
        <v>3231.3263517996857</v>
      </c>
      <c r="DI164" s="979">
        <f t="shared" si="163"/>
        <v>59.316504873293319</v>
      </c>
      <c r="DJ164" s="981">
        <f t="shared" si="164"/>
        <v>59.627731564642417</v>
      </c>
      <c r="DK164" s="984">
        <f t="shared" si="165"/>
        <v>1528.5140000000001</v>
      </c>
      <c r="DL164" s="979">
        <f t="shared" si="152"/>
        <v>52.059457996438738</v>
      </c>
      <c r="DM164" s="980">
        <f t="shared" si="166"/>
        <v>732.7778962003149</v>
      </c>
      <c r="DN164" s="985">
        <f t="shared" si="167"/>
        <v>795.73610379968568</v>
      </c>
      <c r="DO164" s="984">
        <f t="shared" si="168"/>
        <v>2975.0879699999996</v>
      </c>
      <c r="DP164" s="979">
        <f t="shared" si="153"/>
        <v>49.90446292584754</v>
      </c>
      <c r="DQ164" s="980">
        <f t="shared" si="142"/>
        <v>1490.3404</v>
      </c>
      <c r="DR164" s="985">
        <f t="shared" si="143"/>
        <v>1484.701673</v>
      </c>
      <c r="DS164" s="984">
        <f t="shared" si="169"/>
        <v>1911.89231</v>
      </c>
      <c r="DT164" s="339">
        <f t="shared" si="154"/>
        <v>49.735467318240325</v>
      </c>
      <c r="DU164" s="980">
        <f t="shared" si="144"/>
        <v>960.95431600000006</v>
      </c>
      <c r="DV164" s="985">
        <f t="shared" si="145"/>
        <v>950.88857499999995</v>
      </c>
      <c r="DW164" s="979">
        <f t="shared" si="146"/>
        <v>96.7</v>
      </c>
      <c r="DX164" s="981">
        <f t="shared" si="147"/>
        <v>97.3</v>
      </c>
      <c r="DY164" s="414">
        <v>73</v>
      </c>
      <c r="DZ164" s="111">
        <v>2014</v>
      </c>
      <c r="EA164" s="118">
        <v>7661.7755900000002</v>
      </c>
      <c r="EB164" s="123" t="s">
        <v>145</v>
      </c>
      <c r="EC164" s="113" t="s">
        <v>145</v>
      </c>
      <c r="ED164" s="20"/>
      <c r="EE164" s="414">
        <v>73</v>
      </c>
      <c r="EF164" s="111">
        <v>2014</v>
      </c>
      <c r="EG164" s="380" t="s">
        <v>145</v>
      </c>
      <c r="EH164" s="24" t="s">
        <v>335</v>
      </c>
      <c r="EI164" s="287">
        <v>1</v>
      </c>
      <c r="EJ164" s="40">
        <v>3</v>
      </c>
      <c r="EK164" s="35" t="s">
        <v>728</v>
      </c>
      <c r="EL164" s="95" t="s">
        <v>145</v>
      </c>
      <c r="EM164" s="95" t="s">
        <v>145</v>
      </c>
      <c r="EN164" s="35" t="s">
        <v>145</v>
      </c>
      <c r="EO164" s="95" t="s">
        <v>1650</v>
      </c>
      <c r="EP164" s="205">
        <v>0.03</v>
      </c>
      <c r="EQ164" s="207" t="s">
        <v>145</v>
      </c>
      <c r="ER164" s="517" t="s">
        <v>145</v>
      </c>
      <c r="ES164" s="183"/>
      <c r="ET164" s="183"/>
      <c r="EU164" s="82"/>
      <c r="EV164" s="82"/>
      <c r="EW164" s="82"/>
      <c r="EX164" s="90"/>
      <c r="EY164" s="159"/>
      <c r="EZ164" s="156"/>
      <c r="FA164" s="323"/>
      <c r="FB164" s="323"/>
      <c r="FC164" s="323"/>
      <c r="FD164" s="160"/>
      <c r="FE164" s="156"/>
      <c r="FF164" s="156"/>
      <c r="FG164" s="156"/>
      <c r="FH164" s="157"/>
      <c r="FI164" s="242"/>
      <c r="FJ164" s="373"/>
      <c r="FK164" s="179"/>
      <c r="FL164" s="179"/>
      <c r="FM164" s="179"/>
      <c r="FN164" s="369"/>
      <c r="FO164" s="164"/>
      <c r="FP164" s="255"/>
      <c r="FQ164" s="183"/>
      <c r="FR164" s="257">
        <v>1</v>
      </c>
      <c r="FS164" s="82" t="s">
        <v>1702</v>
      </c>
      <c r="FT164" s="259"/>
      <c r="FU164" s="82"/>
      <c r="FV164" s="259"/>
      <c r="FW164" s="82"/>
      <c r="FX164" s="259"/>
      <c r="FY164" s="82"/>
      <c r="FZ164" s="259"/>
      <c r="GA164" s="82"/>
      <c r="GB164" s="261"/>
      <c r="GC164" s="90"/>
      <c r="GD164" s="76">
        <v>3</v>
      </c>
      <c r="GE164" s="445" t="s">
        <v>3435</v>
      </c>
      <c r="GF164" s="447" t="s">
        <v>580</v>
      </c>
      <c r="GG164" s="448">
        <v>7</v>
      </c>
      <c r="GH164" s="449">
        <v>7</v>
      </c>
      <c r="GI164" s="447" t="s">
        <v>145</v>
      </c>
      <c r="GJ164" s="449" t="s">
        <v>145</v>
      </c>
      <c r="GK164" s="447" t="s">
        <v>145</v>
      </c>
      <c r="GL164" s="448" t="s">
        <v>145</v>
      </c>
      <c r="GM164" s="449" t="s">
        <v>145</v>
      </c>
      <c r="GN164" s="447" t="s">
        <v>580</v>
      </c>
      <c r="GO164" s="449">
        <v>82</v>
      </c>
      <c r="GP164" s="447">
        <v>26</v>
      </c>
      <c r="GQ164" s="448">
        <v>34</v>
      </c>
      <c r="GR164" s="449">
        <v>22</v>
      </c>
      <c r="GS164" s="446">
        <v>7</v>
      </c>
      <c r="GT164" s="461">
        <v>-2.1903326511383057</v>
      </c>
      <c r="GU164" s="462">
        <v>-2.7475802898406982</v>
      </c>
      <c r="GV164" s="462">
        <v>-2.2076852321624756</v>
      </c>
      <c r="GW164" s="462">
        <v>-2.2146487236022949</v>
      </c>
      <c r="GX164" s="462">
        <v>-2.4434440135955811</v>
      </c>
      <c r="GY164" s="463">
        <v>-1.5839486122131348</v>
      </c>
      <c r="GZ164" s="10">
        <v>193</v>
      </c>
      <c r="HA164" s="536">
        <v>1.387E-2</v>
      </c>
      <c r="HB164" s="536">
        <v>3.9210000000000002E-2</v>
      </c>
      <c r="HC164" s="525">
        <v>1.5740000000000001E-2</v>
      </c>
      <c r="HD164" s="526">
        <v>2.588E-2</v>
      </c>
      <c r="HE164" s="527">
        <v>0</v>
      </c>
      <c r="HF164" s="10" t="s">
        <v>145</v>
      </c>
      <c r="HG164" s="532" t="s">
        <v>145</v>
      </c>
      <c r="HH164" s="524" t="s">
        <v>145</v>
      </c>
      <c r="HI164" s="525" t="s">
        <v>145</v>
      </c>
      <c r="HJ164" s="527" t="s">
        <v>145</v>
      </c>
      <c r="HK164" s="558" t="s">
        <v>145</v>
      </c>
      <c r="HL164" s="82" t="s">
        <v>145</v>
      </c>
      <c r="HM164" s="557" t="s">
        <v>145</v>
      </c>
      <c r="HN164" s="557" t="s">
        <v>145</v>
      </c>
      <c r="HO164" s="526" t="s">
        <v>145</v>
      </c>
      <c r="HP164" s="564" t="s">
        <v>145</v>
      </c>
      <c r="HQ164" s="564" t="s">
        <v>145</v>
      </c>
      <c r="HR164" s="565" t="s">
        <v>145</v>
      </c>
      <c r="HS164" s="524" t="s">
        <v>145</v>
      </c>
      <c r="HT164" s="526" t="s">
        <v>145</v>
      </c>
      <c r="HU164" s="526" t="s">
        <v>145</v>
      </c>
      <c r="HV164" s="582" t="s">
        <v>145</v>
      </c>
      <c r="HW164" s="526" t="s">
        <v>145</v>
      </c>
      <c r="HX164" s="526" t="s">
        <v>145</v>
      </c>
      <c r="HY164" s="526" t="s">
        <v>145</v>
      </c>
      <c r="HZ164" s="526" t="s">
        <v>145</v>
      </c>
      <c r="IA164" s="526" t="s">
        <v>145</v>
      </c>
      <c r="IB164" s="526" t="s">
        <v>145</v>
      </c>
      <c r="IC164" s="527" t="s">
        <v>145</v>
      </c>
      <c r="ID164" s="40"/>
      <c r="IE164" s="550"/>
      <c r="IF164" s="550"/>
      <c r="IG164" s="553">
        <v>1</v>
      </c>
      <c r="IH164" s="115"/>
      <c r="II164" s="647" t="s">
        <v>4921</v>
      </c>
      <c r="IJ164" s="423" t="s">
        <v>4918</v>
      </c>
      <c r="IK164" s="10">
        <v>0</v>
      </c>
      <c r="IL164" s="749">
        <f t="shared" si="170"/>
        <v>12</v>
      </c>
      <c r="IM164" s="747">
        <f t="shared" si="171"/>
        <v>48</v>
      </c>
      <c r="IN164" s="750" t="str">
        <f t="shared" si="172"/>
        <v>C</v>
      </c>
      <c r="IO164" s="446">
        <v>1</v>
      </c>
      <c r="IP164" s="902">
        <v>4</v>
      </c>
      <c r="IQ164" s="903">
        <v>0</v>
      </c>
      <c r="IR164" s="993">
        <v>0</v>
      </c>
      <c r="IT164" s="435"/>
      <c r="IU164" s="435"/>
      <c r="IV164" s="435"/>
    </row>
    <row r="165" spans="1:256">
      <c r="A165" s="21">
        <v>163</v>
      </c>
      <c r="B165" s="9"/>
      <c r="C165" s="431" t="s">
        <v>250</v>
      </c>
      <c r="D165" s="423" t="s">
        <v>406</v>
      </c>
      <c r="E165" s="24" t="s">
        <v>12</v>
      </c>
      <c r="F165" s="76" t="s">
        <v>897</v>
      </c>
      <c r="G165" s="102" t="s">
        <v>641</v>
      </c>
      <c r="H165" s="375" t="s">
        <v>2478</v>
      </c>
      <c r="I165" s="95" t="s">
        <v>2479</v>
      </c>
      <c r="J165" s="176">
        <v>2</v>
      </c>
      <c r="K165" s="359">
        <v>1868</v>
      </c>
      <c r="L165" s="371">
        <v>2</v>
      </c>
      <c r="M165" s="373" t="s">
        <v>1825</v>
      </c>
      <c r="N165" s="369" t="s">
        <v>1822</v>
      </c>
      <c r="O165" s="365" t="s">
        <v>2909</v>
      </c>
      <c r="P165" s="378" t="s">
        <v>2479</v>
      </c>
      <c r="Q165" s="370">
        <v>2</v>
      </c>
      <c r="R165" s="370">
        <v>1996</v>
      </c>
      <c r="S165" s="372" t="s">
        <v>1990</v>
      </c>
      <c r="T165" s="370">
        <v>1</v>
      </c>
      <c r="U165" s="370">
        <v>2</v>
      </c>
      <c r="V165" s="370">
        <v>15.5</v>
      </c>
      <c r="W165" s="369" t="s">
        <v>1822</v>
      </c>
      <c r="X165" s="170">
        <v>1</v>
      </c>
      <c r="Y165" s="369">
        <v>1</v>
      </c>
      <c r="Z165" s="271"/>
      <c r="AA165" s="169">
        <v>1</v>
      </c>
      <c r="AB165" s="177">
        <v>1</v>
      </c>
      <c r="AC165" s="171"/>
      <c r="AD165" s="366" t="s">
        <v>2910</v>
      </c>
      <c r="AE165" s="357">
        <v>2013</v>
      </c>
      <c r="AF165" s="357">
        <v>2</v>
      </c>
      <c r="AG165" s="550" t="s">
        <v>5171</v>
      </c>
      <c r="AH165" s="355" t="s">
        <v>2747</v>
      </c>
      <c r="AI165" s="550">
        <v>1</v>
      </c>
      <c r="AJ165" s="550">
        <v>0</v>
      </c>
      <c r="AK165" s="590" t="s">
        <v>145</v>
      </c>
      <c r="AL165" s="387" t="s">
        <v>5432</v>
      </c>
      <c r="AM165" s="361" t="s">
        <v>2781</v>
      </c>
      <c r="AN165" s="342" t="s">
        <v>145</v>
      </c>
      <c r="AO165" s="170">
        <v>0</v>
      </c>
      <c r="AP165" s="172">
        <v>0</v>
      </c>
      <c r="AQ165" s="365" t="s">
        <v>5309</v>
      </c>
      <c r="AR165" s="362" t="s">
        <v>5310</v>
      </c>
      <c r="AS165" s="55">
        <v>1</v>
      </c>
      <c r="AT165" s="370">
        <v>2</v>
      </c>
      <c r="AU165" s="371">
        <v>2009</v>
      </c>
      <c r="AV165" s="370">
        <v>10</v>
      </c>
      <c r="AW165" s="589" t="s">
        <v>145</v>
      </c>
      <c r="AX165" s="687">
        <v>0</v>
      </c>
      <c r="AY165" s="174" t="s">
        <v>2178</v>
      </c>
      <c r="AZ165" s="55">
        <v>2008</v>
      </c>
      <c r="BA165" s="55">
        <v>1</v>
      </c>
      <c r="BB165" s="55">
        <v>1</v>
      </c>
      <c r="BC165" s="174" t="s">
        <v>4437</v>
      </c>
      <c r="BD165" s="55">
        <v>2008</v>
      </c>
      <c r="BE165" s="55">
        <v>1</v>
      </c>
      <c r="BF165" s="371" t="s">
        <v>323</v>
      </c>
      <c r="BG165" s="367">
        <v>0</v>
      </c>
      <c r="BH165" s="56" t="s">
        <v>145</v>
      </c>
      <c r="BI165" s="367">
        <v>2</v>
      </c>
      <c r="BJ165" s="367">
        <v>1</v>
      </c>
      <c r="BK165" s="888">
        <v>54490.406000000003</v>
      </c>
      <c r="BL165" s="925">
        <f t="shared" si="159"/>
        <v>50.82206581466837</v>
      </c>
      <c r="BM165" s="888">
        <v>26797.256000000001</v>
      </c>
      <c r="BN165" s="920">
        <v>27693.15</v>
      </c>
      <c r="BO165" s="888">
        <v>5370.1210000000001</v>
      </c>
      <c r="BP165" s="1158">
        <f t="shared" si="135"/>
        <v>49.554097570613393</v>
      </c>
      <c r="BQ165" s="917">
        <v>2709.0059999999999</v>
      </c>
      <c r="BR165" s="920">
        <v>2661.1149999999998</v>
      </c>
      <c r="BS165" s="888">
        <v>5511.8490000000002</v>
      </c>
      <c r="BT165" s="1158">
        <f t="shared" si="136"/>
        <v>49.162685697666973</v>
      </c>
      <c r="BU165" s="917">
        <v>2802.076</v>
      </c>
      <c r="BV165" s="920">
        <v>2709.7730000000001</v>
      </c>
      <c r="BW165" s="888">
        <v>5050.6049999999996</v>
      </c>
      <c r="BX165" s="1158">
        <f t="shared" si="137"/>
        <v>49.800251653019792</v>
      </c>
      <c r="BY165" s="917">
        <v>2535.3910000000001</v>
      </c>
      <c r="BZ165" s="920">
        <v>2515.2139999999999</v>
      </c>
      <c r="CA165" s="888">
        <f t="shared" si="138"/>
        <v>38557.831000000006</v>
      </c>
      <c r="CB165" s="1158">
        <f t="shared" si="139"/>
        <v>51.369715272625157</v>
      </c>
      <c r="CC165" s="917">
        <f t="shared" si="140"/>
        <v>18750.782999999999</v>
      </c>
      <c r="CD165" s="920">
        <f t="shared" si="141"/>
        <v>19807.048000000003</v>
      </c>
      <c r="CE165" s="914">
        <v>2015</v>
      </c>
      <c r="CF165" s="910" t="s">
        <v>5630</v>
      </c>
      <c r="CG165" s="931">
        <v>95</v>
      </c>
      <c r="CH165" s="504">
        <v>95</v>
      </c>
      <c r="CI165" s="1008">
        <v>95</v>
      </c>
      <c r="CJ165" s="904" t="s">
        <v>1621</v>
      </c>
      <c r="CK165" s="904" t="s">
        <v>1621</v>
      </c>
      <c r="CL165" s="906">
        <v>2013</v>
      </c>
      <c r="CM165" s="1002" t="s">
        <v>5709</v>
      </c>
      <c r="CN165" s="1044">
        <v>25388.081999999999</v>
      </c>
      <c r="CO165" s="1045">
        <f t="shared" si="160"/>
        <v>46.591838570628376</v>
      </c>
      <c r="CP165" s="1040">
        <f t="shared" si="157"/>
        <v>12485.334256878024</v>
      </c>
      <c r="CQ165" s="1041">
        <f t="shared" si="158"/>
        <v>12902.747743121972</v>
      </c>
      <c r="CR165" s="1046">
        <v>2014</v>
      </c>
      <c r="CS165" s="1047" t="s">
        <v>6025</v>
      </c>
      <c r="CT165" s="1068">
        <f t="shared" si="161"/>
        <v>15.5</v>
      </c>
      <c r="CU165" s="1071">
        <v>18</v>
      </c>
      <c r="CV165" s="1068" t="s">
        <v>6037</v>
      </c>
      <c r="CW165" s="1113">
        <v>25388.081999999999</v>
      </c>
      <c r="CX165" s="1113">
        <v>34691.652000000002</v>
      </c>
      <c r="CY165" s="1113">
        <v>54002</v>
      </c>
      <c r="CZ165" s="494">
        <v>1</v>
      </c>
      <c r="DA165" s="1104">
        <v>4</v>
      </c>
      <c r="DB165" s="1050" t="s">
        <v>647</v>
      </c>
      <c r="DC165" s="1146" t="s">
        <v>322</v>
      </c>
      <c r="DD165" s="978">
        <f t="shared" si="148"/>
        <v>13966.377750000007</v>
      </c>
      <c r="DE165" s="979">
        <f t="shared" si="162"/>
        <v>25.630893170441794</v>
      </c>
      <c r="DF165" s="979">
        <f t="shared" si="149"/>
        <v>52.258398616477542</v>
      </c>
      <c r="DG165" s="980">
        <f t="shared" si="150"/>
        <v>6667.7723931219753</v>
      </c>
      <c r="DH165" s="980">
        <f t="shared" si="151"/>
        <v>7298.6053568780308</v>
      </c>
      <c r="DI165" s="979">
        <f t="shared" si="163"/>
        <v>24.882295385475196</v>
      </c>
      <c r="DJ165" s="981">
        <f t="shared" si="164"/>
        <v>26.355273260275663</v>
      </c>
      <c r="DK165" s="984">
        <f t="shared" si="165"/>
        <v>13169.749000000007</v>
      </c>
      <c r="DL165" s="979">
        <f t="shared" si="152"/>
        <v>52.425450605611587</v>
      </c>
      <c r="DM165" s="980">
        <f t="shared" si="166"/>
        <v>6265.448743121975</v>
      </c>
      <c r="DN165" s="985">
        <f t="shared" si="167"/>
        <v>6904.3002568780303</v>
      </c>
      <c r="DO165" s="984">
        <f t="shared" si="168"/>
        <v>528.12270000000046</v>
      </c>
      <c r="DP165" s="979">
        <f t="shared" si="153"/>
        <v>49.467547977013673</v>
      </c>
      <c r="DQ165" s="980">
        <f t="shared" si="142"/>
        <v>266.87335000000024</v>
      </c>
      <c r="DR165" s="985">
        <f t="shared" si="143"/>
        <v>261.24935000000022</v>
      </c>
      <c r="DS165" s="984">
        <f t="shared" si="169"/>
        <v>268.50605000000024</v>
      </c>
      <c r="DT165" s="339">
        <f t="shared" si="154"/>
        <v>49.554097570613393</v>
      </c>
      <c r="DU165" s="980">
        <f t="shared" si="144"/>
        <v>135.45030000000011</v>
      </c>
      <c r="DV165" s="985">
        <f t="shared" si="145"/>
        <v>133.0557500000001</v>
      </c>
      <c r="DW165" s="979">
        <f t="shared" si="146"/>
        <v>5.0000000000000044</v>
      </c>
      <c r="DX165" s="981">
        <f t="shared" si="147"/>
        <v>5.0000000000000044</v>
      </c>
      <c r="DY165" s="414">
        <v>13.77</v>
      </c>
      <c r="DZ165" s="111">
        <v>2009</v>
      </c>
      <c r="EA165" s="118">
        <v>6980.9724659999993</v>
      </c>
      <c r="EB165" s="123">
        <v>23</v>
      </c>
      <c r="EC165" s="113">
        <v>2006</v>
      </c>
      <c r="ED165" s="20">
        <v>11634.954109999999</v>
      </c>
      <c r="EE165" s="414">
        <v>31.3</v>
      </c>
      <c r="EF165" s="111">
        <v>2009</v>
      </c>
      <c r="EG165" s="380">
        <v>93.729469299316406</v>
      </c>
      <c r="EH165" s="24" t="s">
        <v>335</v>
      </c>
      <c r="EI165" s="287">
        <v>3</v>
      </c>
      <c r="EJ165" s="40">
        <v>2</v>
      </c>
      <c r="EK165" s="35" t="s">
        <v>728</v>
      </c>
      <c r="EL165" s="95" t="s">
        <v>931</v>
      </c>
      <c r="EM165" s="95" t="s">
        <v>145</v>
      </c>
      <c r="EN165" s="35" t="s">
        <v>145</v>
      </c>
      <c r="EO165" s="95" t="s">
        <v>1646</v>
      </c>
      <c r="EP165" s="205">
        <v>0.92</v>
      </c>
      <c r="EQ165" s="207">
        <v>0.89</v>
      </c>
      <c r="ER165" s="517" t="s">
        <v>145</v>
      </c>
      <c r="ES165" s="183"/>
      <c r="ET165" s="183"/>
      <c r="EU165" s="82"/>
      <c r="EV165" s="82"/>
      <c r="EW165" s="82"/>
      <c r="EX165" s="90"/>
      <c r="EY165" s="159"/>
      <c r="EZ165" s="156"/>
      <c r="FA165" s="323"/>
      <c r="FB165" s="323"/>
      <c r="FC165" s="323"/>
      <c r="FD165" s="160"/>
      <c r="FE165" s="156"/>
      <c r="FF165" s="156"/>
      <c r="FG165" s="156"/>
      <c r="FH165" s="157"/>
      <c r="FI165" s="242"/>
      <c r="FJ165" s="240"/>
      <c r="FK165" s="179"/>
      <c r="FL165" s="179"/>
      <c r="FM165" s="179"/>
      <c r="FN165" s="172"/>
      <c r="FO165" s="164"/>
      <c r="FP165" s="255">
        <v>1</v>
      </c>
      <c r="FQ165" s="183" t="s">
        <v>1932</v>
      </c>
      <c r="FR165" s="257"/>
      <c r="FS165" s="82"/>
      <c r="FT165" s="259">
        <v>1</v>
      </c>
      <c r="FU165" s="82" t="s">
        <v>1933</v>
      </c>
      <c r="FV165" s="259"/>
      <c r="FW165" s="82"/>
      <c r="FX165" s="259">
        <v>1</v>
      </c>
      <c r="FY165" s="82" t="s">
        <v>1934</v>
      </c>
      <c r="FZ165" s="259"/>
      <c r="GA165" s="82"/>
      <c r="GB165" s="261"/>
      <c r="GC165" s="90"/>
      <c r="GD165" s="76">
        <v>2</v>
      </c>
      <c r="GE165" s="445" t="s">
        <v>3431</v>
      </c>
      <c r="GF165" s="447" t="s">
        <v>10</v>
      </c>
      <c r="GG165" s="448">
        <v>2</v>
      </c>
      <c r="GH165" s="449">
        <v>2</v>
      </c>
      <c r="GI165" s="447" t="s">
        <v>10</v>
      </c>
      <c r="GJ165" s="449">
        <v>26</v>
      </c>
      <c r="GK165" s="447">
        <v>7</v>
      </c>
      <c r="GL165" s="448">
        <v>8</v>
      </c>
      <c r="GM165" s="449">
        <v>11</v>
      </c>
      <c r="GN165" s="447" t="s">
        <v>590</v>
      </c>
      <c r="GO165" s="449">
        <v>33</v>
      </c>
      <c r="GP165" s="447">
        <v>9</v>
      </c>
      <c r="GQ165" s="448">
        <v>14</v>
      </c>
      <c r="GR165" s="449">
        <v>10</v>
      </c>
      <c r="GS165" s="446">
        <v>9</v>
      </c>
      <c r="GT165" s="461">
        <v>0.58215516805648804</v>
      </c>
      <c r="GU165" s="462">
        <v>-5.7529490441083908E-2</v>
      </c>
      <c r="GV165" s="462">
        <v>0.43402451276779175</v>
      </c>
      <c r="GW165" s="462">
        <v>0.40744313597679138</v>
      </c>
      <c r="GX165" s="462">
        <v>0.12699155509471893</v>
      </c>
      <c r="GY165" s="463">
        <v>-0.11970674246549606</v>
      </c>
      <c r="GZ165" s="10">
        <v>93</v>
      </c>
      <c r="HA165" s="536">
        <v>0.48687999999999998</v>
      </c>
      <c r="HB165" s="536">
        <v>0.33333000000000002</v>
      </c>
      <c r="HC165" s="525">
        <v>0.38582</v>
      </c>
      <c r="HD165" s="526">
        <v>0.34661999999999998</v>
      </c>
      <c r="HE165" s="527">
        <v>0.72819999999999996</v>
      </c>
      <c r="HF165" s="10">
        <v>90</v>
      </c>
      <c r="HG165" s="532">
        <v>4.42</v>
      </c>
      <c r="HH165" s="545">
        <v>4.82</v>
      </c>
      <c r="HI165" s="546">
        <v>2.75</v>
      </c>
      <c r="HJ165" s="547">
        <v>6.98</v>
      </c>
      <c r="HK165" s="558" t="s">
        <v>4784</v>
      </c>
      <c r="HL165" s="585" t="s">
        <v>4785</v>
      </c>
      <c r="HM165" s="448">
        <v>1982</v>
      </c>
      <c r="HN165" s="810">
        <v>2014</v>
      </c>
      <c r="HO165" s="448" t="s">
        <v>3985</v>
      </c>
      <c r="HP165" s="562" t="s">
        <v>145</v>
      </c>
      <c r="HQ165" s="562" t="s">
        <v>145</v>
      </c>
      <c r="HR165" s="563" t="s">
        <v>145</v>
      </c>
      <c r="HS165" s="545">
        <v>17</v>
      </c>
      <c r="HT165" s="557">
        <v>109</v>
      </c>
      <c r="HU165" s="557">
        <v>2000</v>
      </c>
      <c r="HV165" s="583" t="s">
        <v>4244</v>
      </c>
      <c r="HW165" s="557">
        <v>6</v>
      </c>
      <c r="HX165" s="557">
        <v>25</v>
      </c>
      <c r="HY165" s="557">
        <v>19</v>
      </c>
      <c r="HZ165" s="557">
        <v>25</v>
      </c>
      <c r="IA165" s="557">
        <v>14</v>
      </c>
      <c r="IB165" s="557">
        <v>6</v>
      </c>
      <c r="IC165" s="547">
        <v>14</v>
      </c>
      <c r="ID165" s="40"/>
      <c r="IE165" s="550"/>
      <c r="IF165" s="550"/>
      <c r="IG165" s="553"/>
      <c r="IH165" s="115"/>
      <c r="II165" s="647" t="s">
        <v>4922</v>
      </c>
      <c r="IJ165" s="423" t="s">
        <v>4926</v>
      </c>
      <c r="IK165" s="10">
        <v>0</v>
      </c>
      <c r="IL165" s="749">
        <f t="shared" si="170"/>
        <v>18</v>
      </c>
      <c r="IM165" s="747">
        <f t="shared" si="171"/>
        <v>72</v>
      </c>
      <c r="IN165" s="750" t="str">
        <f t="shared" si="172"/>
        <v>B</v>
      </c>
      <c r="IO165" s="446">
        <v>1</v>
      </c>
      <c r="IP165" s="902">
        <v>4</v>
      </c>
      <c r="IQ165" s="903">
        <v>2</v>
      </c>
      <c r="IR165" s="993">
        <v>0</v>
      </c>
      <c r="IT165" s="435"/>
      <c r="IU165" s="435"/>
      <c r="IV165" s="435"/>
    </row>
    <row r="166" spans="1:256">
      <c r="A166" s="21">
        <v>164</v>
      </c>
      <c r="B166" s="9"/>
      <c r="C166" s="430" t="s">
        <v>251</v>
      </c>
      <c r="D166" s="423" t="s">
        <v>406</v>
      </c>
      <c r="E166" s="24" t="s">
        <v>20</v>
      </c>
      <c r="F166" s="76" t="s">
        <v>898</v>
      </c>
      <c r="G166" s="102" t="s">
        <v>1607</v>
      </c>
      <c r="H166" s="375" t="s">
        <v>2483</v>
      </c>
      <c r="I166" s="95" t="s">
        <v>2482</v>
      </c>
      <c r="J166" s="176">
        <v>1</v>
      </c>
      <c r="K166" s="359">
        <v>2011</v>
      </c>
      <c r="L166" s="371">
        <v>2</v>
      </c>
      <c r="M166" s="373" t="s">
        <v>145</v>
      </c>
      <c r="N166" s="369" t="s">
        <v>1822</v>
      </c>
      <c r="O166" s="365" t="s">
        <v>3347</v>
      </c>
      <c r="P166" s="362" t="s">
        <v>3348</v>
      </c>
      <c r="Q166" s="370">
        <v>2</v>
      </c>
      <c r="R166" s="370">
        <v>2012</v>
      </c>
      <c r="S166" s="372" t="s">
        <v>1961</v>
      </c>
      <c r="T166" s="370">
        <v>2</v>
      </c>
      <c r="U166" s="370">
        <v>2</v>
      </c>
      <c r="V166" s="370">
        <v>16</v>
      </c>
      <c r="W166" s="369" t="s">
        <v>3349</v>
      </c>
      <c r="X166" s="170">
        <v>0</v>
      </c>
      <c r="Y166" s="369">
        <v>0</v>
      </c>
      <c r="Z166" s="271"/>
      <c r="AA166" s="169"/>
      <c r="AB166" s="177">
        <v>1</v>
      </c>
      <c r="AC166" s="171"/>
      <c r="AD166" s="366" t="s">
        <v>3347</v>
      </c>
      <c r="AE166" s="355">
        <v>2012</v>
      </c>
      <c r="AF166" s="357">
        <v>2</v>
      </c>
      <c r="AG166" s="550" t="s">
        <v>4272</v>
      </c>
      <c r="AH166" s="355" t="s">
        <v>2788</v>
      </c>
      <c r="AI166" s="55">
        <v>0</v>
      </c>
      <c r="AJ166" s="55">
        <v>0</v>
      </c>
      <c r="AK166" s="590" t="s">
        <v>145</v>
      </c>
      <c r="AL166" s="386">
        <v>9</v>
      </c>
      <c r="AM166" s="361" t="s">
        <v>2882</v>
      </c>
      <c r="AN166" s="342" t="s">
        <v>145</v>
      </c>
      <c r="AO166" s="170">
        <v>0</v>
      </c>
      <c r="AP166" s="369">
        <v>0</v>
      </c>
      <c r="AQ166" s="365" t="s">
        <v>5154</v>
      </c>
      <c r="AR166" s="378" t="s">
        <v>4934</v>
      </c>
      <c r="AS166" s="55">
        <v>2</v>
      </c>
      <c r="AT166" s="370">
        <v>3</v>
      </c>
      <c r="AU166" s="371">
        <v>2012</v>
      </c>
      <c r="AV166" s="370">
        <v>5</v>
      </c>
      <c r="AW166" s="589" t="s">
        <v>145</v>
      </c>
      <c r="AX166" s="687">
        <v>0</v>
      </c>
      <c r="AY166" s="174" t="s">
        <v>2481</v>
      </c>
      <c r="AZ166" s="55">
        <v>2005</v>
      </c>
      <c r="BA166" s="55">
        <v>1</v>
      </c>
      <c r="BB166" s="55">
        <v>0</v>
      </c>
      <c r="BC166" s="108" t="s">
        <v>145</v>
      </c>
      <c r="BD166" s="55" t="s">
        <v>145</v>
      </c>
      <c r="BE166" s="55">
        <v>0</v>
      </c>
      <c r="BF166" s="371" t="s">
        <v>145</v>
      </c>
      <c r="BG166" s="371">
        <v>0</v>
      </c>
      <c r="BH166" s="56" t="s">
        <v>145</v>
      </c>
      <c r="BI166" s="371">
        <v>0</v>
      </c>
      <c r="BJ166" s="371">
        <v>1</v>
      </c>
      <c r="BK166" s="888">
        <v>12339.812</v>
      </c>
      <c r="BL166" s="925">
        <f t="shared" si="159"/>
        <v>49.92442348392342</v>
      </c>
      <c r="BM166" s="888">
        <v>6179.232</v>
      </c>
      <c r="BN166" s="920">
        <v>6160.58</v>
      </c>
      <c r="BO166" s="888">
        <v>1955.8209999999999</v>
      </c>
      <c r="BP166" s="1158">
        <f t="shared" si="135"/>
        <v>49.264222032588876</v>
      </c>
      <c r="BQ166" s="917">
        <v>992.30100000000004</v>
      </c>
      <c r="BR166" s="920">
        <v>963.52</v>
      </c>
      <c r="BS166" s="888">
        <v>1718.4849999999999</v>
      </c>
      <c r="BT166" s="1158">
        <f t="shared" si="136"/>
        <v>49.373779811869177</v>
      </c>
      <c r="BU166" s="917">
        <v>870.00400000000002</v>
      </c>
      <c r="BV166" s="920">
        <v>848.48099999999999</v>
      </c>
      <c r="BW166" s="888">
        <v>1519.02</v>
      </c>
      <c r="BX166" s="1158">
        <f t="shared" si="137"/>
        <v>49.461692406946582</v>
      </c>
      <c r="BY166" s="917">
        <v>767.68700000000001</v>
      </c>
      <c r="BZ166" s="920">
        <v>751.33299999999997</v>
      </c>
      <c r="CA166" s="888">
        <f t="shared" si="138"/>
        <v>7146.485999999999</v>
      </c>
      <c r="CB166" s="1158">
        <f t="shared" si="139"/>
        <v>50.335871363912275</v>
      </c>
      <c r="CC166" s="917">
        <f t="shared" si="140"/>
        <v>3549.24</v>
      </c>
      <c r="CD166" s="920">
        <f t="shared" si="141"/>
        <v>3597.2459999999996</v>
      </c>
      <c r="CE166" s="914">
        <v>2015</v>
      </c>
      <c r="CF166" s="910" t="s">
        <v>5630</v>
      </c>
      <c r="CG166" s="1026">
        <v>35.4</v>
      </c>
      <c r="CH166" s="495">
        <v>34.9</v>
      </c>
      <c r="CI166" s="497">
        <v>36</v>
      </c>
      <c r="CJ166" s="904">
        <v>45</v>
      </c>
      <c r="CK166" s="904">
        <v>32.299999999999997</v>
      </c>
      <c r="CL166" s="904">
        <v>2010</v>
      </c>
      <c r="CM166" s="905" t="s">
        <v>5609</v>
      </c>
      <c r="CN166" s="1044">
        <v>3851.9940000000001</v>
      </c>
      <c r="CO166" s="1045">
        <f t="shared" si="160"/>
        <v>31.215986110647393</v>
      </c>
      <c r="CP166" s="1040">
        <f t="shared" si="157"/>
        <v>1928.908202864679</v>
      </c>
      <c r="CQ166" s="1041">
        <f t="shared" si="158"/>
        <v>1923.0857971353212</v>
      </c>
      <c r="CR166" s="1046">
        <v>2011</v>
      </c>
      <c r="CS166" s="1047" t="s">
        <v>6026</v>
      </c>
      <c r="CT166" s="1068">
        <f t="shared" si="161"/>
        <v>16</v>
      </c>
      <c r="CU166" s="1071">
        <v>17</v>
      </c>
      <c r="CV166" s="1068" t="s">
        <v>6027</v>
      </c>
      <c r="CW166" s="1113">
        <v>3851.9940000000001</v>
      </c>
      <c r="CX166" s="1113" t="s">
        <v>145</v>
      </c>
      <c r="CY166" s="1113" t="s">
        <v>145</v>
      </c>
      <c r="CZ166" s="494">
        <v>1</v>
      </c>
      <c r="DA166" s="1104">
        <v>6</v>
      </c>
      <c r="DB166" s="1050" t="s">
        <v>647</v>
      </c>
      <c r="DC166" s="1143" t="s">
        <v>320</v>
      </c>
      <c r="DD166" s="978">
        <f t="shared" si="148"/>
        <v>6649.3805959999991</v>
      </c>
      <c r="DE166" s="979">
        <f t="shared" si="162"/>
        <v>53.885590769130019</v>
      </c>
      <c r="DF166" s="979">
        <f t="shared" si="149"/>
        <v>49.849665168191237</v>
      </c>
      <c r="DG166" s="980">
        <f t="shared" si="150"/>
        <v>3332.4565891353209</v>
      </c>
      <c r="DH166" s="980">
        <f t="shared" si="151"/>
        <v>3314.6939628646783</v>
      </c>
      <c r="DI166" s="979">
        <f t="shared" si="163"/>
        <v>53.929947752978379</v>
      </c>
      <c r="DJ166" s="981">
        <f t="shared" si="164"/>
        <v>53.804900883758968</v>
      </c>
      <c r="DK166" s="984">
        <f t="shared" si="165"/>
        <v>3294.4919999999988</v>
      </c>
      <c r="DL166" s="979">
        <f t="shared" si="152"/>
        <v>50.816945461232841</v>
      </c>
      <c r="DM166" s="980">
        <f t="shared" si="166"/>
        <v>1620.3317971353208</v>
      </c>
      <c r="DN166" s="985">
        <f t="shared" si="167"/>
        <v>1674.1602028646785</v>
      </c>
      <c r="DO166" s="984">
        <f t="shared" si="168"/>
        <v>2091.42823</v>
      </c>
      <c r="DP166" s="979">
        <f t="shared" si="153"/>
        <v>48.956064822745553</v>
      </c>
      <c r="DQ166" s="980">
        <f t="shared" si="142"/>
        <v>1066.136841</v>
      </c>
      <c r="DR166" s="985">
        <f t="shared" si="143"/>
        <v>1023.88096</v>
      </c>
      <c r="DS166" s="984">
        <f t="shared" si="169"/>
        <v>1263.460366</v>
      </c>
      <c r="DT166" s="339">
        <f t="shared" si="154"/>
        <v>48.806659598849649</v>
      </c>
      <c r="DU166" s="980">
        <f t="shared" si="144"/>
        <v>645.98795100000007</v>
      </c>
      <c r="DV166" s="985">
        <f t="shared" si="145"/>
        <v>616.65279999999996</v>
      </c>
      <c r="DW166" s="979">
        <f t="shared" si="146"/>
        <v>65.100000000000009</v>
      </c>
      <c r="DX166" s="981">
        <f t="shared" si="147"/>
        <v>64</v>
      </c>
      <c r="DY166" s="414">
        <v>51</v>
      </c>
      <c r="DZ166" s="111">
        <v>2013</v>
      </c>
      <c r="EA166" s="118" t="e">
        <f>#REF!*DY166/100</f>
        <v>#REF!</v>
      </c>
      <c r="EB166" s="123">
        <v>51</v>
      </c>
      <c r="EC166" s="113">
        <v>2010</v>
      </c>
      <c r="ED166" s="20" t="e">
        <f>#REF!*EB138:EB166/100</f>
        <v>#REF!</v>
      </c>
      <c r="EE166" s="414">
        <v>50.6</v>
      </c>
      <c r="EF166" s="111">
        <v>2009</v>
      </c>
      <c r="EG166" s="380" t="s">
        <v>145</v>
      </c>
      <c r="EH166" s="24" t="s">
        <v>335</v>
      </c>
      <c r="EI166" s="287">
        <v>1</v>
      </c>
      <c r="EJ166" s="40">
        <v>2</v>
      </c>
      <c r="EK166" s="35" t="s">
        <v>145</v>
      </c>
      <c r="EL166" s="95" t="s">
        <v>931</v>
      </c>
      <c r="EM166" s="95" t="s">
        <v>145</v>
      </c>
      <c r="EN166" s="35" t="s">
        <v>145</v>
      </c>
      <c r="EO166" s="95" t="s">
        <v>1646</v>
      </c>
      <c r="EP166" s="205">
        <v>0</v>
      </c>
      <c r="EQ166" s="207" t="s">
        <v>145</v>
      </c>
      <c r="ER166" s="517">
        <v>1</v>
      </c>
      <c r="ES166" s="183" t="s">
        <v>145</v>
      </c>
      <c r="ET166" s="183" t="s">
        <v>3770</v>
      </c>
      <c r="EU166" s="82" t="s">
        <v>145</v>
      </c>
      <c r="EV166" s="82" t="s">
        <v>145</v>
      </c>
      <c r="EW166" s="82" t="s">
        <v>145</v>
      </c>
      <c r="EX166" s="360" t="s">
        <v>145</v>
      </c>
      <c r="EY166" s="159"/>
      <c r="EZ166" s="156"/>
      <c r="FA166" s="323"/>
      <c r="FB166" s="323"/>
      <c r="FC166" s="323"/>
      <c r="FD166" s="160"/>
      <c r="FE166" s="156"/>
      <c r="FF166" s="156"/>
      <c r="FG166" s="156"/>
      <c r="FH166" s="157"/>
      <c r="FI166" s="242"/>
      <c r="FJ166" s="240"/>
      <c r="FK166" s="179"/>
      <c r="FL166" s="179"/>
      <c r="FM166" s="179"/>
      <c r="FN166" s="172"/>
      <c r="FO166" s="164"/>
      <c r="FP166" s="255"/>
      <c r="FQ166" s="183"/>
      <c r="FR166" s="257"/>
      <c r="FS166" s="82"/>
      <c r="FT166" s="259"/>
      <c r="FU166" s="82"/>
      <c r="FV166" s="259"/>
      <c r="FW166" s="82"/>
      <c r="FX166" s="259"/>
      <c r="FY166" s="82"/>
      <c r="FZ166" s="259"/>
      <c r="GA166" s="82"/>
      <c r="GB166" s="261"/>
      <c r="GC166" s="90"/>
      <c r="GD166" s="76">
        <v>1</v>
      </c>
      <c r="GE166" s="445" t="s">
        <v>145</v>
      </c>
      <c r="GF166" s="447" t="s">
        <v>580</v>
      </c>
      <c r="GG166" s="448">
        <v>6</v>
      </c>
      <c r="GH166" s="449">
        <v>6</v>
      </c>
      <c r="GI166" s="447" t="s">
        <v>145</v>
      </c>
      <c r="GJ166" s="449" t="s">
        <v>145</v>
      </c>
      <c r="GK166" s="447" t="s">
        <v>145</v>
      </c>
      <c r="GL166" s="448" t="s">
        <v>145</v>
      </c>
      <c r="GM166" s="449" t="s">
        <v>145</v>
      </c>
      <c r="GN166" s="447" t="s">
        <v>580</v>
      </c>
      <c r="GO166" s="449">
        <v>62</v>
      </c>
      <c r="GP166" s="447">
        <v>16</v>
      </c>
      <c r="GQ166" s="448">
        <v>29</v>
      </c>
      <c r="GR166" s="449">
        <v>17</v>
      </c>
      <c r="GS166" s="446">
        <v>0</v>
      </c>
      <c r="GT166" s="461">
        <v>-1.4074095487594604</v>
      </c>
      <c r="GU166" s="462">
        <v>-1.7586312294006348</v>
      </c>
      <c r="GV166" s="462">
        <v>-1.4854505062103271</v>
      </c>
      <c r="GW166" s="462">
        <v>-1.5146365165710449</v>
      </c>
      <c r="GX166" s="462">
        <v>-1.4397648572921753</v>
      </c>
      <c r="GY166" s="463">
        <v>-1.3555991649627686</v>
      </c>
      <c r="GZ166" s="10">
        <v>185</v>
      </c>
      <c r="HA166" s="536">
        <v>0.14183999999999999</v>
      </c>
      <c r="HB166" s="536">
        <v>5.8819999999999997E-2</v>
      </c>
      <c r="HC166" s="525">
        <v>7.8700000000000003E-3</v>
      </c>
      <c r="HD166" s="526">
        <v>1.4109999999999999E-2</v>
      </c>
      <c r="HE166" s="527">
        <v>0.40350000000000003</v>
      </c>
      <c r="HF166" s="10" t="s">
        <v>145</v>
      </c>
      <c r="HG166" s="532" t="s">
        <v>145</v>
      </c>
      <c r="HH166" s="524" t="s">
        <v>145</v>
      </c>
      <c r="HI166" s="525" t="s">
        <v>145</v>
      </c>
      <c r="HJ166" s="527" t="s">
        <v>145</v>
      </c>
      <c r="HK166" s="558" t="s">
        <v>145</v>
      </c>
      <c r="HL166" s="82" t="s">
        <v>145</v>
      </c>
      <c r="HM166" s="557" t="s">
        <v>145</v>
      </c>
      <c r="HN166" s="557" t="s">
        <v>145</v>
      </c>
      <c r="HO166" s="526" t="s">
        <v>145</v>
      </c>
      <c r="HP166" s="564" t="s">
        <v>145</v>
      </c>
      <c r="HQ166" s="564" t="s">
        <v>145</v>
      </c>
      <c r="HR166" s="565" t="s">
        <v>145</v>
      </c>
      <c r="HS166" s="524" t="s">
        <v>145</v>
      </c>
      <c r="HT166" s="526" t="s">
        <v>145</v>
      </c>
      <c r="HU166" s="577">
        <v>2012</v>
      </c>
      <c r="HV166" s="656" t="s">
        <v>4786</v>
      </c>
      <c r="HW166" s="526" t="s">
        <v>145</v>
      </c>
      <c r="HX166" s="526" t="s">
        <v>145</v>
      </c>
      <c r="HY166" s="526" t="s">
        <v>145</v>
      </c>
      <c r="HZ166" s="526" t="s">
        <v>145</v>
      </c>
      <c r="IA166" s="526" t="s">
        <v>145</v>
      </c>
      <c r="IB166" s="526" t="s">
        <v>145</v>
      </c>
      <c r="IC166" s="527" t="s">
        <v>145</v>
      </c>
      <c r="ID166" s="40"/>
      <c r="IE166" s="550"/>
      <c r="IF166" s="550"/>
      <c r="IG166" s="553">
        <v>1</v>
      </c>
      <c r="IH166" s="115"/>
      <c r="II166" s="647" t="s">
        <v>4921</v>
      </c>
      <c r="IJ166" s="423"/>
      <c r="IK166" s="10">
        <v>0</v>
      </c>
      <c r="IL166" s="749">
        <f t="shared" si="170"/>
        <v>14</v>
      </c>
      <c r="IM166" s="747">
        <f t="shared" si="171"/>
        <v>56.000000000000007</v>
      </c>
      <c r="IN166" s="750" t="str">
        <f t="shared" si="172"/>
        <v>B</v>
      </c>
      <c r="IO166" s="446">
        <v>1</v>
      </c>
      <c r="IP166" s="902">
        <v>1</v>
      </c>
      <c r="IQ166" s="903">
        <v>0</v>
      </c>
      <c r="IR166" s="993">
        <v>0</v>
      </c>
      <c r="IT166" s="435"/>
      <c r="IU166" s="435"/>
      <c r="IV166" s="435"/>
    </row>
    <row r="167" spans="1:256">
      <c r="A167" s="21">
        <v>165</v>
      </c>
      <c r="B167" s="9"/>
      <c r="C167" s="430" t="s">
        <v>252</v>
      </c>
      <c r="D167" s="424"/>
      <c r="E167" s="24" t="s">
        <v>17</v>
      </c>
      <c r="F167" s="76" t="s">
        <v>899</v>
      </c>
      <c r="G167" s="102" t="s">
        <v>496</v>
      </c>
      <c r="H167" s="375" t="s">
        <v>2485</v>
      </c>
      <c r="I167" s="364" t="s">
        <v>2124</v>
      </c>
      <c r="J167" s="370">
        <v>1</v>
      </c>
      <c r="K167" s="359">
        <v>1870</v>
      </c>
      <c r="L167" s="371">
        <v>2</v>
      </c>
      <c r="M167" s="373" t="s">
        <v>2484</v>
      </c>
      <c r="N167" s="369" t="s">
        <v>1822</v>
      </c>
      <c r="O167" s="365" t="s">
        <v>3049</v>
      </c>
      <c r="P167" s="362" t="s">
        <v>1980</v>
      </c>
      <c r="Q167" s="370">
        <v>2</v>
      </c>
      <c r="R167" s="370">
        <v>2006</v>
      </c>
      <c r="S167" s="372" t="s">
        <v>2026</v>
      </c>
      <c r="T167" s="370">
        <v>1</v>
      </c>
      <c r="U167" s="370">
        <v>2</v>
      </c>
      <c r="V167" s="370">
        <v>14</v>
      </c>
      <c r="W167" s="729">
        <v>10.5</v>
      </c>
      <c r="X167" s="170">
        <v>1</v>
      </c>
      <c r="Y167" s="369">
        <v>1</v>
      </c>
      <c r="Z167" s="273" t="s">
        <v>2027</v>
      </c>
      <c r="AA167" s="169">
        <v>1</v>
      </c>
      <c r="AB167" s="177">
        <v>1</v>
      </c>
      <c r="AC167" s="171"/>
      <c r="AD167" s="366" t="s">
        <v>3048</v>
      </c>
      <c r="AE167" s="355">
        <v>2006</v>
      </c>
      <c r="AF167" s="355">
        <v>2</v>
      </c>
      <c r="AG167" s="550" t="s">
        <v>5171</v>
      </c>
      <c r="AH167" s="355" t="s">
        <v>2748</v>
      </c>
      <c r="AI167" s="550">
        <v>1</v>
      </c>
      <c r="AJ167" s="550">
        <v>1</v>
      </c>
      <c r="AK167" s="590">
        <v>38000</v>
      </c>
      <c r="AL167" s="387">
        <v>2</v>
      </c>
      <c r="AM167" s="361" t="s">
        <v>3050</v>
      </c>
      <c r="AN167" s="384" t="s">
        <v>145</v>
      </c>
      <c r="AO167" s="170">
        <v>1</v>
      </c>
      <c r="AP167" s="369">
        <v>1</v>
      </c>
      <c r="AQ167" s="365" t="s">
        <v>4988</v>
      </c>
      <c r="AR167" s="378" t="s">
        <v>2798</v>
      </c>
      <c r="AS167" s="55">
        <v>2</v>
      </c>
      <c r="AT167" s="370">
        <v>2</v>
      </c>
      <c r="AU167" s="371">
        <v>2006</v>
      </c>
      <c r="AV167" s="370">
        <v>10</v>
      </c>
      <c r="AW167" s="589">
        <v>10000</v>
      </c>
      <c r="AX167" s="687">
        <v>1</v>
      </c>
      <c r="AY167" s="174" t="s">
        <v>4286</v>
      </c>
      <c r="AZ167" s="55">
        <v>2013</v>
      </c>
      <c r="BA167" s="55">
        <v>1</v>
      </c>
      <c r="BB167" s="55">
        <v>1</v>
      </c>
      <c r="BC167" s="174" t="s">
        <v>4438</v>
      </c>
      <c r="BD167" s="55">
        <v>2008</v>
      </c>
      <c r="BE167" s="55">
        <v>0</v>
      </c>
      <c r="BF167" s="371" t="s">
        <v>145</v>
      </c>
      <c r="BG167" s="367">
        <v>0</v>
      </c>
      <c r="BH167" s="56" t="s">
        <v>145</v>
      </c>
      <c r="BI167" s="367">
        <v>3</v>
      </c>
      <c r="BJ167" s="367">
        <v>1</v>
      </c>
      <c r="BK167" s="888">
        <v>46121.699000000001</v>
      </c>
      <c r="BL167" s="925">
        <f t="shared" si="159"/>
        <v>50.948032074880857</v>
      </c>
      <c r="BM167" s="888">
        <v>22623.600999999999</v>
      </c>
      <c r="BN167" s="920">
        <v>23498.098000000002</v>
      </c>
      <c r="BO167" s="888">
        <v>2144.2710000000002</v>
      </c>
      <c r="BP167" s="1158">
        <f t="shared" si="135"/>
        <v>48.448213868489567</v>
      </c>
      <c r="BQ167" s="917">
        <v>1105.4100000000001</v>
      </c>
      <c r="BR167" s="920">
        <v>1038.8610000000001</v>
      </c>
      <c r="BS167" s="888">
        <v>2437.3710000000001</v>
      </c>
      <c r="BT167" s="1158">
        <f t="shared" si="136"/>
        <v>48.503613114294048</v>
      </c>
      <c r="BU167" s="917">
        <v>1255.1579999999999</v>
      </c>
      <c r="BV167" s="920">
        <v>1182.213</v>
      </c>
      <c r="BW167" s="888">
        <v>2282.0410000000002</v>
      </c>
      <c r="BX167" s="1158">
        <f t="shared" si="137"/>
        <v>48.539837803089426</v>
      </c>
      <c r="BY167" s="917">
        <v>1174.3420000000001</v>
      </c>
      <c r="BZ167" s="920">
        <v>1107.6990000000001</v>
      </c>
      <c r="CA167" s="888">
        <f t="shared" si="138"/>
        <v>39258.016000000003</v>
      </c>
      <c r="CB167" s="1158">
        <f t="shared" si="139"/>
        <v>51.376322736227934</v>
      </c>
      <c r="CC167" s="917">
        <f t="shared" si="140"/>
        <v>19088.690999999999</v>
      </c>
      <c r="CD167" s="920">
        <f t="shared" si="141"/>
        <v>20169.325000000001</v>
      </c>
      <c r="CE167" s="914">
        <v>2015</v>
      </c>
      <c r="CF167" s="910" t="s">
        <v>5630</v>
      </c>
      <c r="CG167" s="930">
        <v>100</v>
      </c>
      <c r="CH167" s="1005">
        <v>100</v>
      </c>
      <c r="CI167" s="1006">
        <v>100</v>
      </c>
      <c r="CJ167" s="904" t="s">
        <v>1621</v>
      </c>
      <c r="CK167" s="904" t="s">
        <v>1621</v>
      </c>
      <c r="CL167" s="904">
        <v>2011</v>
      </c>
      <c r="CM167" s="905" t="s">
        <v>5576</v>
      </c>
      <c r="CN167" s="1044">
        <v>34631.086000000003</v>
      </c>
      <c r="CO167" s="1045">
        <f t="shared" si="160"/>
        <v>75.086318914660978</v>
      </c>
      <c r="CP167" s="1040">
        <f t="shared" si="157"/>
        <v>16987.229196840428</v>
      </c>
      <c r="CQ167" s="1041">
        <f t="shared" si="158"/>
        <v>17643.856803159575</v>
      </c>
      <c r="CR167" s="1046">
        <v>2015</v>
      </c>
      <c r="CS167" s="1047" t="s">
        <v>6028</v>
      </c>
      <c r="CT167" s="1068">
        <f t="shared" si="161"/>
        <v>14</v>
      </c>
      <c r="CU167" s="1071">
        <v>18</v>
      </c>
      <c r="CV167" s="1068" t="s">
        <v>6038</v>
      </c>
      <c r="CW167" s="1113">
        <v>34631.086000000003</v>
      </c>
      <c r="CX167" s="1113">
        <v>39368.731</v>
      </c>
      <c r="CY167" s="1113">
        <v>48146.133999999998</v>
      </c>
      <c r="CZ167" s="494">
        <v>1</v>
      </c>
      <c r="DA167" s="1104">
        <v>4</v>
      </c>
      <c r="DB167" s="1050" t="s">
        <v>647</v>
      </c>
      <c r="DC167" s="1145" t="s">
        <v>323</v>
      </c>
      <c r="DD167" s="1131">
        <f t="shared" si="148"/>
        <v>4626.93</v>
      </c>
      <c r="DE167" s="1132">
        <f t="shared" si="162"/>
        <v>10.032002507106254</v>
      </c>
      <c r="DF167" s="1132">
        <f t="shared" si="149"/>
        <v>54.581940873115123</v>
      </c>
      <c r="DG167" s="1133">
        <f t="shared" si="150"/>
        <v>2101.461803159571</v>
      </c>
      <c r="DH167" s="1133">
        <f t="shared" si="151"/>
        <v>2525.4681968404257</v>
      </c>
      <c r="DI167" s="1132">
        <f t="shared" si="163"/>
        <v>9.2888033304670241</v>
      </c>
      <c r="DJ167" s="1134">
        <f t="shared" si="164"/>
        <v>10.747543043017464</v>
      </c>
      <c r="DK167" s="1135">
        <f t="shared" si="165"/>
        <v>4626.93</v>
      </c>
      <c r="DL167" s="1132">
        <f t="shared" si="152"/>
        <v>54.581940873115123</v>
      </c>
      <c r="DM167" s="1133">
        <f t="shared" si="166"/>
        <v>2101.461803159571</v>
      </c>
      <c r="DN167" s="1136">
        <f t="shared" si="167"/>
        <v>2525.4681968404257</v>
      </c>
      <c r="DO167" s="1135">
        <f t="shared" si="168"/>
        <v>0</v>
      </c>
      <c r="DP167" s="1132">
        <f t="shared" si="153"/>
        <v>0</v>
      </c>
      <c r="DQ167" s="1133">
        <f t="shared" si="142"/>
        <v>0</v>
      </c>
      <c r="DR167" s="1136">
        <f t="shared" si="143"/>
        <v>0</v>
      </c>
      <c r="DS167" s="1135">
        <f t="shared" si="169"/>
        <v>0</v>
      </c>
      <c r="DT167" s="1137">
        <f t="shared" si="154"/>
        <v>0</v>
      </c>
      <c r="DU167" s="1133">
        <f t="shared" si="144"/>
        <v>0</v>
      </c>
      <c r="DV167" s="1136">
        <f t="shared" si="145"/>
        <v>0</v>
      </c>
      <c r="DW167" s="1132">
        <f t="shared" si="146"/>
        <v>0</v>
      </c>
      <c r="DX167" s="1134">
        <f t="shared" si="147"/>
        <v>0</v>
      </c>
      <c r="DY167" s="414" t="s">
        <v>145</v>
      </c>
      <c r="DZ167" s="111" t="s">
        <v>145</v>
      </c>
      <c r="EA167" s="368"/>
      <c r="EB167" s="123" t="s">
        <v>145</v>
      </c>
      <c r="EC167" s="113" t="s">
        <v>145</v>
      </c>
      <c r="ED167" s="20"/>
      <c r="EE167" s="414">
        <v>21.1</v>
      </c>
      <c r="EF167" s="121">
        <v>2012</v>
      </c>
      <c r="EG167" s="380">
        <v>97.894538879394503</v>
      </c>
      <c r="EH167" s="24" t="s">
        <v>358</v>
      </c>
      <c r="EI167" s="288">
        <v>0</v>
      </c>
      <c r="EJ167" s="40" t="s">
        <v>145</v>
      </c>
      <c r="EK167" s="355" t="s">
        <v>145</v>
      </c>
      <c r="EL167" s="364" t="s">
        <v>145</v>
      </c>
      <c r="EM167" s="364" t="s">
        <v>145</v>
      </c>
      <c r="EN167" s="355" t="s">
        <v>145</v>
      </c>
      <c r="EO167" s="364" t="s">
        <v>145</v>
      </c>
      <c r="EP167" s="205" t="s">
        <v>145</v>
      </c>
      <c r="EQ167" s="207" t="s">
        <v>145</v>
      </c>
      <c r="ER167" s="517" t="s">
        <v>145</v>
      </c>
      <c r="ES167" s="183"/>
      <c r="ET167" s="183"/>
      <c r="EU167" s="82"/>
      <c r="EV167" s="82"/>
      <c r="EW167" s="82"/>
      <c r="EX167" s="360"/>
      <c r="EY167" s="159"/>
      <c r="EZ167" s="156"/>
      <c r="FA167" s="323"/>
      <c r="FB167" s="323"/>
      <c r="FC167" s="323"/>
      <c r="FD167" s="160"/>
      <c r="FE167" s="156"/>
      <c r="FF167" s="156"/>
      <c r="FG167" s="156"/>
      <c r="FH167" s="157"/>
      <c r="FI167" s="242"/>
      <c r="FJ167" s="373"/>
      <c r="FK167" s="179"/>
      <c r="FL167" s="179"/>
      <c r="FM167" s="179"/>
      <c r="FN167" s="369"/>
      <c r="FO167" s="164"/>
      <c r="FP167" s="255">
        <v>2</v>
      </c>
      <c r="FQ167" s="183"/>
      <c r="FR167" s="257"/>
      <c r="FS167" s="82"/>
      <c r="FT167" s="259"/>
      <c r="FU167" s="82"/>
      <c r="FV167" s="259"/>
      <c r="FW167" s="82"/>
      <c r="FX167" s="259"/>
      <c r="FY167" s="82"/>
      <c r="FZ167" s="259"/>
      <c r="GA167" s="82"/>
      <c r="GB167" s="261"/>
      <c r="GC167" s="360"/>
      <c r="GD167" s="76">
        <v>1</v>
      </c>
      <c r="GE167" s="445" t="s">
        <v>3424</v>
      </c>
      <c r="GF167" s="447" t="s">
        <v>10</v>
      </c>
      <c r="GG167" s="448">
        <v>1</v>
      </c>
      <c r="GH167" s="449">
        <v>1</v>
      </c>
      <c r="GI167" s="447" t="s">
        <v>145</v>
      </c>
      <c r="GJ167" s="449" t="s">
        <v>145</v>
      </c>
      <c r="GK167" s="447" t="s">
        <v>145</v>
      </c>
      <c r="GL167" s="448" t="s">
        <v>145</v>
      </c>
      <c r="GM167" s="449" t="s">
        <v>145</v>
      </c>
      <c r="GN167" s="447" t="s">
        <v>10</v>
      </c>
      <c r="GO167" s="449">
        <v>28</v>
      </c>
      <c r="GP167" s="447">
        <v>6</v>
      </c>
      <c r="GQ167" s="448">
        <v>14</v>
      </c>
      <c r="GR167" s="449">
        <v>8</v>
      </c>
      <c r="GS167" s="446">
        <v>10</v>
      </c>
      <c r="GT167" s="461">
        <v>0.96567505598068237</v>
      </c>
      <c r="GU167" s="462">
        <v>1.458944845944643E-2</v>
      </c>
      <c r="GV167" s="462">
        <v>1.1462633609771729</v>
      </c>
      <c r="GW167" s="462">
        <v>0.93066024780273438</v>
      </c>
      <c r="GX167" s="462">
        <v>0.99634546041488647</v>
      </c>
      <c r="GY167" s="463">
        <v>0.81422001123428345</v>
      </c>
      <c r="GZ167" s="10">
        <v>12</v>
      </c>
      <c r="HA167" s="536">
        <v>0.84097999999999995</v>
      </c>
      <c r="HB167" s="536">
        <v>0.78430999999999995</v>
      </c>
      <c r="HC167" s="525">
        <v>0.94488000000000005</v>
      </c>
      <c r="HD167" s="526">
        <v>0.66288000000000002</v>
      </c>
      <c r="HE167" s="527">
        <v>0.91520000000000001</v>
      </c>
      <c r="HF167" s="10">
        <v>28</v>
      </c>
      <c r="HG167" s="532">
        <v>7.38</v>
      </c>
      <c r="HH167" s="545">
        <v>7.7</v>
      </c>
      <c r="HI167" s="546">
        <v>6.04</v>
      </c>
      <c r="HJ167" s="547">
        <v>9.41</v>
      </c>
      <c r="HK167" s="558" t="s">
        <v>4123</v>
      </c>
      <c r="HL167" s="585" t="s">
        <v>4787</v>
      </c>
      <c r="HM167" s="557">
        <v>1992</v>
      </c>
      <c r="HN167" s="557">
        <v>1999</v>
      </c>
      <c r="HO167" s="557" t="s">
        <v>3985</v>
      </c>
      <c r="HP167" s="562" t="s">
        <v>4788</v>
      </c>
      <c r="HQ167" s="639" t="s">
        <v>4789</v>
      </c>
      <c r="HR167" s="563" t="s">
        <v>4124</v>
      </c>
      <c r="HS167" s="545">
        <v>64</v>
      </c>
      <c r="HT167" s="557">
        <v>76</v>
      </c>
      <c r="HU167" s="557">
        <v>2013</v>
      </c>
      <c r="HV167" s="583" t="s">
        <v>4246</v>
      </c>
      <c r="HW167" s="557">
        <v>0</v>
      </c>
      <c r="HX167" s="557">
        <v>15</v>
      </c>
      <c r="HY167" s="557">
        <v>15</v>
      </c>
      <c r="HZ167" s="557">
        <v>21</v>
      </c>
      <c r="IA167" s="557">
        <v>12</v>
      </c>
      <c r="IB167" s="557">
        <v>0</v>
      </c>
      <c r="IC167" s="547">
        <v>13</v>
      </c>
      <c r="ID167" s="40" t="s">
        <v>5199</v>
      </c>
      <c r="IE167" s="355" t="s">
        <v>5200</v>
      </c>
      <c r="IF167" s="355"/>
      <c r="IG167" s="553"/>
      <c r="IH167" s="339"/>
      <c r="II167" s="553" t="s">
        <v>4920</v>
      </c>
      <c r="IJ167" s="424" t="s">
        <v>4925</v>
      </c>
      <c r="IK167" s="24">
        <v>0</v>
      </c>
      <c r="IL167" s="749">
        <f t="shared" si="170"/>
        <v>19</v>
      </c>
      <c r="IM167" s="747">
        <f t="shared" si="171"/>
        <v>76</v>
      </c>
      <c r="IN167" s="750" t="str">
        <f t="shared" si="172"/>
        <v>A</v>
      </c>
      <c r="IO167" s="446"/>
      <c r="IP167" s="902">
        <v>4</v>
      </c>
      <c r="IQ167" s="903">
        <v>0</v>
      </c>
      <c r="IR167" s="993">
        <v>0</v>
      </c>
      <c r="IT167" s="435"/>
      <c r="IU167" s="435"/>
      <c r="IV167" s="435"/>
    </row>
    <row r="168" spans="1:256">
      <c r="A168" s="21">
        <v>166</v>
      </c>
      <c r="B168" s="9"/>
      <c r="C168" s="431" t="s">
        <v>253</v>
      </c>
      <c r="D168" s="423" t="s">
        <v>411</v>
      </c>
      <c r="E168" s="24" t="s">
        <v>20</v>
      </c>
      <c r="F168" s="76" t="s">
        <v>900</v>
      </c>
      <c r="G168" s="102" t="s">
        <v>554</v>
      </c>
      <c r="H168" s="375" t="s">
        <v>2486</v>
      </c>
      <c r="I168" s="364" t="s">
        <v>2487</v>
      </c>
      <c r="J168" s="370">
        <v>2</v>
      </c>
      <c r="K168" s="359">
        <v>1867</v>
      </c>
      <c r="L168" s="371">
        <v>2</v>
      </c>
      <c r="M168" s="373" t="s">
        <v>1810</v>
      </c>
      <c r="N168" s="369" t="s">
        <v>1822</v>
      </c>
      <c r="O168" s="365" t="s">
        <v>2003</v>
      </c>
      <c r="P168" s="362" t="s">
        <v>5465</v>
      </c>
      <c r="Q168" s="370">
        <v>6</v>
      </c>
      <c r="R168" s="370">
        <v>1972</v>
      </c>
      <c r="S168" s="372" t="s">
        <v>1961</v>
      </c>
      <c r="T168" s="370">
        <v>1</v>
      </c>
      <c r="U168" s="370">
        <v>2</v>
      </c>
      <c r="V168" s="370">
        <v>16</v>
      </c>
      <c r="W168" s="369" t="s">
        <v>3075</v>
      </c>
      <c r="X168" s="170">
        <v>1</v>
      </c>
      <c r="Y168" s="369">
        <v>1</v>
      </c>
      <c r="Z168" s="273" t="s">
        <v>2002</v>
      </c>
      <c r="AA168" s="169">
        <v>1</v>
      </c>
      <c r="AB168" s="177">
        <v>1</v>
      </c>
      <c r="AC168" s="171"/>
      <c r="AD168" s="366" t="s">
        <v>3086</v>
      </c>
      <c r="AE168" s="355">
        <v>2016</v>
      </c>
      <c r="AF168" s="355">
        <v>2</v>
      </c>
      <c r="AG168" s="550" t="s">
        <v>5171</v>
      </c>
      <c r="AH168" s="355" t="s">
        <v>3122</v>
      </c>
      <c r="AI168" s="550">
        <v>0</v>
      </c>
      <c r="AJ168" s="550">
        <v>0</v>
      </c>
      <c r="AK168" s="590">
        <v>16500</v>
      </c>
      <c r="AL168" s="387">
        <v>10</v>
      </c>
      <c r="AM168" s="361" t="s">
        <v>2837</v>
      </c>
      <c r="AN168" s="342" t="s">
        <v>145</v>
      </c>
      <c r="AO168" s="170">
        <v>0</v>
      </c>
      <c r="AP168" s="369">
        <v>0</v>
      </c>
      <c r="AQ168" s="365" t="s">
        <v>5331</v>
      </c>
      <c r="AR168" s="362" t="s">
        <v>5332</v>
      </c>
      <c r="AS168" s="55">
        <v>1</v>
      </c>
      <c r="AT168" s="370">
        <v>6</v>
      </c>
      <c r="AU168" s="371">
        <v>2013</v>
      </c>
      <c r="AV168" s="370">
        <v>5</v>
      </c>
      <c r="AW168" s="589" t="s">
        <v>145</v>
      </c>
      <c r="AX168" s="687">
        <v>0</v>
      </c>
      <c r="AY168" s="174" t="s">
        <v>2179</v>
      </c>
      <c r="AZ168" s="55">
        <v>2007</v>
      </c>
      <c r="BA168" s="55">
        <v>1</v>
      </c>
      <c r="BB168" s="55">
        <v>1</v>
      </c>
      <c r="BC168" s="174" t="s">
        <v>5349</v>
      </c>
      <c r="BD168" s="55">
        <v>2007</v>
      </c>
      <c r="BE168" s="55">
        <v>1</v>
      </c>
      <c r="BF168" s="367" t="s">
        <v>323</v>
      </c>
      <c r="BG168" s="367">
        <v>0</v>
      </c>
      <c r="BH168" s="56" t="s">
        <v>145</v>
      </c>
      <c r="BI168" s="367">
        <v>0</v>
      </c>
      <c r="BJ168" s="367">
        <v>0</v>
      </c>
      <c r="BK168" s="888">
        <v>20715.009999999998</v>
      </c>
      <c r="BL168" s="925">
        <f t="shared" si="159"/>
        <v>51.825927189994111</v>
      </c>
      <c r="BM168" s="888">
        <v>9979.2639999999992</v>
      </c>
      <c r="BN168" s="920">
        <v>10735.745999999999</v>
      </c>
      <c r="BO168" s="888">
        <v>1643.0129999999999</v>
      </c>
      <c r="BP168" s="1158">
        <f t="shared" si="135"/>
        <v>49.238198358747013</v>
      </c>
      <c r="BQ168" s="917">
        <v>834.02300000000002</v>
      </c>
      <c r="BR168" s="920">
        <v>808.99</v>
      </c>
      <c r="BS168" s="888">
        <v>1748.8530000000001</v>
      </c>
      <c r="BT168" s="1158">
        <f t="shared" si="136"/>
        <v>49.701604423013251</v>
      </c>
      <c r="BU168" s="917">
        <v>879.64499999999998</v>
      </c>
      <c r="BV168" s="920">
        <v>869.20799999999997</v>
      </c>
      <c r="BW168" s="888">
        <v>1698.606</v>
      </c>
      <c r="BX168" s="1158">
        <f t="shared" si="137"/>
        <v>49.931767578826403</v>
      </c>
      <c r="BY168" s="917">
        <v>850.46199999999999</v>
      </c>
      <c r="BZ168" s="920">
        <v>848.14400000000001</v>
      </c>
      <c r="CA168" s="888">
        <f t="shared" si="138"/>
        <v>15624.538</v>
      </c>
      <c r="CB168" s="1158">
        <f t="shared" si="139"/>
        <v>52.541739154143293</v>
      </c>
      <c r="CC168" s="917">
        <f t="shared" si="140"/>
        <v>7415.134</v>
      </c>
      <c r="CD168" s="920">
        <f t="shared" si="141"/>
        <v>8209.4039999999986</v>
      </c>
      <c r="CE168" s="914">
        <v>2015</v>
      </c>
      <c r="CF168" s="910" t="s">
        <v>5630</v>
      </c>
      <c r="CG168" s="930">
        <v>97.2</v>
      </c>
      <c r="CH168" s="495">
        <v>97.4</v>
      </c>
      <c r="CI168" s="497">
        <v>97</v>
      </c>
      <c r="CJ168" s="904">
        <v>96.5</v>
      </c>
      <c r="CK168" s="904">
        <v>97.6</v>
      </c>
      <c r="CL168" s="904" t="s">
        <v>5610</v>
      </c>
      <c r="CM168" s="905" t="s">
        <v>5575</v>
      </c>
      <c r="CN168" s="1044">
        <v>15044.49</v>
      </c>
      <c r="CO168" s="1045">
        <f t="shared" si="160"/>
        <v>72.626033006983832</v>
      </c>
      <c r="CP168" s="1040">
        <f t="shared" si="157"/>
        <v>7247.5435664940542</v>
      </c>
      <c r="CQ168" s="1041">
        <f t="shared" si="158"/>
        <v>7796.9464335059447</v>
      </c>
      <c r="CR168" s="1046">
        <v>2015</v>
      </c>
      <c r="CS168" s="1047" t="s">
        <v>6029</v>
      </c>
      <c r="CT168" s="1068">
        <f t="shared" si="161"/>
        <v>16</v>
      </c>
      <c r="CU168" s="1071">
        <v>18</v>
      </c>
      <c r="CV168" s="1068" t="s">
        <v>6039</v>
      </c>
      <c r="CW168" s="1113">
        <v>15044.49</v>
      </c>
      <c r="CX168" s="1113">
        <v>15262.77</v>
      </c>
      <c r="CY168" s="1113">
        <v>21866.445</v>
      </c>
      <c r="CZ168" s="494">
        <v>1</v>
      </c>
      <c r="DA168" s="1104">
        <v>4</v>
      </c>
      <c r="DB168" s="1050" t="s">
        <v>647</v>
      </c>
      <c r="DC168" s="1146" t="s">
        <v>322</v>
      </c>
      <c r="DD168" s="978">
        <f t="shared" si="148"/>
        <v>722.58121600000084</v>
      </c>
      <c r="DE168" s="979">
        <f t="shared" si="162"/>
        <v>3.4882011449668666</v>
      </c>
      <c r="DF168" s="979">
        <f t="shared" si="149"/>
        <v>67.569958322034964</v>
      </c>
      <c r="DG168" s="980">
        <f t="shared" si="150"/>
        <v>234.25781350594562</v>
      </c>
      <c r="DH168" s="980">
        <f t="shared" si="151"/>
        <v>488.24782649405398</v>
      </c>
      <c r="DI168" s="979">
        <f t="shared" si="163"/>
        <v>2.3474457986675734</v>
      </c>
      <c r="DJ168" s="981">
        <f t="shared" si="164"/>
        <v>4.5478705112253399</v>
      </c>
      <c r="DK168" s="984">
        <f t="shared" si="165"/>
        <v>580.04800000000068</v>
      </c>
      <c r="DL168" s="979">
        <f t="shared" si="152"/>
        <v>71.107488775765702</v>
      </c>
      <c r="DM168" s="980">
        <f t="shared" si="166"/>
        <v>167.59043350594584</v>
      </c>
      <c r="DN168" s="985">
        <f t="shared" si="167"/>
        <v>412.45756649405394</v>
      </c>
      <c r="DO168" s="984">
        <f t="shared" si="168"/>
        <v>96.528852000000086</v>
      </c>
      <c r="DP168" s="979">
        <f t="shared" si="153"/>
        <v>53.373223582934557</v>
      </c>
      <c r="DQ168" s="980">
        <f t="shared" si="142"/>
        <v>44.982781999999844</v>
      </c>
      <c r="DR168" s="985">
        <f t="shared" si="143"/>
        <v>51.520560000000046</v>
      </c>
      <c r="DS168" s="984">
        <f t="shared" si="169"/>
        <v>46.004364000000038</v>
      </c>
      <c r="DT168" s="339">
        <f t="shared" si="154"/>
        <v>52.755212527228949</v>
      </c>
      <c r="DU168" s="980">
        <f t="shared" si="144"/>
        <v>21.684597999999927</v>
      </c>
      <c r="DV168" s="985">
        <f t="shared" si="145"/>
        <v>24.269700000000022</v>
      </c>
      <c r="DW168" s="979">
        <f t="shared" si="146"/>
        <v>2.5999999999999912</v>
      </c>
      <c r="DX168" s="981">
        <f t="shared" si="147"/>
        <v>3.0000000000000027</v>
      </c>
      <c r="DY168" s="414">
        <v>4.1100000000000003</v>
      </c>
      <c r="DZ168" s="111">
        <v>2010</v>
      </c>
      <c r="EA168" s="368">
        <v>855.62899999999991</v>
      </c>
      <c r="EB168" s="123">
        <v>8.9</v>
      </c>
      <c r="EC168" s="113">
        <v>2010</v>
      </c>
      <c r="ED168" s="20">
        <v>1857.3410000000001</v>
      </c>
      <c r="EE168" s="414">
        <v>8.9</v>
      </c>
      <c r="EF168" s="111">
        <v>2010</v>
      </c>
      <c r="EG168" s="380">
        <v>91.181358337402301</v>
      </c>
      <c r="EH168" s="24" t="s">
        <v>362</v>
      </c>
      <c r="EI168" s="287">
        <v>0</v>
      </c>
      <c r="EJ168" s="40" t="s">
        <v>145</v>
      </c>
      <c r="EK168" s="355" t="s">
        <v>145</v>
      </c>
      <c r="EL168" s="364" t="s">
        <v>145</v>
      </c>
      <c r="EM168" s="364" t="s">
        <v>145</v>
      </c>
      <c r="EN168" s="355" t="s">
        <v>145</v>
      </c>
      <c r="EO168" s="364" t="s">
        <v>145</v>
      </c>
      <c r="EP168" s="205" t="s">
        <v>145</v>
      </c>
      <c r="EQ168" s="207" t="s">
        <v>145</v>
      </c>
      <c r="ER168" s="517" t="s">
        <v>145</v>
      </c>
      <c r="ES168" s="183"/>
      <c r="ET168" s="183"/>
      <c r="EU168" s="82"/>
      <c r="EV168" s="82"/>
      <c r="EW168" s="82"/>
      <c r="EX168" s="360"/>
      <c r="EY168" s="159"/>
      <c r="EZ168" s="156"/>
      <c r="FA168" s="323"/>
      <c r="FB168" s="323"/>
      <c r="FC168" s="323"/>
      <c r="FD168" s="160"/>
      <c r="FE168" s="156"/>
      <c r="FF168" s="156"/>
      <c r="FG168" s="156"/>
      <c r="FH168" s="157"/>
      <c r="FI168" s="242"/>
      <c r="FJ168" s="373"/>
      <c r="FK168" s="179"/>
      <c r="FL168" s="179"/>
      <c r="FM168" s="179"/>
      <c r="FN168" s="369"/>
      <c r="FO168" s="164"/>
      <c r="FP168" s="255"/>
      <c r="FQ168" s="183"/>
      <c r="FR168" s="257"/>
      <c r="FS168" s="82"/>
      <c r="FT168" s="259"/>
      <c r="FU168" s="82"/>
      <c r="FV168" s="259"/>
      <c r="FW168" s="82"/>
      <c r="FX168" s="259"/>
      <c r="FY168" s="82"/>
      <c r="FZ168" s="259"/>
      <c r="GA168" s="82"/>
      <c r="GB168" s="261"/>
      <c r="GC168" s="360"/>
      <c r="GD168" s="76">
        <v>2</v>
      </c>
      <c r="GE168" s="445" t="s">
        <v>3431</v>
      </c>
      <c r="GF168" s="447" t="s">
        <v>590</v>
      </c>
      <c r="GG168" s="448">
        <v>5</v>
      </c>
      <c r="GH168" s="449">
        <v>4</v>
      </c>
      <c r="GI168" s="447" t="s">
        <v>590</v>
      </c>
      <c r="GJ168" s="449">
        <v>58</v>
      </c>
      <c r="GK168" s="447">
        <v>15</v>
      </c>
      <c r="GL168" s="448">
        <v>20</v>
      </c>
      <c r="GM168" s="449">
        <v>23</v>
      </c>
      <c r="GN168" s="447" t="s">
        <v>580</v>
      </c>
      <c r="GO168" s="449">
        <v>76</v>
      </c>
      <c r="GP168" s="447">
        <v>23</v>
      </c>
      <c r="GQ168" s="448">
        <v>33</v>
      </c>
      <c r="GR168" s="449">
        <v>20</v>
      </c>
      <c r="GS168" s="446">
        <v>8</v>
      </c>
      <c r="GT168" s="461">
        <v>-0.61897647380828857</v>
      </c>
      <c r="GU168" s="462">
        <v>-0.60628557205200195</v>
      </c>
      <c r="GV168" s="462">
        <v>-0.23252308368682861</v>
      </c>
      <c r="GW168" s="462">
        <v>-0.16177132725715637</v>
      </c>
      <c r="GX168" s="462">
        <v>-0.27145808935165405</v>
      </c>
      <c r="GY168" s="463">
        <v>-0.22708702087402344</v>
      </c>
      <c r="GZ168" s="10">
        <v>74</v>
      </c>
      <c r="HA168" s="536">
        <v>0.54176000000000002</v>
      </c>
      <c r="HB168" s="536">
        <v>0.64705000000000001</v>
      </c>
      <c r="HC168" s="525">
        <v>0.65354000000000001</v>
      </c>
      <c r="HD168" s="526">
        <v>0.23411999999999999</v>
      </c>
      <c r="HE168" s="527">
        <v>0.73760000000000003</v>
      </c>
      <c r="HF168" s="10">
        <v>116</v>
      </c>
      <c r="HG168" s="532">
        <v>3.36</v>
      </c>
      <c r="HH168" s="545">
        <v>3.85</v>
      </c>
      <c r="HI168" s="546">
        <v>1.1000000000000001</v>
      </c>
      <c r="HJ168" s="547">
        <v>6.91</v>
      </c>
      <c r="HK168" s="558" t="s">
        <v>145</v>
      </c>
      <c r="HL168" s="82" t="s">
        <v>145</v>
      </c>
      <c r="HM168" s="557" t="s">
        <v>145</v>
      </c>
      <c r="HN168" s="557" t="s">
        <v>145</v>
      </c>
      <c r="HO168" s="557" t="s">
        <v>145</v>
      </c>
      <c r="HP168" s="562" t="s">
        <v>145</v>
      </c>
      <c r="HQ168" s="562" t="s">
        <v>145</v>
      </c>
      <c r="HR168" s="563" t="s">
        <v>145</v>
      </c>
      <c r="HS168" s="545" t="s">
        <v>145</v>
      </c>
      <c r="HT168" s="557" t="s">
        <v>145</v>
      </c>
      <c r="HU168" s="557" t="s">
        <v>145</v>
      </c>
      <c r="HV168" s="581" t="s">
        <v>145</v>
      </c>
      <c r="HW168" s="557" t="s">
        <v>145</v>
      </c>
      <c r="HX168" s="557" t="s">
        <v>145</v>
      </c>
      <c r="HY168" s="557" t="s">
        <v>145</v>
      </c>
      <c r="HZ168" s="557" t="s">
        <v>145</v>
      </c>
      <c r="IA168" s="557" t="s">
        <v>145</v>
      </c>
      <c r="IB168" s="557" t="s">
        <v>145</v>
      </c>
      <c r="IC168" s="547" t="s">
        <v>145</v>
      </c>
      <c r="ID168" s="40"/>
      <c r="IE168" s="550"/>
      <c r="IF168" s="550"/>
      <c r="IG168" s="553"/>
      <c r="IH168" s="115"/>
      <c r="II168" s="647" t="s">
        <v>4923</v>
      </c>
      <c r="IJ168" s="423" t="s">
        <v>4926</v>
      </c>
      <c r="IK168" s="10">
        <v>0</v>
      </c>
      <c r="IL168" s="749">
        <f t="shared" si="170"/>
        <v>15</v>
      </c>
      <c r="IM168" s="747">
        <f t="shared" si="171"/>
        <v>60</v>
      </c>
      <c r="IN168" s="750" t="str">
        <f t="shared" si="172"/>
        <v>B</v>
      </c>
      <c r="IO168" s="446"/>
      <c r="IP168" s="902">
        <v>4</v>
      </c>
      <c r="IQ168" s="903">
        <v>0</v>
      </c>
      <c r="IR168" s="993">
        <v>0</v>
      </c>
      <c r="IT168" s="435"/>
      <c r="IU168" s="435"/>
      <c r="IV168" s="435"/>
    </row>
    <row r="169" spans="1:256">
      <c r="A169" s="21">
        <v>167</v>
      </c>
      <c r="B169" s="9"/>
      <c r="C169" s="430" t="s">
        <v>255</v>
      </c>
      <c r="D169" s="423" t="s">
        <v>406</v>
      </c>
      <c r="E169" s="24" t="s">
        <v>20</v>
      </c>
      <c r="F169" s="76" t="s">
        <v>901</v>
      </c>
      <c r="G169" s="102" t="s">
        <v>605</v>
      </c>
      <c r="H169" s="375" t="s">
        <v>2490</v>
      </c>
      <c r="I169" s="364" t="s">
        <v>306</v>
      </c>
      <c r="J169" s="370">
        <v>6</v>
      </c>
      <c r="K169" s="359">
        <v>1929</v>
      </c>
      <c r="L169" s="371">
        <v>2</v>
      </c>
      <c r="M169" s="373" t="s">
        <v>2378</v>
      </c>
      <c r="N169" s="369" t="s">
        <v>1822</v>
      </c>
      <c r="O169" s="365" t="s">
        <v>3076</v>
      </c>
      <c r="P169" s="362" t="s">
        <v>2798</v>
      </c>
      <c r="Q169" s="370">
        <v>2</v>
      </c>
      <c r="R169" s="370">
        <v>1981</v>
      </c>
      <c r="S169" s="372" t="s">
        <v>1961</v>
      </c>
      <c r="T169" s="370">
        <v>1</v>
      </c>
      <c r="U169" s="370">
        <v>2</v>
      </c>
      <c r="V169" s="370">
        <v>16</v>
      </c>
      <c r="W169" s="369" t="s">
        <v>3352</v>
      </c>
      <c r="X169" s="170">
        <v>1</v>
      </c>
      <c r="Y169" s="369">
        <v>1</v>
      </c>
      <c r="Z169" s="271"/>
      <c r="AA169" s="169">
        <v>1</v>
      </c>
      <c r="AB169" s="177">
        <v>1</v>
      </c>
      <c r="AC169" s="171"/>
      <c r="AD169" s="366" t="s">
        <v>3087</v>
      </c>
      <c r="AE169" s="355">
        <v>2011</v>
      </c>
      <c r="AF169" s="355">
        <v>2</v>
      </c>
      <c r="AG169" s="550" t="s">
        <v>4272</v>
      </c>
      <c r="AH169" s="355" t="s">
        <v>3088</v>
      </c>
      <c r="AI169" s="550">
        <v>0</v>
      </c>
      <c r="AJ169" s="550">
        <v>0</v>
      </c>
      <c r="AK169" s="590">
        <v>8000</v>
      </c>
      <c r="AL169" s="387">
        <v>9</v>
      </c>
      <c r="AM169" s="361" t="s">
        <v>2837</v>
      </c>
      <c r="AN169" s="342" t="s">
        <v>145</v>
      </c>
      <c r="AO169" s="170">
        <v>0</v>
      </c>
      <c r="AP169" s="172">
        <v>0</v>
      </c>
      <c r="AQ169" s="365" t="s">
        <v>4989</v>
      </c>
      <c r="AR169" s="378" t="s">
        <v>4990</v>
      </c>
      <c r="AS169" s="55">
        <v>2</v>
      </c>
      <c r="AT169" s="370">
        <v>2</v>
      </c>
      <c r="AU169" s="371">
        <v>2009</v>
      </c>
      <c r="AV169" s="370">
        <v>5</v>
      </c>
      <c r="AW169" s="589">
        <v>200</v>
      </c>
      <c r="AX169" s="687">
        <v>0</v>
      </c>
      <c r="AY169" s="174" t="s">
        <v>4590</v>
      </c>
      <c r="AZ169" s="55">
        <v>2001</v>
      </c>
      <c r="BA169" s="55">
        <v>1</v>
      </c>
      <c r="BB169" s="55">
        <v>0</v>
      </c>
      <c r="BC169" s="108" t="s">
        <v>145</v>
      </c>
      <c r="BD169" s="55" t="s">
        <v>145</v>
      </c>
      <c r="BE169" s="55">
        <v>0</v>
      </c>
      <c r="BF169" s="371" t="s">
        <v>145</v>
      </c>
      <c r="BG169" s="371">
        <v>0</v>
      </c>
      <c r="BH169" s="56" t="s">
        <v>145</v>
      </c>
      <c r="BI169" s="371">
        <v>3</v>
      </c>
      <c r="BJ169" s="371">
        <v>0</v>
      </c>
      <c r="BK169" s="888">
        <v>40234.881999999998</v>
      </c>
      <c r="BL169" s="925">
        <f t="shared" si="159"/>
        <v>49.802216395216476</v>
      </c>
      <c r="BM169" s="888">
        <v>20197.019</v>
      </c>
      <c r="BN169" s="920">
        <v>20037.863000000001</v>
      </c>
      <c r="BO169" s="888">
        <v>5952.1689999999999</v>
      </c>
      <c r="BP169" s="1158">
        <f t="shared" si="135"/>
        <v>49.141649035838867</v>
      </c>
      <c r="BQ169" s="917">
        <v>3027.1750000000002</v>
      </c>
      <c r="BR169" s="920">
        <v>2924.9940000000001</v>
      </c>
      <c r="BS169" s="888">
        <v>5409.518</v>
      </c>
      <c r="BT169" s="1158">
        <f t="shared" si="136"/>
        <v>49.231576639545331</v>
      </c>
      <c r="BU169" s="917">
        <v>2746.3270000000002</v>
      </c>
      <c r="BV169" s="920">
        <v>2663.1909999999998</v>
      </c>
      <c r="BW169" s="888">
        <v>4934.7529999999997</v>
      </c>
      <c r="BX169" s="1158">
        <f t="shared" si="137"/>
        <v>49.313957557754158</v>
      </c>
      <c r="BY169" s="917">
        <v>2501.2310000000002</v>
      </c>
      <c r="BZ169" s="920">
        <v>2433.5219999999999</v>
      </c>
      <c r="CA169" s="888">
        <f t="shared" si="138"/>
        <v>23938.441999999995</v>
      </c>
      <c r="CB169" s="1158">
        <f t="shared" si="139"/>
        <v>50.196065391390157</v>
      </c>
      <c r="CC169" s="917">
        <f t="shared" si="140"/>
        <v>11922.286</v>
      </c>
      <c r="CD169" s="920">
        <f t="shared" si="141"/>
        <v>12016.156000000003</v>
      </c>
      <c r="CE169" s="914">
        <v>2015</v>
      </c>
      <c r="CF169" s="910" t="s">
        <v>5630</v>
      </c>
      <c r="CG169" s="1026">
        <v>59.3</v>
      </c>
      <c r="CH169" s="495">
        <v>61.3</v>
      </c>
      <c r="CI169" s="497">
        <v>57.2</v>
      </c>
      <c r="CJ169" s="904">
        <v>84.5</v>
      </c>
      <c r="CK169" s="904">
        <v>49.7</v>
      </c>
      <c r="CL169" s="904">
        <v>2010</v>
      </c>
      <c r="CM169" s="905" t="s">
        <v>5609</v>
      </c>
      <c r="CN169" s="1044">
        <v>13126.989</v>
      </c>
      <c r="CO169" s="1045">
        <f t="shared" si="160"/>
        <v>32.625891633036233</v>
      </c>
      <c r="CP169" s="1040">
        <f t="shared" si="157"/>
        <v>6589.457532043737</v>
      </c>
      <c r="CQ169" s="1041">
        <f t="shared" si="158"/>
        <v>6537.5314679562625</v>
      </c>
      <c r="CR169" s="1046">
        <v>2015</v>
      </c>
      <c r="CS169" s="1047" t="s">
        <v>5824</v>
      </c>
      <c r="CT169" s="1068">
        <f t="shared" si="161"/>
        <v>16</v>
      </c>
      <c r="CU169" s="1071">
        <v>17</v>
      </c>
      <c r="CV169" s="1068" t="s">
        <v>6040</v>
      </c>
      <c r="CW169" s="1113">
        <v>13126.989</v>
      </c>
      <c r="CX169" s="1113">
        <v>19667.400000000001</v>
      </c>
      <c r="CY169" s="1113">
        <v>38435.252</v>
      </c>
      <c r="CZ169" s="494">
        <v>1</v>
      </c>
      <c r="DA169" s="1104">
        <v>4</v>
      </c>
      <c r="DB169" s="1050" t="s">
        <v>5753</v>
      </c>
      <c r="DC169" s="1143" t="s">
        <v>320</v>
      </c>
      <c r="DD169" s="978">
        <f t="shared" si="148"/>
        <v>17444.104079999994</v>
      </c>
      <c r="DE169" s="979">
        <f t="shared" si="162"/>
        <v>43.355673517322593</v>
      </c>
      <c r="DF169" s="979">
        <f t="shared" si="149"/>
        <v>51.088408365216218</v>
      </c>
      <c r="DG169" s="980">
        <f t="shared" si="150"/>
        <v>8535.1501389562636</v>
      </c>
      <c r="DH169" s="980">
        <f t="shared" si="151"/>
        <v>8911.91512804374</v>
      </c>
      <c r="DI169" s="979">
        <f t="shared" si="163"/>
        <v>42.259454917363122</v>
      </c>
      <c r="DJ169" s="981">
        <f t="shared" si="164"/>
        <v>44.475377080099506</v>
      </c>
      <c r="DK169" s="984">
        <f t="shared" si="165"/>
        <v>10811.452999999996</v>
      </c>
      <c r="DL169" s="979">
        <f t="shared" si="152"/>
        <v>50.674266743274401</v>
      </c>
      <c r="DM169" s="980">
        <f t="shared" si="166"/>
        <v>5332.828467956263</v>
      </c>
      <c r="DN169" s="985">
        <f t="shared" si="167"/>
        <v>5478.6245320437401</v>
      </c>
      <c r="DO169" s="984">
        <f t="shared" si="168"/>
        <v>4210.118297</v>
      </c>
      <c r="DP169" s="979">
        <f t="shared" si="153"/>
        <v>51.813108566436071</v>
      </c>
      <c r="DQ169" s="980">
        <f t="shared" si="142"/>
        <v>2030.8049460000002</v>
      </c>
      <c r="DR169" s="985">
        <f t="shared" si="143"/>
        <v>2181.3931639999996</v>
      </c>
      <c r="DS169" s="984">
        <f t="shared" si="169"/>
        <v>2422.5327830000001</v>
      </c>
      <c r="DT169" s="339">
        <f t="shared" si="154"/>
        <v>51.677213236705242</v>
      </c>
      <c r="DU169" s="980">
        <f t="shared" si="144"/>
        <v>1171.5167250000002</v>
      </c>
      <c r="DV169" s="985">
        <f t="shared" si="145"/>
        <v>1251.897432</v>
      </c>
      <c r="DW169" s="979">
        <f t="shared" si="146"/>
        <v>38.700000000000003</v>
      </c>
      <c r="DX169" s="981">
        <f t="shared" si="147"/>
        <v>42.8</v>
      </c>
      <c r="DY169" s="414">
        <v>19.8</v>
      </c>
      <c r="DZ169" s="111">
        <v>2009</v>
      </c>
      <c r="EA169" s="118">
        <v>6795.0402300000005</v>
      </c>
      <c r="EB169" s="123">
        <v>46.5</v>
      </c>
      <c r="EC169" s="113">
        <v>2009</v>
      </c>
      <c r="ED169" s="20">
        <v>15958.049025</v>
      </c>
      <c r="EE169" s="414">
        <v>46.5</v>
      </c>
      <c r="EF169" s="111">
        <v>2009</v>
      </c>
      <c r="EG169" s="380">
        <v>61.345874786377003</v>
      </c>
      <c r="EH169" s="24" t="s">
        <v>328</v>
      </c>
      <c r="EI169" s="287">
        <v>1</v>
      </c>
      <c r="EJ169" s="40">
        <v>1</v>
      </c>
      <c r="EK169" s="35" t="s">
        <v>728</v>
      </c>
      <c r="EL169" s="364" t="s">
        <v>1638</v>
      </c>
      <c r="EM169" s="364" t="s">
        <v>1639</v>
      </c>
      <c r="EN169" s="35" t="s">
        <v>145</v>
      </c>
      <c r="EO169" s="364" t="s">
        <v>1650</v>
      </c>
      <c r="EP169" s="205">
        <v>0.33</v>
      </c>
      <c r="EQ169" s="207" t="s">
        <v>145</v>
      </c>
      <c r="ER169" s="517" t="s">
        <v>145</v>
      </c>
      <c r="ES169" s="183"/>
      <c r="ET169" s="183"/>
      <c r="EU169" s="82"/>
      <c r="EV169" s="82"/>
      <c r="EW169" s="82"/>
      <c r="EX169" s="90"/>
      <c r="EY169" s="159"/>
      <c r="EZ169" s="156"/>
      <c r="FA169" s="323"/>
      <c r="FB169" s="323"/>
      <c r="FC169" s="323"/>
      <c r="FD169" s="160"/>
      <c r="FE169" s="156"/>
      <c r="FF169" s="156"/>
      <c r="FG169" s="156"/>
      <c r="FH169" s="157"/>
      <c r="FI169" s="242"/>
      <c r="FJ169" s="240"/>
      <c r="FK169" s="179"/>
      <c r="FL169" s="179"/>
      <c r="FM169" s="179"/>
      <c r="FN169" s="172"/>
      <c r="FO169" s="164"/>
      <c r="FP169" s="254">
        <v>1</v>
      </c>
      <c r="FQ169" s="82" t="s">
        <v>1612</v>
      </c>
      <c r="FR169" s="257"/>
      <c r="FS169" s="82"/>
      <c r="FT169" s="259"/>
      <c r="FU169" s="82"/>
      <c r="FV169" s="259"/>
      <c r="FW169" s="82"/>
      <c r="FX169" s="259"/>
      <c r="FY169" s="82"/>
      <c r="FZ169" s="259"/>
      <c r="GA169" s="82"/>
      <c r="GB169" s="261"/>
      <c r="GC169" s="90"/>
      <c r="GD169" s="76">
        <v>3</v>
      </c>
      <c r="GE169" s="445" t="s">
        <v>3432</v>
      </c>
      <c r="GF169" s="447" t="s">
        <v>580</v>
      </c>
      <c r="GG169" s="448">
        <v>7</v>
      </c>
      <c r="GH169" s="449">
        <v>7</v>
      </c>
      <c r="GI169" s="447" t="s">
        <v>580</v>
      </c>
      <c r="GJ169" s="449">
        <v>65</v>
      </c>
      <c r="GK169" s="447">
        <v>18</v>
      </c>
      <c r="GL169" s="448">
        <v>19</v>
      </c>
      <c r="GM169" s="449">
        <v>28</v>
      </c>
      <c r="GN169" s="447" t="s">
        <v>580</v>
      </c>
      <c r="GO169" s="449">
        <v>81</v>
      </c>
      <c r="GP169" s="447">
        <v>26</v>
      </c>
      <c r="GQ169" s="448">
        <v>33</v>
      </c>
      <c r="GR169" s="449">
        <v>22</v>
      </c>
      <c r="GS169" s="446">
        <v>8</v>
      </c>
      <c r="GT169" s="461">
        <v>-1.7751208543777466</v>
      </c>
      <c r="GU169" s="462">
        <v>-2.2008566856384277</v>
      </c>
      <c r="GV169" s="462">
        <v>-1.5314011573791504</v>
      </c>
      <c r="GW169" s="462">
        <v>-1.4437365531921387</v>
      </c>
      <c r="GX169" s="462">
        <v>-1.2524936199188232</v>
      </c>
      <c r="GY169" s="463">
        <v>-1.4882465600967407</v>
      </c>
      <c r="GZ169" s="10">
        <v>154</v>
      </c>
      <c r="HA169" s="536">
        <v>0.26062000000000002</v>
      </c>
      <c r="HB169" s="536">
        <v>0.27450000000000002</v>
      </c>
      <c r="HC169" s="525">
        <v>0.29132999999999998</v>
      </c>
      <c r="HD169" s="526">
        <v>0.18465999999999999</v>
      </c>
      <c r="HE169" s="527">
        <v>0.30590000000000001</v>
      </c>
      <c r="HF169" s="10">
        <v>122</v>
      </c>
      <c r="HG169" s="532">
        <v>2.88</v>
      </c>
      <c r="HH169" s="545">
        <v>3.46</v>
      </c>
      <c r="HI169" s="546">
        <v>1.65</v>
      </c>
      <c r="HJ169" s="547">
        <v>4.18</v>
      </c>
      <c r="HK169" s="558" t="s">
        <v>4790</v>
      </c>
      <c r="HL169" s="585" t="s">
        <v>4787</v>
      </c>
      <c r="HM169" s="557">
        <v>1996</v>
      </c>
      <c r="HN169" s="557" t="s">
        <v>145</v>
      </c>
      <c r="HO169" s="557" t="s">
        <v>3985</v>
      </c>
      <c r="HP169" s="562" t="s">
        <v>4791</v>
      </c>
      <c r="HQ169" s="639" t="s">
        <v>4787</v>
      </c>
      <c r="HR169" s="563" t="s">
        <v>145</v>
      </c>
      <c r="HS169" s="545" t="s">
        <v>145</v>
      </c>
      <c r="HT169" s="557" t="s">
        <v>145</v>
      </c>
      <c r="HU169" s="557" t="s">
        <v>145</v>
      </c>
      <c r="HV169" s="581" t="s">
        <v>145</v>
      </c>
      <c r="HW169" s="557" t="s">
        <v>145</v>
      </c>
      <c r="HX169" s="557" t="s">
        <v>145</v>
      </c>
      <c r="HY169" s="557" t="s">
        <v>145</v>
      </c>
      <c r="HZ169" s="557" t="s">
        <v>145</v>
      </c>
      <c r="IA169" s="557" t="s">
        <v>145</v>
      </c>
      <c r="IB169" s="557" t="s">
        <v>145</v>
      </c>
      <c r="IC169" s="547" t="s">
        <v>145</v>
      </c>
      <c r="ID169" s="40"/>
      <c r="IE169" s="550"/>
      <c r="IF169" s="550"/>
      <c r="IG169" s="553">
        <v>1</v>
      </c>
      <c r="IH169" s="115"/>
      <c r="II169" s="647" t="s">
        <v>4921</v>
      </c>
      <c r="IJ169" s="423" t="s">
        <v>4918</v>
      </c>
      <c r="IK169" s="10">
        <v>0</v>
      </c>
      <c r="IL169" s="749">
        <f t="shared" si="170"/>
        <v>15</v>
      </c>
      <c r="IM169" s="747">
        <f t="shared" si="171"/>
        <v>60</v>
      </c>
      <c r="IN169" s="750" t="str">
        <f t="shared" si="172"/>
        <v>B</v>
      </c>
      <c r="IO169" s="446">
        <v>1</v>
      </c>
      <c r="IP169" s="902">
        <v>4</v>
      </c>
      <c r="IQ169" s="903">
        <v>0</v>
      </c>
      <c r="IR169" s="993">
        <v>0</v>
      </c>
      <c r="IT169" s="435"/>
      <c r="IU169" s="435"/>
      <c r="IV169" s="435"/>
    </row>
    <row r="170" spans="1:256">
      <c r="A170" s="21">
        <v>168</v>
      </c>
      <c r="B170" s="9"/>
      <c r="C170" s="431" t="s">
        <v>257</v>
      </c>
      <c r="D170" s="424" t="s">
        <v>409</v>
      </c>
      <c r="E170" s="24" t="s">
        <v>12</v>
      </c>
      <c r="F170" s="76" t="s">
        <v>902</v>
      </c>
      <c r="G170" s="102" t="s">
        <v>614</v>
      </c>
      <c r="H170" s="375" t="s">
        <v>2491</v>
      </c>
      <c r="I170" s="364" t="s">
        <v>2096</v>
      </c>
      <c r="J170" s="370">
        <v>2</v>
      </c>
      <c r="K170" s="359">
        <v>1975</v>
      </c>
      <c r="L170" s="371">
        <v>2</v>
      </c>
      <c r="M170" s="373" t="s">
        <v>2492</v>
      </c>
      <c r="N170" s="369" t="s">
        <v>1822</v>
      </c>
      <c r="O170" s="365" t="s">
        <v>3077</v>
      </c>
      <c r="P170" s="362" t="s">
        <v>3078</v>
      </c>
      <c r="Q170" s="370">
        <v>2</v>
      </c>
      <c r="R170" s="370">
        <v>1987</v>
      </c>
      <c r="S170" s="372" t="s">
        <v>3079</v>
      </c>
      <c r="T170" s="370">
        <v>1</v>
      </c>
      <c r="U170" s="370">
        <v>2</v>
      </c>
      <c r="V170" s="370">
        <v>16</v>
      </c>
      <c r="W170" s="369" t="s">
        <v>1822</v>
      </c>
      <c r="X170" s="170">
        <v>0</v>
      </c>
      <c r="Y170" s="369">
        <v>0</v>
      </c>
      <c r="Z170" s="271"/>
      <c r="AA170" s="169"/>
      <c r="AB170" s="177"/>
      <c r="AC170" s="171"/>
      <c r="AD170" s="376" t="s">
        <v>145</v>
      </c>
      <c r="AE170" s="355" t="s">
        <v>145</v>
      </c>
      <c r="AF170" s="355">
        <v>0</v>
      </c>
      <c r="AG170" s="550">
        <v>1</v>
      </c>
      <c r="AH170" s="355" t="s">
        <v>145</v>
      </c>
      <c r="AI170" s="550" t="s">
        <v>145</v>
      </c>
      <c r="AJ170" s="550" t="s">
        <v>145</v>
      </c>
      <c r="AK170" s="590" t="s">
        <v>145</v>
      </c>
      <c r="AL170" s="355">
        <v>0</v>
      </c>
      <c r="AM170" s="360" t="s">
        <v>145</v>
      </c>
      <c r="AN170" s="384" t="s">
        <v>145</v>
      </c>
      <c r="AO170" s="170">
        <v>0</v>
      </c>
      <c r="AP170" s="172">
        <v>0</v>
      </c>
      <c r="AQ170" s="365" t="s">
        <v>5384</v>
      </c>
      <c r="AR170" s="362" t="s">
        <v>4934</v>
      </c>
      <c r="AS170" s="55">
        <v>1</v>
      </c>
      <c r="AT170" s="370">
        <v>3</v>
      </c>
      <c r="AU170" s="371">
        <v>2005</v>
      </c>
      <c r="AV170" s="370">
        <v>5</v>
      </c>
      <c r="AW170" s="589" t="s">
        <v>145</v>
      </c>
      <c r="AX170" s="687">
        <v>0</v>
      </c>
      <c r="AY170" s="174" t="s">
        <v>4287</v>
      </c>
      <c r="AZ170" s="55">
        <v>2001</v>
      </c>
      <c r="BA170" s="55">
        <v>1</v>
      </c>
      <c r="BB170" s="55">
        <v>0</v>
      </c>
      <c r="BC170" s="108" t="s">
        <v>145</v>
      </c>
      <c r="BD170" s="55" t="s">
        <v>145</v>
      </c>
      <c r="BE170" s="55">
        <v>0</v>
      </c>
      <c r="BF170" s="371" t="s">
        <v>145</v>
      </c>
      <c r="BG170" s="371">
        <v>0</v>
      </c>
      <c r="BH170" s="56" t="s">
        <v>145</v>
      </c>
      <c r="BI170" s="371">
        <v>3</v>
      </c>
      <c r="BJ170" s="371">
        <v>0</v>
      </c>
      <c r="BK170" s="888">
        <v>542.97500000000002</v>
      </c>
      <c r="BL170" s="925">
        <f t="shared" si="159"/>
        <v>49.898614116672043</v>
      </c>
      <c r="BM170" s="888">
        <v>272.03800000000001</v>
      </c>
      <c r="BN170" s="920">
        <v>270.93700000000001</v>
      </c>
      <c r="BO170" s="888">
        <v>48.185000000000002</v>
      </c>
      <c r="BP170" s="1158">
        <f t="shared" si="135"/>
        <v>48.268133236484381</v>
      </c>
      <c r="BQ170" s="917">
        <v>24.927</v>
      </c>
      <c r="BR170" s="920">
        <v>23.257999999999999</v>
      </c>
      <c r="BS170" s="888">
        <v>48.576000000000001</v>
      </c>
      <c r="BT170" s="1158">
        <f t="shared" si="136"/>
        <v>48.248106060606062</v>
      </c>
      <c r="BU170" s="917">
        <v>25.138999999999999</v>
      </c>
      <c r="BV170" s="920">
        <v>23.437000000000001</v>
      </c>
      <c r="BW170" s="888">
        <v>48.658000000000001</v>
      </c>
      <c r="BX170" s="1158">
        <f t="shared" si="137"/>
        <v>49.533478564675896</v>
      </c>
      <c r="BY170" s="917">
        <v>24.556000000000001</v>
      </c>
      <c r="BZ170" s="920">
        <v>24.102</v>
      </c>
      <c r="CA170" s="888">
        <f t="shared" si="138"/>
        <v>397.55599999999998</v>
      </c>
      <c r="CB170" s="1158">
        <f t="shared" si="139"/>
        <v>50.342593244725279</v>
      </c>
      <c r="CC170" s="917">
        <f t="shared" si="140"/>
        <v>197.416</v>
      </c>
      <c r="CD170" s="920">
        <f t="shared" si="141"/>
        <v>200.14</v>
      </c>
      <c r="CE170" s="914">
        <v>2015</v>
      </c>
      <c r="CF170" s="910" t="s">
        <v>5630</v>
      </c>
      <c r="CG170" s="930">
        <v>98.9</v>
      </c>
      <c r="CH170" s="495">
        <v>99.1</v>
      </c>
      <c r="CI170" s="497">
        <v>98.7</v>
      </c>
      <c r="CJ170" s="904">
        <v>99.6</v>
      </c>
      <c r="CK170" s="904">
        <v>97.8</v>
      </c>
      <c r="CL170" s="904">
        <v>2010</v>
      </c>
      <c r="CM170" s="905" t="s">
        <v>5573</v>
      </c>
      <c r="CN170" s="1044">
        <v>356.22300000000001</v>
      </c>
      <c r="CO170" s="1045">
        <f t="shared" si="160"/>
        <v>65.605782955016352</v>
      </c>
      <c r="CP170" s="1040">
        <f t="shared" si="157"/>
        <v>178.47265983516735</v>
      </c>
      <c r="CQ170" s="1041">
        <f t="shared" si="158"/>
        <v>177.75034016483266</v>
      </c>
      <c r="CR170" s="1046">
        <v>2015</v>
      </c>
      <c r="CS170" s="1047" t="s">
        <v>6030</v>
      </c>
      <c r="CT170" s="1068">
        <f t="shared" si="161"/>
        <v>16</v>
      </c>
      <c r="CU170" s="1071">
        <v>18</v>
      </c>
      <c r="CV170" s="1068" t="s">
        <v>6041</v>
      </c>
      <c r="CW170" s="1113">
        <v>356.22300000000001</v>
      </c>
      <c r="CX170" s="1113">
        <v>397.91500000000002</v>
      </c>
      <c r="CY170" s="1113">
        <v>579.63300000000004</v>
      </c>
      <c r="CZ170" s="494">
        <v>1</v>
      </c>
      <c r="DA170" s="1104">
        <v>4</v>
      </c>
      <c r="DB170" s="1050" t="s">
        <v>647</v>
      </c>
      <c r="DC170" s="1146" t="s">
        <v>322</v>
      </c>
      <c r="DD170" s="978">
        <f t="shared" si="148"/>
        <v>42.932608999999957</v>
      </c>
      <c r="DE170" s="979">
        <f t="shared" si="162"/>
        <v>7.9069218656475817</v>
      </c>
      <c r="DF170" s="979">
        <f t="shared" si="149"/>
        <v>54.294442797937926</v>
      </c>
      <c r="DG170" s="980">
        <f t="shared" si="150"/>
        <v>19.614938164832651</v>
      </c>
      <c r="DH170" s="980">
        <f t="shared" si="151"/>
        <v>23.310020835167325</v>
      </c>
      <c r="DI170" s="979">
        <f t="shared" si="163"/>
        <v>7.2103669946230493</v>
      </c>
      <c r="DJ170" s="981">
        <f t="shared" si="164"/>
        <v>8.6034837748876392</v>
      </c>
      <c r="DK170" s="984">
        <f t="shared" si="165"/>
        <v>41.33299999999997</v>
      </c>
      <c r="DL170" s="979">
        <f t="shared" si="152"/>
        <v>54.168968705797639</v>
      </c>
      <c r="DM170" s="980">
        <f t="shared" si="166"/>
        <v>18.943340164832648</v>
      </c>
      <c r="DN170" s="985">
        <f t="shared" si="167"/>
        <v>22.389659835167322</v>
      </c>
      <c r="DO170" s="984">
        <f t="shared" si="168"/>
        <v>1.06957399999999</v>
      </c>
      <c r="DP170" s="979">
        <f t="shared" si="153"/>
        <v>57.780667817281127</v>
      </c>
      <c r="DQ170" s="980">
        <f t="shared" si="142"/>
        <v>0.4472550000000004</v>
      </c>
      <c r="DR170" s="985">
        <f t="shared" si="143"/>
        <v>0.61800700000000064</v>
      </c>
      <c r="DS170" s="984">
        <f t="shared" si="169"/>
        <v>0.53003499999999515</v>
      </c>
      <c r="DT170" s="339">
        <f t="shared" si="154"/>
        <v>57.044157461300294</v>
      </c>
      <c r="DU170" s="980">
        <f t="shared" si="144"/>
        <v>0.22434300000000021</v>
      </c>
      <c r="DV170" s="985">
        <f t="shared" si="145"/>
        <v>0.30235400000000023</v>
      </c>
      <c r="DW170" s="979">
        <f t="shared" si="146"/>
        <v>0.9000000000000008</v>
      </c>
      <c r="DX170" s="981">
        <f t="shared" si="147"/>
        <v>1.3000000000000009</v>
      </c>
      <c r="DY170" s="414">
        <v>47</v>
      </c>
      <c r="DZ170" s="111">
        <v>2013</v>
      </c>
      <c r="EA170" s="118" t="e">
        <f>#REF!*DY170/100</f>
        <v>#REF!</v>
      </c>
      <c r="EB170" s="123">
        <v>70</v>
      </c>
      <c r="EC170" s="113">
        <v>2002</v>
      </c>
      <c r="ED170" s="20" t="e">
        <f>#REF!*EB170/100</f>
        <v>#REF!</v>
      </c>
      <c r="EE170" s="414">
        <v>70</v>
      </c>
      <c r="EF170" s="111">
        <v>2002</v>
      </c>
      <c r="EG170" s="380">
        <v>94.675750732421903</v>
      </c>
      <c r="EH170" s="24" t="s">
        <v>377</v>
      </c>
      <c r="EI170" s="287">
        <v>2</v>
      </c>
      <c r="EJ170" s="40" t="s">
        <v>145</v>
      </c>
      <c r="EK170" s="35" t="s">
        <v>145</v>
      </c>
      <c r="EL170" s="364" t="s">
        <v>145</v>
      </c>
      <c r="EM170" s="364" t="s">
        <v>145</v>
      </c>
      <c r="EN170" s="35" t="s">
        <v>145</v>
      </c>
      <c r="EO170" s="364" t="s">
        <v>145</v>
      </c>
      <c r="EP170" s="205" t="s">
        <v>145</v>
      </c>
      <c r="EQ170" s="207" t="s">
        <v>145</v>
      </c>
      <c r="ER170" s="517" t="s">
        <v>145</v>
      </c>
      <c r="ES170" s="183"/>
      <c r="ET170" s="183"/>
      <c r="EU170" s="82"/>
      <c r="EV170" s="82"/>
      <c r="EW170" s="82"/>
      <c r="EX170" s="90"/>
      <c r="EY170" s="159">
        <v>524300</v>
      </c>
      <c r="EZ170" s="156">
        <v>2010</v>
      </c>
      <c r="FA170" s="323">
        <v>69</v>
      </c>
      <c r="FB170" s="323">
        <v>31</v>
      </c>
      <c r="FC170" s="323">
        <v>59.2</v>
      </c>
      <c r="FD170" s="160" t="s">
        <v>318</v>
      </c>
      <c r="FE170" s="156">
        <v>91</v>
      </c>
      <c r="FF170" s="156" t="s">
        <v>377</v>
      </c>
      <c r="FG170" s="156">
        <v>3</v>
      </c>
      <c r="FH170" s="157" t="s">
        <v>318</v>
      </c>
      <c r="FI170" s="242">
        <v>4</v>
      </c>
      <c r="FJ170" s="373" t="s">
        <v>145</v>
      </c>
      <c r="FK170" s="179" t="s">
        <v>145</v>
      </c>
      <c r="FL170" s="179" t="s">
        <v>145</v>
      </c>
      <c r="FM170" s="179" t="s">
        <v>145</v>
      </c>
      <c r="FN170" s="369" t="s">
        <v>145</v>
      </c>
      <c r="FO170" s="165" t="s">
        <v>1792</v>
      </c>
      <c r="FP170" s="255"/>
      <c r="FQ170" s="183"/>
      <c r="FR170" s="257"/>
      <c r="FS170" s="82"/>
      <c r="FT170" s="259"/>
      <c r="FU170" s="82"/>
      <c r="FV170" s="259"/>
      <c r="FW170" s="82"/>
      <c r="FX170" s="259"/>
      <c r="FY170" s="82"/>
      <c r="FZ170" s="259"/>
      <c r="GA170" s="82"/>
      <c r="GB170" s="261"/>
      <c r="GC170" s="90"/>
      <c r="GD170" s="76">
        <v>1</v>
      </c>
      <c r="GE170" s="445" t="s">
        <v>3424</v>
      </c>
      <c r="GF170" s="447" t="s">
        <v>10</v>
      </c>
      <c r="GG170" s="448">
        <v>2</v>
      </c>
      <c r="GH170" s="449">
        <v>2</v>
      </c>
      <c r="GI170" s="447" t="s">
        <v>145</v>
      </c>
      <c r="GJ170" s="449" t="s">
        <v>145</v>
      </c>
      <c r="GK170" s="447" t="s">
        <v>145</v>
      </c>
      <c r="GL170" s="448" t="s">
        <v>145</v>
      </c>
      <c r="GM170" s="449" t="s">
        <v>145</v>
      </c>
      <c r="GN170" s="447" t="s">
        <v>10</v>
      </c>
      <c r="GO170" s="449">
        <v>28</v>
      </c>
      <c r="GP170" s="447">
        <v>8</v>
      </c>
      <c r="GQ170" s="448">
        <v>13</v>
      </c>
      <c r="GR170" s="449">
        <v>7</v>
      </c>
      <c r="GS170" s="446">
        <v>5</v>
      </c>
      <c r="GT170" s="461">
        <v>0.30605778098106384</v>
      </c>
      <c r="GU170" s="462">
        <v>0.15845102071762085</v>
      </c>
      <c r="GV170" s="462">
        <v>4.9731885083019733E-3</v>
      </c>
      <c r="GW170" s="462">
        <v>-0.34177368879318237</v>
      </c>
      <c r="GX170" s="462">
        <v>-8.8782548904418945E-2</v>
      </c>
      <c r="GY170" s="463">
        <v>-0.38153088092803955</v>
      </c>
      <c r="GZ170" s="10">
        <v>115</v>
      </c>
      <c r="HA170" s="536">
        <v>0.40445999999999999</v>
      </c>
      <c r="HB170" s="536">
        <v>0.13725000000000001</v>
      </c>
      <c r="HC170" s="525">
        <v>0.14172999999999999</v>
      </c>
      <c r="HD170" s="526">
        <v>0.39678000000000002</v>
      </c>
      <c r="HE170" s="527">
        <v>0.67490000000000006</v>
      </c>
      <c r="HF170" s="10">
        <v>98</v>
      </c>
      <c r="HG170" s="532">
        <v>4.26</v>
      </c>
      <c r="HH170" s="545">
        <v>5.38</v>
      </c>
      <c r="HI170" s="546">
        <v>2.06</v>
      </c>
      <c r="HJ170" s="547">
        <v>6.4</v>
      </c>
      <c r="HK170" s="558" t="s">
        <v>4792</v>
      </c>
      <c r="HL170" s="365" t="s">
        <v>4865</v>
      </c>
      <c r="HM170" s="557">
        <v>2006</v>
      </c>
      <c r="HN170" s="557" t="s">
        <v>145</v>
      </c>
      <c r="HO170" s="557" t="s">
        <v>3985</v>
      </c>
      <c r="HP170" s="562" t="s">
        <v>4866</v>
      </c>
      <c r="HQ170" s="639" t="s">
        <v>4867</v>
      </c>
      <c r="HR170" s="563" t="s">
        <v>145</v>
      </c>
      <c r="HS170" s="545" t="s">
        <v>145</v>
      </c>
      <c r="HT170" s="557" t="s">
        <v>145</v>
      </c>
      <c r="HU170" s="557" t="s">
        <v>145</v>
      </c>
      <c r="HV170" s="581" t="s">
        <v>145</v>
      </c>
      <c r="HW170" s="557" t="s">
        <v>145</v>
      </c>
      <c r="HX170" s="557" t="s">
        <v>145</v>
      </c>
      <c r="HY170" s="557" t="s">
        <v>145</v>
      </c>
      <c r="HZ170" s="557" t="s">
        <v>145</v>
      </c>
      <c r="IA170" s="557" t="s">
        <v>145</v>
      </c>
      <c r="IB170" s="557" t="s">
        <v>145</v>
      </c>
      <c r="IC170" s="547" t="s">
        <v>145</v>
      </c>
      <c r="ID170" s="660"/>
      <c r="IE170" s="550"/>
      <c r="IF170" s="550"/>
      <c r="IG170" s="553"/>
      <c r="IH170" s="339"/>
      <c r="II170" s="553" t="s">
        <v>4922</v>
      </c>
      <c r="IJ170" s="424" t="s">
        <v>4926</v>
      </c>
      <c r="IK170" s="24">
        <v>0</v>
      </c>
      <c r="IL170" s="749">
        <f t="shared" si="170"/>
        <v>11</v>
      </c>
      <c r="IM170" s="747">
        <f t="shared" si="171"/>
        <v>44</v>
      </c>
      <c r="IN170" s="750" t="str">
        <f t="shared" si="172"/>
        <v>C</v>
      </c>
      <c r="IO170" s="446"/>
      <c r="IP170" s="902">
        <v>4</v>
      </c>
      <c r="IQ170" s="903">
        <v>0</v>
      </c>
      <c r="IR170" s="993">
        <v>0</v>
      </c>
      <c r="IT170" s="435"/>
      <c r="IU170" s="435"/>
      <c r="IV170" s="435"/>
    </row>
    <row r="171" spans="1:256">
      <c r="A171" s="21">
        <v>169</v>
      </c>
      <c r="B171" s="9"/>
      <c r="C171" s="430" t="s">
        <v>258</v>
      </c>
      <c r="D171" s="423" t="s">
        <v>406</v>
      </c>
      <c r="E171" s="24" t="s">
        <v>20</v>
      </c>
      <c r="F171" s="76" t="s">
        <v>903</v>
      </c>
      <c r="G171" s="102" t="s">
        <v>618</v>
      </c>
      <c r="H171" s="375" t="s">
        <v>2493</v>
      </c>
      <c r="I171" s="364" t="s">
        <v>2467</v>
      </c>
      <c r="J171" s="370">
        <v>2</v>
      </c>
      <c r="K171" s="359">
        <v>1927</v>
      </c>
      <c r="L171" s="371">
        <v>2</v>
      </c>
      <c r="M171" s="373" t="s">
        <v>1816</v>
      </c>
      <c r="N171" s="369" t="s">
        <v>1822</v>
      </c>
      <c r="O171" s="365" t="s">
        <v>2911</v>
      </c>
      <c r="P171" s="362" t="s">
        <v>5267</v>
      </c>
      <c r="Q171" s="370">
        <v>2</v>
      </c>
      <c r="R171" s="370">
        <v>1971</v>
      </c>
      <c r="S171" s="382" t="s">
        <v>1961</v>
      </c>
      <c r="T171" s="370">
        <v>1</v>
      </c>
      <c r="U171" s="370">
        <v>1</v>
      </c>
      <c r="V171" s="370" t="s">
        <v>145</v>
      </c>
      <c r="W171" s="369" t="s">
        <v>1822</v>
      </c>
      <c r="X171" s="170">
        <v>0</v>
      </c>
      <c r="Y171" s="369">
        <v>0</v>
      </c>
      <c r="Z171" s="271"/>
      <c r="AA171" s="169"/>
      <c r="AB171" s="177"/>
      <c r="AC171" s="171"/>
      <c r="AD171" s="376" t="s">
        <v>145</v>
      </c>
      <c r="AE171" s="355" t="s">
        <v>145</v>
      </c>
      <c r="AF171" s="355">
        <v>0</v>
      </c>
      <c r="AG171" s="550">
        <v>1</v>
      </c>
      <c r="AH171" s="355" t="s">
        <v>145</v>
      </c>
      <c r="AI171" s="550" t="s">
        <v>145</v>
      </c>
      <c r="AJ171" s="550" t="s">
        <v>145</v>
      </c>
      <c r="AK171" s="590" t="s">
        <v>145</v>
      </c>
      <c r="AL171" s="355">
        <v>0</v>
      </c>
      <c r="AM171" s="360" t="s">
        <v>145</v>
      </c>
      <c r="AN171" s="397" t="s">
        <v>145</v>
      </c>
      <c r="AO171" s="170">
        <v>0</v>
      </c>
      <c r="AP171" s="369">
        <v>0</v>
      </c>
      <c r="AQ171" s="365" t="s">
        <v>5385</v>
      </c>
      <c r="AR171" s="362" t="s">
        <v>5267</v>
      </c>
      <c r="AS171" s="55">
        <v>1</v>
      </c>
      <c r="AT171" s="370">
        <v>2</v>
      </c>
      <c r="AU171" s="724">
        <v>2011</v>
      </c>
      <c r="AV171" s="370">
        <v>5</v>
      </c>
      <c r="AW171" s="589" t="s">
        <v>145</v>
      </c>
      <c r="AX171" s="687">
        <v>0</v>
      </c>
      <c r="AY171" s="174" t="s">
        <v>4439</v>
      </c>
      <c r="AZ171" s="55">
        <v>1964</v>
      </c>
      <c r="BA171" s="55">
        <v>0</v>
      </c>
      <c r="BB171" s="55">
        <v>1</v>
      </c>
      <c r="BC171" s="174" t="s">
        <v>4599</v>
      </c>
      <c r="BD171" s="55">
        <v>2012</v>
      </c>
      <c r="BE171" s="55">
        <v>0</v>
      </c>
      <c r="BF171" s="371" t="s">
        <v>145</v>
      </c>
      <c r="BG171" s="371">
        <v>0</v>
      </c>
      <c r="BH171" s="56" t="s">
        <v>145</v>
      </c>
      <c r="BI171" s="371">
        <v>0</v>
      </c>
      <c r="BJ171" s="371">
        <v>0</v>
      </c>
      <c r="BK171" s="888">
        <v>1286.97</v>
      </c>
      <c r="BL171" s="925">
        <f t="shared" si="159"/>
        <v>50.547254403754557</v>
      </c>
      <c r="BM171" s="888">
        <v>636.44200000000001</v>
      </c>
      <c r="BN171" s="920">
        <v>650.52800000000002</v>
      </c>
      <c r="BO171" s="888">
        <v>173.392</v>
      </c>
      <c r="BP171" s="1158">
        <f t="shared" si="135"/>
        <v>49.611862138968348</v>
      </c>
      <c r="BQ171" s="917">
        <v>87.369</v>
      </c>
      <c r="BR171" s="920">
        <v>86.022999999999996</v>
      </c>
      <c r="BS171" s="888">
        <v>159.70400000000001</v>
      </c>
      <c r="BT171" s="1158">
        <f t="shared" si="136"/>
        <v>49.680033061163151</v>
      </c>
      <c r="BU171" s="917">
        <v>80.363</v>
      </c>
      <c r="BV171" s="920">
        <v>79.340999999999994</v>
      </c>
      <c r="BW171" s="888">
        <v>147.65100000000001</v>
      </c>
      <c r="BX171" s="1158">
        <f t="shared" si="137"/>
        <v>49.696243168011044</v>
      </c>
      <c r="BY171" s="917">
        <v>74.274000000000001</v>
      </c>
      <c r="BZ171" s="920">
        <v>73.376999999999995</v>
      </c>
      <c r="CA171" s="888">
        <f t="shared" si="138"/>
        <v>806.22299999999996</v>
      </c>
      <c r="CB171" s="1158">
        <f t="shared" si="139"/>
        <v>51.076067043485487</v>
      </c>
      <c r="CC171" s="917">
        <f t="shared" si="140"/>
        <v>394.43599999999998</v>
      </c>
      <c r="CD171" s="920">
        <f t="shared" si="141"/>
        <v>411.78699999999998</v>
      </c>
      <c r="CE171" s="914">
        <v>2015</v>
      </c>
      <c r="CF171" s="910" t="s">
        <v>5630</v>
      </c>
      <c r="CG171" s="1026">
        <v>49.5</v>
      </c>
      <c r="CH171" s="495">
        <v>50.2</v>
      </c>
      <c r="CI171" s="497">
        <v>48.8</v>
      </c>
      <c r="CJ171" s="904">
        <v>61.5</v>
      </c>
      <c r="CK171" s="904">
        <v>46.5</v>
      </c>
      <c r="CL171" s="904">
        <v>2010</v>
      </c>
      <c r="CM171" s="905" t="s">
        <v>5573</v>
      </c>
      <c r="CN171" s="1044">
        <v>415.012</v>
      </c>
      <c r="CO171" s="1045">
        <f t="shared" si="160"/>
        <v>32.247216329828973</v>
      </c>
      <c r="CP171" s="1040">
        <f t="shared" si="157"/>
        <v>205.23482855389011</v>
      </c>
      <c r="CQ171" s="1041">
        <f t="shared" si="158"/>
        <v>209.77717144610986</v>
      </c>
      <c r="CR171" s="1046">
        <v>2013</v>
      </c>
      <c r="CS171" s="1047" t="s">
        <v>6032</v>
      </c>
      <c r="CT171" s="1068" t="str">
        <f t="shared" si="161"/>
        <v>-</v>
      </c>
      <c r="CU171" s="1071">
        <v>18</v>
      </c>
      <c r="CV171" s="1068" t="s">
        <v>6031</v>
      </c>
      <c r="CW171" s="1113">
        <v>415.012</v>
      </c>
      <c r="CX171" s="1113" t="s">
        <v>145</v>
      </c>
      <c r="CY171" s="1113">
        <v>1403.3620000000001</v>
      </c>
      <c r="CZ171" s="494">
        <v>1</v>
      </c>
      <c r="DA171" s="1104">
        <v>4</v>
      </c>
      <c r="DB171" s="1050" t="s">
        <v>647</v>
      </c>
      <c r="DC171" s="1143" t="s">
        <v>320</v>
      </c>
      <c r="DD171" s="978">
        <f t="shared" si="148"/>
        <v>633.98823499999992</v>
      </c>
      <c r="DE171" s="979">
        <f t="shared" si="162"/>
        <v>49.262083420747949</v>
      </c>
      <c r="DF171" s="979">
        <f t="shared" si="149"/>
        <v>51.143728330209491</v>
      </c>
      <c r="DG171" s="980">
        <f t="shared" si="150"/>
        <v>309.7201594461099</v>
      </c>
      <c r="DH171" s="980">
        <f t="shared" si="151"/>
        <v>324.24522055389008</v>
      </c>
      <c r="DI171" s="979">
        <f t="shared" si="163"/>
        <v>48.664318106930388</v>
      </c>
      <c r="DJ171" s="981">
        <f t="shared" si="164"/>
        <v>49.843391914550963</v>
      </c>
      <c r="DK171" s="984">
        <f t="shared" si="165"/>
        <v>391.21099999999996</v>
      </c>
      <c r="DL171" s="979">
        <f t="shared" si="152"/>
        <v>51.637052269463311</v>
      </c>
      <c r="DM171" s="980">
        <f t="shared" si="166"/>
        <v>189.20117144610987</v>
      </c>
      <c r="DN171" s="985">
        <f t="shared" si="167"/>
        <v>202.00982855389012</v>
      </c>
      <c r="DO171" s="984">
        <f t="shared" si="168"/>
        <v>155.21427499999999</v>
      </c>
      <c r="DP171" s="979">
        <f t="shared" si="153"/>
        <v>50.376562336163985</v>
      </c>
      <c r="DQ171" s="980">
        <f t="shared" si="142"/>
        <v>77.009226000000012</v>
      </c>
      <c r="DR171" s="985">
        <f t="shared" si="143"/>
        <v>78.191615999999996</v>
      </c>
      <c r="DS171" s="984">
        <f t="shared" si="169"/>
        <v>87.562960000000004</v>
      </c>
      <c r="DT171" s="339">
        <f t="shared" si="154"/>
        <v>50.299551317132263</v>
      </c>
      <c r="DU171" s="980">
        <f t="shared" si="144"/>
        <v>43.509762000000002</v>
      </c>
      <c r="DV171" s="985">
        <f t="shared" si="145"/>
        <v>44.043776000000001</v>
      </c>
      <c r="DW171" s="979">
        <f t="shared" si="146"/>
        <v>49.8</v>
      </c>
      <c r="DX171" s="981">
        <f t="shared" si="147"/>
        <v>51.2</v>
      </c>
      <c r="DY171" s="414">
        <v>40.630000000000003</v>
      </c>
      <c r="DZ171" s="111">
        <v>2010</v>
      </c>
      <c r="EA171" s="118">
        <v>433.51583800000003</v>
      </c>
      <c r="EB171" s="123">
        <v>63</v>
      </c>
      <c r="EC171" s="113">
        <v>2009</v>
      </c>
      <c r="ED171" s="20">
        <v>672.69698999999991</v>
      </c>
      <c r="EE171" s="414">
        <v>69</v>
      </c>
      <c r="EF171" s="121">
        <v>2006</v>
      </c>
      <c r="EG171" s="380">
        <v>83.098289489746094</v>
      </c>
      <c r="EH171" s="24" t="s">
        <v>335</v>
      </c>
      <c r="EI171" s="288">
        <v>1</v>
      </c>
      <c r="EJ171" s="40">
        <v>1</v>
      </c>
      <c r="EK171" s="35" t="s">
        <v>145</v>
      </c>
      <c r="EL171" s="364" t="s">
        <v>931</v>
      </c>
      <c r="EM171" s="364" t="s">
        <v>1649</v>
      </c>
      <c r="EN171" s="35" t="s">
        <v>145</v>
      </c>
      <c r="EO171" s="364" t="s">
        <v>1646</v>
      </c>
      <c r="EP171" s="205">
        <v>0.3</v>
      </c>
      <c r="EQ171" s="207" t="s">
        <v>145</v>
      </c>
      <c r="ER171" s="517" t="s">
        <v>145</v>
      </c>
      <c r="ES171" s="183"/>
      <c r="ET171" s="183"/>
      <c r="EU171" s="82"/>
      <c r="EV171" s="82"/>
      <c r="EW171" s="82"/>
      <c r="EX171" s="90"/>
      <c r="EY171" s="159"/>
      <c r="EZ171" s="156"/>
      <c r="FA171" s="323"/>
      <c r="FB171" s="323"/>
      <c r="FC171" s="323"/>
      <c r="FD171" s="160"/>
      <c r="FE171" s="156"/>
      <c r="FF171" s="156"/>
      <c r="FG171" s="156"/>
      <c r="FH171" s="157"/>
      <c r="FI171" s="242"/>
      <c r="FJ171" s="240"/>
      <c r="FK171" s="179"/>
      <c r="FL171" s="179"/>
      <c r="FM171" s="179"/>
      <c r="FN171" s="369"/>
      <c r="FO171" s="164"/>
      <c r="FP171" s="255"/>
      <c r="FQ171" s="183"/>
      <c r="FR171" s="257"/>
      <c r="FS171" s="82"/>
      <c r="FT171" s="259"/>
      <c r="FU171" s="82"/>
      <c r="FV171" s="259"/>
      <c r="FW171" s="82"/>
      <c r="FX171" s="259"/>
      <c r="FY171" s="82"/>
      <c r="FZ171" s="259"/>
      <c r="GA171" s="82"/>
      <c r="GB171" s="261"/>
      <c r="GC171" s="90"/>
      <c r="GD171" s="76">
        <v>1</v>
      </c>
      <c r="GE171" s="445" t="s">
        <v>3431</v>
      </c>
      <c r="GF171" s="447" t="s">
        <v>580</v>
      </c>
      <c r="GG171" s="448">
        <v>7</v>
      </c>
      <c r="GH171" s="449">
        <v>5</v>
      </c>
      <c r="GI171" s="447" t="s">
        <v>145</v>
      </c>
      <c r="GJ171" s="449" t="s">
        <v>145</v>
      </c>
      <c r="GK171" s="447" t="s">
        <v>145</v>
      </c>
      <c r="GL171" s="448" t="s">
        <v>145</v>
      </c>
      <c r="GM171" s="449" t="s">
        <v>145</v>
      </c>
      <c r="GN171" s="447" t="s">
        <v>580</v>
      </c>
      <c r="GO171" s="449">
        <v>78</v>
      </c>
      <c r="GP171" s="447">
        <v>25</v>
      </c>
      <c r="GQ171" s="448">
        <v>28</v>
      </c>
      <c r="GR171" s="449">
        <v>25</v>
      </c>
      <c r="GS171" s="446">
        <v>0</v>
      </c>
      <c r="GT171" s="461">
        <v>-1.1551570892333984</v>
      </c>
      <c r="GU171" s="462">
        <v>-0.43649071455001831</v>
      </c>
      <c r="GV171" s="462">
        <v>-0.44441738724708557</v>
      </c>
      <c r="GW171" s="462">
        <v>-0.36239925026893616</v>
      </c>
      <c r="GX171" s="462">
        <v>-0.42297843098640442</v>
      </c>
      <c r="GY171" s="463">
        <v>-0.33666700124740601</v>
      </c>
      <c r="GZ171" s="10">
        <v>138</v>
      </c>
      <c r="HA171" s="536">
        <v>0.30558000000000002</v>
      </c>
      <c r="HB171" s="536">
        <v>0.15686</v>
      </c>
      <c r="HC171" s="525">
        <v>0.13385</v>
      </c>
      <c r="HD171" s="526">
        <v>0.16288</v>
      </c>
      <c r="HE171" s="527">
        <v>0.62</v>
      </c>
      <c r="HF171" s="10">
        <v>128</v>
      </c>
      <c r="HG171" s="532">
        <v>2.6</v>
      </c>
      <c r="HH171" s="545">
        <v>3.02</v>
      </c>
      <c r="HI171" s="546">
        <v>0.99</v>
      </c>
      <c r="HJ171" s="547">
        <v>4.96</v>
      </c>
      <c r="HK171" s="558" t="s">
        <v>145</v>
      </c>
      <c r="HL171" s="82" t="s">
        <v>145</v>
      </c>
      <c r="HM171" s="557" t="s">
        <v>145</v>
      </c>
      <c r="HN171" s="557" t="s">
        <v>145</v>
      </c>
      <c r="HO171" s="557" t="s">
        <v>145</v>
      </c>
      <c r="HP171" s="562" t="s">
        <v>145</v>
      </c>
      <c r="HQ171" s="562" t="s">
        <v>145</v>
      </c>
      <c r="HR171" s="563" t="s">
        <v>145</v>
      </c>
      <c r="HS171" s="545" t="s">
        <v>145</v>
      </c>
      <c r="HT171" s="557" t="s">
        <v>145</v>
      </c>
      <c r="HU171" s="557" t="s">
        <v>145</v>
      </c>
      <c r="HV171" s="581" t="s">
        <v>145</v>
      </c>
      <c r="HW171" s="557" t="s">
        <v>145</v>
      </c>
      <c r="HX171" s="557" t="s">
        <v>145</v>
      </c>
      <c r="HY171" s="557" t="s">
        <v>145</v>
      </c>
      <c r="HZ171" s="557" t="s">
        <v>145</v>
      </c>
      <c r="IA171" s="557" t="s">
        <v>145</v>
      </c>
      <c r="IB171" s="557" t="s">
        <v>145</v>
      </c>
      <c r="IC171" s="547" t="s">
        <v>145</v>
      </c>
      <c r="ID171" s="40"/>
      <c r="IE171" s="550"/>
      <c r="IF171" s="550"/>
      <c r="IG171" s="553"/>
      <c r="IH171" s="115"/>
      <c r="II171" s="647" t="s">
        <v>4922</v>
      </c>
      <c r="IJ171" s="423" t="s">
        <v>4926</v>
      </c>
      <c r="IK171" s="10">
        <v>0</v>
      </c>
      <c r="IL171" s="749">
        <f t="shared" si="170"/>
        <v>7</v>
      </c>
      <c r="IM171" s="747">
        <f t="shared" si="171"/>
        <v>28.000000000000004</v>
      </c>
      <c r="IN171" s="750" t="str">
        <f t="shared" si="172"/>
        <v>C</v>
      </c>
      <c r="IO171" s="446">
        <v>1</v>
      </c>
      <c r="IP171" s="902">
        <v>4</v>
      </c>
      <c r="IQ171" s="903">
        <v>0</v>
      </c>
      <c r="IR171" s="993">
        <v>0</v>
      </c>
      <c r="IT171" s="435"/>
      <c r="IU171" s="435"/>
      <c r="IV171" s="435"/>
    </row>
    <row r="172" spans="1:256">
      <c r="A172" s="21">
        <v>170</v>
      </c>
      <c r="B172" s="9"/>
      <c r="C172" s="430" t="s">
        <v>259</v>
      </c>
      <c r="D172" s="424"/>
      <c r="E172" s="24" t="s">
        <v>17</v>
      </c>
      <c r="F172" s="76" t="s">
        <v>904</v>
      </c>
      <c r="G172" s="102" t="s">
        <v>606</v>
      </c>
      <c r="H172" s="375" t="s">
        <v>2495</v>
      </c>
      <c r="I172" s="364" t="s">
        <v>2494</v>
      </c>
      <c r="J172" s="370">
        <v>6</v>
      </c>
      <c r="K172" s="359">
        <v>1860</v>
      </c>
      <c r="L172" s="371">
        <v>2</v>
      </c>
      <c r="M172" s="373" t="s">
        <v>1810</v>
      </c>
      <c r="N172" s="369" t="s">
        <v>1822</v>
      </c>
      <c r="O172" s="365" t="s">
        <v>3080</v>
      </c>
      <c r="P172" s="362" t="s">
        <v>1980</v>
      </c>
      <c r="Q172" s="370">
        <v>2</v>
      </c>
      <c r="R172" s="370">
        <v>2005</v>
      </c>
      <c r="S172" s="372" t="s">
        <v>1961</v>
      </c>
      <c r="T172" s="370">
        <v>1</v>
      </c>
      <c r="U172" s="370">
        <v>1</v>
      </c>
      <c r="V172" s="370" t="s">
        <v>145</v>
      </c>
      <c r="W172" s="369" t="s">
        <v>1983</v>
      </c>
      <c r="X172" s="170">
        <v>1</v>
      </c>
      <c r="Y172" s="369">
        <v>0</v>
      </c>
      <c r="Z172" s="273" t="s">
        <v>2028</v>
      </c>
      <c r="AA172" s="169">
        <v>1</v>
      </c>
      <c r="AB172" s="177">
        <v>1</v>
      </c>
      <c r="AC172" s="171"/>
      <c r="AD172" s="366" t="s">
        <v>959</v>
      </c>
      <c r="AE172" s="355">
        <v>2005</v>
      </c>
      <c r="AF172" s="805">
        <v>2</v>
      </c>
      <c r="AG172" s="550">
        <v>4</v>
      </c>
      <c r="AH172" s="355" t="s">
        <v>3089</v>
      </c>
      <c r="AI172" s="550">
        <v>0</v>
      </c>
      <c r="AJ172" s="550">
        <v>0</v>
      </c>
      <c r="AK172" s="590" t="s">
        <v>145</v>
      </c>
      <c r="AL172" s="387">
        <v>1</v>
      </c>
      <c r="AM172" s="361" t="s">
        <v>2791</v>
      </c>
      <c r="AN172" s="344">
        <v>3</v>
      </c>
      <c r="AO172" s="170">
        <v>1</v>
      </c>
      <c r="AP172" s="369">
        <v>1</v>
      </c>
      <c r="AQ172" s="365" t="s">
        <v>4991</v>
      </c>
      <c r="AR172" s="378" t="s">
        <v>2798</v>
      </c>
      <c r="AS172" s="55">
        <v>2</v>
      </c>
      <c r="AT172" s="370">
        <v>2</v>
      </c>
      <c r="AU172" s="371">
        <v>2005</v>
      </c>
      <c r="AV172" s="370">
        <v>5</v>
      </c>
      <c r="AW172" s="589">
        <v>5100</v>
      </c>
      <c r="AX172" s="687">
        <v>1</v>
      </c>
      <c r="AY172" s="174" t="s">
        <v>2180</v>
      </c>
      <c r="AZ172" s="55">
        <v>1995</v>
      </c>
      <c r="BA172" s="55">
        <v>1</v>
      </c>
      <c r="BB172" s="55">
        <v>2</v>
      </c>
      <c r="BC172" s="174" t="s">
        <v>4440</v>
      </c>
      <c r="BD172" s="55">
        <v>1975</v>
      </c>
      <c r="BE172" s="55">
        <v>2</v>
      </c>
      <c r="BF172" s="367" t="s">
        <v>4365</v>
      </c>
      <c r="BG172" s="367">
        <v>1</v>
      </c>
      <c r="BH172" s="1" t="s">
        <v>3950</v>
      </c>
      <c r="BI172" s="367">
        <v>3</v>
      </c>
      <c r="BJ172" s="367">
        <v>1</v>
      </c>
      <c r="BK172" s="888">
        <v>9779.4259999999995</v>
      </c>
      <c r="BL172" s="925">
        <f t="shared" si="159"/>
        <v>50.029613189976594</v>
      </c>
      <c r="BM172" s="888">
        <v>4886.817</v>
      </c>
      <c r="BN172" s="920">
        <v>4892.6090000000004</v>
      </c>
      <c r="BO172" s="888">
        <v>590.06100000000004</v>
      </c>
      <c r="BP172" s="1158">
        <f t="shared" si="135"/>
        <v>48.638191644592673</v>
      </c>
      <c r="BQ172" s="917">
        <v>303.06599999999997</v>
      </c>
      <c r="BR172" s="920">
        <v>286.995</v>
      </c>
      <c r="BS172" s="888">
        <v>581.03300000000002</v>
      </c>
      <c r="BT172" s="1158">
        <f t="shared" si="136"/>
        <v>48.577447408322762</v>
      </c>
      <c r="BU172" s="917">
        <v>298.78199999999998</v>
      </c>
      <c r="BV172" s="920">
        <v>282.25099999999998</v>
      </c>
      <c r="BW172" s="888">
        <v>519.26800000000003</v>
      </c>
      <c r="BX172" s="1158">
        <f t="shared" si="137"/>
        <v>48.672939599590187</v>
      </c>
      <c r="BY172" s="917">
        <v>266.52499999999998</v>
      </c>
      <c r="BZ172" s="920">
        <v>252.74299999999999</v>
      </c>
      <c r="CA172" s="888">
        <f t="shared" si="138"/>
        <v>8089.0640000000003</v>
      </c>
      <c r="CB172" s="1158">
        <f t="shared" si="139"/>
        <v>50.322509501717384</v>
      </c>
      <c r="CC172" s="917">
        <f t="shared" si="140"/>
        <v>4018.444</v>
      </c>
      <c r="CD172" s="920">
        <f t="shared" si="141"/>
        <v>4070.6200000000003</v>
      </c>
      <c r="CE172" s="914">
        <v>2015</v>
      </c>
      <c r="CF172" s="910" t="s">
        <v>5630</v>
      </c>
      <c r="CG172" s="930">
        <v>100</v>
      </c>
      <c r="CH172" s="1005">
        <v>100</v>
      </c>
      <c r="CI172" s="1006">
        <v>100</v>
      </c>
      <c r="CJ172" s="904" t="s">
        <v>1621</v>
      </c>
      <c r="CK172" s="904" t="s">
        <v>1621</v>
      </c>
      <c r="CL172" s="904">
        <v>2011</v>
      </c>
      <c r="CM172" s="905" t="s">
        <v>5611</v>
      </c>
      <c r="CN172" s="1044">
        <v>7330.4319999999998</v>
      </c>
      <c r="CO172" s="1045">
        <f t="shared" si="160"/>
        <v>74.957691790908797</v>
      </c>
      <c r="CP172" s="1040">
        <f t="shared" si="157"/>
        <v>3663.0452252457349</v>
      </c>
      <c r="CQ172" s="1041">
        <f t="shared" si="158"/>
        <v>3667.3867747542654</v>
      </c>
      <c r="CR172" s="1046">
        <v>2014</v>
      </c>
      <c r="CS172" s="1047" t="s">
        <v>6033</v>
      </c>
      <c r="CT172" s="1068" t="str">
        <f t="shared" si="161"/>
        <v>-</v>
      </c>
      <c r="CU172" s="1071">
        <v>18</v>
      </c>
      <c r="CV172" s="1068" t="s">
        <v>6042</v>
      </c>
      <c r="CW172" s="1113">
        <v>7330.4319999999998</v>
      </c>
      <c r="CX172" s="1113">
        <v>7614.0290000000005</v>
      </c>
      <c r="CY172" s="1113">
        <v>9723.8089999999993</v>
      </c>
      <c r="CZ172" s="494">
        <v>1</v>
      </c>
      <c r="DA172" s="1104">
        <v>4</v>
      </c>
      <c r="DB172" s="1050" t="s">
        <v>647</v>
      </c>
      <c r="DC172" s="1145" t="s">
        <v>323</v>
      </c>
      <c r="DD172" s="1131">
        <f t="shared" si="148"/>
        <v>758.63200000000052</v>
      </c>
      <c r="DE172" s="1132">
        <f t="shared" si="162"/>
        <v>7.7574287079834798</v>
      </c>
      <c r="DF172" s="1132">
        <f t="shared" si="149"/>
        <v>53.152678142463628</v>
      </c>
      <c r="DG172" s="1133">
        <f t="shared" si="150"/>
        <v>355.39877475426511</v>
      </c>
      <c r="DH172" s="1133">
        <f t="shared" si="151"/>
        <v>403.23322524573496</v>
      </c>
      <c r="DI172" s="1132">
        <f t="shared" si="163"/>
        <v>7.2726024885782534</v>
      </c>
      <c r="DJ172" s="1134">
        <f t="shared" si="164"/>
        <v>8.2416809772809341</v>
      </c>
      <c r="DK172" s="1135">
        <f t="shared" si="165"/>
        <v>758.63200000000052</v>
      </c>
      <c r="DL172" s="1132">
        <f t="shared" si="152"/>
        <v>53.152678142463628</v>
      </c>
      <c r="DM172" s="1133">
        <f t="shared" si="166"/>
        <v>355.39877475426511</v>
      </c>
      <c r="DN172" s="1136">
        <f t="shared" si="167"/>
        <v>403.23322524573496</v>
      </c>
      <c r="DO172" s="1135">
        <f t="shared" si="168"/>
        <v>0</v>
      </c>
      <c r="DP172" s="1132">
        <f t="shared" si="153"/>
        <v>0</v>
      </c>
      <c r="DQ172" s="1133">
        <f t="shared" si="142"/>
        <v>0</v>
      </c>
      <c r="DR172" s="1136">
        <f t="shared" si="143"/>
        <v>0</v>
      </c>
      <c r="DS172" s="1135">
        <f t="shared" si="169"/>
        <v>0</v>
      </c>
      <c r="DT172" s="1137">
        <f t="shared" si="154"/>
        <v>0</v>
      </c>
      <c r="DU172" s="1133">
        <f t="shared" si="144"/>
        <v>0</v>
      </c>
      <c r="DV172" s="1136">
        <f t="shared" si="145"/>
        <v>0</v>
      </c>
      <c r="DW172" s="1132">
        <f t="shared" si="146"/>
        <v>0</v>
      </c>
      <c r="DX172" s="1134">
        <f t="shared" si="147"/>
        <v>0</v>
      </c>
      <c r="DY172" s="414" t="s">
        <v>145</v>
      </c>
      <c r="DZ172" s="111" t="s">
        <v>145</v>
      </c>
      <c r="EA172" s="368"/>
      <c r="EB172" s="123" t="s">
        <v>145</v>
      </c>
      <c r="EC172" s="113" t="s">
        <v>145</v>
      </c>
      <c r="ED172" s="20"/>
      <c r="EE172" s="414" t="s">
        <v>145</v>
      </c>
      <c r="EF172" s="111" t="s">
        <v>145</v>
      </c>
      <c r="EG172" s="380" t="s">
        <v>145</v>
      </c>
      <c r="EH172" s="24" t="s">
        <v>361</v>
      </c>
      <c r="EI172" s="287">
        <v>0</v>
      </c>
      <c r="EJ172" s="40" t="s">
        <v>145</v>
      </c>
      <c r="EK172" s="35" t="s">
        <v>145</v>
      </c>
      <c r="EL172" s="364" t="s">
        <v>145</v>
      </c>
      <c r="EM172" s="364" t="s">
        <v>145</v>
      </c>
      <c r="EN172" s="35" t="s">
        <v>145</v>
      </c>
      <c r="EO172" s="364" t="s">
        <v>145</v>
      </c>
      <c r="EP172" s="205" t="s">
        <v>145</v>
      </c>
      <c r="EQ172" s="207" t="s">
        <v>145</v>
      </c>
      <c r="ER172" s="517" t="s">
        <v>145</v>
      </c>
      <c r="ES172" s="183"/>
      <c r="ET172" s="183"/>
      <c r="EU172" s="82"/>
      <c r="EV172" s="82"/>
      <c r="EW172" s="82"/>
      <c r="EX172" s="90"/>
      <c r="EY172" s="159"/>
      <c r="EZ172" s="156"/>
      <c r="FA172" s="323"/>
      <c r="FB172" s="323"/>
      <c r="FC172" s="323"/>
      <c r="FD172" s="160"/>
      <c r="FE172" s="156"/>
      <c r="FF172" s="156"/>
      <c r="FG172" s="156"/>
      <c r="FH172" s="157"/>
      <c r="FI172" s="242"/>
      <c r="FJ172" s="240"/>
      <c r="FK172" s="179"/>
      <c r="FL172" s="179"/>
      <c r="FM172" s="179"/>
      <c r="FN172" s="172"/>
      <c r="FO172" s="164"/>
      <c r="FP172" s="255"/>
      <c r="FQ172" s="183"/>
      <c r="FR172" s="257"/>
      <c r="FS172" s="82"/>
      <c r="FT172" s="259"/>
      <c r="FU172" s="82"/>
      <c r="FV172" s="259"/>
      <c r="FW172" s="82"/>
      <c r="FX172" s="259"/>
      <c r="FY172" s="82"/>
      <c r="FZ172" s="259"/>
      <c r="GA172" s="82"/>
      <c r="GB172" s="261"/>
      <c r="GC172" s="90"/>
      <c r="GD172" s="76">
        <v>1</v>
      </c>
      <c r="GE172" s="445" t="s">
        <v>3424</v>
      </c>
      <c r="GF172" s="447" t="s">
        <v>10</v>
      </c>
      <c r="GG172" s="448">
        <v>1</v>
      </c>
      <c r="GH172" s="449">
        <v>1</v>
      </c>
      <c r="GI172" s="447" t="s">
        <v>145</v>
      </c>
      <c r="GJ172" s="449" t="s">
        <v>145</v>
      </c>
      <c r="GK172" s="447" t="s">
        <v>145</v>
      </c>
      <c r="GL172" s="448" t="s">
        <v>145</v>
      </c>
      <c r="GM172" s="449" t="s">
        <v>145</v>
      </c>
      <c r="GN172" s="447" t="s">
        <v>10</v>
      </c>
      <c r="GO172" s="449">
        <v>10</v>
      </c>
      <c r="GP172" s="447">
        <v>2</v>
      </c>
      <c r="GQ172" s="448">
        <v>4</v>
      </c>
      <c r="GR172" s="449">
        <v>4</v>
      </c>
      <c r="GS172" s="446">
        <v>10</v>
      </c>
      <c r="GT172" s="461">
        <v>1.6728148460388184</v>
      </c>
      <c r="GU172" s="462">
        <v>1.1269506216049194</v>
      </c>
      <c r="GV172" s="462">
        <v>1.8903958797454834</v>
      </c>
      <c r="GW172" s="462">
        <v>1.8901981115341187</v>
      </c>
      <c r="GX172" s="462">
        <v>1.9540903568267822</v>
      </c>
      <c r="GY172" s="463">
        <v>2.2857012748718262</v>
      </c>
      <c r="GZ172" s="10">
        <v>14</v>
      </c>
      <c r="HA172" s="536">
        <v>0.82250000000000001</v>
      </c>
      <c r="HB172" s="536">
        <v>0.60784000000000005</v>
      </c>
      <c r="HC172" s="525">
        <v>0.70077999999999996</v>
      </c>
      <c r="HD172" s="526">
        <v>0.88656000000000001</v>
      </c>
      <c r="HE172" s="527">
        <v>0.88019999999999998</v>
      </c>
      <c r="HF172" s="10">
        <v>3</v>
      </c>
      <c r="HG172" s="532">
        <v>8.67</v>
      </c>
      <c r="HH172" s="545">
        <v>8.93</v>
      </c>
      <c r="HI172" s="546">
        <v>8.2899999999999991</v>
      </c>
      <c r="HJ172" s="547">
        <v>8.9</v>
      </c>
      <c r="HK172" s="558" t="s">
        <v>4043</v>
      </c>
      <c r="HL172" s="585" t="s">
        <v>4793</v>
      </c>
      <c r="HM172" s="557">
        <v>1973</v>
      </c>
      <c r="HN172" s="557">
        <v>1998</v>
      </c>
      <c r="HO172" s="557" t="s">
        <v>3985</v>
      </c>
      <c r="HP172" s="562" t="s">
        <v>4125</v>
      </c>
      <c r="HQ172" s="639" t="s">
        <v>4794</v>
      </c>
      <c r="HR172" s="563" t="s">
        <v>4038</v>
      </c>
      <c r="HS172" s="545">
        <v>40</v>
      </c>
      <c r="HT172" s="557">
        <v>92</v>
      </c>
      <c r="HU172" s="557">
        <v>1766</v>
      </c>
      <c r="HV172" s="583" t="s">
        <v>4247</v>
      </c>
      <c r="HW172" s="557">
        <v>5</v>
      </c>
      <c r="HX172" s="557">
        <v>27</v>
      </c>
      <c r="HY172" s="557">
        <v>18</v>
      </c>
      <c r="HZ172" s="557">
        <v>17</v>
      </c>
      <c r="IA172" s="557">
        <v>14</v>
      </c>
      <c r="IB172" s="557">
        <v>3</v>
      </c>
      <c r="IC172" s="547">
        <v>8</v>
      </c>
      <c r="ID172" s="40" t="s">
        <v>5199</v>
      </c>
      <c r="IE172" s="355" t="s">
        <v>5200</v>
      </c>
      <c r="IF172" s="355"/>
      <c r="IG172" s="553"/>
      <c r="IH172" s="339"/>
      <c r="II172" s="553" t="s">
        <v>4920</v>
      </c>
      <c r="IJ172" s="424" t="s">
        <v>4926</v>
      </c>
      <c r="IK172" s="24">
        <v>0</v>
      </c>
      <c r="IL172" s="749">
        <f t="shared" si="170"/>
        <v>22</v>
      </c>
      <c r="IM172" s="747">
        <f t="shared" si="171"/>
        <v>88</v>
      </c>
      <c r="IN172" s="750" t="str">
        <f t="shared" si="172"/>
        <v>A</v>
      </c>
      <c r="IO172" s="446"/>
      <c r="IP172" s="902">
        <v>4</v>
      </c>
      <c r="IQ172" s="903">
        <v>0</v>
      </c>
      <c r="IR172" s="993">
        <v>0</v>
      </c>
      <c r="IT172" s="435"/>
      <c r="IU172" s="435"/>
      <c r="IV172" s="435"/>
    </row>
    <row r="173" spans="1:256">
      <c r="A173" s="21">
        <v>171</v>
      </c>
      <c r="B173" s="9"/>
      <c r="C173" s="430" t="s">
        <v>260</v>
      </c>
      <c r="D173" s="424"/>
      <c r="E173" s="24" t="s">
        <v>17</v>
      </c>
      <c r="F173" s="76" t="s">
        <v>905</v>
      </c>
      <c r="G173" s="102" t="s">
        <v>471</v>
      </c>
      <c r="H173" s="375" t="s">
        <v>2496</v>
      </c>
      <c r="I173" s="364" t="s">
        <v>2314</v>
      </c>
      <c r="J173" s="370">
        <v>5</v>
      </c>
      <c r="K173" s="359">
        <v>1798</v>
      </c>
      <c r="L173" s="371">
        <v>2</v>
      </c>
      <c r="M173" s="373" t="s">
        <v>2265</v>
      </c>
      <c r="N173" s="369" t="s">
        <v>1822</v>
      </c>
      <c r="O173" s="365" t="s">
        <v>3081</v>
      </c>
      <c r="P173" s="362" t="s">
        <v>2106</v>
      </c>
      <c r="Q173" s="370">
        <v>5</v>
      </c>
      <c r="R173" s="370">
        <v>1955</v>
      </c>
      <c r="S173" s="372" t="s">
        <v>2087</v>
      </c>
      <c r="T173" s="370">
        <v>1</v>
      </c>
      <c r="U173" s="370">
        <v>1</v>
      </c>
      <c r="V173" s="370" t="s">
        <v>145</v>
      </c>
      <c r="W173" s="369" t="s">
        <v>2036</v>
      </c>
      <c r="X173" s="170">
        <v>1</v>
      </c>
      <c r="Y173" s="369">
        <v>0</v>
      </c>
      <c r="Z173" s="273" t="s">
        <v>2088</v>
      </c>
      <c r="AA173" s="169">
        <v>1</v>
      </c>
      <c r="AB173" s="177">
        <v>1</v>
      </c>
      <c r="AC173" s="171"/>
      <c r="AD173" s="366" t="s">
        <v>3051</v>
      </c>
      <c r="AE173" s="355">
        <v>2011</v>
      </c>
      <c r="AF173" s="550">
        <v>2</v>
      </c>
      <c r="AG173" s="550">
        <v>3</v>
      </c>
      <c r="AH173" s="355" t="s">
        <v>2899</v>
      </c>
      <c r="AI173" s="550">
        <v>1</v>
      </c>
      <c r="AJ173" s="550">
        <v>1</v>
      </c>
      <c r="AK173" s="590" t="s">
        <v>145</v>
      </c>
      <c r="AL173" s="395">
        <v>5</v>
      </c>
      <c r="AM173" s="361" t="s">
        <v>3056</v>
      </c>
      <c r="AN173" s="397" t="s">
        <v>145</v>
      </c>
      <c r="AO173" s="170">
        <v>0</v>
      </c>
      <c r="AP173" s="369">
        <v>0</v>
      </c>
      <c r="AQ173" s="365" t="s">
        <v>4992</v>
      </c>
      <c r="AR173" s="378" t="s">
        <v>4993</v>
      </c>
      <c r="AS173" s="55">
        <v>2</v>
      </c>
      <c r="AT173" s="370">
        <v>5</v>
      </c>
      <c r="AU173" s="371">
        <v>2006</v>
      </c>
      <c r="AV173" s="370">
        <v>10</v>
      </c>
      <c r="AW173" s="589">
        <v>3500</v>
      </c>
      <c r="AX173" s="687">
        <v>1</v>
      </c>
      <c r="AY173" s="174" t="s">
        <v>2181</v>
      </c>
      <c r="AZ173" s="55">
        <v>1911</v>
      </c>
      <c r="BA173" s="55">
        <v>1</v>
      </c>
      <c r="BB173" s="55">
        <v>2</v>
      </c>
      <c r="BC173" s="174" t="s">
        <v>4389</v>
      </c>
      <c r="BD173" s="55">
        <v>2011</v>
      </c>
      <c r="BE173" s="55">
        <v>1</v>
      </c>
      <c r="BF173" s="367" t="s">
        <v>323</v>
      </c>
      <c r="BG173" s="367">
        <v>0</v>
      </c>
      <c r="BH173" s="56" t="s">
        <v>145</v>
      </c>
      <c r="BI173" s="367">
        <v>3</v>
      </c>
      <c r="BJ173" s="367">
        <v>1</v>
      </c>
      <c r="BK173" s="888">
        <v>8298.6630000000005</v>
      </c>
      <c r="BL173" s="925">
        <f t="shared" si="159"/>
        <v>50.481601674872202</v>
      </c>
      <c r="BM173" s="888">
        <v>4109.3649999999998</v>
      </c>
      <c r="BN173" s="920">
        <v>4189.2979999999998</v>
      </c>
      <c r="BO173" s="888">
        <v>423.17500000000001</v>
      </c>
      <c r="BP173" s="1158">
        <f t="shared" si="135"/>
        <v>48.60235127311396</v>
      </c>
      <c r="BQ173" s="917">
        <v>217.50200000000001</v>
      </c>
      <c r="BR173" s="920">
        <v>205.673</v>
      </c>
      <c r="BS173" s="888">
        <v>405.36599999999999</v>
      </c>
      <c r="BT173" s="1158">
        <f t="shared" si="136"/>
        <v>48.690566056354015</v>
      </c>
      <c r="BU173" s="917">
        <v>207.99100000000001</v>
      </c>
      <c r="BV173" s="920">
        <v>197.375</v>
      </c>
      <c r="BW173" s="888">
        <v>397.61599999999999</v>
      </c>
      <c r="BX173" s="1158">
        <f t="shared" si="137"/>
        <v>48.698493018389605</v>
      </c>
      <c r="BY173" s="917">
        <v>203.983</v>
      </c>
      <c r="BZ173" s="920">
        <v>193.63300000000001</v>
      </c>
      <c r="CA173" s="888">
        <f t="shared" si="138"/>
        <v>7072.5060000000003</v>
      </c>
      <c r="CB173" s="1158">
        <f t="shared" si="139"/>
        <v>50.796945241191736</v>
      </c>
      <c r="CC173" s="917">
        <f t="shared" si="140"/>
        <v>3479.8889999999997</v>
      </c>
      <c r="CD173" s="920">
        <f t="shared" si="141"/>
        <v>3592.6170000000002</v>
      </c>
      <c r="CE173" s="914">
        <v>2015</v>
      </c>
      <c r="CF173" s="910" t="s">
        <v>5630</v>
      </c>
      <c r="CG173" s="930">
        <v>100</v>
      </c>
      <c r="CH173" s="1005">
        <v>100</v>
      </c>
      <c r="CI173" s="1006">
        <v>100</v>
      </c>
      <c r="CJ173" s="904" t="s">
        <v>1621</v>
      </c>
      <c r="CK173" s="904" t="s">
        <v>1621</v>
      </c>
      <c r="CL173" s="904">
        <v>2011</v>
      </c>
      <c r="CM173" s="905" t="s">
        <v>5576</v>
      </c>
      <c r="CN173" s="1044">
        <v>5295.5060000000003</v>
      </c>
      <c r="CO173" s="1045">
        <f t="shared" si="160"/>
        <v>63.8115561506715</v>
      </c>
      <c r="CP173" s="1040">
        <f t="shared" si="157"/>
        <v>2622.2497544110424</v>
      </c>
      <c r="CQ173" s="1041">
        <f t="shared" si="158"/>
        <v>2673.2562455889583</v>
      </c>
      <c r="CR173" s="1046">
        <v>2015</v>
      </c>
      <c r="CS173" s="1047" t="s">
        <v>6034</v>
      </c>
      <c r="CT173" s="1068" t="str">
        <f t="shared" si="161"/>
        <v>-</v>
      </c>
      <c r="CU173" s="1071">
        <v>18</v>
      </c>
      <c r="CV173" s="1068" t="s">
        <v>6043</v>
      </c>
      <c r="CW173" s="1113">
        <v>5295.5060000000003</v>
      </c>
      <c r="CX173" s="1113">
        <v>6634.5050000000001</v>
      </c>
      <c r="CY173" s="1113">
        <v>8121.83</v>
      </c>
      <c r="CZ173" s="494">
        <v>1</v>
      </c>
      <c r="DA173" s="1104">
        <v>4</v>
      </c>
      <c r="DB173" s="1050" t="s">
        <v>647</v>
      </c>
      <c r="DC173" s="1145" t="s">
        <v>323</v>
      </c>
      <c r="DD173" s="1131">
        <f t="shared" si="148"/>
        <v>1777</v>
      </c>
      <c r="DE173" s="1132">
        <f t="shared" si="162"/>
        <v>21.413087867286574</v>
      </c>
      <c r="DF173" s="1132">
        <f t="shared" si="149"/>
        <v>51.736677231910065</v>
      </c>
      <c r="DG173" s="1133">
        <f t="shared" si="150"/>
        <v>857.63924558895724</v>
      </c>
      <c r="DH173" s="1133">
        <f t="shared" si="151"/>
        <v>919.36075441104185</v>
      </c>
      <c r="DI173" s="1132">
        <f t="shared" si="163"/>
        <v>20.870359425092619</v>
      </c>
      <c r="DJ173" s="1134">
        <f t="shared" si="164"/>
        <v>21.945460896098627</v>
      </c>
      <c r="DK173" s="1135">
        <f t="shared" si="165"/>
        <v>1777</v>
      </c>
      <c r="DL173" s="1132">
        <f t="shared" si="152"/>
        <v>51.736677231910065</v>
      </c>
      <c r="DM173" s="1133">
        <f t="shared" si="166"/>
        <v>857.63924558895724</v>
      </c>
      <c r="DN173" s="1136">
        <f t="shared" si="167"/>
        <v>919.36075441104185</v>
      </c>
      <c r="DO173" s="1135">
        <f t="shared" si="168"/>
        <v>0</v>
      </c>
      <c r="DP173" s="1132">
        <f t="shared" si="153"/>
        <v>0</v>
      </c>
      <c r="DQ173" s="1133">
        <f t="shared" si="142"/>
        <v>0</v>
      </c>
      <c r="DR173" s="1136">
        <f t="shared" si="143"/>
        <v>0</v>
      </c>
      <c r="DS173" s="1135">
        <f t="shared" si="169"/>
        <v>0</v>
      </c>
      <c r="DT173" s="1137">
        <f t="shared" si="154"/>
        <v>0</v>
      </c>
      <c r="DU173" s="1133">
        <f t="shared" si="144"/>
        <v>0</v>
      </c>
      <c r="DV173" s="1136">
        <f t="shared" si="145"/>
        <v>0</v>
      </c>
      <c r="DW173" s="1132">
        <f t="shared" si="146"/>
        <v>0</v>
      </c>
      <c r="DX173" s="1134">
        <f t="shared" si="147"/>
        <v>0</v>
      </c>
      <c r="DY173" s="414" t="s">
        <v>145</v>
      </c>
      <c r="DZ173" s="111" t="s">
        <v>145</v>
      </c>
      <c r="EA173" s="368"/>
      <c r="EB173" s="123" t="s">
        <v>145</v>
      </c>
      <c r="EC173" s="113" t="s">
        <v>145</v>
      </c>
      <c r="ED173" s="20"/>
      <c r="EE173" s="414">
        <v>7.6</v>
      </c>
      <c r="EF173" s="121">
        <v>2011</v>
      </c>
      <c r="EG173" s="380" t="s">
        <v>145</v>
      </c>
      <c r="EH173" s="24" t="s">
        <v>376</v>
      </c>
      <c r="EI173" s="288">
        <v>0</v>
      </c>
      <c r="EJ173" s="40" t="s">
        <v>145</v>
      </c>
      <c r="EK173" s="35" t="s">
        <v>145</v>
      </c>
      <c r="EL173" s="95" t="s">
        <v>145</v>
      </c>
      <c r="EM173" s="95" t="s">
        <v>145</v>
      </c>
      <c r="EN173" s="35" t="s">
        <v>145</v>
      </c>
      <c r="EO173" s="95" t="s">
        <v>145</v>
      </c>
      <c r="EP173" s="205" t="s">
        <v>145</v>
      </c>
      <c r="EQ173" s="207" t="s">
        <v>145</v>
      </c>
      <c r="ER173" s="517" t="s">
        <v>145</v>
      </c>
      <c r="ES173" s="183"/>
      <c r="ET173" s="183"/>
      <c r="EU173" s="82"/>
      <c r="EV173" s="82"/>
      <c r="EW173" s="82"/>
      <c r="EX173" s="90"/>
      <c r="EY173" s="159"/>
      <c r="EZ173" s="156"/>
      <c r="FA173" s="323"/>
      <c r="FB173" s="323"/>
      <c r="FC173" s="323"/>
      <c r="FD173" s="160"/>
      <c r="FE173" s="156"/>
      <c r="FF173" s="156"/>
      <c r="FG173" s="156"/>
      <c r="FH173" s="157"/>
      <c r="FI173" s="242"/>
      <c r="FJ173" s="240"/>
      <c r="FK173" s="179"/>
      <c r="FL173" s="179"/>
      <c r="FM173" s="179"/>
      <c r="FN173" s="172"/>
      <c r="FO173" s="164"/>
      <c r="FP173" s="255"/>
      <c r="FQ173" s="183"/>
      <c r="FR173" s="257"/>
      <c r="FS173" s="82"/>
      <c r="FT173" s="259"/>
      <c r="FU173" s="82"/>
      <c r="FV173" s="259"/>
      <c r="FW173" s="82"/>
      <c r="FX173" s="259"/>
      <c r="FY173" s="82"/>
      <c r="FZ173" s="259"/>
      <c r="GA173" s="82"/>
      <c r="GB173" s="261"/>
      <c r="GC173" s="90"/>
      <c r="GD173" s="76">
        <v>1</v>
      </c>
      <c r="GE173" s="445" t="s">
        <v>3424</v>
      </c>
      <c r="GF173" s="447" t="s">
        <v>10</v>
      </c>
      <c r="GG173" s="448">
        <v>1</v>
      </c>
      <c r="GH173" s="449">
        <v>1</v>
      </c>
      <c r="GI173" s="447" t="s">
        <v>145</v>
      </c>
      <c r="GJ173" s="449" t="s">
        <v>145</v>
      </c>
      <c r="GK173" s="447" t="s">
        <v>145</v>
      </c>
      <c r="GL173" s="448" t="s">
        <v>145</v>
      </c>
      <c r="GM173" s="449" t="s">
        <v>145</v>
      </c>
      <c r="GN173" s="447" t="s">
        <v>10</v>
      </c>
      <c r="GO173" s="449">
        <v>12</v>
      </c>
      <c r="GP173" s="447">
        <v>4</v>
      </c>
      <c r="GQ173" s="448">
        <v>3</v>
      </c>
      <c r="GR173" s="449">
        <v>5</v>
      </c>
      <c r="GS173" s="446">
        <v>10</v>
      </c>
      <c r="GT173" s="461">
        <v>1.6496073007583618</v>
      </c>
      <c r="GU173" s="462">
        <v>1.372633695602417</v>
      </c>
      <c r="GV173" s="462">
        <v>1.8060568571090698</v>
      </c>
      <c r="GW173" s="462">
        <v>1.633915901184082</v>
      </c>
      <c r="GX173" s="462">
        <v>1.7905142307281494</v>
      </c>
      <c r="GY173" s="463">
        <v>2.1307199001312256</v>
      </c>
      <c r="GZ173" s="10">
        <v>30</v>
      </c>
      <c r="HA173" s="536">
        <v>0.72670000000000001</v>
      </c>
      <c r="HB173" s="536">
        <v>0.37253999999999998</v>
      </c>
      <c r="HC173" s="525">
        <v>0.50392999999999999</v>
      </c>
      <c r="HD173" s="526">
        <v>0.81991999999999998</v>
      </c>
      <c r="HE173" s="527">
        <v>0.85619999999999996</v>
      </c>
      <c r="HF173" s="10">
        <v>13</v>
      </c>
      <c r="HG173" s="532">
        <v>8.11</v>
      </c>
      <c r="HH173" s="545">
        <v>9.36</v>
      </c>
      <c r="HI173" s="546">
        <v>6.75</v>
      </c>
      <c r="HJ173" s="547">
        <v>8.34</v>
      </c>
      <c r="HK173" s="558" t="s">
        <v>3991</v>
      </c>
      <c r="HL173" s="585" t="s">
        <v>4795</v>
      </c>
      <c r="HM173" s="557">
        <v>1992</v>
      </c>
      <c r="HN173" s="557">
        <v>2010</v>
      </c>
      <c r="HO173" s="557" t="s">
        <v>3985</v>
      </c>
      <c r="HP173" s="562" t="s">
        <v>4052</v>
      </c>
      <c r="HQ173" s="639" t="s">
        <v>4796</v>
      </c>
      <c r="HR173" s="563" t="s">
        <v>4126</v>
      </c>
      <c r="HS173" s="545">
        <v>60</v>
      </c>
      <c r="HT173" s="557">
        <v>77</v>
      </c>
      <c r="HU173" s="557">
        <v>2004</v>
      </c>
      <c r="HV173" s="583" t="s">
        <v>4248</v>
      </c>
      <c r="HW173" s="557">
        <v>3</v>
      </c>
      <c r="HX173" s="557">
        <v>19</v>
      </c>
      <c r="HY173" s="557">
        <v>18</v>
      </c>
      <c r="HZ173" s="557">
        <v>13</v>
      </c>
      <c r="IA173" s="557">
        <v>14</v>
      </c>
      <c r="IB173" s="557">
        <v>0</v>
      </c>
      <c r="IC173" s="547">
        <v>10</v>
      </c>
      <c r="ID173" s="660" t="s">
        <v>5020</v>
      </c>
      <c r="IE173" s="355" t="s">
        <v>5200</v>
      </c>
      <c r="IF173" s="355"/>
      <c r="IG173" s="553"/>
      <c r="IH173" s="339"/>
      <c r="II173" s="553" t="s">
        <v>4920</v>
      </c>
      <c r="IJ173" s="424" t="s">
        <v>4926</v>
      </c>
      <c r="IK173" s="24">
        <v>0</v>
      </c>
      <c r="IL173" s="749">
        <f t="shared" si="170"/>
        <v>19</v>
      </c>
      <c r="IM173" s="747">
        <f t="shared" si="171"/>
        <v>76</v>
      </c>
      <c r="IN173" s="750" t="str">
        <f t="shared" si="172"/>
        <v>A</v>
      </c>
      <c r="IO173" s="446"/>
      <c r="IP173" s="902">
        <v>4</v>
      </c>
      <c r="IQ173" s="903">
        <v>0</v>
      </c>
      <c r="IR173" s="993">
        <v>0</v>
      </c>
      <c r="IT173" s="435"/>
      <c r="IU173" s="435"/>
      <c r="IV173" s="435"/>
    </row>
    <row r="174" spans="1:256">
      <c r="A174" s="21">
        <v>172</v>
      </c>
      <c r="B174" s="9"/>
      <c r="C174" s="430" t="s">
        <v>262</v>
      </c>
      <c r="D174" s="423" t="s">
        <v>410</v>
      </c>
      <c r="E174" s="24" t="s">
        <v>20</v>
      </c>
      <c r="F174" s="76" t="s">
        <v>906</v>
      </c>
      <c r="G174" s="102" t="s">
        <v>617</v>
      </c>
      <c r="H174" s="375" t="s">
        <v>2499</v>
      </c>
      <c r="I174" s="95" t="s">
        <v>2497</v>
      </c>
      <c r="J174" s="370">
        <v>2</v>
      </c>
      <c r="K174" s="359">
        <v>1973</v>
      </c>
      <c r="L174" s="371">
        <v>2</v>
      </c>
      <c r="M174" s="373" t="s">
        <v>2498</v>
      </c>
      <c r="N174" s="369" t="s">
        <v>1822</v>
      </c>
      <c r="O174" s="365" t="s">
        <v>3082</v>
      </c>
      <c r="P174" s="362" t="s">
        <v>3083</v>
      </c>
      <c r="Q174" s="370">
        <v>6</v>
      </c>
      <c r="R174" s="370">
        <v>1984</v>
      </c>
      <c r="S174" s="372" t="s">
        <v>1961</v>
      </c>
      <c r="T174" s="370">
        <v>1</v>
      </c>
      <c r="U174" s="370">
        <v>1</v>
      </c>
      <c r="V174" s="370">
        <v>16</v>
      </c>
      <c r="W174" s="369" t="s">
        <v>1822</v>
      </c>
      <c r="X174" s="170">
        <v>1</v>
      </c>
      <c r="Y174" s="369">
        <v>1</v>
      </c>
      <c r="Z174" s="271"/>
      <c r="AA174" s="169"/>
      <c r="AB174" s="177"/>
      <c r="AC174" s="171"/>
      <c r="AD174" s="376" t="s">
        <v>145</v>
      </c>
      <c r="AE174" s="355" t="s">
        <v>145</v>
      </c>
      <c r="AF174" s="355">
        <v>0</v>
      </c>
      <c r="AG174" s="550">
        <v>1</v>
      </c>
      <c r="AH174" s="355" t="s">
        <v>145</v>
      </c>
      <c r="AI174" s="550" t="s">
        <v>145</v>
      </c>
      <c r="AJ174" s="550" t="s">
        <v>145</v>
      </c>
      <c r="AK174" s="590" t="s">
        <v>145</v>
      </c>
      <c r="AL174" s="355">
        <v>0</v>
      </c>
      <c r="AM174" s="360" t="s">
        <v>145</v>
      </c>
      <c r="AN174" s="397" t="s">
        <v>145</v>
      </c>
      <c r="AO174" s="170">
        <v>1</v>
      </c>
      <c r="AP174" s="369">
        <v>1</v>
      </c>
      <c r="AQ174" s="365" t="s">
        <v>5386</v>
      </c>
      <c r="AR174" s="362" t="s">
        <v>1980</v>
      </c>
      <c r="AS174" s="55">
        <v>0</v>
      </c>
      <c r="AT174" s="370">
        <v>2</v>
      </c>
      <c r="AU174" s="371">
        <v>2004</v>
      </c>
      <c r="AV174" s="370">
        <v>5</v>
      </c>
      <c r="AW174" s="589" t="s">
        <v>145</v>
      </c>
      <c r="AX174" s="687">
        <v>0</v>
      </c>
      <c r="AY174" s="174" t="s">
        <v>4591</v>
      </c>
      <c r="AZ174" s="55">
        <v>2011</v>
      </c>
      <c r="BA174" s="55">
        <v>1</v>
      </c>
      <c r="BB174" s="55">
        <v>1</v>
      </c>
      <c r="BC174" s="174" t="s">
        <v>4593</v>
      </c>
      <c r="BD174" s="55">
        <v>2006</v>
      </c>
      <c r="BE174" s="55">
        <v>0</v>
      </c>
      <c r="BF174" s="371" t="s">
        <v>145</v>
      </c>
      <c r="BG174" s="371">
        <v>0</v>
      </c>
      <c r="BH174" s="56" t="s">
        <v>145</v>
      </c>
      <c r="BI174" s="371">
        <v>0</v>
      </c>
      <c r="BJ174" s="371">
        <v>0</v>
      </c>
      <c r="BK174" s="888">
        <v>18502.413</v>
      </c>
      <c r="BL174" s="925">
        <f t="shared" si="159"/>
        <v>49.376824525536215</v>
      </c>
      <c r="BM174" s="888">
        <v>9366.509</v>
      </c>
      <c r="BN174" s="920">
        <v>9135.9040000000005</v>
      </c>
      <c r="BO174" s="888">
        <v>2191.6039999999998</v>
      </c>
      <c r="BP174" s="1158">
        <f t="shared" si="135"/>
        <v>48.730746978012448</v>
      </c>
      <c r="BQ174" s="917">
        <v>1123.6189999999999</v>
      </c>
      <c r="BR174" s="920">
        <v>1067.9849999999999</v>
      </c>
      <c r="BS174" s="888">
        <v>2342.0390000000002</v>
      </c>
      <c r="BT174" s="1158">
        <f t="shared" si="136"/>
        <v>48.792099533782313</v>
      </c>
      <c r="BU174" s="917">
        <v>1199.309</v>
      </c>
      <c r="BV174" s="920">
        <v>1142.73</v>
      </c>
      <c r="BW174" s="888">
        <v>2334.9549999999999</v>
      </c>
      <c r="BX174" s="1158">
        <f t="shared" si="137"/>
        <v>48.76505114659598</v>
      </c>
      <c r="BY174" s="917">
        <v>1196.3130000000001</v>
      </c>
      <c r="BZ174" s="920">
        <v>1138.6420000000001</v>
      </c>
      <c r="CA174" s="888">
        <f t="shared" si="138"/>
        <v>11633.815000000001</v>
      </c>
      <c r="CB174" s="1158">
        <f t="shared" si="139"/>
        <v>49.739032295081195</v>
      </c>
      <c r="CC174" s="917">
        <f t="shared" si="140"/>
        <v>5847.2679999999991</v>
      </c>
      <c r="CD174" s="920">
        <f t="shared" si="141"/>
        <v>5786.5470000000005</v>
      </c>
      <c r="CE174" s="914">
        <v>2015</v>
      </c>
      <c r="CF174" s="910" t="s">
        <v>5630</v>
      </c>
      <c r="CG174" s="930">
        <v>96</v>
      </c>
      <c r="CH174" s="495">
        <v>96.3</v>
      </c>
      <c r="CI174" s="497">
        <v>95.8</v>
      </c>
      <c r="CJ174" s="904">
        <v>96.6</v>
      </c>
      <c r="CK174" s="904">
        <v>95.4</v>
      </c>
      <c r="CL174" s="904">
        <v>2006</v>
      </c>
      <c r="CM174" s="905" t="s">
        <v>5573</v>
      </c>
      <c r="CN174" s="1125">
        <v>10366.191000000001</v>
      </c>
      <c r="CO174" s="1045">
        <f t="shared" si="160"/>
        <v>56.026157236896609</v>
      </c>
      <c r="CP174" s="1040">
        <f t="shared" si="157"/>
        <v>5247.6950599480715</v>
      </c>
      <c r="CQ174" s="1041">
        <f t="shared" si="158"/>
        <v>5118.4959400519283</v>
      </c>
      <c r="CR174" s="1046">
        <v>2014</v>
      </c>
      <c r="CS174" s="1047" t="s">
        <v>6035</v>
      </c>
      <c r="CT174" s="1068">
        <f t="shared" si="161"/>
        <v>16</v>
      </c>
      <c r="CU174" s="1071">
        <v>18</v>
      </c>
      <c r="CV174" s="1068" t="s">
        <v>6044</v>
      </c>
      <c r="CW174" s="1113">
        <v>15845.575000000001</v>
      </c>
      <c r="CX174" s="1113">
        <v>10366.191000000001</v>
      </c>
      <c r="CY174" s="1113">
        <v>17951.638999999999</v>
      </c>
      <c r="CZ174" s="494">
        <v>1</v>
      </c>
      <c r="DA174" s="1104">
        <v>4</v>
      </c>
      <c r="DB174" s="1050" t="s">
        <v>647</v>
      </c>
      <c r="DC174" s="1146" t="s">
        <v>322</v>
      </c>
      <c r="DD174" s="978">
        <f t="shared" si="148"/>
        <v>1542.3679199999999</v>
      </c>
      <c r="DE174" s="979">
        <f t="shared" si="162"/>
        <v>8.3360366023610002</v>
      </c>
      <c r="DF174" s="979">
        <f t="shared" si="149"/>
        <v>52.433926008268649</v>
      </c>
      <c r="DG174" s="980">
        <f t="shared" si="150"/>
        <v>729.78485705192782</v>
      </c>
      <c r="DH174" s="980">
        <f t="shared" si="151"/>
        <v>808.7240539480722</v>
      </c>
      <c r="DI174" s="979">
        <f t="shared" si="163"/>
        <v>7.7914285573411375</v>
      </c>
      <c r="DJ174" s="981">
        <f t="shared" si="164"/>
        <v>8.8521514011976503</v>
      </c>
      <c r="DK174" s="984">
        <f t="shared" si="165"/>
        <v>1267.6239999999998</v>
      </c>
      <c r="DL174" s="979">
        <f t="shared" si="152"/>
        <v>52.701042260802275</v>
      </c>
      <c r="DM174" s="980">
        <f t="shared" si="166"/>
        <v>599.57294005192762</v>
      </c>
      <c r="DN174" s="985">
        <f t="shared" si="167"/>
        <v>668.05105994807218</v>
      </c>
      <c r="DO174" s="984">
        <f t="shared" si="168"/>
        <v>187.07976000000016</v>
      </c>
      <c r="DP174" s="979">
        <f t="shared" si="153"/>
        <v>51.217525615812207</v>
      </c>
      <c r="DQ174" s="980">
        <f t="shared" si="142"/>
        <v>88.638014000000084</v>
      </c>
      <c r="DR174" s="985">
        <f t="shared" si="143"/>
        <v>95.81762400000008</v>
      </c>
      <c r="DS174" s="984">
        <f t="shared" si="169"/>
        <v>87.664160000000066</v>
      </c>
      <c r="DT174" s="339">
        <f t="shared" si="154"/>
        <v>51.167284326913077</v>
      </c>
      <c r="DU174" s="980">
        <f t="shared" si="144"/>
        <v>41.573903000000037</v>
      </c>
      <c r="DV174" s="985">
        <f t="shared" si="145"/>
        <v>44.855370000000036</v>
      </c>
      <c r="DW174" s="979">
        <f t="shared" si="146"/>
        <v>3.7000000000000033</v>
      </c>
      <c r="DX174" s="981">
        <f t="shared" si="147"/>
        <v>4.2000000000000037</v>
      </c>
      <c r="DY174" s="414">
        <v>1.71</v>
      </c>
      <c r="DZ174" s="111">
        <v>2004</v>
      </c>
      <c r="EA174" s="118" t="e">
        <f>#REF!*DY174/100</f>
        <v>#REF!</v>
      </c>
      <c r="EB174" s="123" t="s">
        <v>145</v>
      </c>
      <c r="EC174" s="113" t="s">
        <v>145</v>
      </c>
      <c r="ED174" s="20"/>
      <c r="EE174" s="414">
        <v>11.9</v>
      </c>
      <c r="EF174" s="111">
        <v>2006</v>
      </c>
      <c r="EG174" s="380">
        <v>85.08056640625</v>
      </c>
      <c r="EH174" s="24" t="s">
        <v>328</v>
      </c>
      <c r="EI174" s="287">
        <v>0</v>
      </c>
      <c r="EJ174" s="40" t="s">
        <v>145</v>
      </c>
      <c r="EK174" s="35" t="s">
        <v>145</v>
      </c>
      <c r="EL174" s="95" t="s">
        <v>145</v>
      </c>
      <c r="EM174" s="95" t="s">
        <v>145</v>
      </c>
      <c r="EN174" s="35" t="s">
        <v>145</v>
      </c>
      <c r="EO174" s="95" t="s">
        <v>145</v>
      </c>
      <c r="EP174" s="205" t="s">
        <v>145</v>
      </c>
      <c r="EQ174" s="207" t="s">
        <v>145</v>
      </c>
      <c r="ER174" s="517" t="s">
        <v>145</v>
      </c>
      <c r="ES174" s="183"/>
      <c r="ET174" s="183"/>
      <c r="EU174" s="82"/>
      <c r="EV174" s="82"/>
      <c r="EW174" s="82"/>
      <c r="EX174" s="90"/>
      <c r="EY174" s="159"/>
      <c r="EZ174" s="156"/>
      <c r="FA174" s="323"/>
      <c r="FB174" s="323"/>
      <c r="FC174" s="323"/>
      <c r="FD174" s="160"/>
      <c r="FE174" s="156"/>
      <c r="FF174" s="156"/>
      <c r="FG174" s="156"/>
      <c r="FH174" s="157"/>
      <c r="FI174" s="242"/>
      <c r="FJ174" s="373"/>
      <c r="FK174" s="179"/>
      <c r="FL174" s="179"/>
      <c r="FM174" s="179"/>
      <c r="FN174" s="369"/>
      <c r="FO174" s="164"/>
      <c r="FP174" s="255"/>
      <c r="FQ174" s="183"/>
      <c r="FR174" s="257"/>
      <c r="FS174" s="82"/>
      <c r="FT174" s="259"/>
      <c r="FU174" s="82"/>
      <c r="FV174" s="259"/>
      <c r="FW174" s="82"/>
      <c r="FX174" s="259"/>
      <c r="FY174" s="82"/>
      <c r="FZ174" s="259"/>
      <c r="GA174" s="82"/>
      <c r="GB174" s="261"/>
      <c r="GC174" s="90"/>
      <c r="GD174" s="76">
        <v>3</v>
      </c>
      <c r="GE174" s="445" t="s">
        <v>3430</v>
      </c>
      <c r="GF174" s="447" t="s">
        <v>580</v>
      </c>
      <c r="GG174" s="448">
        <v>7</v>
      </c>
      <c r="GH174" s="449">
        <v>7</v>
      </c>
      <c r="GI174" s="447" t="s">
        <v>580</v>
      </c>
      <c r="GJ174" s="449">
        <v>88</v>
      </c>
      <c r="GK174" s="447">
        <v>25</v>
      </c>
      <c r="GL174" s="448">
        <v>26</v>
      </c>
      <c r="GM174" s="449">
        <v>37</v>
      </c>
      <c r="GN174" s="447" t="s">
        <v>580</v>
      </c>
      <c r="GO174" s="449">
        <v>89</v>
      </c>
      <c r="GP174" s="447">
        <v>29</v>
      </c>
      <c r="GQ174" s="448">
        <v>38</v>
      </c>
      <c r="GR174" s="449">
        <v>22</v>
      </c>
      <c r="GS174" s="446">
        <v>7</v>
      </c>
      <c r="GT174" s="461">
        <v>-1.7730302810668945</v>
      </c>
      <c r="GU174" s="462">
        <v>-2.6848721504211426</v>
      </c>
      <c r="GV174" s="462">
        <v>-1.3400363922119141</v>
      </c>
      <c r="GW174" s="462">
        <v>-1.6055283546447754</v>
      </c>
      <c r="GX174" s="462">
        <v>-1.4766747951507568</v>
      </c>
      <c r="GY174" s="463">
        <v>-1.2392866611480713</v>
      </c>
      <c r="GZ174" s="10">
        <v>135</v>
      </c>
      <c r="HA174" s="536">
        <v>0.31341000000000002</v>
      </c>
      <c r="HB174" s="536">
        <v>9.8030000000000006E-2</v>
      </c>
      <c r="HC174" s="525">
        <v>0.15748000000000001</v>
      </c>
      <c r="HD174" s="526">
        <v>0.19924</v>
      </c>
      <c r="HE174" s="527">
        <v>0.58350000000000002</v>
      </c>
      <c r="HF174" s="10">
        <v>112</v>
      </c>
      <c r="HG174" s="532">
        <v>3.46</v>
      </c>
      <c r="HH174" s="545">
        <v>4.5</v>
      </c>
      <c r="HI174" s="546">
        <v>1.07</v>
      </c>
      <c r="HJ174" s="547">
        <v>6.17</v>
      </c>
      <c r="HK174" s="558" t="s">
        <v>145</v>
      </c>
      <c r="HL174" s="82" t="s">
        <v>145</v>
      </c>
      <c r="HM174" s="557" t="s">
        <v>145</v>
      </c>
      <c r="HN174" s="557" t="s">
        <v>145</v>
      </c>
      <c r="HO174" s="557" t="s">
        <v>145</v>
      </c>
      <c r="HP174" s="562"/>
      <c r="HQ174" s="639"/>
      <c r="HR174" s="563" t="s">
        <v>145</v>
      </c>
      <c r="HS174" s="545" t="s">
        <v>145</v>
      </c>
      <c r="HT174" s="557" t="s">
        <v>145</v>
      </c>
      <c r="HU174" s="557" t="s">
        <v>145</v>
      </c>
      <c r="HV174" s="581" t="s">
        <v>145</v>
      </c>
      <c r="HW174" s="557" t="s">
        <v>145</v>
      </c>
      <c r="HX174" s="557" t="s">
        <v>145</v>
      </c>
      <c r="HY174" s="557" t="s">
        <v>145</v>
      </c>
      <c r="HZ174" s="557" t="s">
        <v>145</v>
      </c>
      <c r="IA174" s="557" t="s">
        <v>145</v>
      </c>
      <c r="IB174" s="557" t="s">
        <v>145</v>
      </c>
      <c r="IC174" s="547" t="s">
        <v>145</v>
      </c>
      <c r="ID174" s="40"/>
      <c r="IE174" s="550"/>
      <c r="IF174" s="550"/>
      <c r="IG174" s="553">
        <v>1</v>
      </c>
      <c r="IH174" s="115">
        <v>24.9</v>
      </c>
      <c r="II174" s="647" t="s">
        <v>4922</v>
      </c>
      <c r="IJ174" s="423" t="s">
        <v>4926</v>
      </c>
      <c r="IK174" s="10">
        <v>0</v>
      </c>
      <c r="IL174" s="749">
        <f t="shared" si="170"/>
        <v>7</v>
      </c>
      <c r="IM174" s="747">
        <f t="shared" si="171"/>
        <v>28.000000000000004</v>
      </c>
      <c r="IN174" s="750" t="str">
        <f t="shared" si="172"/>
        <v>C</v>
      </c>
      <c r="IO174" s="446"/>
      <c r="IP174" s="902">
        <v>4</v>
      </c>
      <c r="IQ174" s="903">
        <v>0</v>
      </c>
      <c r="IR174" s="993">
        <v>0</v>
      </c>
      <c r="IT174" s="435"/>
      <c r="IU174" s="435"/>
      <c r="IV174" s="435"/>
    </row>
    <row r="175" spans="1:256">
      <c r="A175" s="21">
        <v>173</v>
      </c>
      <c r="B175" s="11"/>
      <c r="C175" s="895" t="s">
        <v>5623</v>
      </c>
      <c r="D175" s="424" t="s">
        <v>407</v>
      </c>
      <c r="E175" s="24" t="s">
        <v>17</v>
      </c>
      <c r="F175" s="76" t="s">
        <v>746</v>
      </c>
      <c r="G175" s="102" t="s">
        <v>413</v>
      </c>
      <c r="H175" s="251" t="s">
        <v>2501</v>
      </c>
      <c r="I175" s="95" t="s">
        <v>2500</v>
      </c>
      <c r="J175" s="370">
        <v>3</v>
      </c>
      <c r="K175" s="359">
        <v>1931</v>
      </c>
      <c r="L175" s="371">
        <v>2</v>
      </c>
      <c r="M175" s="373" t="s">
        <v>1825</v>
      </c>
      <c r="N175" s="369" t="s">
        <v>2502</v>
      </c>
      <c r="O175" s="365" t="s">
        <v>3084</v>
      </c>
      <c r="P175" s="362" t="s">
        <v>3085</v>
      </c>
      <c r="Q175" s="370">
        <v>2</v>
      </c>
      <c r="R175" s="370">
        <v>1947</v>
      </c>
      <c r="S175" s="372" t="s">
        <v>1961</v>
      </c>
      <c r="T175" s="370">
        <v>1</v>
      </c>
      <c r="U175" s="370">
        <v>2</v>
      </c>
      <c r="V175" s="370">
        <v>14</v>
      </c>
      <c r="W175" s="369" t="s">
        <v>3353</v>
      </c>
      <c r="X175" s="170">
        <v>1</v>
      </c>
      <c r="Y175" s="369">
        <v>1</v>
      </c>
      <c r="Z175" s="273" t="s">
        <v>2001</v>
      </c>
      <c r="AA175" s="169"/>
      <c r="AB175" s="177">
        <v>1</v>
      </c>
      <c r="AC175" s="171"/>
      <c r="AD175" s="376" t="s">
        <v>145</v>
      </c>
      <c r="AE175" s="355" t="s">
        <v>145</v>
      </c>
      <c r="AF175" s="355">
        <v>0</v>
      </c>
      <c r="AG175" s="550">
        <v>1</v>
      </c>
      <c r="AH175" s="355" t="s">
        <v>145</v>
      </c>
      <c r="AI175" s="550" t="s">
        <v>145</v>
      </c>
      <c r="AJ175" s="550" t="s">
        <v>145</v>
      </c>
      <c r="AK175" s="590" t="s">
        <v>145</v>
      </c>
      <c r="AL175" s="355">
        <v>0</v>
      </c>
      <c r="AM175" s="360" t="s">
        <v>145</v>
      </c>
      <c r="AN175" s="397" t="s">
        <v>145</v>
      </c>
      <c r="AO175" s="170">
        <v>0</v>
      </c>
      <c r="AP175" s="369">
        <v>0</v>
      </c>
      <c r="AQ175" s="365" t="s">
        <v>4994</v>
      </c>
      <c r="AR175" s="378" t="s">
        <v>4934</v>
      </c>
      <c r="AS175" s="55">
        <v>2</v>
      </c>
      <c r="AT175" s="370">
        <v>3</v>
      </c>
      <c r="AU175" s="371">
        <v>2008</v>
      </c>
      <c r="AV175" s="370">
        <v>10</v>
      </c>
      <c r="AW175" s="589">
        <v>4000</v>
      </c>
      <c r="AX175" s="687">
        <v>0</v>
      </c>
      <c r="AY175" s="174" t="s">
        <v>3951</v>
      </c>
      <c r="AZ175" s="55">
        <v>1947</v>
      </c>
      <c r="BA175" s="55">
        <v>1</v>
      </c>
      <c r="BB175" s="55">
        <v>2</v>
      </c>
      <c r="BC175" s="174" t="s">
        <v>4443</v>
      </c>
      <c r="BD175" s="55">
        <v>1950</v>
      </c>
      <c r="BE175" s="55">
        <v>1</v>
      </c>
      <c r="BF175" s="371" t="s">
        <v>323</v>
      </c>
      <c r="BG175" s="371">
        <v>0</v>
      </c>
      <c r="BH175" s="56" t="s">
        <v>145</v>
      </c>
      <c r="BI175" s="371">
        <v>2</v>
      </c>
      <c r="BJ175" s="371">
        <v>1</v>
      </c>
      <c r="BK175" s="911">
        <v>23359.928</v>
      </c>
      <c r="BL175" s="999">
        <f t="shared" si="159"/>
        <v>50.152838656009557</v>
      </c>
      <c r="BM175" s="911">
        <v>11644.261</v>
      </c>
      <c r="BN175" s="921">
        <v>11715.666999999999</v>
      </c>
      <c r="BO175" s="911">
        <v>952</v>
      </c>
      <c r="BP175" s="1159">
        <f t="shared" si="135"/>
        <v>48.424369747899156</v>
      </c>
      <c r="BQ175" s="918">
        <v>491</v>
      </c>
      <c r="BR175" s="921">
        <v>461</v>
      </c>
      <c r="BS175" s="911">
        <v>1013</v>
      </c>
      <c r="BT175" s="1159">
        <f t="shared" si="136"/>
        <v>48.568608094768017</v>
      </c>
      <c r="BU175" s="918">
        <v>521</v>
      </c>
      <c r="BV175" s="921">
        <v>492</v>
      </c>
      <c r="BW175" s="911">
        <v>1292</v>
      </c>
      <c r="BX175" s="1159">
        <f t="shared" si="137"/>
        <v>48.065015479876159</v>
      </c>
      <c r="BY175" s="918">
        <v>671</v>
      </c>
      <c r="BZ175" s="921">
        <v>621</v>
      </c>
      <c r="CA175" s="911">
        <f t="shared" si="138"/>
        <v>20102.928</v>
      </c>
      <c r="CB175" s="1159">
        <f t="shared" si="139"/>
        <v>50.448705780570869</v>
      </c>
      <c r="CC175" s="918">
        <f t="shared" si="140"/>
        <v>9961.2610000000004</v>
      </c>
      <c r="CD175" s="921">
        <f t="shared" si="141"/>
        <v>10141.666999999999</v>
      </c>
      <c r="CE175" s="927">
        <v>2014</v>
      </c>
      <c r="CF175" s="926" t="s">
        <v>5692</v>
      </c>
      <c r="CG175" s="931">
        <v>95</v>
      </c>
      <c r="CH175" s="504">
        <v>95</v>
      </c>
      <c r="CI175" s="1008">
        <v>95</v>
      </c>
      <c r="CJ175" s="906"/>
      <c r="CK175" s="906"/>
      <c r="CL175" s="906">
        <v>2014</v>
      </c>
      <c r="CM175" s="1002" t="s">
        <v>5722</v>
      </c>
      <c r="CN175" s="1044">
        <v>18782.991000000002</v>
      </c>
      <c r="CO175" s="1045">
        <f t="shared" si="160"/>
        <v>80.406887384241941</v>
      </c>
      <c r="CP175" s="1040">
        <f t="shared" si="157"/>
        <v>9362.787828997205</v>
      </c>
      <c r="CQ175" s="1041">
        <f t="shared" si="158"/>
        <v>9420.2031710027968</v>
      </c>
      <c r="CR175" s="1046">
        <v>2016</v>
      </c>
      <c r="CS175" s="1047" t="s">
        <v>6045</v>
      </c>
      <c r="CT175" s="1068">
        <f t="shared" si="161"/>
        <v>14</v>
      </c>
      <c r="CU175" s="1071">
        <v>20</v>
      </c>
      <c r="CV175" s="1068" t="s">
        <v>6046</v>
      </c>
      <c r="CW175" s="1113">
        <v>18086.455000000002</v>
      </c>
      <c r="CX175" s="1113">
        <v>18115.246999999999</v>
      </c>
      <c r="CY175" s="1113">
        <v>23230.506000000001</v>
      </c>
      <c r="CZ175" s="494">
        <v>1</v>
      </c>
      <c r="DA175" s="1104">
        <v>4</v>
      </c>
      <c r="DB175" s="1050" t="s">
        <v>647</v>
      </c>
      <c r="DC175" s="1146" t="s">
        <v>322</v>
      </c>
      <c r="DD175" s="978">
        <f t="shared" si="148"/>
        <v>1482.7869999999982</v>
      </c>
      <c r="DE175" s="979">
        <f t="shared" si="162"/>
        <v>6.3475666534588555</v>
      </c>
      <c r="DF175" s="979">
        <f t="shared" si="149"/>
        <v>53.963504468086363</v>
      </c>
      <c r="DG175" s="980">
        <f t="shared" si="150"/>
        <v>682.62317100279552</v>
      </c>
      <c r="DH175" s="980">
        <f t="shared" si="151"/>
        <v>800.16382899720281</v>
      </c>
      <c r="DI175" s="979">
        <f t="shared" si="163"/>
        <v>5.8623142422073453</v>
      </c>
      <c r="DJ175" s="981">
        <f t="shared" si="164"/>
        <v>6.8298614922838192</v>
      </c>
      <c r="DK175" s="984">
        <f t="shared" si="165"/>
        <v>1319.9369999999981</v>
      </c>
      <c r="DL175" s="979">
        <f t="shared" si="152"/>
        <v>54.658959404668842</v>
      </c>
      <c r="DM175" s="980">
        <f t="shared" si="166"/>
        <v>598.47317100279543</v>
      </c>
      <c r="DN175" s="985">
        <f t="shared" si="167"/>
        <v>721.46382899720265</v>
      </c>
      <c r="DO175" s="984">
        <f t="shared" si="168"/>
        <v>115.2500000000001</v>
      </c>
      <c r="DP175" s="979">
        <f t="shared" si="153"/>
        <v>48.286334056399134</v>
      </c>
      <c r="DQ175" s="980">
        <f t="shared" si="142"/>
        <v>59.600000000000051</v>
      </c>
      <c r="DR175" s="985">
        <f t="shared" si="143"/>
        <v>55.650000000000048</v>
      </c>
      <c r="DS175" s="984">
        <f t="shared" si="169"/>
        <v>47.600000000000044</v>
      </c>
      <c r="DT175" s="339">
        <f t="shared" si="154"/>
        <v>48.424369747899156</v>
      </c>
      <c r="DU175" s="980">
        <f t="shared" si="144"/>
        <v>24.550000000000022</v>
      </c>
      <c r="DV175" s="985">
        <f t="shared" si="145"/>
        <v>23.050000000000022</v>
      </c>
      <c r="DW175" s="979">
        <f t="shared" si="146"/>
        <v>5.0000000000000044</v>
      </c>
      <c r="DX175" s="981">
        <f t="shared" si="147"/>
        <v>5.0000000000000044</v>
      </c>
      <c r="DY175" s="414" t="s">
        <v>145</v>
      </c>
      <c r="DZ175" s="111" t="s">
        <v>145</v>
      </c>
      <c r="EA175" s="368"/>
      <c r="EB175" s="123" t="s">
        <v>145</v>
      </c>
      <c r="EC175" s="113" t="s">
        <v>145</v>
      </c>
      <c r="ED175" s="20"/>
      <c r="EE175" s="414">
        <v>1.5</v>
      </c>
      <c r="EF175" s="111">
        <v>2012</v>
      </c>
      <c r="EG175" s="380" t="s">
        <v>145</v>
      </c>
      <c r="EH175" s="24" t="s">
        <v>378</v>
      </c>
      <c r="EI175" s="287">
        <v>0</v>
      </c>
      <c r="EJ175" s="40" t="s">
        <v>145</v>
      </c>
      <c r="EK175" s="35" t="s">
        <v>145</v>
      </c>
      <c r="EL175" s="95" t="s">
        <v>145</v>
      </c>
      <c r="EM175" s="95" t="s">
        <v>145</v>
      </c>
      <c r="EN175" s="35" t="s">
        <v>145</v>
      </c>
      <c r="EO175" s="95" t="s">
        <v>145</v>
      </c>
      <c r="EP175" s="205" t="s">
        <v>145</v>
      </c>
      <c r="EQ175" s="207" t="s">
        <v>145</v>
      </c>
      <c r="ER175" s="517" t="s">
        <v>145</v>
      </c>
      <c r="ES175" s="183"/>
      <c r="ET175" s="183"/>
      <c r="EU175" s="82"/>
      <c r="EV175" s="82"/>
      <c r="EW175" s="82"/>
      <c r="EX175" s="90"/>
      <c r="EY175" s="159"/>
      <c r="EZ175" s="156"/>
      <c r="FA175" s="323"/>
      <c r="FB175" s="323"/>
      <c r="FC175" s="323"/>
      <c r="FD175" s="160"/>
      <c r="FE175" s="156"/>
      <c r="FF175" s="156"/>
      <c r="FG175" s="156"/>
      <c r="FH175" s="157"/>
      <c r="FI175" s="242"/>
      <c r="FJ175" s="240"/>
      <c r="FK175" s="179"/>
      <c r="FL175" s="179"/>
      <c r="FM175" s="179"/>
      <c r="FN175" s="172"/>
      <c r="FO175" s="164"/>
      <c r="FP175" s="255"/>
      <c r="FQ175" s="183"/>
      <c r="FR175" s="257"/>
      <c r="FS175" s="82"/>
      <c r="FT175" s="259"/>
      <c r="FU175" s="82"/>
      <c r="FV175" s="259"/>
      <c r="FW175" s="82"/>
      <c r="FX175" s="259"/>
      <c r="FY175" s="82"/>
      <c r="FZ175" s="259"/>
      <c r="GA175" s="82"/>
      <c r="GB175" s="261"/>
      <c r="GC175" s="90"/>
      <c r="GD175" s="76">
        <v>1</v>
      </c>
      <c r="GE175" s="445" t="s">
        <v>3424</v>
      </c>
      <c r="GF175" s="447" t="s">
        <v>10</v>
      </c>
      <c r="GG175" s="448">
        <v>1</v>
      </c>
      <c r="GH175" s="449">
        <v>2</v>
      </c>
      <c r="GI175" s="447" t="s">
        <v>145</v>
      </c>
      <c r="GJ175" s="449" t="s">
        <v>145</v>
      </c>
      <c r="GK175" s="447" t="s">
        <v>145</v>
      </c>
      <c r="GL175" s="448" t="s">
        <v>145</v>
      </c>
      <c r="GM175" s="449" t="s">
        <v>145</v>
      </c>
      <c r="GN175" s="447" t="s">
        <v>10</v>
      </c>
      <c r="GO175" s="449">
        <v>26</v>
      </c>
      <c r="GP175" s="447" t="s">
        <v>145</v>
      </c>
      <c r="GQ175" s="448" t="s">
        <v>145</v>
      </c>
      <c r="GR175" s="449" t="s">
        <v>145</v>
      </c>
      <c r="GS175" s="446">
        <v>10</v>
      </c>
      <c r="GT175" s="461">
        <v>0.88205534219741821</v>
      </c>
      <c r="GU175" s="462">
        <v>0.86388117074966431</v>
      </c>
      <c r="GV175" s="462">
        <v>1.1923700571060181</v>
      </c>
      <c r="GW175" s="462">
        <v>1.1393070220947266</v>
      </c>
      <c r="GX175" s="462">
        <v>1.044350266456604</v>
      </c>
      <c r="GY175" s="463">
        <v>0.67925041913986206</v>
      </c>
      <c r="GZ175" s="10" t="s">
        <v>145</v>
      </c>
      <c r="HA175" s="536" t="s">
        <v>145</v>
      </c>
      <c r="HB175" s="536" t="s">
        <v>145</v>
      </c>
      <c r="HC175" s="525" t="s">
        <v>145</v>
      </c>
      <c r="HD175" s="526" t="s">
        <v>145</v>
      </c>
      <c r="HE175" s="527" t="s">
        <v>145</v>
      </c>
      <c r="HF175" s="10" t="s">
        <v>145</v>
      </c>
      <c r="HG175" s="532" t="s">
        <v>145</v>
      </c>
      <c r="HH175" s="524" t="s">
        <v>145</v>
      </c>
      <c r="HI175" s="525" t="s">
        <v>145</v>
      </c>
      <c r="HJ175" s="527" t="s">
        <v>145</v>
      </c>
      <c r="HK175" s="558" t="s">
        <v>3992</v>
      </c>
      <c r="HL175" s="585" t="s">
        <v>4750</v>
      </c>
      <c r="HM175" s="557">
        <v>1995</v>
      </c>
      <c r="HN175" s="557">
        <v>2012</v>
      </c>
      <c r="HO175" s="526" t="s">
        <v>3985</v>
      </c>
      <c r="HP175" s="562" t="s">
        <v>145</v>
      </c>
      <c r="HQ175" s="564" t="s">
        <v>145</v>
      </c>
      <c r="HR175" s="565" t="s">
        <v>145</v>
      </c>
      <c r="HS175" s="576">
        <v>94</v>
      </c>
      <c r="HT175" s="577">
        <v>58</v>
      </c>
      <c r="HU175" s="577">
        <v>2005</v>
      </c>
      <c r="HV175" s="584" t="s">
        <v>4249</v>
      </c>
      <c r="HW175" s="577">
        <v>2</v>
      </c>
      <c r="HX175" s="577">
        <v>21</v>
      </c>
      <c r="HY175" s="577">
        <v>9</v>
      </c>
      <c r="HZ175" s="577">
        <v>17</v>
      </c>
      <c r="IA175" s="577">
        <v>6</v>
      </c>
      <c r="IB175" s="577">
        <v>1</v>
      </c>
      <c r="IC175" s="578">
        <v>2</v>
      </c>
      <c r="ID175" s="660"/>
      <c r="IE175" s="550"/>
      <c r="IF175" s="355" t="s">
        <v>5202</v>
      </c>
      <c r="IG175" s="553"/>
      <c r="IH175" s="339"/>
      <c r="II175" s="553" t="s">
        <v>4920</v>
      </c>
      <c r="IJ175" s="424"/>
      <c r="IK175" s="24">
        <v>0</v>
      </c>
      <c r="IL175" s="749">
        <f t="shared" si="170"/>
        <v>15</v>
      </c>
      <c r="IM175" s="747">
        <f t="shared" si="171"/>
        <v>60</v>
      </c>
      <c r="IN175" s="750" t="str">
        <f t="shared" si="172"/>
        <v>B</v>
      </c>
      <c r="IO175" s="446"/>
      <c r="IP175" s="902">
        <v>3</v>
      </c>
      <c r="IQ175" s="903">
        <v>0</v>
      </c>
      <c r="IR175" s="993">
        <v>0</v>
      </c>
      <c r="IT175" s="435"/>
      <c r="IU175" s="435"/>
      <c r="IV175" s="435"/>
    </row>
    <row r="176" spans="1:256">
      <c r="A176" s="21">
        <v>174</v>
      </c>
      <c r="B176" s="9"/>
      <c r="C176" s="430" t="s">
        <v>263</v>
      </c>
      <c r="D176" s="424" t="s">
        <v>408</v>
      </c>
      <c r="E176" s="24" t="s">
        <v>9</v>
      </c>
      <c r="F176" s="76" t="s">
        <v>907</v>
      </c>
      <c r="G176" s="102" t="s">
        <v>622</v>
      </c>
      <c r="H176" s="375" t="s">
        <v>1533</v>
      </c>
      <c r="I176" s="364" t="s">
        <v>2503</v>
      </c>
      <c r="J176" s="370">
        <v>3</v>
      </c>
      <c r="K176" s="359">
        <v>1995</v>
      </c>
      <c r="L176" s="371">
        <v>2</v>
      </c>
      <c r="M176" s="373" t="s">
        <v>1810</v>
      </c>
      <c r="N176" s="369" t="s">
        <v>2504</v>
      </c>
      <c r="O176" s="365" t="s">
        <v>3354</v>
      </c>
      <c r="P176" s="362" t="s">
        <v>3355</v>
      </c>
      <c r="Q176" s="370">
        <v>2</v>
      </c>
      <c r="R176" s="370">
        <v>2014</v>
      </c>
      <c r="S176" s="372" t="s">
        <v>1961</v>
      </c>
      <c r="T176" s="370">
        <v>1</v>
      </c>
      <c r="U176" s="370">
        <v>2</v>
      </c>
      <c r="V176" s="370">
        <v>16</v>
      </c>
      <c r="W176" s="351" t="s">
        <v>3356</v>
      </c>
      <c r="X176" s="170">
        <v>0</v>
      </c>
      <c r="Y176" s="369">
        <v>0</v>
      </c>
      <c r="Z176" s="271"/>
      <c r="AA176" s="169"/>
      <c r="AB176" s="177"/>
      <c r="AC176" s="171"/>
      <c r="AD176" s="366" t="s">
        <v>3354</v>
      </c>
      <c r="AE176" s="355">
        <v>2015</v>
      </c>
      <c r="AF176" s="355">
        <v>1</v>
      </c>
      <c r="AG176" s="550">
        <v>2</v>
      </c>
      <c r="AH176" s="355" t="s">
        <v>323</v>
      </c>
      <c r="AI176" s="550">
        <v>0</v>
      </c>
      <c r="AJ176" s="550">
        <v>0</v>
      </c>
      <c r="AK176" s="590" t="s">
        <v>145</v>
      </c>
      <c r="AL176" s="387">
        <v>10</v>
      </c>
      <c r="AM176" s="361" t="s">
        <v>3397</v>
      </c>
      <c r="AN176" s="384" t="s">
        <v>145</v>
      </c>
      <c r="AO176" s="170">
        <v>0</v>
      </c>
      <c r="AP176" s="172">
        <v>0</v>
      </c>
      <c r="AQ176" s="365" t="s">
        <v>4995</v>
      </c>
      <c r="AR176" s="378" t="s">
        <v>4934</v>
      </c>
      <c r="AS176" s="55">
        <v>2</v>
      </c>
      <c r="AT176" s="370">
        <v>3</v>
      </c>
      <c r="AU176" s="371">
        <v>2010</v>
      </c>
      <c r="AV176" s="370">
        <v>5</v>
      </c>
      <c r="AW176" s="589">
        <v>50</v>
      </c>
      <c r="AX176" s="687">
        <v>1</v>
      </c>
      <c r="AY176" s="174" t="s">
        <v>3952</v>
      </c>
      <c r="AZ176" s="55">
        <v>2009</v>
      </c>
      <c r="BA176" s="55">
        <v>1</v>
      </c>
      <c r="BB176" s="55">
        <v>1</v>
      </c>
      <c r="BC176" s="174" t="s">
        <v>4417</v>
      </c>
      <c r="BD176" s="55">
        <v>2013</v>
      </c>
      <c r="BE176" s="55">
        <v>0</v>
      </c>
      <c r="BF176" s="367" t="s">
        <v>145</v>
      </c>
      <c r="BG176" s="371">
        <v>0</v>
      </c>
      <c r="BH176" s="56" t="s">
        <v>145</v>
      </c>
      <c r="BI176" s="371">
        <v>0</v>
      </c>
      <c r="BJ176" s="371">
        <v>1</v>
      </c>
      <c r="BK176" s="888">
        <v>8481.8549999999996</v>
      </c>
      <c r="BL176" s="925">
        <f t="shared" si="159"/>
        <v>49.352576765342022</v>
      </c>
      <c r="BM176" s="888">
        <v>4295.8410000000003</v>
      </c>
      <c r="BN176" s="920">
        <v>4186.0140000000001</v>
      </c>
      <c r="BO176" s="888">
        <v>1175.607</v>
      </c>
      <c r="BP176" s="1158">
        <f t="shared" si="135"/>
        <v>48.505750646261887</v>
      </c>
      <c r="BQ176" s="917">
        <v>605.37</v>
      </c>
      <c r="BR176" s="920">
        <v>570.23699999999997</v>
      </c>
      <c r="BS176" s="888">
        <v>941.05200000000002</v>
      </c>
      <c r="BT176" s="1158">
        <f t="shared" si="136"/>
        <v>47.766754653302897</v>
      </c>
      <c r="BU176" s="917">
        <v>491.54199999999997</v>
      </c>
      <c r="BV176" s="920">
        <v>449.51</v>
      </c>
      <c r="BW176" s="888">
        <v>838.21100000000001</v>
      </c>
      <c r="BX176" s="1158">
        <f t="shared" si="137"/>
        <v>48.642167664227742</v>
      </c>
      <c r="BY176" s="917">
        <v>430.48700000000002</v>
      </c>
      <c r="BZ176" s="920">
        <v>407.72399999999999</v>
      </c>
      <c r="CA176" s="888">
        <f t="shared" si="138"/>
        <v>5526.9849999999997</v>
      </c>
      <c r="CB176" s="1158">
        <f t="shared" si="139"/>
        <v>49.910448463312271</v>
      </c>
      <c r="CC176" s="917">
        <f t="shared" si="140"/>
        <v>2768.4420000000005</v>
      </c>
      <c r="CD176" s="920">
        <f t="shared" si="141"/>
        <v>2758.5429999999997</v>
      </c>
      <c r="CE176" s="914">
        <v>2015</v>
      </c>
      <c r="CF176" s="910" t="s">
        <v>5630</v>
      </c>
      <c r="CG176" s="930">
        <v>88.4</v>
      </c>
      <c r="CH176" s="495">
        <v>89</v>
      </c>
      <c r="CI176" s="497">
        <v>87.8</v>
      </c>
      <c r="CJ176" s="904">
        <v>87.8</v>
      </c>
      <c r="CK176" s="904">
        <v>88.6</v>
      </c>
      <c r="CL176" s="904">
        <v>2012</v>
      </c>
      <c r="CM176" s="905" t="s">
        <v>5575</v>
      </c>
      <c r="CN176" s="1044">
        <v>4318</v>
      </c>
      <c r="CO176" s="1045">
        <f t="shared" si="160"/>
        <v>50.90867504808795</v>
      </c>
      <c r="CP176" s="1040">
        <f t="shared" si="157"/>
        <v>2186.9557352725319</v>
      </c>
      <c r="CQ176" s="1041">
        <f t="shared" si="158"/>
        <v>2131.0442647274685</v>
      </c>
      <c r="CR176" s="1046">
        <v>2015</v>
      </c>
      <c r="CS176" s="1047" t="s">
        <v>5826</v>
      </c>
      <c r="CT176" s="1068">
        <f t="shared" si="161"/>
        <v>16</v>
      </c>
      <c r="CU176" s="1071">
        <v>18</v>
      </c>
      <c r="CV176" s="1068" t="s">
        <v>6047</v>
      </c>
      <c r="CW176" s="1113">
        <v>4318</v>
      </c>
      <c r="CX176" s="1113">
        <v>4588.7240000000002</v>
      </c>
      <c r="CY176" s="1113">
        <v>8051.5119999999997</v>
      </c>
      <c r="CZ176" s="494">
        <v>1</v>
      </c>
      <c r="DA176" s="1104">
        <v>4</v>
      </c>
      <c r="DB176" s="1050" t="s">
        <v>5753</v>
      </c>
      <c r="DC176" s="1146" t="s">
        <v>322</v>
      </c>
      <c r="DD176" s="978">
        <f t="shared" si="148"/>
        <v>1551.7499199999995</v>
      </c>
      <c r="DE176" s="979">
        <f t="shared" si="162"/>
        <v>18.294935718660597</v>
      </c>
      <c r="DF176" s="979">
        <f t="shared" si="149"/>
        <v>51.661043248033891</v>
      </c>
      <c r="DG176" s="980">
        <f t="shared" si="150"/>
        <v>749.5001547274685</v>
      </c>
      <c r="DH176" s="980">
        <f t="shared" si="151"/>
        <v>801.65019727253105</v>
      </c>
      <c r="DI176" s="979">
        <f t="shared" si="163"/>
        <v>17.447111164669931</v>
      </c>
      <c r="DJ176" s="981">
        <f t="shared" si="164"/>
        <v>19.150681227356884</v>
      </c>
      <c r="DK176" s="984">
        <f t="shared" si="165"/>
        <v>1208.9849999999997</v>
      </c>
      <c r="DL176" s="979">
        <f t="shared" si="152"/>
        <v>51.90293802425434</v>
      </c>
      <c r="DM176" s="980">
        <f t="shared" si="166"/>
        <v>581.48626472746855</v>
      </c>
      <c r="DN176" s="985">
        <f t="shared" si="167"/>
        <v>627.49873527253112</v>
      </c>
      <c r="DO176" s="984">
        <f t="shared" si="168"/>
        <v>206.39450799999997</v>
      </c>
      <c r="DP176" s="979">
        <f t="shared" si="153"/>
        <v>50.671187432952436</v>
      </c>
      <c r="DQ176" s="980">
        <f t="shared" si="142"/>
        <v>101.42318999999999</v>
      </c>
      <c r="DR176" s="985">
        <f t="shared" si="143"/>
        <v>104.582548</v>
      </c>
      <c r="DS176" s="984">
        <f t="shared" si="169"/>
        <v>136.37041199999999</v>
      </c>
      <c r="DT176" s="339">
        <f t="shared" si="154"/>
        <v>51.014668783137509</v>
      </c>
      <c r="DU176" s="980">
        <f t="shared" si="144"/>
        <v>66.590699999999998</v>
      </c>
      <c r="DV176" s="985">
        <f t="shared" si="145"/>
        <v>69.568913999999992</v>
      </c>
      <c r="DW176" s="979">
        <f t="shared" si="146"/>
        <v>11</v>
      </c>
      <c r="DX176" s="981">
        <f t="shared" si="147"/>
        <v>12.2</v>
      </c>
      <c r="DY176" s="414">
        <v>6.56</v>
      </c>
      <c r="DZ176" s="111">
        <v>2009</v>
      </c>
      <c r="EA176" s="118">
        <v>460.47922799999992</v>
      </c>
      <c r="EB176" s="123">
        <v>46.7</v>
      </c>
      <c r="EC176" s="113">
        <v>2009</v>
      </c>
      <c r="ED176" s="20">
        <v>3258.2393859999997</v>
      </c>
      <c r="EE176" s="414">
        <v>35.6</v>
      </c>
      <c r="EF176" s="111">
        <v>2013</v>
      </c>
      <c r="EG176" s="380">
        <v>99.737442016601605</v>
      </c>
      <c r="EH176" s="24" t="s">
        <v>364</v>
      </c>
      <c r="EI176" s="287">
        <v>3</v>
      </c>
      <c r="EJ176" s="40">
        <v>2</v>
      </c>
      <c r="EK176" s="35" t="s">
        <v>728</v>
      </c>
      <c r="EL176" s="95" t="s">
        <v>931</v>
      </c>
      <c r="EM176" s="95" t="s">
        <v>145</v>
      </c>
      <c r="EN176" s="35" t="s">
        <v>145</v>
      </c>
      <c r="EO176" s="95" t="s">
        <v>1725</v>
      </c>
      <c r="EP176" s="205">
        <v>0.88</v>
      </c>
      <c r="EQ176" s="207">
        <v>0.68</v>
      </c>
      <c r="ER176" s="517">
        <v>2</v>
      </c>
      <c r="ES176" s="183" t="s">
        <v>145</v>
      </c>
      <c r="ET176" s="183" t="s">
        <v>145</v>
      </c>
      <c r="EU176" s="82" t="s">
        <v>3792</v>
      </c>
      <c r="EV176" s="82" t="s">
        <v>3793</v>
      </c>
      <c r="EW176" s="82" t="s">
        <v>145</v>
      </c>
      <c r="EX176" s="360" t="s">
        <v>145</v>
      </c>
      <c r="EY176" s="159"/>
      <c r="EZ176" s="156"/>
      <c r="FA176" s="323"/>
      <c r="FB176" s="323"/>
      <c r="FC176" s="323"/>
      <c r="FD176" s="160"/>
      <c r="FE176" s="156"/>
      <c r="FF176" s="156"/>
      <c r="FG176" s="156"/>
      <c r="FH176" s="157"/>
      <c r="FI176" s="242"/>
      <c r="FJ176" s="240"/>
      <c r="FK176" s="179"/>
      <c r="FL176" s="179"/>
      <c r="FM176" s="179"/>
      <c r="FN176" s="172"/>
      <c r="FO176" s="164"/>
      <c r="FP176" s="255"/>
      <c r="FQ176" s="183"/>
      <c r="FR176" s="257"/>
      <c r="FS176" s="82"/>
      <c r="FT176" s="259"/>
      <c r="FU176" s="82"/>
      <c r="FV176" s="259"/>
      <c r="FW176" s="82"/>
      <c r="FX176" s="259"/>
      <c r="FY176" s="82"/>
      <c r="FZ176" s="259"/>
      <c r="GA176" s="82"/>
      <c r="GB176" s="261"/>
      <c r="GC176" s="90"/>
      <c r="GD176" s="76">
        <v>1</v>
      </c>
      <c r="GE176" s="445" t="s">
        <v>3424</v>
      </c>
      <c r="GF176" s="447" t="s">
        <v>580</v>
      </c>
      <c r="GG176" s="448">
        <v>6</v>
      </c>
      <c r="GH176" s="449">
        <v>6</v>
      </c>
      <c r="GI176" s="447" t="s">
        <v>145</v>
      </c>
      <c r="GJ176" s="449" t="s">
        <v>145</v>
      </c>
      <c r="GK176" s="447" t="s">
        <v>145</v>
      </c>
      <c r="GL176" s="448" t="s">
        <v>145</v>
      </c>
      <c r="GM176" s="449" t="s">
        <v>145</v>
      </c>
      <c r="GN176" s="447" t="s">
        <v>580</v>
      </c>
      <c r="GO176" s="449">
        <v>80</v>
      </c>
      <c r="GP176" s="447">
        <v>25</v>
      </c>
      <c r="GQ176" s="448">
        <v>30</v>
      </c>
      <c r="GR176" s="449">
        <v>25</v>
      </c>
      <c r="GS176" s="446">
        <v>-1</v>
      </c>
      <c r="GT176" s="461">
        <v>-1.4754797220230103</v>
      </c>
      <c r="GU176" s="462">
        <v>-1.137189507484436</v>
      </c>
      <c r="GV176" s="462">
        <v>-1.0760166645050049</v>
      </c>
      <c r="GW176" s="462">
        <v>-1.0685796737670898</v>
      </c>
      <c r="GX176" s="462">
        <v>-1.239100456237793</v>
      </c>
      <c r="GY176" s="463">
        <v>-1.1914055347442627</v>
      </c>
      <c r="GZ176" s="10">
        <v>129</v>
      </c>
      <c r="HA176" s="536">
        <v>0.33950999999999998</v>
      </c>
      <c r="HB176" s="536">
        <v>0.11763999999999999</v>
      </c>
      <c r="HC176" s="525">
        <v>6.2990000000000004E-2</v>
      </c>
      <c r="HD176" s="526">
        <v>0.23061999999999999</v>
      </c>
      <c r="HE176" s="527">
        <v>0.72489999999999999</v>
      </c>
      <c r="HF176" s="10" t="s">
        <v>145</v>
      </c>
      <c r="HG176" s="532" t="s">
        <v>145</v>
      </c>
      <c r="HH176" s="524" t="s">
        <v>145</v>
      </c>
      <c r="HI176" s="525" t="s">
        <v>145</v>
      </c>
      <c r="HJ176" s="527" t="s">
        <v>145</v>
      </c>
      <c r="HK176" s="558" t="s">
        <v>145</v>
      </c>
      <c r="HL176" s="585" t="s">
        <v>145</v>
      </c>
      <c r="HM176" s="557" t="s">
        <v>145</v>
      </c>
      <c r="HN176" s="557" t="s">
        <v>145</v>
      </c>
      <c r="HO176" s="526" t="s">
        <v>145</v>
      </c>
      <c r="HP176" s="562" t="s">
        <v>145</v>
      </c>
      <c r="HQ176" s="564" t="s">
        <v>145</v>
      </c>
      <c r="HR176" s="565" t="s">
        <v>145</v>
      </c>
      <c r="HS176" s="576">
        <v>98</v>
      </c>
      <c r="HT176" s="577">
        <v>49</v>
      </c>
      <c r="HU176" s="577">
        <v>2002</v>
      </c>
      <c r="HV176" s="584" t="s">
        <v>4162</v>
      </c>
      <c r="HW176" s="577">
        <v>4</v>
      </c>
      <c r="HX176" s="577">
        <v>8</v>
      </c>
      <c r="HY176" s="577">
        <v>17</v>
      </c>
      <c r="HZ176" s="577">
        <v>16</v>
      </c>
      <c r="IA176" s="577">
        <v>2</v>
      </c>
      <c r="IB176" s="577">
        <v>0</v>
      </c>
      <c r="IC176" s="578">
        <v>2</v>
      </c>
      <c r="ID176" s="660"/>
      <c r="IE176" s="550"/>
      <c r="IF176" s="550"/>
      <c r="IG176" s="553"/>
      <c r="IH176" s="339"/>
      <c r="II176" s="553" t="s">
        <v>4921</v>
      </c>
      <c r="IJ176" s="424" t="s">
        <v>4926</v>
      </c>
      <c r="IK176" s="24">
        <v>0</v>
      </c>
      <c r="IL176" s="749">
        <f t="shared" si="170"/>
        <v>13</v>
      </c>
      <c r="IM176" s="747">
        <f t="shared" si="171"/>
        <v>52</v>
      </c>
      <c r="IN176" s="750" t="str">
        <f t="shared" si="172"/>
        <v>B</v>
      </c>
      <c r="IO176" s="446"/>
      <c r="IP176" s="902">
        <v>4</v>
      </c>
      <c r="IQ176" s="903">
        <v>0</v>
      </c>
      <c r="IR176" s="993">
        <v>0</v>
      </c>
      <c r="IT176" s="435"/>
      <c r="IU176" s="435"/>
      <c r="IV176" s="435"/>
    </row>
    <row r="177" spans="1:256">
      <c r="A177" s="21">
        <v>175</v>
      </c>
      <c r="B177" s="9"/>
      <c r="C177" s="430" t="s">
        <v>265</v>
      </c>
      <c r="D177" s="423" t="s">
        <v>406</v>
      </c>
      <c r="E177" s="24" t="s">
        <v>9</v>
      </c>
      <c r="F177" s="76" t="s">
        <v>908</v>
      </c>
      <c r="G177" s="102" t="s">
        <v>629</v>
      </c>
      <c r="H177" s="375" t="s">
        <v>2507</v>
      </c>
      <c r="I177" s="95" t="s">
        <v>2506</v>
      </c>
      <c r="J177" s="370">
        <v>1</v>
      </c>
      <c r="K177" s="359">
        <v>2002</v>
      </c>
      <c r="L177" s="371">
        <v>2</v>
      </c>
      <c r="M177" s="373" t="s">
        <v>2505</v>
      </c>
      <c r="N177" s="369" t="s">
        <v>1822</v>
      </c>
      <c r="O177" s="365" t="s">
        <v>938</v>
      </c>
      <c r="P177" s="377" t="s">
        <v>2912</v>
      </c>
      <c r="Q177" s="370">
        <v>1</v>
      </c>
      <c r="R177" s="370">
        <v>2014</v>
      </c>
      <c r="S177" s="372" t="s">
        <v>2913</v>
      </c>
      <c r="T177" s="370">
        <v>1</v>
      </c>
      <c r="U177" s="370">
        <v>2</v>
      </c>
      <c r="V177" s="370">
        <v>18</v>
      </c>
      <c r="W177" s="369" t="s">
        <v>1822</v>
      </c>
      <c r="X177" s="170">
        <v>0</v>
      </c>
      <c r="Y177" s="369">
        <v>0</v>
      </c>
      <c r="Z177" s="271"/>
      <c r="AA177" s="169">
        <v>1</v>
      </c>
      <c r="AB177" s="177">
        <v>1</v>
      </c>
      <c r="AC177" s="171"/>
      <c r="AD177" s="366" t="s">
        <v>938</v>
      </c>
      <c r="AE177" s="355">
        <v>2014</v>
      </c>
      <c r="AF177" s="355">
        <v>2</v>
      </c>
      <c r="AG177" s="550" t="s">
        <v>4272</v>
      </c>
      <c r="AH177" s="355" t="s">
        <v>2915</v>
      </c>
      <c r="AI177" s="550">
        <v>0</v>
      </c>
      <c r="AJ177" s="550">
        <v>0</v>
      </c>
      <c r="AK177" s="590">
        <v>25000</v>
      </c>
      <c r="AL177" s="387">
        <v>6</v>
      </c>
      <c r="AM177" s="361" t="s">
        <v>2769</v>
      </c>
      <c r="AN177" s="342" t="s">
        <v>145</v>
      </c>
      <c r="AO177" s="170">
        <v>0</v>
      </c>
      <c r="AP177" s="369">
        <v>0</v>
      </c>
      <c r="AQ177" s="365" t="s">
        <v>5333</v>
      </c>
      <c r="AR177" s="377" t="s">
        <v>5334</v>
      </c>
      <c r="AS177" s="55">
        <v>1</v>
      </c>
      <c r="AT177" s="370">
        <v>2</v>
      </c>
      <c r="AU177" s="371">
        <v>2005</v>
      </c>
      <c r="AV177" s="370">
        <v>5</v>
      </c>
      <c r="AW177" s="589" t="s">
        <v>145</v>
      </c>
      <c r="AX177" s="687">
        <v>0</v>
      </c>
      <c r="AY177" s="174" t="s">
        <v>3953</v>
      </c>
      <c r="AZ177" s="55">
        <v>1999</v>
      </c>
      <c r="BA177" s="55">
        <v>1</v>
      </c>
      <c r="BB177" s="55">
        <v>1</v>
      </c>
      <c r="BC177" s="174" t="s">
        <v>4418</v>
      </c>
      <c r="BD177" s="55">
        <v>2014</v>
      </c>
      <c r="BE177" s="55">
        <v>0</v>
      </c>
      <c r="BF177" s="367" t="s">
        <v>145</v>
      </c>
      <c r="BG177" s="367">
        <v>0</v>
      </c>
      <c r="BH177" s="56" t="s">
        <v>145</v>
      </c>
      <c r="BI177" s="367">
        <v>1</v>
      </c>
      <c r="BJ177" s="367">
        <v>0</v>
      </c>
      <c r="BK177" s="888">
        <v>53470.42</v>
      </c>
      <c r="BL177" s="925">
        <f t="shared" si="159"/>
        <v>50.301061783318701</v>
      </c>
      <c r="BM177" s="888">
        <v>26574.231</v>
      </c>
      <c r="BN177" s="920">
        <v>26896.188999999998</v>
      </c>
      <c r="BO177" s="888">
        <v>9398.4500000000007</v>
      </c>
      <c r="BP177" s="1158">
        <f t="shared" si="135"/>
        <v>49.426384137809961</v>
      </c>
      <c r="BQ177" s="917">
        <v>4753.1360000000004</v>
      </c>
      <c r="BR177" s="920">
        <v>4645.3140000000003</v>
      </c>
      <c r="BS177" s="888">
        <v>8019.3850000000002</v>
      </c>
      <c r="BT177" s="1158">
        <f t="shared" si="136"/>
        <v>49.594139700238863</v>
      </c>
      <c r="BU177" s="917">
        <v>4042.24</v>
      </c>
      <c r="BV177" s="920">
        <v>3977.145</v>
      </c>
      <c r="BW177" s="888">
        <v>6750.0959999999995</v>
      </c>
      <c r="BX177" s="1158">
        <f t="shared" si="137"/>
        <v>50.34403955143749</v>
      </c>
      <c r="BY177" s="917">
        <v>3351.8249999999998</v>
      </c>
      <c r="BZ177" s="920">
        <v>3398.2710000000002</v>
      </c>
      <c r="CA177" s="888">
        <f t="shared" si="138"/>
        <v>29302.489000000001</v>
      </c>
      <c r="CB177" s="1158">
        <f t="shared" si="139"/>
        <v>50.765172200900743</v>
      </c>
      <c r="CC177" s="917">
        <f t="shared" si="140"/>
        <v>14427.030000000002</v>
      </c>
      <c r="CD177" s="920">
        <f t="shared" si="141"/>
        <v>14875.458999999999</v>
      </c>
      <c r="CE177" s="914">
        <v>2015</v>
      </c>
      <c r="CF177" s="910" t="s">
        <v>5630</v>
      </c>
      <c r="CG177" s="1026">
        <v>16.3</v>
      </c>
      <c r="CH177" s="495">
        <v>16.600000000000001</v>
      </c>
      <c r="CI177" s="497">
        <v>15.9</v>
      </c>
      <c r="CJ177" s="904">
        <v>44.2</v>
      </c>
      <c r="CK177" s="904">
        <v>9.6999999999999993</v>
      </c>
      <c r="CL177" s="904">
        <v>2010</v>
      </c>
      <c r="CM177" s="905" t="s">
        <v>5575</v>
      </c>
      <c r="CN177" s="1044">
        <v>23253.982</v>
      </c>
      <c r="CO177" s="1045">
        <f t="shared" si="160"/>
        <v>43.489432100963491</v>
      </c>
      <c r="CP177" s="1040">
        <f t="shared" si="157"/>
        <v>11556.98214709819</v>
      </c>
      <c r="CQ177" s="1041">
        <f t="shared" si="158"/>
        <v>11696.999852901808</v>
      </c>
      <c r="CR177" s="1046">
        <v>2015</v>
      </c>
      <c r="CS177" s="1047" t="s">
        <v>5827</v>
      </c>
      <c r="CT177" s="1068">
        <f t="shared" si="161"/>
        <v>18</v>
      </c>
      <c r="CU177" s="1071">
        <v>18</v>
      </c>
      <c r="CV177" s="1068" t="s">
        <v>6048</v>
      </c>
      <c r="CW177" s="1113">
        <v>23253.982</v>
      </c>
      <c r="CX177" s="1113">
        <v>24994.741999999998</v>
      </c>
      <c r="CY177" s="1113">
        <v>51045.881999999998</v>
      </c>
      <c r="CZ177" s="494">
        <v>1</v>
      </c>
      <c r="DA177" s="1104">
        <v>4</v>
      </c>
      <c r="DB177" s="1050" t="s">
        <v>647</v>
      </c>
      <c r="DC177" s="1143" t="s">
        <v>320</v>
      </c>
      <c r="DD177" s="978">
        <f t="shared" si="148"/>
        <v>26277.065246999999</v>
      </c>
      <c r="DE177" s="979">
        <f t="shared" si="162"/>
        <v>49.14318093443066</v>
      </c>
      <c r="DF177" s="979">
        <f t="shared" si="149"/>
        <v>50.568406145032675</v>
      </c>
      <c r="DG177" s="980">
        <f t="shared" si="150"/>
        <v>13000.813486901812</v>
      </c>
      <c r="DH177" s="980">
        <f t="shared" si="151"/>
        <v>13287.893077098191</v>
      </c>
      <c r="DI177" s="979">
        <f t="shared" si="163"/>
        <v>48.922632933016246</v>
      </c>
      <c r="DJ177" s="981">
        <f t="shared" si="164"/>
        <v>49.404371292521006</v>
      </c>
      <c r="DK177" s="984">
        <f t="shared" si="165"/>
        <v>6048.5070000000014</v>
      </c>
      <c r="DL177" s="979">
        <f t="shared" si="152"/>
        <v>52.549482824409225</v>
      </c>
      <c r="DM177" s="980">
        <f t="shared" si="166"/>
        <v>2870.0478529018128</v>
      </c>
      <c r="DN177" s="985">
        <f t="shared" si="167"/>
        <v>3178.4591470981904</v>
      </c>
      <c r="DO177" s="984">
        <f t="shared" si="168"/>
        <v>12362.055596999999</v>
      </c>
      <c r="DP177" s="979">
        <f t="shared" si="153"/>
        <v>50.175513346706403</v>
      </c>
      <c r="DQ177" s="980">
        <f t="shared" si="142"/>
        <v>6166.6502099999998</v>
      </c>
      <c r="DR177" s="985">
        <f t="shared" si="143"/>
        <v>6202.7248560000007</v>
      </c>
      <c r="DS177" s="984">
        <f t="shared" si="169"/>
        <v>7866.5026500000004</v>
      </c>
      <c r="DT177" s="339">
        <f t="shared" si="154"/>
        <v>49.662591469412398</v>
      </c>
      <c r="DU177" s="980">
        <f t="shared" si="144"/>
        <v>3964.1154240000001</v>
      </c>
      <c r="DV177" s="985">
        <f t="shared" si="145"/>
        <v>3906.7090740000003</v>
      </c>
      <c r="DW177" s="979">
        <f t="shared" si="146"/>
        <v>83.399999999999991</v>
      </c>
      <c r="DX177" s="981">
        <f t="shared" si="147"/>
        <v>84.1</v>
      </c>
      <c r="DY177" s="414">
        <v>67.87</v>
      </c>
      <c r="DZ177" s="111">
        <v>2007</v>
      </c>
      <c r="EA177" s="368">
        <v>31382.351994000004</v>
      </c>
      <c r="EB177" s="123">
        <v>33.4</v>
      </c>
      <c r="EC177" s="113">
        <v>2007</v>
      </c>
      <c r="ED177" s="20">
        <v>15436.974323999999</v>
      </c>
      <c r="EE177" s="414">
        <v>36</v>
      </c>
      <c r="EF177" s="111">
        <v>2002</v>
      </c>
      <c r="EG177" s="380">
        <v>67.800697326660199</v>
      </c>
      <c r="EH177" s="24" t="s">
        <v>360</v>
      </c>
      <c r="EI177" s="287">
        <v>1</v>
      </c>
      <c r="EJ177" s="40">
        <v>2</v>
      </c>
      <c r="EK177" s="35" t="s">
        <v>145</v>
      </c>
      <c r="EL177" s="95" t="s">
        <v>1645</v>
      </c>
      <c r="EM177" s="95" t="s">
        <v>1649</v>
      </c>
      <c r="EN177" s="35" t="s">
        <v>145</v>
      </c>
      <c r="EO177" s="95" t="s">
        <v>1646</v>
      </c>
      <c r="EP177" s="205">
        <v>0.16</v>
      </c>
      <c r="EQ177" s="207" t="s">
        <v>145</v>
      </c>
      <c r="ER177" s="517">
        <v>1</v>
      </c>
      <c r="ES177" s="183" t="s">
        <v>145</v>
      </c>
      <c r="ET177" s="183" t="s">
        <v>3771</v>
      </c>
      <c r="EU177" s="82" t="s">
        <v>145</v>
      </c>
      <c r="EV177" s="82" t="s">
        <v>145</v>
      </c>
      <c r="EW177" s="82" t="s">
        <v>145</v>
      </c>
      <c r="EX177" s="360" t="s">
        <v>145</v>
      </c>
      <c r="EY177" s="159"/>
      <c r="EZ177" s="156"/>
      <c r="FA177" s="323"/>
      <c r="FB177" s="323"/>
      <c r="FC177" s="323"/>
      <c r="FD177" s="160"/>
      <c r="FE177" s="156"/>
      <c r="FF177" s="156"/>
      <c r="FG177" s="156"/>
      <c r="FH177" s="157"/>
      <c r="FI177" s="242"/>
      <c r="FJ177" s="373"/>
      <c r="FK177" s="179"/>
      <c r="FL177" s="179"/>
      <c r="FM177" s="179"/>
      <c r="FN177" s="369"/>
      <c r="FO177" s="164"/>
      <c r="FP177" s="254">
        <v>1</v>
      </c>
      <c r="FQ177" s="82" t="s">
        <v>1612</v>
      </c>
      <c r="FR177" s="257"/>
      <c r="FS177" s="82"/>
      <c r="FT177" s="259"/>
      <c r="FU177" s="82"/>
      <c r="FV177" s="259"/>
      <c r="FW177" s="82"/>
      <c r="FX177" s="259"/>
      <c r="FY177" s="82"/>
      <c r="FZ177" s="259"/>
      <c r="GA177" s="82"/>
      <c r="GB177" s="261">
        <v>1</v>
      </c>
      <c r="GC177" s="90" t="s">
        <v>1900</v>
      </c>
      <c r="GD177" s="76">
        <v>2</v>
      </c>
      <c r="GE177" s="445" t="s">
        <v>3425</v>
      </c>
      <c r="GF177" s="447" t="s">
        <v>590</v>
      </c>
      <c r="GG177" s="448">
        <v>3</v>
      </c>
      <c r="GH177" s="449">
        <v>3</v>
      </c>
      <c r="GI177" s="447" t="s">
        <v>145</v>
      </c>
      <c r="GJ177" s="449" t="s">
        <v>145</v>
      </c>
      <c r="GK177" s="447" t="s">
        <v>145</v>
      </c>
      <c r="GL177" s="448" t="s">
        <v>145</v>
      </c>
      <c r="GM177" s="449" t="s">
        <v>145</v>
      </c>
      <c r="GN177" s="447" t="s">
        <v>590</v>
      </c>
      <c r="GO177" s="449">
        <v>55</v>
      </c>
      <c r="GP177" s="447">
        <v>18</v>
      </c>
      <c r="GQ177" s="448">
        <v>22</v>
      </c>
      <c r="GR177" s="449">
        <v>15</v>
      </c>
      <c r="GS177" s="446">
        <v>-1</v>
      </c>
      <c r="GT177" s="461">
        <v>-0.22595661878585815</v>
      </c>
      <c r="GU177" s="462">
        <v>-0.15160705149173737</v>
      </c>
      <c r="GV177" s="462">
        <v>-0.6721917986869812</v>
      </c>
      <c r="GW177" s="462">
        <v>-0.3418104350566864</v>
      </c>
      <c r="GX177" s="462">
        <v>-0.50403982400894165</v>
      </c>
      <c r="GY177" s="463">
        <v>-0.82216185331344604</v>
      </c>
      <c r="GZ177" s="10">
        <v>146</v>
      </c>
      <c r="HA177" s="536">
        <v>0.27642</v>
      </c>
      <c r="HB177" s="536">
        <v>0.39215</v>
      </c>
      <c r="HC177" s="525">
        <v>0.29920999999999998</v>
      </c>
      <c r="HD177" s="526">
        <v>8.0820000000000003E-2</v>
      </c>
      <c r="HE177" s="527">
        <v>0.44919999999999999</v>
      </c>
      <c r="HF177" s="10">
        <v>152</v>
      </c>
      <c r="HG177" s="532">
        <v>1.76</v>
      </c>
      <c r="HH177" s="545">
        <v>2.37</v>
      </c>
      <c r="HI177" s="546">
        <v>0.24</v>
      </c>
      <c r="HJ177" s="547">
        <v>3.55</v>
      </c>
      <c r="HK177" s="558" t="s">
        <v>4004</v>
      </c>
      <c r="HL177" s="585" t="s">
        <v>4751</v>
      </c>
      <c r="HM177" s="448">
        <v>2013</v>
      </c>
      <c r="HN177" s="809" t="s">
        <v>145</v>
      </c>
      <c r="HO177" s="448" t="s">
        <v>4095</v>
      </c>
      <c r="HP177" s="562" t="s">
        <v>145</v>
      </c>
      <c r="HQ177" s="562" t="s">
        <v>145</v>
      </c>
      <c r="HR177" s="563" t="s">
        <v>145</v>
      </c>
      <c r="HS177" s="545" t="s">
        <v>145</v>
      </c>
      <c r="HT177" s="557" t="s">
        <v>145</v>
      </c>
      <c r="HU177" s="557" t="s">
        <v>145</v>
      </c>
      <c r="HV177" s="582" t="s">
        <v>145</v>
      </c>
      <c r="HW177" s="557" t="s">
        <v>145</v>
      </c>
      <c r="HX177" s="557" t="s">
        <v>145</v>
      </c>
      <c r="HY177" s="557" t="s">
        <v>145</v>
      </c>
      <c r="HZ177" s="557" t="s">
        <v>145</v>
      </c>
      <c r="IA177" s="557" t="s">
        <v>145</v>
      </c>
      <c r="IB177" s="557" t="s">
        <v>145</v>
      </c>
      <c r="IC177" s="547" t="s">
        <v>145</v>
      </c>
      <c r="ID177" s="40"/>
      <c r="IE177" s="550"/>
      <c r="IF177" s="550"/>
      <c r="IG177" s="553"/>
      <c r="IH177" s="115"/>
      <c r="II177" s="647" t="s">
        <v>4921</v>
      </c>
      <c r="IJ177" s="423" t="s">
        <v>4918</v>
      </c>
      <c r="IK177" s="10">
        <v>0</v>
      </c>
      <c r="IL177" s="749">
        <f t="shared" si="170"/>
        <v>13</v>
      </c>
      <c r="IM177" s="747">
        <f t="shared" si="171"/>
        <v>52</v>
      </c>
      <c r="IN177" s="750" t="str">
        <f t="shared" si="172"/>
        <v>B</v>
      </c>
      <c r="IO177" s="446">
        <v>1</v>
      </c>
      <c r="IP177" s="902">
        <v>2</v>
      </c>
      <c r="IQ177" s="903">
        <v>0</v>
      </c>
      <c r="IR177" s="993">
        <v>0</v>
      </c>
      <c r="IT177" s="435"/>
      <c r="IU177" s="435"/>
      <c r="IV177" s="435"/>
    </row>
    <row r="178" spans="1:256">
      <c r="A178" s="21">
        <v>176</v>
      </c>
      <c r="B178" s="9"/>
      <c r="C178" s="431" t="s">
        <v>267</v>
      </c>
      <c r="D178" s="424" t="s">
        <v>407</v>
      </c>
      <c r="E178" s="24" t="s">
        <v>12</v>
      </c>
      <c r="F178" s="76" t="s">
        <v>909</v>
      </c>
      <c r="G178" s="102" t="s">
        <v>621</v>
      </c>
      <c r="H178" s="251" t="s">
        <v>2508</v>
      </c>
      <c r="I178" s="95" t="s">
        <v>2509</v>
      </c>
      <c r="J178" s="370">
        <v>5</v>
      </c>
      <c r="K178" s="359">
        <v>1909</v>
      </c>
      <c r="L178" s="371">
        <v>2</v>
      </c>
      <c r="M178" s="373" t="s">
        <v>2378</v>
      </c>
      <c r="N178" s="369" t="s">
        <v>1822</v>
      </c>
      <c r="O178" s="365" t="s">
        <v>2006</v>
      </c>
      <c r="P178" s="362" t="s">
        <v>3398</v>
      </c>
      <c r="Q178" s="370">
        <v>2</v>
      </c>
      <c r="R178" s="370">
        <v>1976</v>
      </c>
      <c r="S178" s="372" t="s">
        <v>1961</v>
      </c>
      <c r="T178" s="370">
        <v>1</v>
      </c>
      <c r="U178" s="370">
        <v>2</v>
      </c>
      <c r="V178" s="370">
        <v>7</v>
      </c>
      <c r="W178" s="369" t="s">
        <v>3357</v>
      </c>
      <c r="X178" s="170">
        <v>1</v>
      </c>
      <c r="Y178" s="369">
        <v>1</v>
      </c>
      <c r="Z178" s="273" t="s">
        <v>2004</v>
      </c>
      <c r="AA178" s="169"/>
      <c r="AB178" s="177"/>
      <c r="AC178" s="171"/>
      <c r="AD178" s="366" t="s">
        <v>3358</v>
      </c>
      <c r="AE178" s="355">
        <v>2003</v>
      </c>
      <c r="AF178" s="355">
        <v>1</v>
      </c>
      <c r="AG178" s="550" t="s">
        <v>5171</v>
      </c>
      <c r="AH178" s="355" t="s">
        <v>323</v>
      </c>
      <c r="AI178" s="550">
        <v>0</v>
      </c>
      <c r="AJ178" s="550">
        <v>0</v>
      </c>
      <c r="AK178" s="590">
        <v>12000</v>
      </c>
      <c r="AL178" s="387">
        <v>9</v>
      </c>
      <c r="AM178" s="361" t="s">
        <v>3359</v>
      </c>
      <c r="AN178" s="384" t="s">
        <v>145</v>
      </c>
      <c r="AO178" s="170">
        <v>1</v>
      </c>
      <c r="AP178" s="369">
        <v>0</v>
      </c>
      <c r="AQ178" s="365" t="s">
        <v>4996</v>
      </c>
      <c r="AR178" s="378" t="s">
        <v>4934</v>
      </c>
      <c r="AS178" s="55">
        <v>2</v>
      </c>
      <c r="AT178" s="370">
        <v>3</v>
      </c>
      <c r="AU178" s="371">
        <v>2005</v>
      </c>
      <c r="AV178" s="370">
        <v>5</v>
      </c>
      <c r="AW178" s="589">
        <v>5200</v>
      </c>
      <c r="AX178" s="687">
        <v>0</v>
      </c>
      <c r="AY178" s="174" t="s">
        <v>4419</v>
      </c>
      <c r="AZ178" s="55">
        <v>2002</v>
      </c>
      <c r="BA178" s="55">
        <v>1</v>
      </c>
      <c r="BB178" s="55">
        <v>1</v>
      </c>
      <c r="BC178" s="174" t="s">
        <v>4420</v>
      </c>
      <c r="BD178" s="55">
        <v>2012</v>
      </c>
      <c r="BE178" s="55">
        <v>0</v>
      </c>
      <c r="BF178" s="367" t="s">
        <v>145</v>
      </c>
      <c r="BG178" s="367">
        <v>0</v>
      </c>
      <c r="BH178" s="56" t="s">
        <v>145</v>
      </c>
      <c r="BI178" s="367">
        <v>3</v>
      </c>
      <c r="BJ178" s="367">
        <v>1</v>
      </c>
      <c r="BK178" s="888">
        <v>67959.358999999997</v>
      </c>
      <c r="BL178" s="925">
        <f t="shared" si="159"/>
        <v>50.713500696791449</v>
      </c>
      <c r="BM178" s="888">
        <v>33494.788999999997</v>
      </c>
      <c r="BN178" s="920">
        <v>34464.57</v>
      </c>
      <c r="BO178" s="888">
        <v>3798.9960000000001</v>
      </c>
      <c r="BP178" s="1158">
        <f t="shared" si="135"/>
        <v>48.643641635842734</v>
      </c>
      <c r="BQ178" s="917">
        <v>1951.0260000000001</v>
      </c>
      <c r="BR178" s="920">
        <v>1847.97</v>
      </c>
      <c r="BS178" s="888">
        <v>4035.9789999999998</v>
      </c>
      <c r="BT178" s="1158">
        <f t="shared" si="136"/>
        <v>48.67651689961717</v>
      </c>
      <c r="BU178" s="917">
        <v>2071.4050000000002</v>
      </c>
      <c r="BV178" s="920">
        <v>1964.5740000000001</v>
      </c>
      <c r="BW178" s="888">
        <v>4201.152</v>
      </c>
      <c r="BX178" s="1158">
        <f t="shared" si="137"/>
        <v>49.00632017122922</v>
      </c>
      <c r="BY178" s="917">
        <v>2142.3220000000001</v>
      </c>
      <c r="BZ178" s="920">
        <v>2058.83</v>
      </c>
      <c r="CA178" s="888">
        <f t="shared" si="138"/>
        <v>55923.231999999996</v>
      </c>
      <c r="CB178" s="1158">
        <f t="shared" si="139"/>
        <v>51.12936963299974</v>
      </c>
      <c r="CC178" s="917">
        <f t="shared" si="140"/>
        <v>27330.035999999996</v>
      </c>
      <c r="CD178" s="920">
        <f t="shared" si="141"/>
        <v>28593.195999999996</v>
      </c>
      <c r="CE178" s="914">
        <v>2015</v>
      </c>
      <c r="CF178" s="910" t="s">
        <v>5630</v>
      </c>
      <c r="CG178" s="930">
        <v>99.4</v>
      </c>
      <c r="CH178" s="495">
        <v>99.8</v>
      </c>
      <c r="CI178" s="497">
        <v>99.1</v>
      </c>
      <c r="CJ178" s="904">
        <v>99</v>
      </c>
      <c r="CK178" s="904">
        <v>99.7</v>
      </c>
      <c r="CL178" s="904">
        <v>2012</v>
      </c>
      <c r="CM178" s="905" t="s">
        <v>5573</v>
      </c>
      <c r="CN178" s="1044">
        <v>43024</v>
      </c>
      <c r="CO178" s="1045">
        <f t="shared" si="160"/>
        <v>63.308425260456033</v>
      </c>
      <c r="CP178" s="1040">
        <f t="shared" si="157"/>
        <v>21205.023460212447</v>
      </c>
      <c r="CQ178" s="1041">
        <f t="shared" si="158"/>
        <v>21818.976539787553</v>
      </c>
      <c r="CR178" s="1046">
        <v>2014</v>
      </c>
      <c r="CS178" s="1047" t="s">
        <v>6049</v>
      </c>
      <c r="CT178" s="1068">
        <f t="shared" si="161"/>
        <v>7</v>
      </c>
      <c r="CU178" s="1071">
        <v>18</v>
      </c>
      <c r="CV178" s="1068" t="s">
        <v>6067</v>
      </c>
      <c r="CW178" s="1113">
        <v>43024</v>
      </c>
      <c r="CX178" s="1113">
        <v>51152.703999999998</v>
      </c>
      <c r="CY178" s="1113">
        <v>67497.150999999998</v>
      </c>
      <c r="CZ178" s="494">
        <v>1</v>
      </c>
      <c r="DA178" s="1104">
        <v>4</v>
      </c>
      <c r="DB178" s="1050" t="s">
        <v>647</v>
      </c>
      <c r="DC178" s="1146" t="s">
        <v>322</v>
      </c>
      <c r="DD178" s="978">
        <f t="shared" si="148"/>
        <v>12971.448761999995</v>
      </c>
      <c r="DE178" s="979">
        <f t="shared" si="162"/>
        <v>19.087067554595379</v>
      </c>
      <c r="DF178" s="979">
        <f t="shared" si="149"/>
        <v>52.631451979461218</v>
      </c>
      <c r="DG178" s="980">
        <f t="shared" si="150"/>
        <v>6137.3420457875491</v>
      </c>
      <c r="DH178" s="980">
        <f t="shared" si="151"/>
        <v>6827.0618262124435</v>
      </c>
      <c r="DI178" s="979">
        <f t="shared" si="163"/>
        <v>18.323274243607116</v>
      </c>
      <c r="DJ178" s="981">
        <f t="shared" si="164"/>
        <v>19.808927911221417</v>
      </c>
      <c r="DK178" s="984">
        <f t="shared" si="165"/>
        <v>12899.231999999996</v>
      </c>
      <c r="DL178" s="979">
        <f t="shared" si="152"/>
        <v>52.516455710017816</v>
      </c>
      <c r="DM178" s="980">
        <f t="shared" si="166"/>
        <v>6125.012539787549</v>
      </c>
      <c r="DN178" s="985">
        <f t="shared" si="167"/>
        <v>6774.2194602124437</v>
      </c>
      <c r="DO178" s="984">
        <f t="shared" si="168"/>
        <v>49.422785999999128</v>
      </c>
      <c r="DP178" s="979">
        <f t="shared" si="153"/>
        <v>73.267087776072898</v>
      </c>
      <c r="DQ178" s="980">
        <f t="shared" si="142"/>
        <v>8.427454000000008</v>
      </c>
      <c r="DR178" s="985">
        <f t="shared" si="143"/>
        <v>36.210636000000029</v>
      </c>
      <c r="DS178" s="984">
        <f t="shared" si="169"/>
        <v>22.793975999999599</v>
      </c>
      <c r="DT178" s="339">
        <f t="shared" si="154"/>
        <v>72.965462453765454</v>
      </c>
      <c r="DU178" s="980">
        <f t="shared" si="144"/>
        <v>3.9020520000000034</v>
      </c>
      <c r="DV178" s="985">
        <f t="shared" si="145"/>
        <v>16.631730000000015</v>
      </c>
      <c r="DW178" s="979">
        <f t="shared" si="146"/>
        <v>0.20000000000000018</v>
      </c>
      <c r="DX178" s="981">
        <f t="shared" si="147"/>
        <v>0.9000000000000008</v>
      </c>
      <c r="DY178" s="414">
        <v>0.38</v>
      </c>
      <c r="DZ178" s="111">
        <v>2010</v>
      </c>
      <c r="EA178" s="118">
        <v>264</v>
      </c>
      <c r="EB178" s="123">
        <v>13.2</v>
      </c>
      <c r="EC178" s="113">
        <v>2011</v>
      </c>
      <c r="ED178" s="20">
        <v>9176.4492599999994</v>
      </c>
      <c r="EE178" s="414">
        <v>13.2</v>
      </c>
      <c r="EF178" s="111">
        <v>2011</v>
      </c>
      <c r="EG178" s="380">
        <v>96.430908203125</v>
      </c>
      <c r="EH178" s="24" t="s">
        <v>365</v>
      </c>
      <c r="EI178" s="287">
        <v>0</v>
      </c>
      <c r="EJ178" s="40" t="s">
        <v>145</v>
      </c>
      <c r="EK178" s="35" t="s">
        <v>145</v>
      </c>
      <c r="EL178" s="95" t="s">
        <v>145</v>
      </c>
      <c r="EM178" s="95" t="s">
        <v>145</v>
      </c>
      <c r="EN178" s="35" t="s">
        <v>145</v>
      </c>
      <c r="EO178" s="95" t="s">
        <v>145</v>
      </c>
      <c r="EP178" s="205" t="s">
        <v>145</v>
      </c>
      <c r="EQ178" s="207" t="s">
        <v>145</v>
      </c>
      <c r="ER178" s="517" t="s">
        <v>145</v>
      </c>
      <c r="ES178" s="183"/>
      <c r="ET178" s="183"/>
      <c r="EU178" s="82"/>
      <c r="EV178" s="82"/>
      <c r="EW178" s="82"/>
      <c r="EX178" s="90"/>
      <c r="EY178" s="159"/>
      <c r="EZ178" s="156"/>
      <c r="FA178" s="323"/>
      <c r="FB178" s="323"/>
      <c r="FC178" s="323"/>
      <c r="FD178" s="160"/>
      <c r="FE178" s="156"/>
      <c r="FF178" s="156"/>
      <c r="FG178" s="156"/>
      <c r="FH178" s="157"/>
      <c r="FI178" s="242"/>
      <c r="FJ178" s="373"/>
      <c r="FK178" s="179"/>
      <c r="FL178" s="179"/>
      <c r="FM178" s="179"/>
      <c r="FN178" s="369"/>
      <c r="FO178" s="164"/>
      <c r="FP178" s="254">
        <v>1</v>
      </c>
      <c r="FQ178" s="82" t="s">
        <v>1612</v>
      </c>
      <c r="FR178" s="257"/>
      <c r="FS178" s="82"/>
      <c r="FT178" s="259"/>
      <c r="FU178" s="82"/>
      <c r="FV178" s="259"/>
      <c r="FW178" s="82"/>
      <c r="FX178" s="259"/>
      <c r="FY178" s="82"/>
      <c r="FZ178" s="259"/>
      <c r="GA178" s="82"/>
      <c r="GB178" s="261">
        <v>1</v>
      </c>
      <c r="GC178" s="90" t="s">
        <v>1900</v>
      </c>
      <c r="GD178" s="76">
        <v>1</v>
      </c>
      <c r="GE178" s="445" t="s">
        <v>3431</v>
      </c>
      <c r="GF178" s="447" t="s">
        <v>590</v>
      </c>
      <c r="GG178" s="448">
        <v>4</v>
      </c>
      <c r="GH178" s="449">
        <v>4</v>
      </c>
      <c r="GI178" s="447" t="s">
        <v>580</v>
      </c>
      <c r="GJ178" s="449">
        <v>62</v>
      </c>
      <c r="GK178" s="447">
        <v>11</v>
      </c>
      <c r="GL178" s="448">
        <v>21</v>
      </c>
      <c r="GM178" s="449">
        <v>30</v>
      </c>
      <c r="GN178" s="447" t="s">
        <v>580</v>
      </c>
      <c r="GO178" s="449">
        <v>64</v>
      </c>
      <c r="GP178" s="447">
        <v>21</v>
      </c>
      <c r="GQ178" s="448">
        <v>27</v>
      </c>
      <c r="GR178" s="449">
        <v>16</v>
      </c>
      <c r="GS178" s="446">
        <v>9</v>
      </c>
      <c r="GT178" s="461">
        <v>-0.43246659636497498</v>
      </c>
      <c r="GU178" s="462">
        <v>-1.3221422433853149</v>
      </c>
      <c r="GV178" s="462">
        <v>0.21264445781707764</v>
      </c>
      <c r="GW178" s="462">
        <v>0.21308885514736176</v>
      </c>
      <c r="GX178" s="462">
        <v>-0.13342045247554779</v>
      </c>
      <c r="GY178" s="463">
        <v>-0.3302399218082428</v>
      </c>
      <c r="GZ178" s="10">
        <v>102</v>
      </c>
      <c r="HA178" s="536">
        <v>0.46307999999999999</v>
      </c>
      <c r="HB178" s="536">
        <v>0.54901</v>
      </c>
      <c r="HC178" s="525">
        <v>0.44094</v>
      </c>
      <c r="HD178" s="526">
        <v>0.28427999999999998</v>
      </c>
      <c r="HE178" s="527">
        <v>0.66400000000000003</v>
      </c>
      <c r="HF178" s="10">
        <v>81</v>
      </c>
      <c r="HG178" s="532">
        <v>4.76</v>
      </c>
      <c r="HH178" s="545">
        <v>4.88</v>
      </c>
      <c r="HI178" s="546">
        <v>3.12</v>
      </c>
      <c r="HJ178" s="547">
        <v>7.81</v>
      </c>
      <c r="HK178" s="558" t="s">
        <v>4127</v>
      </c>
      <c r="HL178" s="585" t="s">
        <v>4752</v>
      </c>
      <c r="HM178" s="557">
        <v>1997</v>
      </c>
      <c r="HN178" s="810">
        <v>1997</v>
      </c>
      <c r="HO178" s="557" t="s">
        <v>4095</v>
      </c>
      <c r="HP178" s="562" t="s">
        <v>4128</v>
      </c>
      <c r="HQ178" s="639" t="s">
        <v>4753</v>
      </c>
      <c r="HR178" s="563" t="s">
        <v>145</v>
      </c>
      <c r="HS178" s="545">
        <v>63</v>
      </c>
      <c r="HT178" s="557">
        <v>76</v>
      </c>
      <c r="HU178" s="557">
        <v>1997</v>
      </c>
      <c r="HV178" s="583" t="s">
        <v>4250</v>
      </c>
      <c r="HW178" s="557">
        <v>4</v>
      </c>
      <c r="HX178" s="557">
        <v>24</v>
      </c>
      <c r="HY178" s="557">
        <v>14</v>
      </c>
      <c r="HZ178" s="557">
        <v>13</v>
      </c>
      <c r="IA178" s="557">
        <v>14</v>
      </c>
      <c r="IB178" s="557">
        <v>2</v>
      </c>
      <c r="IC178" s="547">
        <v>5</v>
      </c>
      <c r="ID178" s="660"/>
      <c r="IE178" s="550"/>
      <c r="IF178" s="355" t="s">
        <v>5202</v>
      </c>
      <c r="IG178" s="553"/>
      <c r="IH178" s="339"/>
      <c r="II178" s="553" t="s">
        <v>4922</v>
      </c>
      <c r="IJ178" s="424" t="s">
        <v>4926</v>
      </c>
      <c r="IK178" s="24">
        <v>0</v>
      </c>
      <c r="IL178" s="749">
        <f t="shared" si="170"/>
        <v>18</v>
      </c>
      <c r="IM178" s="747">
        <f t="shared" si="171"/>
        <v>72</v>
      </c>
      <c r="IN178" s="750" t="str">
        <f t="shared" si="172"/>
        <v>B</v>
      </c>
      <c r="IO178" s="446"/>
      <c r="IP178" s="902">
        <v>4</v>
      </c>
      <c r="IQ178" s="903">
        <v>0</v>
      </c>
      <c r="IR178" s="993">
        <v>0</v>
      </c>
      <c r="IT178" s="435"/>
      <c r="IU178" s="435"/>
      <c r="IV178" s="435"/>
    </row>
    <row r="179" spans="1:256">
      <c r="A179" s="21">
        <v>177</v>
      </c>
      <c r="B179" s="9"/>
      <c r="C179" s="430" t="s">
        <v>268</v>
      </c>
      <c r="D179" s="424" t="s">
        <v>407</v>
      </c>
      <c r="E179" s="697" t="s">
        <v>20</v>
      </c>
      <c r="F179" s="76" t="s">
        <v>3146</v>
      </c>
      <c r="G179" s="102" t="s">
        <v>1608</v>
      </c>
      <c r="H179" s="251" t="s">
        <v>2512</v>
      </c>
      <c r="I179" s="95" t="s">
        <v>2510</v>
      </c>
      <c r="J179" s="370">
        <v>1</v>
      </c>
      <c r="K179" s="359">
        <v>2004</v>
      </c>
      <c r="L179" s="371">
        <v>2</v>
      </c>
      <c r="M179" s="373" t="s">
        <v>2511</v>
      </c>
      <c r="N179" s="369" t="s">
        <v>1822</v>
      </c>
      <c r="O179" s="365" t="s">
        <v>3360</v>
      </c>
      <c r="P179" s="362" t="s">
        <v>3361</v>
      </c>
      <c r="Q179" s="370">
        <v>2</v>
      </c>
      <c r="R179" s="370">
        <v>2004</v>
      </c>
      <c r="S179" s="372" t="s">
        <v>1961</v>
      </c>
      <c r="T179" s="370">
        <v>2</v>
      </c>
      <c r="U179" s="370">
        <v>2</v>
      </c>
      <c r="V179" s="370">
        <v>0</v>
      </c>
      <c r="W179" s="369" t="s">
        <v>1822</v>
      </c>
      <c r="X179" s="170">
        <v>0</v>
      </c>
      <c r="Y179" s="369">
        <v>0</v>
      </c>
      <c r="Z179" s="271"/>
      <c r="AA179" s="169"/>
      <c r="AB179" s="177"/>
      <c r="AC179" s="171"/>
      <c r="AD179" s="376" t="s">
        <v>145</v>
      </c>
      <c r="AE179" s="355" t="s">
        <v>145</v>
      </c>
      <c r="AF179" s="355">
        <v>0</v>
      </c>
      <c r="AG179" s="550">
        <v>1</v>
      </c>
      <c r="AH179" s="355" t="s">
        <v>145</v>
      </c>
      <c r="AI179" s="550" t="s">
        <v>145</v>
      </c>
      <c r="AJ179" s="550" t="s">
        <v>145</v>
      </c>
      <c r="AK179" s="590" t="s">
        <v>145</v>
      </c>
      <c r="AL179" s="355">
        <v>0</v>
      </c>
      <c r="AM179" s="360" t="s">
        <v>145</v>
      </c>
      <c r="AN179" s="384">
        <v>2</v>
      </c>
      <c r="AO179" s="170">
        <v>0</v>
      </c>
      <c r="AP179" s="369">
        <v>0</v>
      </c>
      <c r="AQ179" s="365" t="s">
        <v>5373</v>
      </c>
      <c r="AR179" s="362" t="s">
        <v>5334</v>
      </c>
      <c r="AS179" s="55">
        <v>1</v>
      </c>
      <c r="AT179" s="370">
        <v>2</v>
      </c>
      <c r="AU179" s="371">
        <v>2008</v>
      </c>
      <c r="AV179" s="370">
        <v>5</v>
      </c>
      <c r="AW179" s="589" t="s">
        <v>145</v>
      </c>
      <c r="AX179" s="687">
        <v>0</v>
      </c>
      <c r="AY179" s="174" t="s">
        <v>3954</v>
      </c>
      <c r="AZ179" s="55">
        <v>2012</v>
      </c>
      <c r="BA179" s="55">
        <v>1</v>
      </c>
      <c r="BB179" s="55">
        <v>1</v>
      </c>
      <c r="BC179" s="174" t="s">
        <v>4421</v>
      </c>
      <c r="BD179" s="55">
        <v>2006</v>
      </c>
      <c r="BE179" s="55">
        <v>0</v>
      </c>
      <c r="BF179" s="367" t="s">
        <v>145</v>
      </c>
      <c r="BG179" s="371">
        <v>0</v>
      </c>
      <c r="BH179" s="56" t="s">
        <v>145</v>
      </c>
      <c r="BI179" s="371">
        <v>2</v>
      </c>
      <c r="BJ179" s="371">
        <v>0</v>
      </c>
      <c r="BK179" s="888">
        <v>1184.7650000000001</v>
      </c>
      <c r="BL179" s="925">
        <f t="shared" si="159"/>
        <v>49.224276544293588</v>
      </c>
      <c r="BM179" s="888">
        <v>601.57299999999998</v>
      </c>
      <c r="BN179" s="920">
        <v>583.19200000000001</v>
      </c>
      <c r="BO179" s="888">
        <v>203.732</v>
      </c>
      <c r="BP179" s="1158">
        <f t="shared" si="135"/>
        <v>48.994757819095675</v>
      </c>
      <c r="BQ179" s="917">
        <v>103.914</v>
      </c>
      <c r="BR179" s="920">
        <v>99.817999999999998</v>
      </c>
      <c r="BS179" s="888">
        <v>149.17400000000001</v>
      </c>
      <c r="BT179" s="1158">
        <f t="shared" si="136"/>
        <v>48.783970396986064</v>
      </c>
      <c r="BU179" s="917">
        <v>76.400999999999996</v>
      </c>
      <c r="BV179" s="920">
        <v>72.772999999999996</v>
      </c>
      <c r="BW179" s="888">
        <v>149.565</v>
      </c>
      <c r="BX179" s="1158">
        <f t="shared" si="137"/>
        <v>49.003443318958311</v>
      </c>
      <c r="BY179" s="917">
        <v>76.272999999999996</v>
      </c>
      <c r="BZ179" s="920">
        <v>73.292000000000002</v>
      </c>
      <c r="CA179" s="888">
        <f t="shared" si="138"/>
        <v>682.2940000000001</v>
      </c>
      <c r="CB179" s="1158">
        <f t="shared" si="139"/>
        <v>49.437485893178</v>
      </c>
      <c r="CC179" s="917">
        <f t="shared" si="140"/>
        <v>344.98500000000001</v>
      </c>
      <c r="CD179" s="920">
        <f t="shared" si="141"/>
        <v>337.30899999999997</v>
      </c>
      <c r="CE179" s="914">
        <v>2015</v>
      </c>
      <c r="CF179" s="910" t="s">
        <v>5630</v>
      </c>
      <c r="CG179" s="1026">
        <v>55.2</v>
      </c>
      <c r="CH179" s="495">
        <v>54.8</v>
      </c>
      <c r="CI179" s="497">
        <v>55.5</v>
      </c>
      <c r="CJ179" s="904">
        <v>49.7</v>
      </c>
      <c r="CK179" s="904">
        <v>56.8</v>
      </c>
      <c r="CL179" s="904" t="s">
        <v>5602</v>
      </c>
      <c r="CM179" s="905" t="s">
        <v>5575</v>
      </c>
      <c r="CN179" s="1044">
        <v>627.29499999999996</v>
      </c>
      <c r="CO179" s="1045">
        <f t="shared" si="160"/>
        <v>52.94678691554865</v>
      </c>
      <c r="CP179" s="1040">
        <f t="shared" si="157"/>
        <v>318.51357445147352</v>
      </c>
      <c r="CQ179" s="1041">
        <f t="shared" si="158"/>
        <v>308.78142554852644</v>
      </c>
      <c r="CR179" s="1046">
        <v>2012</v>
      </c>
      <c r="CS179" s="1047" t="s">
        <v>6050</v>
      </c>
      <c r="CT179" s="1068">
        <f t="shared" si="161"/>
        <v>0</v>
      </c>
      <c r="CU179" s="1071">
        <v>17</v>
      </c>
      <c r="CV179" s="1068" t="s">
        <v>6068</v>
      </c>
      <c r="CW179" s="1113">
        <v>627.29499999999996</v>
      </c>
      <c r="CX179" s="1113">
        <v>601.32299999999998</v>
      </c>
      <c r="CY179" s="1113">
        <v>1201.2550000000001</v>
      </c>
      <c r="CZ179" s="494">
        <v>1</v>
      </c>
      <c r="DA179" s="1104">
        <v>6</v>
      </c>
      <c r="DB179" s="1050" t="s">
        <v>647</v>
      </c>
      <c r="DC179" s="1146" t="s">
        <v>322</v>
      </c>
      <c r="DD179" s="978">
        <f t="shared" si="148"/>
        <v>280.10600800000009</v>
      </c>
      <c r="DE179" s="979">
        <f t="shared" si="162"/>
        <v>23.642326368520344</v>
      </c>
      <c r="DF179" s="979">
        <f t="shared" si="149"/>
        <v>49.247608231049959</v>
      </c>
      <c r="DG179" s="980">
        <f t="shared" si="150"/>
        <v>142.4492015485265</v>
      </c>
      <c r="DH179" s="980">
        <f t="shared" si="151"/>
        <v>137.9455094514735</v>
      </c>
      <c r="DI179" s="979">
        <f t="shared" si="163"/>
        <v>23.679453956298989</v>
      </c>
      <c r="DJ179" s="981">
        <f t="shared" si="164"/>
        <v>23.653532533277804</v>
      </c>
      <c r="DK179" s="984">
        <f t="shared" si="165"/>
        <v>54.999000000000137</v>
      </c>
      <c r="DL179" s="979">
        <f t="shared" si="152"/>
        <v>51.869260261956498</v>
      </c>
      <c r="DM179" s="980">
        <f t="shared" si="166"/>
        <v>26.471425548526497</v>
      </c>
      <c r="DN179" s="985">
        <f t="shared" si="167"/>
        <v>28.527574451473527</v>
      </c>
      <c r="DO179" s="984">
        <f t="shared" si="168"/>
        <v>133.83507199999997</v>
      </c>
      <c r="DP179" s="979">
        <f t="shared" si="153"/>
        <v>48.566436307517364</v>
      </c>
      <c r="DQ179" s="980">
        <f t="shared" si="142"/>
        <v>69.008648000000008</v>
      </c>
      <c r="DR179" s="985">
        <f t="shared" si="143"/>
        <v>64.998924999999986</v>
      </c>
      <c r="DS179" s="984">
        <f t="shared" si="169"/>
        <v>91.271935999999997</v>
      </c>
      <c r="DT179" s="339">
        <f t="shared" si="154"/>
        <v>48.666667922985653</v>
      </c>
      <c r="DU179" s="980">
        <f t="shared" si="144"/>
        <v>46.969128000000005</v>
      </c>
      <c r="DV179" s="985">
        <f t="shared" si="145"/>
        <v>44.419009999999993</v>
      </c>
      <c r="DW179" s="979">
        <f t="shared" si="146"/>
        <v>45.2</v>
      </c>
      <c r="DX179" s="981">
        <f t="shared" si="147"/>
        <v>44.499999999999993</v>
      </c>
      <c r="DY179" s="414">
        <v>37.4</v>
      </c>
      <c r="DZ179" s="111">
        <v>2011</v>
      </c>
      <c r="EA179" s="368" t="e">
        <f>#REF!*DY179/100</f>
        <v>#REF!</v>
      </c>
      <c r="EB179" s="123">
        <v>49.9</v>
      </c>
      <c r="EC179" s="113">
        <v>2007</v>
      </c>
      <c r="ED179" s="20">
        <v>586.76412000000005</v>
      </c>
      <c r="EE179" s="414">
        <v>41</v>
      </c>
      <c r="EF179" s="111">
        <v>2009</v>
      </c>
      <c r="EG179" s="380">
        <v>58.308982849121101</v>
      </c>
      <c r="EH179" s="24" t="s">
        <v>363</v>
      </c>
      <c r="EI179" s="287">
        <v>1</v>
      </c>
      <c r="EJ179" s="40" t="s">
        <v>145</v>
      </c>
      <c r="EK179" s="35" t="s">
        <v>145</v>
      </c>
      <c r="EL179" s="95" t="s">
        <v>145</v>
      </c>
      <c r="EM179" s="95" t="s">
        <v>145</v>
      </c>
      <c r="EN179" s="35" t="s">
        <v>145</v>
      </c>
      <c r="EO179" s="95" t="s">
        <v>145</v>
      </c>
      <c r="EP179" s="205" t="s">
        <v>145</v>
      </c>
      <c r="EQ179" s="207" t="s">
        <v>145</v>
      </c>
      <c r="ER179" s="517">
        <v>1</v>
      </c>
      <c r="ES179" s="183" t="s">
        <v>145</v>
      </c>
      <c r="ET179" s="183" t="s">
        <v>145</v>
      </c>
      <c r="EU179" s="82" t="s">
        <v>3853</v>
      </c>
      <c r="EV179" s="82" t="s">
        <v>145</v>
      </c>
      <c r="EW179" s="82" t="s">
        <v>3853</v>
      </c>
      <c r="EX179" s="360" t="s">
        <v>145</v>
      </c>
      <c r="EY179" s="159"/>
      <c r="EZ179" s="156"/>
      <c r="FA179" s="323"/>
      <c r="FB179" s="323"/>
      <c r="FC179" s="323"/>
      <c r="FD179" s="160"/>
      <c r="FE179" s="156"/>
      <c r="FF179" s="156"/>
      <c r="FG179" s="156"/>
      <c r="FH179" s="157"/>
      <c r="FI179" s="242"/>
      <c r="FJ179" s="373"/>
      <c r="FK179" s="179"/>
      <c r="FL179" s="179"/>
      <c r="FM179" s="179"/>
      <c r="FN179" s="369"/>
      <c r="FO179" s="164"/>
      <c r="FP179" s="255"/>
      <c r="FQ179" s="183"/>
      <c r="FR179" s="257"/>
      <c r="FS179" s="82"/>
      <c r="FT179" s="259"/>
      <c r="FU179" s="82"/>
      <c r="FV179" s="259"/>
      <c r="FW179" s="82"/>
      <c r="FX179" s="259"/>
      <c r="FY179" s="82"/>
      <c r="FZ179" s="259"/>
      <c r="GA179" s="82"/>
      <c r="GB179" s="261"/>
      <c r="GC179" s="90"/>
      <c r="GD179" s="76">
        <v>1</v>
      </c>
      <c r="GE179" s="445" t="s">
        <v>3424</v>
      </c>
      <c r="GF179" s="447" t="s">
        <v>590</v>
      </c>
      <c r="GG179" s="448">
        <v>3</v>
      </c>
      <c r="GH179" s="449">
        <v>4</v>
      </c>
      <c r="GI179" s="447" t="s">
        <v>145</v>
      </c>
      <c r="GJ179" s="449" t="s">
        <v>145</v>
      </c>
      <c r="GK179" s="447" t="s">
        <v>145</v>
      </c>
      <c r="GL179" s="448" t="s">
        <v>145</v>
      </c>
      <c r="GM179" s="449" t="s">
        <v>145</v>
      </c>
      <c r="GN179" s="447" t="s">
        <v>590</v>
      </c>
      <c r="GO179" s="449">
        <v>35</v>
      </c>
      <c r="GP179" s="447">
        <v>11</v>
      </c>
      <c r="GQ179" s="448">
        <v>11</v>
      </c>
      <c r="GR179" s="449">
        <v>13</v>
      </c>
      <c r="GS179" s="446">
        <v>7</v>
      </c>
      <c r="GT179" s="461">
        <v>4.9974925816059113E-2</v>
      </c>
      <c r="GU179" s="462">
        <v>-0.38774457573890686</v>
      </c>
      <c r="GV179" s="462">
        <v>-1.2586737871170044</v>
      </c>
      <c r="GW179" s="462">
        <v>-0.99292081594467163</v>
      </c>
      <c r="GX179" s="462">
        <v>-1.268952488899231</v>
      </c>
      <c r="GY179" s="463">
        <v>-0.84354525804519653</v>
      </c>
      <c r="GZ179" s="10">
        <v>161</v>
      </c>
      <c r="HA179" s="536">
        <v>0.25275999999999998</v>
      </c>
      <c r="HB179" s="536">
        <v>0.29410999999999998</v>
      </c>
      <c r="HC179" s="525">
        <v>0.20472000000000001</v>
      </c>
      <c r="HD179" s="526">
        <v>7.0419999999999996E-2</v>
      </c>
      <c r="HE179" s="527">
        <v>0.48309999999999997</v>
      </c>
      <c r="HF179" s="10" t="s">
        <v>145</v>
      </c>
      <c r="HG179" s="532" t="s">
        <v>145</v>
      </c>
      <c r="HH179" s="524" t="s">
        <v>145</v>
      </c>
      <c r="HI179" s="525" t="s">
        <v>145</v>
      </c>
      <c r="HJ179" s="527" t="s">
        <v>145</v>
      </c>
      <c r="HK179" s="558" t="s">
        <v>4013</v>
      </c>
      <c r="HL179" s="585" t="s">
        <v>4754</v>
      </c>
      <c r="HM179" s="557">
        <v>2011</v>
      </c>
      <c r="HN179" s="557">
        <v>2011</v>
      </c>
      <c r="HO179" s="526" t="s">
        <v>3985</v>
      </c>
      <c r="HP179" s="564" t="s">
        <v>145</v>
      </c>
      <c r="HQ179" s="564" t="s">
        <v>145</v>
      </c>
      <c r="HR179" s="565" t="s">
        <v>145</v>
      </c>
      <c r="HS179" s="524" t="s">
        <v>145</v>
      </c>
      <c r="HT179" s="526" t="s">
        <v>145</v>
      </c>
      <c r="HU179" s="526" t="s">
        <v>145</v>
      </c>
      <c r="HV179" s="582" t="s">
        <v>145</v>
      </c>
      <c r="HW179" s="526" t="s">
        <v>145</v>
      </c>
      <c r="HX179" s="526" t="s">
        <v>145</v>
      </c>
      <c r="HY179" s="526" t="s">
        <v>145</v>
      </c>
      <c r="HZ179" s="526" t="s">
        <v>145</v>
      </c>
      <c r="IA179" s="526" t="s">
        <v>145</v>
      </c>
      <c r="IB179" s="526" t="s">
        <v>145</v>
      </c>
      <c r="IC179" s="527" t="s">
        <v>145</v>
      </c>
      <c r="ID179" s="660"/>
      <c r="IE179" s="550"/>
      <c r="IF179" s="550"/>
      <c r="IG179" s="553">
        <v>1</v>
      </c>
      <c r="IH179" s="339"/>
      <c r="II179" s="553" t="s">
        <v>4923</v>
      </c>
      <c r="IJ179" s="424"/>
      <c r="IK179" s="24">
        <v>0</v>
      </c>
      <c r="IL179" s="749">
        <f t="shared" si="170"/>
        <v>12</v>
      </c>
      <c r="IM179" s="747">
        <f t="shared" si="171"/>
        <v>48</v>
      </c>
      <c r="IN179" s="750" t="str">
        <f t="shared" si="172"/>
        <v>C</v>
      </c>
      <c r="IO179" s="446"/>
      <c r="IP179" s="902">
        <v>6</v>
      </c>
      <c r="IQ179" s="903">
        <v>0</v>
      </c>
      <c r="IR179" s="993">
        <v>0</v>
      </c>
      <c r="IT179" s="435"/>
      <c r="IU179" s="435"/>
      <c r="IV179" s="435"/>
    </row>
    <row r="180" spans="1:256">
      <c r="A180" s="21">
        <v>178</v>
      </c>
      <c r="B180" s="9"/>
      <c r="C180" s="430" t="s">
        <v>269</v>
      </c>
      <c r="D180" s="423" t="s">
        <v>406</v>
      </c>
      <c r="E180" s="24" t="s">
        <v>9</v>
      </c>
      <c r="F180" s="76" t="s">
        <v>910</v>
      </c>
      <c r="G180" s="102" t="s">
        <v>620</v>
      </c>
      <c r="H180" s="251" t="s">
        <v>2513</v>
      </c>
      <c r="I180" s="95" t="s">
        <v>2128</v>
      </c>
      <c r="J180" s="370">
        <v>3</v>
      </c>
      <c r="K180" s="359">
        <v>1923</v>
      </c>
      <c r="L180" s="371">
        <v>2</v>
      </c>
      <c r="M180" s="373" t="s">
        <v>2129</v>
      </c>
      <c r="N180" s="369" t="s">
        <v>1822</v>
      </c>
      <c r="O180" s="365" t="s">
        <v>3362</v>
      </c>
      <c r="P180" s="362" t="s">
        <v>3363</v>
      </c>
      <c r="Q180" s="370">
        <v>2</v>
      </c>
      <c r="R180" s="370">
        <v>2006</v>
      </c>
      <c r="S180" s="372" t="s">
        <v>1961</v>
      </c>
      <c r="T180" s="370">
        <v>1</v>
      </c>
      <c r="U180" s="370">
        <v>1</v>
      </c>
      <c r="V180" s="370" t="s">
        <v>145</v>
      </c>
      <c r="W180" s="369" t="s">
        <v>1822</v>
      </c>
      <c r="X180" s="170">
        <v>0</v>
      </c>
      <c r="Y180" s="369">
        <v>0</v>
      </c>
      <c r="Z180" s="271"/>
      <c r="AA180" s="169"/>
      <c r="AB180" s="177"/>
      <c r="AC180" s="171"/>
      <c r="AD180" s="376" t="s">
        <v>145</v>
      </c>
      <c r="AE180" s="355" t="s">
        <v>145</v>
      </c>
      <c r="AF180" s="355">
        <v>0</v>
      </c>
      <c r="AG180" s="550">
        <v>1</v>
      </c>
      <c r="AH180" s="355" t="s">
        <v>145</v>
      </c>
      <c r="AI180" s="550" t="s">
        <v>145</v>
      </c>
      <c r="AJ180" s="550" t="s">
        <v>145</v>
      </c>
      <c r="AK180" s="590" t="s">
        <v>145</v>
      </c>
      <c r="AL180" s="355">
        <v>0</v>
      </c>
      <c r="AM180" s="361" t="s">
        <v>145</v>
      </c>
      <c r="AN180" s="384" t="s">
        <v>145</v>
      </c>
      <c r="AO180" s="170">
        <v>0</v>
      </c>
      <c r="AP180" s="369">
        <v>0</v>
      </c>
      <c r="AQ180" s="365" t="s">
        <v>4997</v>
      </c>
      <c r="AR180" s="378" t="s">
        <v>4934</v>
      </c>
      <c r="AS180" s="55">
        <v>2</v>
      </c>
      <c r="AT180" s="370">
        <v>3</v>
      </c>
      <c r="AU180" s="371">
        <v>2009</v>
      </c>
      <c r="AV180" s="370">
        <v>5</v>
      </c>
      <c r="AW180" s="589">
        <v>50</v>
      </c>
      <c r="AX180" s="687">
        <v>0</v>
      </c>
      <c r="AY180" s="174" t="s">
        <v>3955</v>
      </c>
      <c r="AZ180" s="55">
        <v>2012</v>
      </c>
      <c r="BA180" s="55">
        <v>1</v>
      </c>
      <c r="BB180" s="55">
        <v>1</v>
      </c>
      <c r="BC180" s="174" t="s">
        <v>4422</v>
      </c>
      <c r="BD180" s="55">
        <v>2011</v>
      </c>
      <c r="BE180" s="55">
        <v>0</v>
      </c>
      <c r="BF180" s="367" t="s">
        <v>145</v>
      </c>
      <c r="BG180" s="371">
        <v>0</v>
      </c>
      <c r="BH180" s="56" t="s">
        <v>145</v>
      </c>
      <c r="BI180" s="371">
        <v>0</v>
      </c>
      <c r="BJ180" s="371">
        <v>0</v>
      </c>
      <c r="BK180" s="888">
        <v>7304.5780000000004</v>
      </c>
      <c r="BL180" s="925">
        <f t="shared" si="159"/>
        <v>50.591327794706274</v>
      </c>
      <c r="BM180" s="888">
        <v>3609.0949999999998</v>
      </c>
      <c r="BN180" s="920">
        <v>3695.4830000000002</v>
      </c>
      <c r="BO180" s="888">
        <v>1160.0239999999999</v>
      </c>
      <c r="BP180" s="1158">
        <f t="shared" si="135"/>
        <v>49.823365723467795</v>
      </c>
      <c r="BQ180" s="917">
        <v>582.06100000000004</v>
      </c>
      <c r="BR180" s="920">
        <v>577.96299999999997</v>
      </c>
      <c r="BS180" s="888">
        <v>1032.923</v>
      </c>
      <c r="BT180" s="1158">
        <f t="shared" si="136"/>
        <v>49.895878008331692</v>
      </c>
      <c r="BU180" s="917">
        <v>517.53700000000003</v>
      </c>
      <c r="BV180" s="920">
        <v>515.38599999999997</v>
      </c>
      <c r="BW180" s="888">
        <v>892.44299999999998</v>
      </c>
      <c r="BX180" s="1158">
        <f t="shared" si="137"/>
        <v>49.837020403543981</v>
      </c>
      <c r="BY180" s="917">
        <v>447.67599999999999</v>
      </c>
      <c r="BZ180" s="920">
        <v>444.767</v>
      </c>
      <c r="CA180" s="888">
        <f t="shared" si="138"/>
        <v>4219.1880000000001</v>
      </c>
      <c r="CB180" s="1158">
        <f t="shared" si="139"/>
        <v>51.13227948126513</v>
      </c>
      <c r="CC180" s="917">
        <f t="shared" si="140"/>
        <v>2061.8209999999995</v>
      </c>
      <c r="CD180" s="920">
        <f t="shared" si="141"/>
        <v>2157.3670000000006</v>
      </c>
      <c r="CE180" s="914">
        <v>2015</v>
      </c>
      <c r="CF180" s="910" t="s">
        <v>5630</v>
      </c>
      <c r="CG180" s="930">
        <v>77.900000000000006</v>
      </c>
      <c r="CH180" s="495">
        <v>77.7</v>
      </c>
      <c r="CI180" s="497">
        <v>78.2</v>
      </c>
      <c r="CJ180" s="904">
        <v>93.3</v>
      </c>
      <c r="CK180" s="904">
        <v>70.599999999999994</v>
      </c>
      <c r="CL180" s="904">
        <v>2010</v>
      </c>
      <c r="CM180" s="905" t="s">
        <v>5573</v>
      </c>
      <c r="CN180" s="1044">
        <v>3509.2579999999998</v>
      </c>
      <c r="CO180" s="1045">
        <f t="shared" si="160"/>
        <v>48.041899203485812</v>
      </c>
      <c r="CP180" s="1040">
        <f t="shared" si="157"/>
        <v>1733.8777820580463</v>
      </c>
      <c r="CQ180" s="1041">
        <f t="shared" si="158"/>
        <v>1775.3802179419536</v>
      </c>
      <c r="CR180" s="1046">
        <v>2015</v>
      </c>
      <c r="CS180" s="1047" t="s">
        <v>6051</v>
      </c>
      <c r="CT180" s="1068" t="str">
        <f t="shared" si="161"/>
        <v>-</v>
      </c>
      <c r="CU180" s="1071">
        <v>18</v>
      </c>
      <c r="CV180" s="1068" t="s">
        <v>6069</v>
      </c>
      <c r="CW180" s="1113">
        <v>3509.2579999999998</v>
      </c>
      <c r="CX180" s="1113">
        <v>4019.183</v>
      </c>
      <c r="CY180" s="1113">
        <v>7552.3180000000002</v>
      </c>
      <c r="CZ180" s="494">
        <v>1</v>
      </c>
      <c r="DA180" s="1104">
        <v>4</v>
      </c>
      <c r="DB180" s="1050" t="s">
        <v>647</v>
      </c>
      <c r="DC180" s="1143" t="s">
        <v>320</v>
      </c>
      <c r="DD180" s="978">
        <f t="shared" si="148"/>
        <v>1391.8011900000001</v>
      </c>
      <c r="DE180" s="979">
        <f t="shared" si="162"/>
        <v>19.053820631390341</v>
      </c>
      <c r="DF180" s="979">
        <f t="shared" si="149"/>
        <v>51.537250809366455</v>
      </c>
      <c r="DG180" s="980">
        <f t="shared" si="150"/>
        <v>672.98531994195309</v>
      </c>
      <c r="DH180" s="980">
        <f t="shared" si="151"/>
        <v>717.29607005804701</v>
      </c>
      <c r="DI180" s="979">
        <f t="shared" si="163"/>
        <v>18.646927275174335</v>
      </c>
      <c r="DJ180" s="981">
        <f t="shared" si="164"/>
        <v>19.410076302828262</v>
      </c>
      <c r="DK180" s="984">
        <f t="shared" si="165"/>
        <v>709.93000000000029</v>
      </c>
      <c r="DL180" s="979">
        <f t="shared" si="152"/>
        <v>53.80626006198456</v>
      </c>
      <c r="DM180" s="980">
        <f t="shared" si="166"/>
        <v>327.94321794195321</v>
      </c>
      <c r="DN180" s="985">
        <f t="shared" si="167"/>
        <v>381.98678205804708</v>
      </c>
      <c r="DO180" s="984">
        <f t="shared" si="168"/>
        <v>425.50588599999992</v>
      </c>
      <c r="DP180" s="979">
        <f t="shared" si="153"/>
        <v>49.191647139753073</v>
      </c>
      <c r="DQ180" s="980">
        <f t="shared" si="142"/>
        <v>215.24249899999998</v>
      </c>
      <c r="DR180" s="985">
        <f t="shared" si="143"/>
        <v>209.31335399999995</v>
      </c>
      <c r="DS180" s="984">
        <f t="shared" si="169"/>
        <v>256.36530399999992</v>
      </c>
      <c r="DT180" s="339">
        <f t="shared" si="154"/>
        <v>49.147030442153756</v>
      </c>
      <c r="DU180" s="980">
        <f t="shared" si="144"/>
        <v>129.79960299999999</v>
      </c>
      <c r="DV180" s="985">
        <f t="shared" si="145"/>
        <v>125.99593399999998</v>
      </c>
      <c r="DW180" s="979">
        <f t="shared" si="146"/>
        <v>22.299999999999997</v>
      </c>
      <c r="DX180" s="981">
        <f t="shared" si="147"/>
        <v>21.799999999999997</v>
      </c>
      <c r="DY180" s="414">
        <v>28.22</v>
      </c>
      <c r="DZ180" s="111">
        <v>2011</v>
      </c>
      <c r="EA180" s="118">
        <v>1735.6572659999999</v>
      </c>
      <c r="EB180" s="123">
        <v>58.7</v>
      </c>
      <c r="EC180" s="113">
        <v>2011</v>
      </c>
      <c r="ED180" s="20">
        <v>3612.8752310000004</v>
      </c>
      <c r="EE180" s="414">
        <v>32</v>
      </c>
      <c r="EF180" s="111">
        <v>1989</v>
      </c>
      <c r="EG180" s="380">
        <v>60.409946441650398</v>
      </c>
      <c r="EH180" s="24" t="s">
        <v>372</v>
      </c>
      <c r="EI180" s="287">
        <v>1</v>
      </c>
      <c r="EJ180" s="40">
        <v>3</v>
      </c>
      <c r="EK180" s="35" t="s">
        <v>145</v>
      </c>
      <c r="EL180" s="95" t="s">
        <v>145</v>
      </c>
      <c r="EM180" s="95" t="s">
        <v>145</v>
      </c>
      <c r="EN180" s="35" t="s">
        <v>145</v>
      </c>
      <c r="EO180" s="95" t="s">
        <v>1646</v>
      </c>
      <c r="EP180" s="205">
        <v>0.78</v>
      </c>
      <c r="EQ180" s="207" t="s">
        <v>145</v>
      </c>
      <c r="ER180" s="517" t="s">
        <v>145</v>
      </c>
      <c r="ES180" s="183"/>
      <c r="ET180" s="183"/>
      <c r="EU180" s="82"/>
      <c r="EV180" s="82"/>
      <c r="EW180" s="82"/>
      <c r="EX180" s="90"/>
      <c r="EY180" s="159"/>
      <c r="EZ180" s="156"/>
      <c r="FA180" s="323"/>
      <c r="FB180" s="323"/>
      <c r="FC180" s="323"/>
      <c r="FD180" s="160"/>
      <c r="FE180" s="156"/>
      <c r="FF180" s="156"/>
      <c r="FG180" s="156"/>
      <c r="FH180" s="157"/>
      <c r="FI180" s="242"/>
      <c r="FJ180" s="373"/>
      <c r="FK180" s="179"/>
      <c r="FL180" s="179"/>
      <c r="FM180" s="179"/>
      <c r="FN180" s="369"/>
      <c r="FO180" s="164"/>
      <c r="FP180" s="255"/>
      <c r="FQ180" s="183"/>
      <c r="FR180" s="257">
        <v>1</v>
      </c>
      <c r="FS180" s="82" t="s">
        <v>1702</v>
      </c>
      <c r="FT180" s="259"/>
      <c r="FU180" s="82"/>
      <c r="FV180" s="259"/>
      <c r="FW180" s="82"/>
      <c r="FX180" s="259"/>
      <c r="FY180" s="82"/>
      <c r="FZ180" s="259"/>
      <c r="GA180" s="82"/>
      <c r="GB180" s="261"/>
      <c r="GC180" s="90"/>
      <c r="GD180" s="76">
        <v>2</v>
      </c>
      <c r="GE180" s="445" t="s">
        <v>3427</v>
      </c>
      <c r="GF180" s="447" t="s">
        <v>590</v>
      </c>
      <c r="GG180" s="448">
        <v>4</v>
      </c>
      <c r="GH180" s="449">
        <v>4</v>
      </c>
      <c r="GI180" s="447" t="s">
        <v>145</v>
      </c>
      <c r="GJ180" s="449" t="s">
        <v>145</v>
      </c>
      <c r="GK180" s="447" t="s">
        <v>145</v>
      </c>
      <c r="GL180" s="448" t="s">
        <v>145</v>
      </c>
      <c r="GM180" s="449" t="s">
        <v>145</v>
      </c>
      <c r="GN180" s="447" t="s">
        <v>580</v>
      </c>
      <c r="GO180" s="449">
        <v>65</v>
      </c>
      <c r="GP180" s="447">
        <v>20</v>
      </c>
      <c r="GQ180" s="448">
        <v>25</v>
      </c>
      <c r="GR180" s="449">
        <v>20</v>
      </c>
      <c r="GS180" s="446">
        <v>-2</v>
      </c>
      <c r="GT180" s="461">
        <v>-0.97900718450546265</v>
      </c>
      <c r="GU180" s="462">
        <v>-0.42672345042228699</v>
      </c>
      <c r="GV180" s="462">
        <v>-1.3709260225296021</v>
      </c>
      <c r="GW180" s="462">
        <v>-0.95087802410125732</v>
      </c>
      <c r="GX180" s="462">
        <v>-1.0089588165283203</v>
      </c>
      <c r="GY180" s="463">
        <v>-1.0446861982345581</v>
      </c>
      <c r="GZ180" s="10">
        <v>162</v>
      </c>
      <c r="HA180" s="536">
        <v>0.24462999999999999</v>
      </c>
      <c r="HB180" s="536">
        <v>9.8030000000000006E-2</v>
      </c>
      <c r="HC180" s="525">
        <v>0.11022999999999999</v>
      </c>
      <c r="HD180" s="526">
        <v>8.3589999999999998E-2</v>
      </c>
      <c r="HE180" s="527">
        <v>0.54010000000000002</v>
      </c>
      <c r="HF180" s="10" t="s">
        <v>145</v>
      </c>
      <c r="HG180" s="532" t="s">
        <v>145</v>
      </c>
      <c r="HH180" s="524" t="s">
        <v>145</v>
      </c>
      <c r="HI180" s="525" t="s">
        <v>145</v>
      </c>
      <c r="HJ180" s="527" t="s">
        <v>145</v>
      </c>
      <c r="HK180" s="558" t="s">
        <v>145</v>
      </c>
      <c r="HL180" s="82" t="s">
        <v>145</v>
      </c>
      <c r="HM180" s="557" t="s">
        <v>145</v>
      </c>
      <c r="HN180" s="557" t="s">
        <v>145</v>
      </c>
      <c r="HO180" s="526" t="s">
        <v>145</v>
      </c>
      <c r="HP180" s="564" t="s">
        <v>145</v>
      </c>
      <c r="HQ180" s="564" t="s">
        <v>145</v>
      </c>
      <c r="HR180" s="565" t="s">
        <v>145</v>
      </c>
      <c r="HS180" s="524" t="s">
        <v>145</v>
      </c>
      <c r="HT180" s="526" t="s">
        <v>145</v>
      </c>
      <c r="HU180" s="526" t="s">
        <v>145</v>
      </c>
      <c r="HV180" s="582" t="s">
        <v>145</v>
      </c>
      <c r="HW180" s="526" t="s">
        <v>145</v>
      </c>
      <c r="HX180" s="526" t="s">
        <v>145</v>
      </c>
      <c r="HY180" s="526" t="s">
        <v>145</v>
      </c>
      <c r="HZ180" s="526" t="s">
        <v>145</v>
      </c>
      <c r="IA180" s="526" t="s">
        <v>145</v>
      </c>
      <c r="IB180" s="526" t="s">
        <v>145</v>
      </c>
      <c r="IC180" s="527" t="s">
        <v>145</v>
      </c>
      <c r="ID180" s="40"/>
      <c r="IE180" s="550"/>
      <c r="IF180" s="550"/>
      <c r="IG180" s="553">
        <v>1</v>
      </c>
      <c r="IH180" s="115"/>
      <c r="II180" s="647" t="s">
        <v>4921</v>
      </c>
      <c r="IJ180" s="423" t="s">
        <v>4918</v>
      </c>
      <c r="IK180" s="10">
        <v>0</v>
      </c>
      <c r="IL180" s="749">
        <f t="shared" si="170"/>
        <v>9</v>
      </c>
      <c r="IM180" s="747">
        <f t="shared" si="171"/>
        <v>36</v>
      </c>
      <c r="IN180" s="750" t="str">
        <f t="shared" si="172"/>
        <v>C</v>
      </c>
      <c r="IO180" s="446">
        <v>1</v>
      </c>
      <c r="IP180" s="902">
        <v>4</v>
      </c>
      <c r="IQ180" s="903">
        <v>0</v>
      </c>
      <c r="IR180" s="993">
        <v>0</v>
      </c>
      <c r="IT180" s="435"/>
      <c r="IU180" s="435"/>
      <c r="IV180" s="435"/>
    </row>
    <row r="181" spans="1:256">
      <c r="A181" s="21">
        <v>179</v>
      </c>
      <c r="B181" s="9"/>
      <c r="C181" s="430" t="s">
        <v>270</v>
      </c>
      <c r="D181" s="424" t="s">
        <v>407</v>
      </c>
      <c r="E181" s="697" t="s">
        <v>12</v>
      </c>
      <c r="F181" s="76" t="s">
        <v>911</v>
      </c>
      <c r="G181" s="102" t="s">
        <v>625</v>
      </c>
      <c r="H181" s="251" t="s">
        <v>2514</v>
      </c>
      <c r="I181" s="95" t="s">
        <v>2124</v>
      </c>
      <c r="J181" s="370">
        <v>1</v>
      </c>
      <c r="K181" s="359">
        <v>1874</v>
      </c>
      <c r="L181" s="371">
        <v>2</v>
      </c>
      <c r="M181" s="373" t="s">
        <v>2515</v>
      </c>
      <c r="N181" s="369" t="s">
        <v>1822</v>
      </c>
      <c r="O181" s="365" t="s">
        <v>3364</v>
      </c>
      <c r="P181" s="362" t="s">
        <v>3365</v>
      </c>
      <c r="Q181" s="370">
        <v>4</v>
      </c>
      <c r="R181" s="370">
        <v>2010</v>
      </c>
      <c r="S181" s="372" t="s">
        <v>1961</v>
      </c>
      <c r="T181" s="370">
        <v>1</v>
      </c>
      <c r="U181" s="370">
        <v>1</v>
      </c>
      <c r="V181" s="370">
        <v>14</v>
      </c>
      <c r="W181" s="369" t="s">
        <v>1822</v>
      </c>
      <c r="X181" s="170">
        <v>0</v>
      </c>
      <c r="Y181" s="369">
        <v>0</v>
      </c>
      <c r="Z181" s="271"/>
      <c r="AA181" s="169"/>
      <c r="AB181" s="177"/>
      <c r="AC181" s="171"/>
      <c r="AD181" s="376" t="s">
        <v>145</v>
      </c>
      <c r="AE181" s="355" t="s">
        <v>145</v>
      </c>
      <c r="AF181" s="355">
        <v>0</v>
      </c>
      <c r="AG181" s="550">
        <v>1</v>
      </c>
      <c r="AH181" s="355" t="s">
        <v>145</v>
      </c>
      <c r="AI181" s="550" t="s">
        <v>145</v>
      </c>
      <c r="AJ181" s="550" t="s">
        <v>145</v>
      </c>
      <c r="AK181" s="590" t="s">
        <v>145</v>
      </c>
      <c r="AL181" s="355">
        <v>0</v>
      </c>
      <c r="AM181" s="360" t="s">
        <v>145</v>
      </c>
      <c r="AN181" s="384" t="s">
        <v>145</v>
      </c>
      <c r="AO181" s="170">
        <v>0</v>
      </c>
      <c r="AP181" s="172">
        <v>0</v>
      </c>
      <c r="AQ181" s="365" t="s">
        <v>5374</v>
      </c>
      <c r="AR181" s="362" t="s">
        <v>4934</v>
      </c>
      <c r="AS181" s="55">
        <v>1</v>
      </c>
      <c r="AT181" s="370">
        <v>3</v>
      </c>
      <c r="AU181" s="371">
        <v>2004</v>
      </c>
      <c r="AV181" s="370">
        <v>5</v>
      </c>
      <c r="AW181" s="589" t="s">
        <v>145</v>
      </c>
      <c r="AX181" s="687">
        <v>0</v>
      </c>
      <c r="AY181" s="174" t="s">
        <v>3956</v>
      </c>
      <c r="AZ181" s="55">
        <v>1995</v>
      </c>
      <c r="BA181" s="55">
        <v>1</v>
      </c>
      <c r="BB181" s="55">
        <v>1</v>
      </c>
      <c r="BC181" s="174" t="s">
        <v>4423</v>
      </c>
      <c r="BD181" s="55">
        <v>2008</v>
      </c>
      <c r="BE181" s="55">
        <v>0</v>
      </c>
      <c r="BF181" s="367" t="s">
        <v>145</v>
      </c>
      <c r="BG181" s="371">
        <v>0</v>
      </c>
      <c r="BH181" s="56" t="s">
        <v>145</v>
      </c>
      <c r="BI181" s="371">
        <v>0</v>
      </c>
      <c r="BJ181" s="371">
        <v>0</v>
      </c>
      <c r="BK181" s="888">
        <v>106.17</v>
      </c>
      <c r="BL181" s="925">
        <f t="shared" si="159"/>
        <v>49.854949609117448</v>
      </c>
      <c r="BM181" s="888">
        <v>53.238999999999997</v>
      </c>
      <c r="BN181" s="920">
        <v>52.930999999999997</v>
      </c>
      <c r="BO181" s="888">
        <v>12.91</v>
      </c>
      <c r="BP181" s="1158">
        <f t="shared" si="135"/>
        <v>48.745158791634388</v>
      </c>
      <c r="BQ181" s="917">
        <v>6.617</v>
      </c>
      <c r="BR181" s="920">
        <v>6.2930000000000001</v>
      </c>
      <c r="BS181" s="888">
        <v>13.304</v>
      </c>
      <c r="BT181" s="1158">
        <f t="shared" si="136"/>
        <v>48.361395069152138</v>
      </c>
      <c r="BU181" s="917">
        <v>6.87</v>
      </c>
      <c r="BV181" s="920">
        <v>6.4340000000000002</v>
      </c>
      <c r="BW181" s="888">
        <v>12.818</v>
      </c>
      <c r="BX181" s="1158">
        <f t="shared" si="137"/>
        <v>47.59712903729131</v>
      </c>
      <c r="BY181" s="917">
        <v>6.7169999999999996</v>
      </c>
      <c r="BZ181" s="920">
        <v>6.101</v>
      </c>
      <c r="CA181" s="888">
        <f t="shared" si="138"/>
        <v>67.138000000000005</v>
      </c>
      <c r="CB181" s="1158">
        <f t="shared" si="139"/>
        <v>50.795376686824156</v>
      </c>
      <c r="CC181" s="917">
        <f t="shared" si="140"/>
        <v>33.035000000000004</v>
      </c>
      <c r="CD181" s="920">
        <f t="shared" si="141"/>
        <v>34.103000000000002</v>
      </c>
      <c r="CE181" s="914">
        <v>2015</v>
      </c>
      <c r="CF181" s="910" t="s">
        <v>5630</v>
      </c>
      <c r="CG181" s="931">
        <v>95</v>
      </c>
      <c r="CH181" s="504">
        <v>95</v>
      </c>
      <c r="CI181" s="1008">
        <v>95</v>
      </c>
      <c r="CJ181" s="904" t="s">
        <v>1621</v>
      </c>
      <c r="CK181" s="904" t="s">
        <v>1621</v>
      </c>
      <c r="CL181" s="906">
        <v>2013</v>
      </c>
      <c r="CM181" s="1002" t="s">
        <v>5709</v>
      </c>
      <c r="CN181" s="1044">
        <v>51.448</v>
      </c>
      <c r="CO181" s="1045">
        <f t="shared" si="160"/>
        <v>48.458133182631627</v>
      </c>
      <c r="CP181" s="1040">
        <f t="shared" si="157"/>
        <v>25.798625525101254</v>
      </c>
      <c r="CQ181" s="1041">
        <f t="shared" si="158"/>
        <v>25.649374474898746</v>
      </c>
      <c r="CR181" s="1046">
        <v>2014</v>
      </c>
      <c r="CS181" s="1047" t="s">
        <v>6052</v>
      </c>
      <c r="CT181" s="1068">
        <f t="shared" si="161"/>
        <v>14</v>
      </c>
      <c r="CU181" s="1071">
        <v>21</v>
      </c>
      <c r="CV181" s="1068" t="s">
        <v>6070</v>
      </c>
      <c r="CW181" s="1113">
        <v>51.448</v>
      </c>
      <c r="CX181" s="1113">
        <v>50.417999999999999</v>
      </c>
      <c r="CY181" s="1113">
        <v>106.44</v>
      </c>
      <c r="CZ181" s="494">
        <v>1</v>
      </c>
      <c r="DA181" s="1104">
        <v>4</v>
      </c>
      <c r="DB181" s="1050" t="s">
        <v>647</v>
      </c>
      <c r="DC181" s="1146" t="s">
        <v>322</v>
      </c>
      <c r="DD181" s="978">
        <f t="shared" si="148"/>
        <v>17.641600000000007</v>
      </c>
      <c r="DE181" s="979">
        <f t="shared" si="162"/>
        <v>16.616369972685323</v>
      </c>
      <c r="DF181" s="979">
        <f t="shared" si="149"/>
        <v>53.254951507240008</v>
      </c>
      <c r="DG181" s="980">
        <f t="shared" si="150"/>
        <v>8.2465744748987504</v>
      </c>
      <c r="DH181" s="980">
        <f t="shared" si="151"/>
        <v>9.3950255251012571</v>
      </c>
      <c r="DI181" s="979">
        <f t="shared" si="163"/>
        <v>15.489724590805146</v>
      </c>
      <c r="DJ181" s="981">
        <f t="shared" si="164"/>
        <v>17.74957118720836</v>
      </c>
      <c r="DK181" s="984">
        <f t="shared" si="165"/>
        <v>15.690000000000005</v>
      </c>
      <c r="DL181" s="979">
        <f t="shared" si="152"/>
        <v>53.879066444239974</v>
      </c>
      <c r="DM181" s="980">
        <f t="shared" si="166"/>
        <v>7.2363744748987493</v>
      </c>
      <c r="DN181" s="985">
        <f t="shared" si="167"/>
        <v>8.4536255251012555</v>
      </c>
      <c r="DO181" s="984">
        <f t="shared" si="168"/>
        <v>1.3061000000000011</v>
      </c>
      <c r="DP181" s="979">
        <f t="shared" si="153"/>
        <v>47.986371640762577</v>
      </c>
      <c r="DQ181" s="980">
        <f t="shared" si="142"/>
        <v>0.67935000000000056</v>
      </c>
      <c r="DR181" s="985">
        <f t="shared" si="143"/>
        <v>0.62675000000000058</v>
      </c>
      <c r="DS181" s="984">
        <f t="shared" si="169"/>
        <v>0.64550000000000063</v>
      </c>
      <c r="DT181" s="339">
        <f t="shared" si="154"/>
        <v>48.745158791634388</v>
      </c>
      <c r="DU181" s="980">
        <f t="shared" si="144"/>
        <v>0.33085000000000031</v>
      </c>
      <c r="DV181" s="985">
        <f t="shared" si="145"/>
        <v>0.31465000000000026</v>
      </c>
      <c r="DW181" s="979">
        <f t="shared" si="146"/>
        <v>5.0000000000000044</v>
      </c>
      <c r="DX181" s="981">
        <f t="shared" si="147"/>
        <v>5.0000000000000036</v>
      </c>
      <c r="DY181" s="414">
        <v>4</v>
      </c>
      <c r="DZ181" s="111">
        <v>2013</v>
      </c>
      <c r="EA181" s="118" t="e">
        <f>DY181*#REF!/100</f>
        <v>#REF!</v>
      </c>
      <c r="EB181" s="123">
        <v>22.5</v>
      </c>
      <c r="EC181" s="113">
        <v>2009</v>
      </c>
      <c r="ED181" s="20" t="e">
        <f>EB181*#REF!/100</f>
        <v>#REF!</v>
      </c>
      <c r="EE181" s="414">
        <v>24</v>
      </c>
      <c r="EF181" s="111">
        <v>2003</v>
      </c>
      <c r="EG181" s="380">
        <v>99.385528564453097</v>
      </c>
      <c r="EH181" s="24" t="s">
        <v>335</v>
      </c>
      <c r="EI181" s="287">
        <v>0</v>
      </c>
      <c r="EJ181" s="40" t="s">
        <v>145</v>
      </c>
      <c r="EK181" s="35" t="s">
        <v>145</v>
      </c>
      <c r="EL181" s="95" t="s">
        <v>145</v>
      </c>
      <c r="EM181" s="95" t="s">
        <v>145</v>
      </c>
      <c r="EN181" s="35" t="s">
        <v>145</v>
      </c>
      <c r="EO181" s="95" t="s">
        <v>145</v>
      </c>
      <c r="EP181" s="205" t="s">
        <v>145</v>
      </c>
      <c r="EQ181" s="207" t="s">
        <v>145</v>
      </c>
      <c r="ER181" s="517" t="s">
        <v>145</v>
      </c>
      <c r="ES181" s="183"/>
      <c r="ET181" s="183"/>
      <c r="EU181" s="82"/>
      <c r="EV181" s="82"/>
      <c r="EW181" s="82"/>
      <c r="EX181" s="90"/>
      <c r="EY181" s="159"/>
      <c r="EZ181" s="156"/>
      <c r="FA181" s="323"/>
      <c r="FB181" s="323"/>
      <c r="FC181" s="323"/>
      <c r="FD181" s="160"/>
      <c r="FE181" s="156"/>
      <c r="FF181" s="156"/>
      <c r="FG181" s="156"/>
      <c r="FH181" s="157"/>
      <c r="FI181" s="242"/>
      <c r="FJ181" s="240"/>
      <c r="FK181" s="179"/>
      <c r="FL181" s="179"/>
      <c r="FM181" s="179"/>
      <c r="FN181" s="172"/>
      <c r="FO181" s="164"/>
      <c r="FP181" s="255"/>
      <c r="FQ181" s="183"/>
      <c r="FR181" s="257"/>
      <c r="FS181" s="82"/>
      <c r="FT181" s="259"/>
      <c r="FU181" s="82"/>
      <c r="FV181" s="259"/>
      <c r="FW181" s="82"/>
      <c r="FX181" s="259"/>
      <c r="FY181" s="82"/>
      <c r="FZ181" s="259"/>
      <c r="GA181" s="82"/>
      <c r="GB181" s="261"/>
      <c r="GC181" s="90"/>
      <c r="GD181" s="76">
        <v>2</v>
      </c>
      <c r="GE181" s="445" t="s">
        <v>3425</v>
      </c>
      <c r="GF181" s="447" t="s">
        <v>10</v>
      </c>
      <c r="GG181" s="448">
        <v>2</v>
      </c>
      <c r="GH181" s="449">
        <v>2</v>
      </c>
      <c r="GI181" s="447" t="s">
        <v>145</v>
      </c>
      <c r="GJ181" s="449" t="s">
        <v>145</v>
      </c>
      <c r="GK181" s="447" t="s">
        <v>145</v>
      </c>
      <c r="GL181" s="448" t="s">
        <v>145</v>
      </c>
      <c r="GM181" s="449" t="s">
        <v>145</v>
      </c>
      <c r="GN181" s="447" t="s">
        <v>10</v>
      </c>
      <c r="GO181" s="449">
        <v>29</v>
      </c>
      <c r="GP181" s="447">
        <v>10</v>
      </c>
      <c r="GQ181" s="448">
        <v>9</v>
      </c>
      <c r="GR181" s="449">
        <v>10</v>
      </c>
      <c r="GS181" s="446"/>
      <c r="GT181" s="461">
        <v>0.51358628273010254</v>
      </c>
      <c r="GU181" s="462">
        <v>0.9691540002822876</v>
      </c>
      <c r="GV181" s="462">
        <v>-0.20095635950565338</v>
      </c>
      <c r="GW181" s="462">
        <v>-0.59445929527282715</v>
      </c>
      <c r="GX181" s="462">
        <v>7.8357502818107605E-2</v>
      </c>
      <c r="GY181" s="463">
        <v>-7.6593652367591858E-2</v>
      </c>
      <c r="GZ181" s="10">
        <v>98</v>
      </c>
      <c r="HA181" s="536">
        <v>0.47056999999999999</v>
      </c>
      <c r="HB181" s="536">
        <v>0.33333000000000002</v>
      </c>
      <c r="HC181" s="525">
        <v>0.34644999999999998</v>
      </c>
      <c r="HD181" s="526">
        <v>0.23482</v>
      </c>
      <c r="HE181" s="527">
        <v>0.83040000000000003</v>
      </c>
      <c r="HF181" s="10" t="s">
        <v>145</v>
      </c>
      <c r="HG181" s="532" t="s">
        <v>145</v>
      </c>
      <c r="HH181" s="524" t="s">
        <v>145</v>
      </c>
      <c r="HI181" s="525" t="s">
        <v>145</v>
      </c>
      <c r="HJ181" s="527" t="s">
        <v>145</v>
      </c>
      <c r="HK181" s="558" t="s">
        <v>145</v>
      </c>
      <c r="HL181" s="82" t="s">
        <v>145</v>
      </c>
      <c r="HM181" s="557" t="s">
        <v>145</v>
      </c>
      <c r="HN181" s="557" t="s">
        <v>145</v>
      </c>
      <c r="HO181" s="526" t="s">
        <v>145</v>
      </c>
      <c r="HP181" s="564" t="s">
        <v>145</v>
      </c>
      <c r="HQ181" s="564" t="s">
        <v>145</v>
      </c>
      <c r="HR181" s="565" t="s">
        <v>145</v>
      </c>
      <c r="HS181" s="524" t="s">
        <v>145</v>
      </c>
      <c r="HT181" s="526" t="s">
        <v>145</v>
      </c>
      <c r="HU181" s="526" t="s">
        <v>145</v>
      </c>
      <c r="HV181" s="582" t="s">
        <v>145</v>
      </c>
      <c r="HW181" s="526" t="s">
        <v>145</v>
      </c>
      <c r="HX181" s="526" t="s">
        <v>145</v>
      </c>
      <c r="HY181" s="526" t="s">
        <v>145</v>
      </c>
      <c r="HZ181" s="526" t="s">
        <v>145</v>
      </c>
      <c r="IA181" s="526" t="s">
        <v>145</v>
      </c>
      <c r="IB181" s="526" t="s">
        <v>145</v>
      </c>
      <c r="IC181" s="527" t="s">
        <v>145</v>
      </c>
      <c r="ID181" s="660"/>
      <c r="IE181" s="550"/>
      <c r="IF181" s="550"/>
      <c r="IG181" s="553"/>
      <c r="IH181" s="339"/>
      <c r="II181" s="553" t="s">
        <v>4921</v>
      </c>
      <c r="IJ181" s="424" t="s">
        <v>4926</v>
      </c>
      <c r="IK181" s="24">
        <v>1</v>
      </c>
      <c r="IL181" s="749">
        <f t="shared" si="170"/>
        <v>8</v>
      </c>
      <c r="IM181" s="747">
        <f t="shared" si="171"/>
        <v>32</v>
      </c>
      <c r="IN181" s="750" t="str">
        <f t="shared" si="172"/>
        <v>C</v>
      </c>
      <c r="IO181" s="446"/>
      <c r="IP181" s="902">
        <v>4</v>
      </c>
      <c r="IQ181" s="903">
        <v>0</v>
      </c>
      <c r="IR181" s="993">
        <v>0</v>
      </c>
      <c r="IT181" s="435"/>
      <c r="IU181" s="435"/>
      <c r="IV181" s="435"/>
    </row>
    <row r="182" spans="1:256">
      <c r="A182" s="21">
        <v>180</v>
      </c>
      <c r="B182" s="9"/>
      <c r="C182" s="430" t="s">
        <v>272</v>
      </c>
      <c r="D182" s="424" t="s">
        <v>409</v>
      </c>
      <c r="E182" s="24" t="s">
        <v>17</v>
      </c>
      <c r="F182" s="76" t="s">
        <v>912</v>
      </c>
      <c r="G182" s="102" t="s">
        <v>627</v>
      </c>
      <c r="H182" s="375" t="s">
        <v>2517</v>
      </c>
      <c r="I182" s="364" t="s">
        <v>2516</v>
      </c>
      <c r="J182" s="370">
        <v>1</v>
      </c>
      <c r="K182" s="359">
        <v>1848</v>
      </c>
      <c r="L182" s="371">
        <v>2</v>
      </c>
      <c r="M182" s="373" t="s">
        <v>1810</v>
      </c>
      <c r="N182" s="369" t="s">
        <v>1822</v>
      </c>
      <c r="O182" s="365" t="s">
        <v>3366</v>
      </c>
      <c r="P182" s="362" t="s">
        <v>2089</v>
      </c>
      <c r="Q182" s="370">
        <v>4</v>
      </c>
      <c r="R182" s="370">
        <v>1999</v>
      </c>
      <c r="S182" s="372" t="s">
        <v>1846</v>
      </c>
      <c r="T182" s="370">
        <v>1</v>
      </c>
      <c r="U182" s="370">
        <v>1</v>
      </c>
      <c r="V182" s="370">
        <v>15</v>
      </c>
      <c r="W182" s="369" t="s">
        <v>1822</v>
      </c>
      <c r="X182" s="170">
        <v>1</v>
      </c>
      <c r="Y182" s="369">
        <v>1</v>
      </c>
      <c r="Z182" s="271"/>
      <c r="AA182" s="169">
        <v>1</v>
      </c>
      <c r="AB182" s="177">
        <v>1</v>
      </c>
      <c r="AC182" s="171"/>
      <c r="AD182" s="366" t="s">
        <v>3367</v>
      </c>
      <c r="AE182" s="355">
        <v>2015</v>
      </c>
      <c r="AF182" s="805">
        <v>2</v>
      </c>
      <c r="AG182" s="550" t="s">
        <v>4272</v>
      </c>
      <c r="AH182" s="355" t="s">
        <v>2872</v>
      </c>
      <c r="AI182" s="550">
        <v>0</v>
      </c>
      <c r="AJ182" s="550">
        <v>0</v>
      </c>
      <c r="AK182" s="590" t="s">
        <v>145</v>
      </c>
      <c r="AL182" s="395">
        <v>10</v>
      </c>
      <c r="AM182" s="361" t="s">
        <v>3399</v>
      </c>
      <c r="AN182" s="384" t="s">
        <v>145</v>
      </c>
      <c r="AO182" s="170">
        <v>0</v>
      </c>
      <c r="AP182" s="172">
        <v>0</v>
      </c>
      <c r="AQ182" s="365" t="s">
        <v>5335</v>
      </c>
      <c r="AR182" s="362" t="s">
        <v>5336</v>
      </c>
      <c r="AS182" s="55">
        <v>1</v>
      </c>
      <c r="AT182" s="370">
        <v>6</v>
      </c>
      <c r="AU182" s="371">
        <v>2007</v>
      </c>
      <c r="AV182" s="370">
        <v>5</v>
      </c>
      <c r="AW182" s="589" t="s">
        <v>145</v>
      </c>
      <c r="AX182" s="687">
        <v>0</v>
      </c>
      <c r="AY182" s="174" t="s">
        <v>3957</v>
      </c>
      <c r="AZ182" s="55">
        <v>1995</v>
      </c>
      <c r="BA182" s="55">
        <v>1</v>
      </c>
      <c r="BB182" s="55">
        <v>2</v>
      </c>
      <c r="BC182" s="174" t="s">
        <v>4594</v>
      </c>
      <c r="BD182" s="55">
        <v>2013</v>
      </c>
      <c r="BE182" s="55">
        <v>2</v>
      </c>
      <c r="BF182" s="371" t="s">
        <v>4365</v>
      </c>
      <c r="BG182" s="371">
        <v>1</v>
      </c>
      <c r="BH182" s="1" t="s">
        <v>3958</v>
      </c>
      <c r="BI182" s="371">
        <v>3</v>
      </c>
      <c r="BJ182" s="371">
        <v>1</v>
      </c>
      <c r="BK182" s="888">
        <v>1360.088</v>
      </c>
      <c r="BL182" s="925">
        <f t="shared" si="159"/>
        <v>50.658707377757914</v>
      </c>
      <c r="BM182" s="888">
        <v>671.08500000000004</v>
      </c>
      <c r="BN182" s="920">
        <v>689.00300000000004</v>
      </c>
      <c r="BO182" s="888">
        <v>96.102999999999994</v>
      </c>
      <c r="BP182" s="1158">
        <f t="shared" si="135"/>
        <v>49.208661540222472</v>
      </c>
      <c r="BQ182" s="917">
        <v>48.811999999999998</v>
      </c>
      <c r="BR182" s="920">
        <v>47.290999999999997</v>
      </c>
      <c r="BS182" s="888">
        <v>96.415000000000006</v>
      </c>
      <c r="BT182" s="1158">
        <f t="shared" si="136"/>
        <v>49.318052170305442</v>
      </c>
      <c r="BU182" s="917">
        <v>48.865000000000002</v>
      </c>
      <c r="BV182" s="920">
        <v>47.55</v>
      </c>
      <c r="BW182" s="888">
        <v>90.106999999999999</v>
      </c>
      <c r="BX182" s="1158">
        <f t="shared" si="137"/>
        <v>49.354656131044209</v>
      </c>
      <c r="BY182" s="917">
        <v>45.634999999999998</v>
      </c>
      <c r="BZ182" s="920">
        <v>44.472000000000001</v>
      </c>
      <c r="CA182" s="888">
        <f t="shared" si="138"/>
        <v>1077.463</v>
      </c>
      <c r="CB182" s="1158">
        <f t="shared" si="139"/>
        <v>51.01706508715381</v>
      </c>
      <c r="CC182" s="917">
        <f t="shared" si="140"/>
        <v>527.77300000000002</v>
      </c>
      <c r="CD182" s="920">
        <f t="shared" si="141"/>
        <v>549.69000000000005</v>
      </c>
      <c r="CE182" s="914">
        <v>2015</v>
      </c>
      <c r="CF182" s="910" t="s">
        <v>5630</v>
      </c>
      <c r="CG182" s="930">
        <v>96.6</v>
      </c>
      <c r="CH182" s="495">
        <v>96.6</v>
      </c>
      <c r="CI182" s="497">
        <v>96.6</v>
      </c>
      <c r="CJ182" s="904" t="s">
        <v>1621</v>
      </c>
      <c r="CK182" s="904" t="s">
        <v>1621</v>
      </c>
      <c r="CL182" s="904">
        <v>2006</v>
      </c>
      <c r="CM182" s="905" t="s">
        <v>5573</v>
      </c>
      <c r="CN182" s="1125">
        <v>940.81299999999999</v>
      </c>
      <c r="CO182" s="1045">
        <f t="shared" si="160"/>
        <v>69.172950573786409</v>
      </c>
      <c r="CP182" s="1040">
        <f t="shared" si="157"/>
        <v>464.20929535809438</v>
      </c>
      <c r="CQ182" s="1041">
        <f t="shared" si="158"/>
        <v>476.60370464190555</v>
      </c>
      <c r="CR182" s="1046">
        <v>2015</v>
      </c>
      <c r="CS182" s="1047" t="s">
        <v>6053</v>
      </c>
      <c r="CT182" s="1068">
        <f t="shared" si="161"/>
        <v>15</v>
      </c>
      <c r="CU182" s="1071">
        <v>18</v>
      </c>
      <c r="CV182" s="1068" t="s">
        <v>6071</v>
      </c>
      <c r="CW182" s="1113">
        <v>1099.279</v>
      </c>
      <c r="CX182" s="1113">
        <v>940.81299999999999</v>
      </c>
      <c r="CY182" s="1113">
        <v>1222.3630000000001</v>
      </c>
      <c r="CZ182" s="494">
        <v>1</v>
      </c>
      <c r="DA182" s="1104">
        <v>4</v>
      </c>
      <c r="DB182" s="1050" t="s">
        <v>647</v>
      </c>
      <c r="DC182" s="1146" t="s">
        <v>322</v>
      </c>
      <c r="DD182" s="978">
        <f t="shared" si="148"/>
        <v>146.25924999999998</v>
      </c>
      <c r="DE182" s="979">
        <f t="shared" si="162"/>
        <v>10.753660792536952</v>
      </c>
      <c r="DF182" s="979">
        <f t="shared" si="149"/>
        <v>53.208899511035725</v>
      </c>
      <c r="DG182" s="980">
        <f t="shared" si="150"/>
        <v>68.436312641905658</v>
      </c>
      <c r="DH182" s="980">
        <f t="shared" si="151"/>
        <v>77.822937358094507</v>
      </c>
      <c r="DI182" s="979">
        <f t="shared" si="163"/>
        <v>10.197860575322895</v>
      </c>
      <c r="DJ182" s="981">
        <f t="shared" si="164"/>
        <v>11.295007040331392</v>
      </c>
      <c r="DK182" s="984">
        <f t="shared" si="165"/>
        <v>136.64999999999998</v>
      </c>
      <c r="DL182" s="979">
        <f t="shared" si="152"/>
        <v>53.484299566845607</v>
      </c>
      <c r="DM182" s="980">
        <f t="shared" si="166"/>
        <v>63.563704641905645</v>
      </c>
      <c r="DN182" s="985">
        <f t="shared" si="167"/>
        <v>73.086295358094503</v>
      </c>
      <c r="DO182" s="984">
        <f t="shared" si="168"/>
        <v>6.3417480000000062</v>
      </c>
      <c r="DP182" s="979">
        <f t="shared" si="153"/>
        <v>49.335735194775943</v>
      </c>
      <c r="DQ182" s="980">
        <f t="shared" si="142"/>
        <v>3.2130000000000027</v>
      </c>
      <c r="DR182" s="985">
        <f t="shared" si="143"/>
        <v>3.1287480000000025</v>
      </c>
      <c r="DS182" s="984">
        <f t="shared" si="169"/>
        <v>3.2675020000000026</v>
      </c>
      <c r="DT182" s="339">
        <f t="shared" si="154"/>
        <v>49.208661540222472</v>
      </c>
      <c r="DU182" s="980">
        <f t="shared" si="144"/>
        <v>1.6596080000000013</v>
      </c>
      <c r="DV182" s="985">
        <f t="shared" si="145"/>
        <v>1.6078940000000013</v>
      </c>
      <c r="DW182" s="979">
        <f t="shared" si="146"/>
        <v>3.400000000000003</v>
      </c>
      <c r="DX182" s="981">
        <f t="shared" si="147"/>
        <v>3.400000000000003</v>
      </c>
      <c r="DY182" s="414">
        <v>4.16</v>
      </c>
      <c r="DZ182" s="111">
        <v>1992</v>
      </c>
      <c r="EA182" s="118">
        <v>56.546700000000001</v>
      </c>
      <c r="EB182" s="123" t="s">
        <v>145</v>
      </c>
      <c r="EC182" s="113" t="s">
        <v>145</v>
      </c>
      <c r="ED182" s="20"/>
      <c r="EE182" s="414">
        <v>17</v>
      </c>
      <c r="EF182" s="111">
        <v>2007</v>
      </c>
      <c r="EG182" s="380">
        <v>98.814231872558594</v>
      </c>
      <c r="EH182" s="24" t="s">
        <v>335</v>
      </c>
      <c r="EI182" s="287">
        <v>0</v>
      </c>
      <c r="EJ182" s="40" t="s">
        <v>145</v>
      </c>
      <c r="EK182" s="35" t="s">
        <v>145</v>
      </c>
      <c r="EL182" s="364" t="s">
        <v>145</v>
      </c>
      <c r="EM182" s="364" t="s">
        <v>145</v>
      </c>
      <c r="EN182" s="35" t="s">
        <v>145</v>
      </c>
      <c r="EO182" s="364" t="s">
        <v>145</v>
      </c>
      <c r="EP182" s="205" t="s">
        <v>145</v>
      </c>
      <c r="EQ182" s="207" t="s">
        <v>145</v>
      </c>
      <c r="ER182" s="517" t="s">
        <v>145</v>
      </c>
      <c r="ES182" s="183"/>
      <c r="ET182" s="183"/>
      <c r="EU182" s="82"/>
      <c r="EV182" s="82"/>
      <c r="EW182" s="82"/>
      <c r="EX182" s="90"/>
      <c r="EY182" s="159">
        <v>1343700</v>
      </c>
      <c r="EZ182" s="156">
        <v>2010</v>
      </c>
      <c r="FA182" s="323">
        <v>14</v>
      </c>
      <c r="FB182" s="323">
        <v>86</v>
      </c>
      <c r="FC182" s="323" t="s">
        <v>318</v>
      </c>
      <c r="FD182" s="160" t="s">
        <v>318</v>
      </c>
      <c r="FE182" s="156">
        <v>99</v>
      </c>
      <c r="FF182" s="156" t="s">
        <v>335</v>
      </c>
      <c r="FG182" s="156">
        <v>4</v>
      </c>
      <c r="FH182" s="157" t="s">
        <v>318</v>
      </c>
      <c r="FI182" s="242">
        <v>1</v>
      </c>
      <c r="FJ182" s="240" t="s">
        <v>145</v>
      </c>
      <c r="FK182" s="179" t="s">
        <v>145</v>
      </c>
      <c r="FL182" s="236" t="s">
        <v>1846</v>
      </c>
      <c r="FM182" s="179" t="s">
        <v>1822</v>
      </c>
      <c r="FN182" s="172" t="s">
        <v>145</v>
      </c>
      <c r="FO182" s="165" t="s">
        <v>1793</v>
      </c>
      <c r="FP182" s="255"/>
      <c r="FQ182" s="183"/>
      <c r="FR182" s="257"/>
      <c r="FS182" s="82"/>
      <c r="FT182" s="259"/>
      <c r="FU182" s="82"/>
      <c r="FV182" s="259"/>
      <c r="FW182" s="82"/>
      <c r="FX182" s="259"/>
      <c r="FY182" s="82"/>
      <c r="FZ182" s="259"/>
      <c r="GA182" s="82"/>
      <c r="GB182" s="261"/>
      <c r="GC182" s="90"/>
      <c r="GD182" s="76">
        <v>2</v>
      </c>
      <c r="GE182" s="445" t="s">
        <v>3425</v>
      </c>
      <c r="GF182" s="447" t="s">
        <v>10</v>
      </c>
      <c r="GG182" s="448">
        <v>2</v>
      </c>
      <c r="GH182" s="449">
        <v>2</v>
      </c>
      <c r="GI182" s="447" t="s">
        <v>145</v>
      </c>
      <c r="GJ182" s="449" t="s">
        <v>145</v>
      </c>
      <c r="GK182" s="447" t="s">
        <v>145</v>
      </c>
      <c r="GL182" s="448" t="s">
        <v>145</v>
      </c>
      <c r="GM182" s="449" t="s">
        <v>145</v>
      </c>
      <c r="GN182" s="447" t="s">
        <v>10</v>
      </c>
      <c r="GO182" s="449">
        <v>25</v>
      </c>
      <c r="GP182" s="447">
        <v>6</v>
      </c>
      <c r="GQ182" s="448">
        <v>11</v>
      </c>
      <c r="GR182" s="449">
        <v>8</v>
      </c>
      <c r="GS182" s="446">
        <v>10</v>
      </c>
      <c r="GT182" s="461">
        <v>0.44391617178916931</v>
      </c>
      <c r="GU182" s="462">
        <v>0.10165556520223618</v>
      </c>
      <c r="GV182" s="462">
        <v>0.34887057542800903</v>
      </c>
      <c r="GW182" s="462">
        <v>0.24500684440135956</v>
      </c>
      <c r="GX182" s="462">
        <v>-0.22312884032726288</v>
      </c>
      <c r="GY182" s="463">
        <v>-0.35169988870620728</v>
      </c>
      <c r="GZ182" s="10">
        <v>91</v>
      </c>
      <c r="HA182" s="536">
        <v>0.49317</v>
      </c>
      <c r="HB182" s="536">
        <v>0.31372</v>
      </c>
      <c r="HC182" s="525">
        <v>0.33069999999999999</v>
      </c>
      <c r="HD182" s="526">
        <v>0.45429000000000003</v>
      </c>
      <c r="HE182" s="527">
        <v>0.69450000000000001</v>
      </c>
      <c r="HF182" s="10">
        <v>67</v>
      </c>
      <c r="HG182" s="532">
        <v>5.29</v>
      </c>
      <c r="HH182" s="545">
        <v>6.36</v>
      </c>
      <c r="HI182" s="546">
        <v>3.6</v>
      </c>
      <c r="HJ182" s="547">
        <v>6.54</v>
      </c>
      <c r="HK182" s="558" t="s">
        <v>3991</v>
      </c>
      <c r="HL182" s="585" t="s">
        <v>4755</v>
      </c>
      <c r="HM182" s="557">
        <v>2011</v>
      </c>
      <c r="HN182" s="557">
        <v>2012</v>
      </c>
      <c r="HO182" s="557" t="s">
        <v>3985</v>
      </c>
      <c r="HP182" s="562" t="s">
        <v>4000</v>
      </c>
      <c r="HQ182" s="639" t="s">
        <v>4868</v>
      </c>
      <c r="HR182" s="563" t="s">
        <v>145</v>
      </c>
      <c r="HS182" s="545">
        <v>45</v>
      </c>
      <c r="HT182" s="557">
        <v>89</v>
      </c>
      <c r="HU182" s="557">
        <v>1999</v>
      </c>
      <c r="HV182" s="583" t="s">
        <v>4263</v>
      </c>
      <c r="HW182" s="557">
        <v>3</v>
      </c>
      <c r="HX182" s="557">
        <v>24</v>
      </c>
      <c r="HY182" s="557">
        <v>15</v>
      </c>
      <c r="HZ182" s="557">
        <v>20</v>
      </c>
      <c r="IA182" s="557">
        <v>15</v>
      </c>
      <c r="IB182" s="557">
        <v>3</v>
      </c>
      <c r="IC182" s="547">
        <v>9</v>
      </c>
      <c r="ID182" s="660"/>
      <c r="IE182" s="550"/>
      <c r="IF182" s="550"/>
      <c r="IG182" s="553"/>
      <c r="IH182" s="339">
        <v>33.700000000000003</v>
      </c>
      <c r="II182" s="553" t="s">
        <v>4922</v>
      </c>
      <c r="IJ182" s="424" t="s">
        <v>4926</v>
      </c>
      <c r="IK182" s="24">
        <v>0</v>
      </c>
      <c r="IL182" s="749">
        <f t="shared" si="170"/>
        <v>19</v>
      </c>
      <c r="IM182" s="747">
        <f t="shared" si="171"/>
        <v>76</v>
      </c>
      <c r="IN182" s="750" t="str">
        <f t="shared" si="172"/>
        <v>A</v>
      </c>
      <c r="IO182" s="446"/>
      <c r="IP182" s="902">
        <v>4</v>
      </c>
      <c r="IQ182" s="903">
        <v>0</v>
      </c>
      <c r="IR182" s="993">
        <v>1</v>
      </c>
      <c r="IT182" s="435"/>
      <c r="IU182" s="435"/>
      <c r="IV182" s="435"/>
    </row>
    <row r="183" spans="1:256">
      <c r="A183" s="21">
        <v>181</v>
      </c>
      <c r="B183" s="9"/>
      <c r="C183" s="430" t="s">
        <v>274</v>
      </c>
      <c r="D183" s="423" t="s">
        <v>410</v>
      </c>
      <c r="E183" s="24" t="s">
        <v>12</v>
      </c>
      <c r="F183" s="76" t="s">
        <v>913</v>
      </c>
      <c r="G183" s="102" t="s">
        <v>624</v>
      </c>
      <c r="H183" s="375" t="s">
        <v>2519</v>
      </c>
      <c r="I183" s="364" t="s">
        <v>2518</v>
      </c>
      <c r="J183" s="370">
        <v>5</v>
      </c>
      <c r="K183" s="359">
        <v>1918</v>
      </c>
      <c r="L183" s="371">
        <v>2</v>
      </c>
      <c r="M183" s="373" t="s">
        <v>1847</v>
      </c>
      <c r="N183" s="369" t="s">
        <v>1822</v>
      </c>
      <c r="O183" s="365" t="s">
        <v>2944</v>
      </c>
      <c r="P183" s="362" t="s">
        <v>2554</v>
      </c>
      <c r="Q183" s="370">
        <v>2</v>
      </c>
      <c r="R183" s="370">
        <v>2005</v>
      </c>
      <c r="S183" s="372" t="s">
        <v>2895</v>
      </c>
      <c r="T183" s="370">
        <v>1</v>
      </c>
      <c r="U183" s="370">
        <v>2</v>
      </c>
      <c r="V183" s="370">
        <v>18</v>
      </c>
      <c r="W183" s="369" t="s">
        <v>1822</v>
      </c>
      <c r="X183" s="170">
        <v>1</v>
      </c>
      <c r="Y183" s="369">
        <v>1</v>
      </c>
      <c r="Z183" s="271"/>
      <c r="AA183" s="169"/>
      <c r="AB183" s="177"/>
      <c r="AC183" s="171"/>
      <c r="AD183" s="366" t="s">
        <v>2945</v>
      </c>
      <c r="AE183" s="355">
        <v>2016</v>
      </c>
      <c r="AF183" s="355">
        <v>2</v>
      </c>
      <c r="AG183" s="550">
        <v>2</v>
      </c>
      <c r="AH183" s="355" t="s">
        <v>2785</v>
      </c>
      <c r="AI183" s="550">
        <v>0</v>
      </c>
      <c r="AJ183" s="550">
        <v>0</v>
      </c>
      <c r="AK183" s="590" t="s">
        <v>145</v>
      </c>
      <c r="AL183" s="395">
        <v>1</v>
      </c>
      <c r="AM183" s="361" t="s">
        <v>2875</v>
      </c>
      <c r="AN183" s="342" t="s">
        <v>145</v>
      </c>
      <c r="AO183" s="170">
        <v>1</v>
      </c>
      <c r="AP183" s="172">
        <v>0</v>
      </c>
      <c r="AQ183" s="365" t="s">
        <v>5337</v>
      </c>
      <c r="AR183" s="362" t="s">
        <v>1980</v>
      </c>
      <c r="AS183" s="55">
        <v>1</v>
      </c>
      <c r="AT183" s="370">
        <v>2</v>
      </c>
      <c r="AU183" s="371">
        <v>2003</v>
      </c>
      <c r="AV183" s="370">
        <v>5</v>
      </c>
      <c r="AW183" s="589" t="s">
        <v>145</v>
      </c>
      <c r="AX183" s="687">
        <v>0</v>
      </c>
      <c r="AY183" s="174" t="s">
        <v>3959</v>
      </c>
      <c r="AZ183" s="55">
        <v>2000</v>
      </c>
      <c r="BA183" s="55">
        <v>1</v>
      </c>
      <c r="BB183" s="55">
        <v>1</v>
      </c>
      <c r="BC183" s="174" t="s">
        <v>4424</v>
      </c>
      <c r="BD183" s="55">
        <v>1995</v>
      </c>
      <c r="BE183" s="55">
        <v>0</v>
      </c>
      <c r="BF183" s="371" t="s">
        <v>145</v>
      </c>
      <c r="BG183" s="371">
        <v>0</v>
      </c>
      <c r="BH183" s="56" t="s">
        <v>145</v>
      </c>
      <c r="BI183" s="371">
        <v>3</v>
      </c>
      <c r="BJ183" s="371">
        <v>1</v>
      </c>
      <c r="BK183" s="888">
        <v>11253.554</v>
      </c>
      <c r="BL183" s="925">
        <f t="shared" si="159"/>
        <v>50.583744477522387</v>
      </c>
      <c r="BM183" s="888">
        <v>5561.085</v>
      </c>
      <c r="BN183" s="920">
        <v>5692.4690000000001</v>
      </c>
      <c r="BO183" s="888">
        <v>982.13499999999999</v>
      </c>
      <c r="BP183" s="1158">
        <f t="shared" si="135"/>
        <v>48.850005345497308</v>
      </c>
      <c r="BQ183" s="917">
        <v>502.36200000000002</v>
      </c>
      <c r="BR183" s="920">
        <v>479.77300000000002</v>
      </c>
      <c r="BS183" s="888">
        <v>855.72400000000005</v>
      </c>
      <c r="BT183" s="1158">
        <f t="shared" si="136"/>
        <v>48.869729024779012</v>
      </c>
      <c r="BU183" s="917">
        <v>437.53399999999999</v>
      </c>
      <c r="BV183" s="920">
        <v>418.19</v>
      </c>
      <c r="BW183" s="888">
        <v>790.60400000000004</v>
      </c>
      <c r="BX183" s="1158">
        <f t="shared" si="137"/>
        <v>48.828237651213499</v>
      </c>
      <c r="BY183" s="917">
        <v>404.56599999999997</v>
      </c>
      <c r="BZ183" s="920">
        <v>386.03800000000001</v>
      </c>
      <c r="CA183" s="888">
        <f t="shared" si="138"/>
        <v>8625.0910000000003</v>
      </c>
      <c r="CB183" s="1158">
        <f t="shared" si="139"/>
        <v>51.11213319372515</v>
      </c>
      <c r="CC183" s="917">
        <f t="shared" si="140"/>
        <v>4216.6230000000005</v>
      </c>
      <c r="CD183" s="920">
        <f t="shared" si="141"/>
        <v>4408.4680000000008</v>
      </c>
      <c r="CE183" s="914">
        <v>2015</v>
      </c>
      <c r="CF183" s="910" t="s">
        <v>5630</v>
      </c>
      <c r="CG183" s="930">
        <v>99.2</v>
      </c>
      <c r="CH183" s="495">
        <v>98.9</v>
      </c>
      <c r="CI183" s="497">
        <v>99.5</v>
      </c>
      <c r="CJ183" s="904">
        <v>99.7</v>
      </c>
      <c r="CK183" s="904">
        <v>98.3</v>
      </c>
      <c r="CL183" s="904" t="s">
        <v>5577</v>
      </c>
      <c r="CM183" s="905" t="s">
        <v>5573</v>
      </c>
      <c r="CN183" s="1044">
        <v>5308.3540000000003</v>
      </c>
      <c r="CO183" s="1045">
        <f t="shared" si="160"/>
        <v>47.170467214179631</v>
      </c>
      <c r="CP183" s="1040">
        <f t="shared" si="157"/>
        <v>2623.1897766776615</v>
      </c>
      <c r="CQ183" s="1041">
        <f t="shared" si="158"/>
        <v>2685.1642233223388</v>
      </c>
      <c r="CR183" s="1046">
        <v>2014</v>
      </c>
      <c r="CS183" s="1047" t="s">
        <v>6054</v>
      </c>
      <c r="CT183" s="1068">
        <f t="shared" si="161"/>
        <v>18</v>
      </c>
      <c r="CU183" s="1071">
        <v>18</v>
      </c>
      <c r="CV183" s="1068" t="s">
        <v>6072</v>
      </c>
      <c r="CW183" s="1113">
        <v>5308.3540000000003</v>
      </c>
      <c r="CX183" s="1113">
        <v>7885.9520000000002</v>
      </c>
      <c r="CY183" s="1113">
        <v>10937.521000000001</v>
      </c>
      <c r="CZ183" s="494">
        <v>1</v>
      </c>
      <c r="DA183" s="1104">
        <v>5</v>
      </c>
      <c r="DB183" s="1050" t="s">
        <v>647</v>
      </c>
      <c r="DC183" s="1143" t="s">
        <v>320</v>
      </c>
      <c r="DD183" s="978">
        <f t="shared" si="148"/>
        <v>3337.7647040000002</v>
      </c>
      <c r="DE183" s="979">
        <f t="shared" si="162"/>
        <v>29.65964977819452</v>
      </c>
      <c r="DF183" s="979">
        <f t="shared" si="149"/>
        <v>51.822819613520068</v>
      </c>
      <c r="DG183" s="980">
        <f t="shared" si="150"/>
        <v>1608.2223053223388</v>
      </c>
      <c r="DH183" s="980">
        <f t="shared" si="151"/>
        <v>1729.7237816776621</v>
      </c>
      <c r="DI183" s="979">
        <f t="shared" si="163"/>
        <v>28.919218197929698</v>
      </c>
      <c r="DJ183" s="981">
        <f t="shared" si="164"/>
        <v>30.386178329256815</v>
      </c>
      <c r="DK183" s="984">
        <f t="shared" si="165"/>
        <v>3316.7370000000001</v>
      </c>
      <c r="DL183" s="979">
        <f t="shared" si="152"/>
        <v>51.957806020726451</v>
      </c>
      <c r="DM183" s="980">
        <f t="shared" si="166"/>
        <v>1593.433223322339</v>
      </c>
      <c r="DN183" s="985">
        <f t="shared" si="167"/>
        <v>1723.303776677662</v>
      </c>
      <c r="DO183" s="984">
        <f t="shared" si="168"/>
        <v>13.170624000000013</v>
      </c>
      <c r="DP183" s="979">
        <f t="shared" si="153"/>
        <v>30.531127454553403</v>
      </c>
      <c r="DQ183" s="980">
        <f t="shared" si="142"/>
        <v>9.2630999999999144</v>
      </c>
      <c r="DR183" s="985">
        <f t="shared" si="143"/>
        <v>4.0211400000000035</v>
      </c>
      <c r="DS183" s="984">
        <f t="shared" si="169"/>
        <v>7.8570800000000069</v>
      </c>
      <c r="DT183" s="339">
        <f t="shared" si="154"/>
        <v>30.53125334093582</v>
      </c>
      <c r="DU183" s="980">
        <f t="shared" si="144"/>
        <v>5.5259819999999493</v>
      </c>
      <c r="DV183" s="985">
        <f t="shared" si="145"/>
        <v>2.3988650000000025</v>
      </c>
      <c r="DW183" s="979">
        <f t="shared" si="146"/>
        <v>1.0999999999999899</v>
      </c>
      <c r="DX183" s="981">
        <f t="shared" si="147"/>
        <v>0.50000000000000056</v>
      </c>
      <c r="DY183" s="414">
        <v>1.06</v>
      </c>
      <c r="DZ183" s="111">
        <v>2010</v>
      </c>
      <c r="EA183" s="118" t="e">
        <f>#REF!*DY183/100</f>
        <v>#REF!</v>
      </c>
      <c r="EB183" s="123">
        <v>15.5</v>
      </c>
      <c r="EC183" s="113">
        <v>2010</v>
      </c>
      <c r="ED183" s="20">
        <v>1654.4389999999999</v>
      </c>
      <c r="EE183" s="414">
        <v>3.8</v>
      </c>
      <c r="EF183" s="111">
        <v>2005</v>
      </c>
      <c r="EG183" s="380">
        <v>79.653907775878906</v>
      </c>
      <c r="EH183" s="24" t="s">
        <v>328</v>
      </c>
      <c r="EI183" s="287">
        <v>3</v>
      </c>
      <c r="EJ183" s="40" t="s">
        <v>145</v>
      </c>
      <c r="EK183" s="35" t="s">
        <v>145</v>
      </c>
      <c r="EL183" s="95" t="s">
        <v>145</v>
      </c>
      <c r="EM183" s="95" t="s">
        <v>145</v>
      </c>
      <c r="EN183" s="35" t="s">
        <v>145</v>
      </c>
      <c r="EO183" s="95" t="s">
        <v>145</v>
      </c>
      <c r="EP183" s="205" t="s">
        <v>145</v>
      </c>
      <c r="EQ183" s="207" t="s">
        <v>145</v>
      </c>
      <c r="ER183" s="517">
        <v>1</v>
      </c>
      <c r="ES183" s="183" t="s">
        <v>145</v>
      </c>
      <c r="ET183" s="183" t="s">
        <v>3804</v>
      </c>
      <c r="EU183" s="82" t="s">
        <v>145</v>
      </c>
      <c r="EV183" s="82" t="s">
        <v>145</v>
      </c>
      <c r="EW183" s="82" t="s">
        <v>145</v>
      </c>
      <c r="EX183" s="360" t="s">
        <v>145</v>
      </c>
      <c r="EY183" s="159"/>
      <c r="EZ183" s="156"/>
      <c r="FA183" s="323"/>
      <c r="FB183" s="323"/>
      <c r="FC183" s="323"/>
      <c r="FD183" s="160"/>
      <c r="FE183" s="156"/>
      <c r="FF183" s="156"/>
      <c r="FG183" s="156"/>
      <c r="FH183" s="157"/>
      <c r="FI183" s="242"/>
      <c r="FJ183" s="240"/>
      <c r="FK183" s="179"/>
      <c r="FL183" s="179"/>
      <c r="FM183" s="179"/>
      <c r="FN183" s="172"/>
      <c r="FO183" s="164"/>
      <c r="FP183" s="255"/>
      <c r="FQ183" s="183"/>
      <c r="FR183" s="257"/>
      <c r="FS183" s="82"/>
      <c r="FT183" s="259"/>
      <c r="FU183" s="82"/>
      <c r="FV183" s="259"/>
      <c r="FW183" s="82"/>
      <c r="FX183" s="259"/>
      <c r="FY183" s="82"/>
      <c r="FZ183" s="259"/>
      <c r="GA183" s="82"/>
      <c r="GB183" s="261"/>
      <c r="GC183" s="90"/>
      <c r="GD183" s="76">
        <v>3</v>
      </c>
      <c r="GE183" s="445" t="s">
        <v>3430</v>
      </c>
      <c r="GF183" s="447" t="s">
        <v>590</v>
      </c>
      <c r="GG183" s="448">
        <v>3</v>
      </c>
      <c r="GH183" s="449">
        <v>3</v>
      </c>
      <c r="GI183" s="447" t="s">
        <v>590</v>
      </c>
      <c r="GJ183" s="449">
        <v>39</v>
      </c>
      <c r="GK183" s="447">
        <v>11</v>
      </c>
      <c r="GL183" s="448">
        <v>8</v>
      </c>
      <c r="GM183" s="449">
        <v>20</v>
      </c>
      <c r="GN183" s="447" t="s">
        <v>590</v>
      </c>
      <c r="GO183" s="449">
        <v>53</v>
      </c>
      <c r="GP183" s="447">
        <v>18</v>
      </c>
      <c r="GQ183" s="448">
        <v>19</v>
      </c>
      <c r="GR183" s="449">
        <v>16</v>
      </c>
      <c r="GS183" s="446">
        <v>-3</v>
      </c>
      <c r="GT183" s="461">
        <v>-0.11418800801038742</v>
      </c>
      <c r="GU183" s="462">
        <v>-0.9126894474029541</v>
      </c>
      <c r="GV183" s="462">
        <v>-2.1371297771111131E-4</v>
      </c>
      <c r="GW183" s="462">
        <v>-0.34625780582427979</v>
      </c>
      <c r="GX183" s="462">
        <v>-0.20146887004375458</v>
      </c>
      <c r="GY183" s="463">
        <v>-0.14782576262950897</v>
      </c>
      <c r="GZ183" s="10">
        <v>75</v>
      </c>
      <c r="HA183" s="536">
        <v>0.53895000000000004</v>
      </c>
      <c r="HB183" s="536">
        <v>0.64705000000000001</v>
      </c>
      <c r="HC183" s="525">
        <v>0.63778999999999997</v>
      </c>
      <c r="HD183" s="526">
        <v>0.30741000000000002</v>
      </c>
      <c r="HE183" s="527">
        <v>0.67169999999999996</v>
      </c>
      <c r="HF183" s="10">
        <v>99</v>
      </c>
      <c r="HG183" s="532">
        <v>4.2300000000000004</v>
      </c>
      <c r="HH183" s="545">
        <v>4.5599999999999996</v>
      </c>
      <c r="HI183" s="546">
        <v>2.59</v>
      </c>
      <c r="HJ183" s="547">
        <v>6.86</v>
      </c>
      <c r="HK183" s="558" t="s">
        <v>4129</v>
      </c>
      <c r="HL183" s="585" t="s">
        <v>4756</v>
      </c>
      <c r="HM183" s="557">
        <v>2004</v>
      </c>
      <c r="HN183" s="557">
        <v>2004</v>
      </c>
      <c r="HO183" s="557" t="s">
        <v>3985</v>
      </c>
      <c r="HP183" s="562" t="s">
        <v>4130</v>
      </c>
      <c r="HQ183" s="639" t="s">
        <v>4757</v>
      </c>
      <c r="HR183" s="563" t="s">
        <v>4010</v>
      </c>
      <c r="HS183" s="545">
        <v>43</v>
      </c>
      <c r="HT183" s="557">
        <v>90</v>
      </c>
      <c r="HU183" s="557">
        <v>2011</v>
      </c>
      <c r="HV183" s="583" t="s">
        <v>4251</v>
      </c>
      <c r="HW183" s="557">
        <v>4</v>
      </c>
      <c r="HX183" s="557">
        <v>21</v>
      </c>
      <c r="HY183" s="557">
        <v>21</v>
      </c>
      <c r="HZ183" s="557">
        <v>21</v>
      </c>
      <c r="IA183" s="557">
        <v>10</v>
      </c>
      <c r="IB183" s="557">
        <v>1</v>
      </c>
      <c r="IC183" s="547">
        <v>12</v>
      </c>
      <c r="ID183" s="40"/>
      <c r="IE183" s="550"/>
      <c r="IF183" s="550"/>
      <c r="IG183" s="553"/>
      <c r="IH183" s="115"/>
      <c r="II183" s="647" t="s">
        <v>4922</v>
      </c>
      <c r="IJ183" s="423" t="s">
        <v>4926</v>
      </c>
      <c r="IK183" s="10">
        <v>0</v>
      </c>
      <c r="IL183" s="749">
        <f t="shared" si="170"/>
        <v>16</v>
      </c>
      <c r="IM183" s="747">
        <f t="shared" si="171"/>
        <v>64</v>
      </c>
      <c r="IN183" s="750" t="str">
        <f t="shared" si="172"/>
        <v>B</v>
      </c>
      <c r="IO183" s="446">
        <v>1</v>
      </c>
      <c r="IP183" s="902">
        <v>5</v>
      </c>
      <c r="IQ183" s="903">
        <v>0</v>
      </c>
      <c r="IR183" s="993">
        <v>0</v>
      </c>
      <c r="IT183" s="435"/>
      <c r="IU183" s="435"/>
      <c r="IV183" s="435"/>
    </row>
    <row r="184" spans="1:256">
      <c r="A184" s="21">
        <v>182</v>
      </c>
      <c r="B184" s="9"/>
      <c r="C184" s="430" t="s">
        <v>276</v>
      </c>
      <c r="D184" s="424" t="s">
        <v>408</v>
      </c>
      <c r="E184" s="24" t="s">
        <v>12</v>
      </c>
      <c r="F184" s="76" t="s">
        <v>914</v>
      </c>
      <c r="G184" s="102" t="s">
        <v>626</v>
      </c>
      <c r="H184" s="375" t="s">
        <v>2521</v>
      </c>
      <c r="I184" s="95" t="s">
        <v>2520</v>
      </c>
      <c r="J184" s="370">
        <v>2</v>
      </c>
      <c r="K184" s="359">
        <v>1884</v>
      </c>
      <c r="L184" s="371">
        <v>2</v>
      </c>
      <c r="M184" s="373" t="s">
        <v>2498</v>
      </c>
      <c r="N184" s="369" t="s">
        <v>1822</v>
      </c>
      <c r="O184" s="365" t="s">
        <v>3368</v>
      </c>
      <c r="P184" s="362" t="s">
        <v>1677</v>
      </c>
      <c r="Q184" s="370">
        <v>2</v>
      </c>
      <c r="R184" s="370">
        <v>1974</v>
      </c>
      <c r="S184" s="372" t="s">
        <v>2044</v>
      </c>
      <c r="T184" s="370">
        <v>2</v>
      </c>
      <c r="U184" s="370">
        <v>2</v>
      </c>
      <c r="V184" s="370">
        <v>0</v>
      </c>
      <c r="W184" s="369" t="s">
        <v>1822</v>
      </c>
      <c r="X184" s="170">
        <v>1</v>
      </c>
      <c r="Y184" s="369">
        <v>1</v>
      </c>
      <c r="Z184" s="273" t="s">
        <v>2043</v>
      </c>
      <c r="AA184" s="169">
        <v>1</v>
      </c>
      <c r="AB184" s="177"/>
      <c r="AC184" s="171"/>
      <c r="AD184" s="366" t="s">
        <v>5434</v>
      </c>
      <c r="AE184" s="355">
        <v>2015</v>
      </c>
      <c r="AF184" s="355">
        <v>2</v>
      </c>
      <c r="AG184" s="550" t="s">
        <v>5171</v>
      </c>
      <c r="AH184" s="355" t="s">
        <v>3369</v>
      </c>
      <c r="AI184" s="550">
        <v>1</v>
      </c>
      <c r="AJ184" s="550">
        <v>0</v>
      </c>
      <c r="AK184" s="590" t="s">
        <v>145</v>
      </c>
      <c r="AL184" s="387">
        <v>10</v>
      </c>
      <c r="AM184" s="361" t="s">
        <v>3370</v>
      </c>
      <c r="AN184" s="384">
        <v>3</v>
      </c>
      <c r="AO184" s="170">
        <v>0</v>
      </c>
      <c r="AP184" s="369">
        <v>0</v>
      </c>
      <c r="AQ184" s="365" t="s">
        <v>4998</v>
      </c>
      <c r="AR184" s="378" t="s">
        <v>2798</v>
      </c>
      <c r="AS184" s="55">
        <v>2</v>
      </c>
      <c r="AT184" s="370">
        <v>2</v>
      </c>
      <c r="AU184" s="371">
        <v>2010</v>
      </c>
      <c r="AV184" s="370">
        <v>5</v>
      </c>
      <c r="AW184" s="589">
        <v>1500</v>
      </c>
      <c r="AX184" s="687">
        <v>0</v>
      </c>
      <c r="AY184" s="174" t="s">
        <v>3960</v>
      </c>
      <c r="AZ184" s="55">
        <v>2013</v>
      </c>
      <c r="BA184" s="55">
        <v>1</v>
      </c>
      <c r="BB184" s="55">
        <v>2</v>
      </c>
      <c r="BC184" s="174" t="s">
        <v>3961</v>
      </c>
      <c r="BD184" s="55">
        <v>1957</v>
      </c>
      <c r="BE184" s="55">
        <v>2</v>
      </c>
      <c r="BF184" s="371" t="s">
        <v>4610</v>
      </c>
      <c r="BG184" s="371">
        <v>1</v>
      </c>
      <c r="BH184" s="1" t="s">
        <v>3962</v>
      </c>
      <c r="BI184" s="371">
        <v>1</v>
      </c>
      <c r="BJ184" s="371">
        <v>1</v>
      </c>
      <c r="BK184" s="888">
        <v>78665.83</v>
      </c>
      <c r="BL184" s="925">
        <f t="shared" si="159"/>
        <v>50.836898307689623</v>
      </c>
      <c r="BM184" s="888">
        <v>38674.561999999998</v>
      </c>
      <c r="BN184" s="920">
        <v>39991.267999999996</v>
      </c>
      <c r="BO184" s="888">
        <v>6820.8689999999997</v>
      </c>
      <c r="BP184" s="1158">
        <f t="shared" si="135"/>
        <v>48.816419139555393</v>
      </c>
      <c r="BQ184" s="917">
        <v>3491.165</v>
      </c>
      <c r="BR184" s="920">
        <v>3329.7040000000002</v>
      </c>
      <c r="BS184" s="888">
        <v>6670.1840000000002</v>
      </c>
      <c r="BT184" s="1158">
        <f t="shared" si="136"/>
        <v>48.972052345182675</v>
      </c>
      <c r="BU184" s="917">
        <v>3403.6579999999999</v>
      </c>
      <c r="BV184" s="920">
        <v>3266.5259999999998</v>
      </c>
      <c r="BW184" s="888">
        <v>6702.8649999999998</v>
      </c>
      <c r="BX184" s="1158">
        <f t="shared" si="137"/>
        <v>49.011266078012909</v>
      </c>
      <c r="BY184" s="917">
        <v>3417.7060000000001</v>
      </c>
      <c r="BZ184" s="920">
        <v>3285.1590000000001</v>
      </c>
      <c r="CA184" s="888">
        <f t="shared" si="138"/>
        <v>58471.911999999997</v>
      </c>
      <c r="CB184" s="1158">
        <f t="shared" si="139"/>
        <v>51.494603083955937</v>
      </c>
      <c r="CC184" s="917">
        <f t="shared" si="140"/>
        <v>28362.032999999996</v>
      </c>
      <c r="CD184" s="920">
        <f t="shared" si="141"/>
        <v>30109.879000000001</v>
      </c>
      <c r="CE184" s="914">
        <v>2015</v>
      </c>
      <c r="CF184" s="910" t="s">
        <v>5630</v>
      </c>
      <c r="CG184" s="930">
        <v>93.7</v>
      </c>
      <c r="CH184" s="495">
        <v>94.8</v>
      </c>
      <c r="CI184" s="497">
        <v>92.6</v>
      </c>
      <c r="CJ184" s="904">
        <v>94.6</v>
      </c>
      <c r="CK184" s="904">
        <v>91.6</v>
      </c>
      <c r="CL184" s="904">
        <v>2008</v>
      </c>
      <c r="CM184" s="905" t="s">
        <v>5575</v>
      </c>
      <c r="CN184" s="1044">
        <f>54049.94+2899.069</f>
        <v>56949.009000000005</v>
      </c>
      <c r="CO184" s="1045">
        <f t="shared" si="160"/>
        <v>72.393577999494823</v>
      </c>
      <c r="CP184" s="1049">
        <f>26624.286+1537.934</f>
        <v>28162.22</v>
      </c>
      <c r="CQ184" s="1050">
        <f>27425.654+1361.135</f>
        <v>28786.788999999997</v>
      </c>
      <c r="CR184" s="1046">
        <v>2015</v>
      </c>
      <c r="CS184" s="1047" t="s">
        <v>5657</v>
      </c>
      <c r="CT184" s="1068">
        <f t="shared" si="161"/>
        <v>0</v>
      </c>
      <c r="CU184" s="1071">
        <v>18</v>
      </c>
      <c r="CV184" s="1068" t="s">
        <v>6073</v>
      </c>
      <c r="CW184" s="1113">
        <v>56965.099000000002</v>
      </c>
      <c r="CX184" s="1113">
        <v>57579.752</v>
      </c>
      <c r="CY184" s="1113">
        <v>82523.053</v>
      </c>
      <c r="CZ184" s="1048">
        <v>10</v>
      </c>
      <c r="DA184" s="1104">
        <v>6</v>
      </c>
      <c r="DB184" s="1050" t="s">
        <v>647</v>
      </c>
      <c r="DC184" s="1146" t="s">
        <v>322</v>
      </c>
      <c r="DD184" s="978">
        <f t="shared" si="148"/>
        <v>2795.1198339999901</v>
      </c>
      <c r="DE184" s="979">
        <f t="shared" si="162"/>
        <v>3.5531562229750708</v>
      </c>
      <c r="DF184" s="979">
        <f t="shared" si="149"/>
        <v>73.496411889437866</v>
      </c>
      <c r="DG184" s="980">
        <f t="shared" si="150"/>
        <v>736.06450799999516</v>
      </c>
      <c r="DH184" s="980">
        <f t="shared" si="151"/>
        <v>2054.3127860000045</v>
      </c>
      <c r="DI184" s="979">
        <f t="shared" si="163"/>
        <v>1.9032264877362937</v>
      </c>
      <c r="DJ184" s="981">
        <f t="shared" si="164"/>
        <v>5.1369033510015347</v>
      </c>
      <c r="DK184" s="984">
        <f t="shared" si="165"/>
        <v>1522.9029999999912</v>
      </c>
      <c r="DL184" s="979">
        <f t="shared" si="152"/>
        <v>86.879466387551375</v>
      </c>
      <c r="DM184" s="980">
        <f t="shared" si="166"/>
        <v>199.81299999999464</v>
      </c>
      <c r="DN184" s="985">
        <f t="shared" si="167"/>
        <v>1323.0900000000038</v>
      </c>
      <c r="DO184" s="984">
        <f t="shared" si="168"/>
        <v>842.50208699999928</v>
      </c>
      <c r="DP184" s="979">
        <f t="shared" si="153"/>
        <v>57.545814720337994</v>
      </c>
      <c r="DQ184" s="980">
        <f t="shared" si="142"/>
        <v>354.71092800000031</v>
      </c>
      <c r="DR184" s="985">
        <f t="shared" si="143"/>
        <v>484.82469000000043</v>
      </c>
      <c r="DS184" s="984">
        <f t="shared" si="169"/>
        <v>429.71474699999959</v>
      </c>
      <c r="DT184" s="339">
        <f t="shared" si="154"/>
        <v>57.33992089408104</v>
      </c>
      <c r="DU184" s="980">
        <f t="shared" si="144"/>
        <v>181.54058000000015</v>
      </c>
      <c r="DV184" s="985">
        <f t="shared" si="145"/>
        <v>246.39809600000024</v>
      </c>
      <c r="DW184" s="979">
        <f t="shared" si="146"/>
        <v>5.2000000000000046</v>
      </c>
      <c r="DX184" s="981">
        <f t="shared" si="147"/>
        <v>7.4000000000000066</v>
      </c>
      <c r="DY184" s="414">
        <v>1.34</v>
      </c>
      <c r="DZ184" s="111">
        <v>2010</v>
      </c>
      <c r="EA184" s="118" t="e">
        <f>#REF!*DY184/100</f>
        <v>#REF!</v>
      </c>
      <c r="EB184" s="123">
        <v>18.100000000000001</v>
      </c>
      <c r="EC184" s="113">
        <v>2009</v>
      </c>
      <c r="ED184" s="20">
        <v>13328.766876000003</v>
      </c>
      <c r="EE184" s="414">
        <v>16.899999999999999</v>
      </c>
      <c r="EF184" s="121">
        <v>2010</v>
      </c>
      <c r="EG184" s="380">
        <v>94.919746398925795</v>
      </c>
      <c r="EH184" s="24" t="s">
        <v>367</v>
      </c>
      <c r="EI184" s="288">
        <v>0</v>
      </c>
      <c r="EJ184" s="40" t="s">
        <v>145</v>
      </c>
      <c r="EK184" s="35" t="s">
        <v>145</v>
      </c>
      <c r="EL184" s="95" t="s">
        <v>145</v>
      </c>
      <c r="EM184" s="95" t="s">
        <v>145</v>
      </c>
      <c r="EN184" s="35" t="s">
        <v>145</v>
      </c>
      <c r="EO184" s="95" t="s">
        <v>145</v>
      </c>
      <c r="EP184" s="205" t="s">
        <v>145</v>
      </c>
      <c r="EQ184" s="207" t="s">
        <v>145</v>
      </c>
      <c r="ER184" s="517">
        <v>1</v>
      </c>
      <c r="ES184" s="183" t="s">
        <v>145</v>
      </c>
      <c r="ET184" s="183" t="s">
        <v>145</v>
      </c>
      <c r="EU184" s="82" t="s">
        <v>145</v>
      </c>
      <c r="EV184" s="82" t="s">
        <v>3859</v>
      </c>
      <c r="EW184" s="82" t="s">
        <v>3859</v>
      </c>
      <c r="EX184" s="360" t="s">
        <v>145</v>
      </c>
      <c r="EY184" s="159"/>
      <c r="EZ184" s="156"/>
      <c r="FA184" s="323"/>
      <c r="FB184" s="323"/>
      <c r="FC184" s="323"/>
      <c r="FD184" s="160"/>
      <c r="FE184" s="156"/>
      <c r="FF184" s="156"/>
      <c r="FG184" s="156"/>
      <c r="FH184" s="157"/>
      <c r="FI184" s="242"/>
      <c r="FJ184" s="240"/>
      <c r="FK184" s="179"/>
      <c r="FL184" s="179"/>
      <c r="FM184" s="179"/>
      <c r="FN184" s="369"/>
      <c r="FO184" s="164"/>
      <c r="FP184" s="255"/>
      <c r="FQ184" s="183"/>
      <c r="FR184" s="257"/>
      <c r="FS184" s="82"/>
      <c r="FT184" s="259"/>
      <c r="FU184" s="82"/>
      <c r="FV184" s="259"/>
      <c r="FW184" s="82"/>
      <c r="FX184" s="259"/>
      <c r="FY184" s="82"/>
      <c r="FZ184" s="259"/>
      <c r="GA184" s="82"/>
      <c r="GB184" s="261"/>
      <c r="GC184" s="90"/>
      <c r="GD184" s="76">
        <v>1</v>
      </c>
      <c r="GE184" s="445" t="s">
        <v>3424</v>
      </c>
      <c r="GF184" s="447" t="s">
        <v>590</v>
      </c>
      <c r="GG184" s="448">
        <v>3</v>
      </c>
      <c r="GH184" s="449">
        <v>4</v>
      </c>
      <c r="GI184" s="447" t="s">
        <v>590</v>
      </c>
      <c r="GJ184" s="449">
        <v>55</v>
      </c>
      <c r="GK184" s="447">
        <v>14</v>
      </c>
      <c r="GL184" s="448">
        <v>18</v>
      </c>
      <c r="GM184" s="449">
        <v>23</v>
      </c>
      <c r="GN184" s="447" t="s">
        <v>580</v>
      </c>
      <c r="GO184" s="449">
        <v>62</v>
      </c>
      <c r="GP184" s="447">
        <v>23</v>
      </c>
      <c r="GQ184" s="448">
        <v>26</v>
      </c>
      <c r="GR184" s="449">
        <v>13</v>
      </c>
      <c r="GS184" s="446">
        <v>9</v>
      </c>
      <c r="GT184" s="461">
        <v>-0.26261156797409058</v>
      </c>
      <c r="GU184" s="462">
        <v>-1.1948162317276001</v>
      </c>
      <c r="GV184" s="462">
        <v>0.36734390258789063</v>
      </c>
      <c r="GW184" s="462">
        <v>0.4249805212020874</v>
      </c>
      <c r="GX184" s="462">
        <v>7.9689569771289825E-2</v>
      </c>
      <c r="GY184" s="463">
        <v>0.11388041824102402</v>
      </c>
      <c r="GZ184" s="10">
        <v>71</v>
      </c>
      <c r="HA184" s="536">
        <v>0.54427999999999999</v>
      </c>
      <c r="HB184" s="536">
        <v>0.49019000000000001</v>
      </c>
      <c r="HC184" s="525">
        <v>0.55905000000000005</v>
      </c>
      <c r="HD184" s="526">
        <v>0.36048000000000002</v>
      </c>
      <c r="HE184" s="527">
        <v>0.71330000000000005</v>
      </c>
      <c r="HF184" s="10">
        <v>68</v>
      </c>
      <c r="HG184" s="532">
        <v>5.29</v>
      </c>
      <c r="HH184" s="545">
        <v>5.83</v>
      </c>
      <c r="HI184" s="546">
        <v>3.24</v>
      </c>
      <c r="HJ184" s="547">
        <v>8.34</v>
      </c>
      <c r="HK184" s="379" t="s">
        <v>4758</v>
      </c>
      <c r="HL184" s="23" t="s">
        <v>4759</v>
      </c>
      <c r="HM184" s="448">
        <v>2003</v>
      </c>
      <c r="HN184" s="809">
        <v>2015</v>
      </c>
      <c r="HO184" s="448" t="s">
        <v>3985</v>
      </c>
      <c r="HP184" s="562" t="s">
        <v>4760</v>
      </c>
      <c r="HQ184" s="639" t="s">
        <v>4761</v>
      </c>
      <c r="HR184" s="563" t="s">
        <v>145</v>
      </c>
      <c r="HS184" s="545">
        <v>70</v>
      </c>
      <c r="HT184" s="557">
        <v>72</v>
      </c>
      <c r="HU184" s="557">
        <v>2003</v>
      </c>
      <c r="HV184" s="583" t="s">
        <v>4252</v>
      </c>
      <c r="HW184" s="557">
        <v>3</v>
      </c>
      <c r="HX184" s="557">
        <v>24</v>
      </c>
      <c r="HY184" s="557">
        <v>13</v>
      </c>
      <c r="HZ184" s="557">
        <v>21</v>
      </c>
      <c r="IA184" s="557">
        <v>5</v>
      </c>
      <c r="IB184" s="557">
        <v>2</v>
      </c>
      <c r="IC184" s="547">
        <v>4</v>
      </c>
      <c r="ID184" s="660"/>
      <c r="IE184" s="355" t="s">
        <v>5200</v>
      </c>
      <c r="IF184" s="355"/>
      <c r="IG184" s="553"/>
      <c r="IH184" s="339"/>
      <c r="II184" s="553" t="s">
        <v>4922</v>
      </c>
      <c r="IJ184" s="424" t="s">
        <v>4926</v>
      </c>
      <c r="IK184" s="24">
        <v>0</v>
      </c>
      <c r="IL184" s="749">
        <f t="shared" si="170"/>
        <v>22</v>
      </c>
      <c r="IM184" s="747">
        <f t="shared" si="171"/>
        <v>88</v>
      </c>
      <c r="IN184" s="750" t="str">
        <f t="shared" si="172"/>
        <v>A</v>
      </c>
      <c r="IO184" s="446"/>
      <c r="IP184" s="902">
        <v>6</v>
      </c>
      <c r="IQ184" s="903">
        <v>2</v>
      </c>
      <c r="IR184" s="993">
        <v>0</v>
      </c>
      <c r="IT184" s="435"/>
      <c r="IU184" s="435"/>
      <c r="IV184" s="435"/>
    </row>
    <row r="185" spans="1:256">
      <c r="A185" s="21">
        <v>183</v>
      </c>
      <c r="B185" s="9"/>
      <c r="C185" s="430" t="s">
        <v>278</v>
      </c>
      <c r="D185" s="424" t="s">
        <v>408</v>
      </c>
      <c r="E185" s="24" t="s">
        <v>12</v>
      </c>
      <c r="F185" s="76" t="s">
        <v>915</v>
      </c>
      <c r="G185" s="102" t="s">
        <v>623</v>
      </c>
      <c r="H185" s="375" t="s">
        <v>2525</v>
      </c>
      <c r="I185" s="364" t="s">
        <v>2522</v>
      </c>
      <c r="J185" s="370">
        <v>5</v>
      </c>
      <c r="K185" s="359">
        <v>1992</v>
      </c>
      <c r="L185" s="371">
        <v>2</v>
      </c>
      <c r="M185" s="373" t="s">
        <v>145</v>
      </c>
      <c r="N185" s="250">
        <v>0.05</v>
      </c>
      <c r="O185" s="365" t="s">
        <v>145</v>
      </c>
      <c r="P185" s="364" t="s">
        <v>145</v>
      </c>
      <c r="Q185" s="370">
        <v>0</v>
      </c>
      <c r="R185" s="358" t="s">
        <v>145</v>
      </c>
      <c r="S185" s="372" t="s">
        <v>145</v>
      </c>
      <c r="T185" s="370">
        <v>0</v>
      </c>
      <c r="U185" s="358">
        <v>0</v>
      </c>
      <c r="V185" s="370" t="s">
        <v>145</v>
      </c>
      <c r="W185" s="369" t="s">
        <v>145</v>
      </c>
      <c r="X185" s="170">
        <v>0</v>
      </c>
      <c r="Y185" s="369">
        <v>0</v>
      </c>
      <c r="Z185" s="271"/>
      <c r="AA185" s="169"/>
      <c r="AB185" s="177"/>
      <c r="AC185" s="171"/>
      <c r="AD185" s="376" t="s">
        <v>145</v>
      </c>
      <c r="AE185" s="355" t="s">
        <v>145</v>
      </c>
      <c r="AF185" s="355">
        <v>0</v>
      </c>
      <c r="AG185" s="550">
        <v>0</v>
      </c>
      <c r="AH185" s="355" t="s">
        <v>145</v>
      </c>
      <c r="AI185" s="550" t="s">
        <v>145</v>
      </c>
      <c r="AJ185" s="550" t="s">
        <v>145</v>
      </c>
      <c r="AK185" s="590" t="s">
        <v>145</v>
      </c>
      <c r="AL185" s="355">
        <v>0</v>
      </c>
      <c r="AM185" s="360" t="s">
        <v>145</v>
      </c>
      <c r="AN185" s="384" t="s">
        <v>145</v>
      </c>
      <c r="AO185" s="170">
        <v>0</v>
      </c>
      <c r="AP185" s="172">
        <v>0</v>
      </c>
      <c r="AQ185" s="365" t="s">
        <v>4999</v>
      </c>
      <c r="AR185" s="685" t="s">
        <v>5000</v>
      </c>
      <c r="AS185" s="55">
        <v>2</v>
      </c>
      <c r="AT185" s="370">
        <v>5</v>
      </c>
      <c r="AU185" s="367">
        <v>2008</v>
      </c>
      <c r="AV185" s="358">
        <v>5</v>
      </c>
      <c r="AW185" s="589">
        <v>200</v>
      </c>
      <c r="AX185" s="687">
        <v>0</v>
      </c>
      <c r="AY185" s="174" t="s">
        <v>4588</v>
      </c>
      <c r="AZ185" s="55">
        <v>2012</v>
      </c>
      <c r="BA185" s="55">
        <v>1</v>
      </c>
      <c r="BB185" s="55">
        <v>0</v>
      </c>
      <c r="BC185" s="108" t="s">
        <v>145</v>
      </c>
      <c r="BD185" s="55" t="s">
        <v>145</v>
      </c>
      <c r="BE185" s="55">
        <v>0</v>
      </c>
      <c r="BF185" s="371" t="s">
        <v>145</v>
      </c>
      <c r="BG185" s="371">
        <v>0</v>
      </c>
      <c r="BH185" s="56" t="s">
        <v>145</v>
      </c>
      <c r="BI185" s="371">
        <v>0</v>
      </c>
      <c r="BJ185" s="371">
        <v>0</v>
      </c>
      <c r="BK185" s="888">
        <v>5373.5020000000004</v>
      </c>
      <c r="BL185" s="925">
        <f t="shared" si="159"/>
        <v>50.856889976034246</v>
      </c>
      <c r="BM185" s="888">
        <v>2640.7060000000001</v>
      </c>
      <c r="BN185" s="920">
        <v>2732.7959999999998</v>
      </c>
      <c r="BO185" s="888">
        <v>527.72699999999998</v>
      </c>
      <c r="BP185" s="1158">
        <f t="shared" si="135"/>
        <v>49.2239358607765</v>
      </c>
      <c r="BQ185" s="917">
        <v>267.959</v>
      </c>
      <c r="BR185" s="920">
        <v>259.76799999999997</v>
      </c>
      <c r="BS185" s="888">
        <v>497.65600000000001</v>
      </c>
      <c r="BT185" s="1158">
        <f t="shared" si="136"/>
        <v>49.326241419775904</v>
      </c>
      <c r="BU185" s="917">
        <v>252.18100000000001</v>
      </c>
      <c r="BV185" s="920">
        <v>245.47499999999999</v>
      </c>
      <c r="BW185" s="888">
        <v>491.23500000000001</v>
      </c>
      <c r="BX185" s="1158">
        <f t="shared" si="137"/>
        <v>49.337282563335265</v>
      </c>
      <c r="BY185" s="917">
        <v>248.87299999999999</v>
      </c>
      <c r="BZ185" s="920">
        <v>242.36199999999999</v>
      </c>
      <c r="CA185" s="888">
        <f t="shared" si="138"/>
        <v>3856.8840000000005</v>
      </c>
      <c r="CB185" s="1158">
        <f t="shared" si="139"/>
        <v>51.471369115586562</v>
      </c>
      <c r="CC185" s="917">
        <f t="shared" si="140"/>
        <v>1871.6930000000002</v>
      </c>
      <c r="CD185" s="920">
        <f t="shared" si="141"/>
        <v>1985.1909999999998</v>
      </c>
      <c r="CE185" s="914">
        <v>2015</v>
      </c>
      <c r="CF185" s="910" t="s">
        <v>5630</v>
      </c>
      <c r="CG185" s="380">
        <v>95.5</v>
      </c>
      <c r="CH185" s="414">
        <v>95.2</v>
      </c>
      <c r="CI185" s="821">
        <v>95.8</v>
      </c>
      <c r="CJ185" s="904" t="s">
        <v>1621</v>
      </c>
      <c r="CK185" s="904" t="s">
        <v>1621</v>
      </c>
      <c r="CL185" s="904">
        <v>2006</v>
      </c>
      <c r="CM185" s="905" t="s">
        <v>5573</v>
      </c>
      <c r="CN185" s="1044">
        <v>3063.2179999999998</v>
      </c>
      <c r="CO185" s="1045">
        <f t="shared" si="160"/>
        <v>57.005989762356094</v>
      </c>
      <c r="CP185" s="1040">
        <f>IF(OR(CZ185=1,CZ185=10),CN185*(1-BL185/100),IF(DA185=6,CN185*(1-BL185/100),CN185*(1-CB185/100)))</f>
        <v>1505.3605920139232</v>
      </c>
      <c r="CQ185" s="1041">
        <f>IF(OR(CZ185=1,CZ185=10),CN185*BL185/100,IF(DA185=6,CN185*BL185/100,CN185*CB185/100))</f>
        <v>1557.8574079860766</v>
      </c>
      <c r="CR185" s="1046">
        <v>2013</v>
      </c>
      <c r="CS185" s="1013" t="s">
        <v>5658</v>
      </c>
      <c r="CT185" s="1068" t="str">
        <f t="shared" si="161"/>
        <v>-</v>
      </c>
      <c r="CU185" s="1073">
        <v>18</v>
      </c>
      <c r="CV185" s="1068" t="s">
        <v>6074</v>
      </c>
      <c r="CW185" s="1113">
        <v>3063.2179999999998</v>
      </c>
      <c r="CX185" s="1113">
        <v>3357.3589999999999</v>
      </c>
      <c r="CY185" s="1113">
        <v>5113.04</v>
      </c>
      <c r="CZ185" s="494">
        <v>1</v>
      </c>
      <c r="DA185" s="1104">
        <v>4</v>
      </c>
      <c r="DB185" s="1050" t="s">
        <v>647</v>
      </c>
      <c r="DC185" s="1146" t="s">
        <v>322</v>
      </c>
      <c r="DD185" s="978">
        <f t="shared" si="148"/>
        <v>861.91381000000069</v>
      </c>
      <c r="DE185" s="979">
        <f t="shared" si="162"/>
        <v>16.040076099348259</v>
      </c>
      <c r="DF185" s="979">
        <f t="shared" si="149"/>
        <v>53.222607259758703</v>
      </c>
      <c r="DG185" s="980">
        <f t="shared" si="150"/>
        <v>403.24503198607692</v>
      </c>
      <c r="DH185" s="980">
        <f t="shared" si="151"/>
        <v>458.73300201392323</v>
      </c>
      <c r="DI185" s="979">
        <f t="shared" si="163"/>
        <v>15.270349368164304</v>
      </c>
      <c r="DJ185" s="981">
        <f t="shared" si="164"/>
        <v>16.786214631971184</v>
      </c>
      <c r="DK185" s="984">
        <f t="shared" si="165"/>
        <v>793.66600000000062</v>
      </c>
      <c r="DL185" s="979">
        <f t="shared" si="152"/>
        <v>53.84300096185585</v>
      </c>
      <c r="DM185" s="980">
        <f t="shared" si="166"/>
        <v>366.33240798607699</v>
      </c>
      <c r="DN185" s="985">
        <f t="shared" si="167"/>
        <v>427.33359201392318</v>
      </c>
      <c r="DO185" s="984">
        <f t="shared" si="168"/>
        <v>44.500095000000044</v>
      </c>
      <c r="DP185" s="979">
        <f t="shared" si="153"/>
        <v>46.042944402702965</v>
      </c>
      <c r="DQ185" s="980">
        <f t="shared" si="142"/>
        <v>24.050591999999966</v>
      </c>
      <c r="DR185" s="985">
        <f t="shared" si="143"/>
        <v>20.489154000000021</v>
      </c>
      <c r="DS185" s="984">
        <f t="shared" si="169"/>
        <v>23.747715000000021</v>
      </c>
      <c r="DT185" s="339">
        <f t="shared" si="154"/>
        <v>45.942340136724731</v>
      </c>
      <c r="DU185" s="980">
        <f t="shared" si="144"/>
        <v>12.862031999999981</v>
      </c>
      <c r="DV185" s="985">
        <f t="shared" si="145"/>
        <v>10.910256000000009</v>
      </c>
      <c r="DW185" s="979">
        <f t="shared" si="146"/>
        <v>4.7999999999999936</v>
      </c>
      <c r="DX185" s="981">
        <f t="shared" si="147"/>
        <v>4.2000000000000037</v>
      </c>
      <c r="DY185" s="414">
        <v>24.8</v>
      </c>
      <c r="DZ185" s="111">
        <v>1998</v>
      </c>
      <c r="EA185" s="118">
        <v>1266.1146480000002</v>
      </c>
      <c r="EB185" s="123" t="s">
        <v>145</v>
      </c>
      <c r="EC185" s="113" t="s">
        <v>145</v>
      </c>
      <c r="ED185" s="20"/>
      <c r="EE185" s="414">
        <v>30</v>
      </c>
      <c r="EF185" s="111">
        <v>2004</v>
      </c>
      <c r="EG185" s="380">
        <v>99.630477905273395</v>
      </c>
      <c r="EH185" s="24" t="s">
        <v>366</v>
      </c>
      <c r="EI185" s="287">
        <v>3</v>
      </c>
      <c r="EJ185" s="40">
        <v>3</v>
      </c>
      <c r="EK185" s="35" t="s">
        <v>145</v>
      </c>
      <c r="EL185" s="95" t="s">
        <v>145</v>
      </c>
      <c r="EM185" s="95" t="s">
        <v>145</v>
      </c>
      <c r="EN185" s="35" t="s">
        <v>145</v>
      </c>
      <c r="EO185" s="95" t="s">
        <v>1725</v>
      </c>
      <c r="EP185" s="205">
        <v>0.96</v>
      </c>
      <c r="EQ185" s="207" t="s">
        <v>145</v>
      </c>
      <c r="ER185" s="517" t="s">
        <v>145</v>
      </c>
      <c r="ES185" s="183"/>
      <c r="ET185" s="183"/>
      <c r="EU185" s="82"/>
      <c r="EV185" s="82"/>
      <c r="EW185" s="82"/>
      <c r="EX185" s="90"/>
      <c r="EY185" s="159"/>
      <c r="EZ185" s="156"/>
      <c r="FA185" s="323"/>
      <c r="FB185" s="323"/>
      <c r="FC185" s="323"/>
      <c r="FD185" s="160"/>
      <c r="FE185" s="156"/>
      <c r="FF185" s="156"/>
      <c r="FG185" s="156"/>
      <c r="FH185" s="157"/>
      <c r="FI185" s="242"/>
      <c r="FJ185" s="240"/>
      <c r="FK185" s="179"/>
      <c r="FL185" s="179"/>
      <c r="FM185" s="179"/>
      <c r="FN185" s="172"/>
      <c r="FO185" s="164"/>
      <c r="FP185" s="255"/>
      <c r="FQ185" s="183"/>
      <c r="FR185" s="257"/>
      <c r="FS185" s="82"/>
      <c r="FT185" s="259"/>
      <c r="FU185" s="82"/>
      <c r="FV185" s="259"/>
      <c r="FW185" s="82"/>
      <c r="FX185" s="259"/>
      <c r="FY185" s="82"/>
      <c r="FZ185" s="259"/>
      <c r="GA185" s="82"/>
      <c r="GB185" s="261"/>
      <c r="GC185" s="90"/>
      <c r="GD185" s="76">
        <v>1</v>
      </c>
      <c r="GE185" s="445" t="s">
        <v>3424</v>
      </c>
      <c r="GF185" s="447" t="s">
        <v>580</v>
      </c>
      <c r="GG185" s="448">
        <v>7</v>
      </c>
      <c r="GH185" s="449">
        <v>7</v>
      </c>
      <c r="GI185" s="447" t="s">
        <v>145</v>
      </c>
      <c r="GJ185" s="449" t="s">
        <v>145</v>
      </c>
      <c r="GK185" s="447" t="s">
        <v>145</v>
      </c>
      <c r="GL185" s="448" t="s">
        <v>145</v>
      </c>
      <c r="GM185" s="449" t="s">
        <v>145</v>
      </c>
      <c r="GN185" s="447" t="s">
        <v>580</v>
      </c>
      <c r="GO185" s="449">
        <v>95</v>
      </c>
      <c r="GP185" s="447">
        <v>30</v>
      </c>
      <c r="GQ185" s="448">
        <v>36</v>
      </c>
      <c r="GR185" s="449">
        <v>29</v>
      </c>
      <c r="GS185" s="446">
        <v>-8</v>
      </c>
      <c r="GT185" s="461">
        <v>-2.1710250377655029</v>
      </c>
      <c r="GU185" s="462">
        <v>0.17487457394599915</v>
      </c>
      <c r="GV185" s="462">
        <v>-1.3198016881942749</v>
      </c>
      <c r="GW185" s="462">
        <v>-2.1169009208679199</v>
      </c>
      <c r="GX185" s="462">
        <v>-1.3604741096496582</v>
      </c>
      <c r="GY185" s="463">
        <v>-1.3386058807373047</v>
      </c>
      <c r="GZ185" s="10">
        <v>128</v>
      </c>
      <c r="HA185" s="536">
        <v>0.35109000000000001</v>
      </c>
      <c r="HB185" s="536">
        <v>0.11763999999999999</v>
      </c>
      <c r="HC185" s="525">
        <v>8.6610000000000006E-2</v>
      </c>
      <c r="HD185" s="526">
        <v>0.21884999999999999</v>
      </c>
      <c r="HE185" s="527">
        <v>0.74780000000000002</v>
      </c>
      <c r="HF185" s="10" t="s">
        <v>145</v>
      </c>
      <c r="HG185" s="532" t="s">
        <v>145</v>
      </c>
      <c r="HH185" s="524" t="s">
        <v>145</v>
      </c>
      <c r="HI185" s="525" t="s">
        <v>145</v>
      </c>
      <c r="HJ185" s="527" t="s">
        <v>145</v>
      </c>
      <c r="HK185" s="558" t="s">
        <v>145</v>
      </c>
      <c r="HL185" s="82" t="s">
        <v>145</v>
      </c>
      <c r="HM185" s="557" t="s">
        <v>145</v>
      </c>
      <c r="HN185" s="557" t="s">
        <v>145</v>
      </c>
      <c r="HO185" s="526" t="s">
        <v>145</v>
      </c>
      <c r="HP185" s="564" t="s">
        <v>145</v>
      </c>
      <c r="HQ185" s="564" t="s">
        <v>145</v>
      </c>
      <c r="HR185" s="565" t="s">
        <v>145</v>
      </c>
      <c r="HS185" s="524" t="s">
        <v>145</v>
      </c>
      <c r="HT185" s="526" t="s">
        <v>145</v>
      </c>
      <c r="HU185" s="526" t="s">
        <v>145</v>
      </c>
      <c r="HV185" s="582" t="s">
        <v>145</v>
      </c>
      <c r="HW185" s="526" t="s">
        <v>145</v>
      </c>
      <c r="HX185" s="526" t="s">
        <v>145</v>
      </c>
      <c r="HY185" s="526" t="s">
        <v>145</v>
      </c>
      <c r="HZ185" s="526" t="s">
        <v>145</v>
      </c>
      <c r="IA185" s="526" t="s">
        <v>145</v>
      </c>
      <c r="IB185" s="526" t="s">
        <v>145</v>
      </c>
      <c r="IC185" s="527" t="s">
        <v>145</v>
      </c>
      <c r="ID185" s="660"/>
      <c r="IE185" s="550"/>
      <c r="IF185" s="550"/>
      <c r="IG185" s="553"/>
      <c r="IH185" s="339">
        <v>39.799999999999997</v>
      </c>
      <c r="II185" s="553" t="s">
        <v>4922</v>
      </c>
      <c r="IJ185" s="424" t="s">
        <v>4926</v>
      </c>
      <c r="IK185" s="24">
        <v>0</v>
      </c>
      <c r="IL185" s="749">
        <f t="shared" si="170"/>
        <v>5</v>
      </c>
      <c r="IM185" s="747">
        <f t="shared" si="171"/>
        <v>20</v>
      </c>
      <c r="IN185" s="750" t="str">
        <f t="shared" si="172"/>
        <v>D</v>
      </c>
      <c r="IO185" s="446"/>
      <c r="IP185" s="902">
        <v>1</v>
      </c>
      <c r="IQ185" s="903">
        <v>0</v>
      </c>
      <c r="IR185" s="993">
        <v>0</v>
      </c>
      <c r="IT185" s="435"/>
      <c r="IU185" s="435"/>
      <c r="IV185" s="435"/>
    </row>
    <row r="186" spans="1:256">
      <c r="A186" s="21">
        <v>184</v>
      </c>
      <c r="B186" s="9"/>
      <c r="C186" s="430" t="s">
        <v>279</v>
      </c>
      <c r="D186" s="424" t="s">
        <v>407</v>
      </c>
      <c r="E186" s="24" t="s">
        <v>12</v>
      </c>
      <c r="F186" s="76" t="s">
        <v>916</v>
      </c>
      <c r="G186" s="102" t="s">
        <v>628</v>
      </c>
      <c r="H186" s="375" t="s">
        <v>2527</v>
      </c>
      <c r="I186" s="364" t="s">
        <v>2526</v>
      </c>
      <c r="J186" s="370">
        <v>6</v>
      </c>
      <c r="K186" s="359">
        <v>1866</v>
      </c>
      <c r="L186" s="371">
        <v>2</v>
      </c>
      <c r="M186" s="373" t="s">
        <v>145</v>
      </c>
      <c r="N186" s="369" t="s">
        <v>1822</v>
      </c>
      <c r="O186" s="379" t="s">
        <v>145</v>
      </c>
      <c r="P186" s="364" t="s">
        <v>145</v>
      </c>
      <c r="Q186" s="370">
        <v>0</v>
      </c>
      <c r="R186" s="358" t="s">
        <v>145</v>
      </c>
      <c r="S186" s="372" t="s">
        <v>145</v>
      </c>
      <c r="T186" s="370">
        <v>0</v>
      </c>
      <c r="U186" s="358">
        <v>0</v>
      </c>
      <c r="V186" s="370" t="s">
        <v>145</v>
      </c>
      <c r="W186" s="369" t="s">
        <v>145</v>
      </c>
      <c r="X186" s="170">
        <v>0</v>
      </c>
      <c r="Y186" s="369">
        <v>0</v>
      </c>
      <c r="Z186" s="271"/>
      <c r="AA186" s="169"/>
      <c r="AB186" s="177"/>
      <c r="AC186" s="171"/>
      <c r="AD186" s="376" t="s">
        <v>145</v>
      </c>
      <c r="AE186" s="355" t="s">
        <v>145</v>
      </c>
      <c r="AF186" s="355">
        <v>0</v>
      </c>
      <c r="AG186" s="550">
        <v>0</v>
      </c>
      <c r="AH186" s="355" t="s">
        <v>145</v>
      </c>
      <c r="AI186" s="550" t="s">
        <v>145</v>
      </c>
      <c r="AJ186" s="550" t="s">
        <v>145</v>
      </c>
      <c r="AK186" s="590" t="s">
        <v>145</v>
      </c>
      <c r="AL186" s="355">
        <v>0</v>
      </c>
      <c r="AM186" s="360" t="s">
        <v>145</v>
      </c>
      <c r="AN186" s="384" t="s">
        <v>145</v>
      </c>
      <c r="AO186" s="170">
        <v>0</v>
      </c>
      <c r="AP186" s="369">
        <v>0</v>
      </c>
      <c r="AQ186" s="365" t="s">
        <v>5375</v>
      </c>
      <c r="AR186" s="281" t="s">
        <v>5376</v>
      </c>
      <c r="AS186" s="55">
        <v>0</v>
      </c>
      <c r="AT186" s="370">
        <v>3</v>
      </c>
      <c r="AU186" s="367">
        <v>2008</v>
      </c>
      <c r="AV186" s="358">
        <v>5</v>
      </c>
      <c r="AW186" s="589" t="s">
        <v>145</v>
      </c>
      <c r="AX186" s="687">
        <v>0</v>
      </c>
      <c r="AY186" s="174" t="s">
        <v>4596</v>
      </c>
      <c r="AZ186" s="55">
        <v>1992</v>
      </c>
      <c r="BA186" s="55">
        <v>0</v>
      </c>
      <c r="BB186" s="55">
        <v>0</v>
      </c>
      <c r="BC186" s="108" t="s">
        <v>145</v>
      </c>
      <c r="BD186" s="55" t="s">
        <v>145</v>
      </c>
      <c r="BE186" s="55">
        <v>0</v>
      </c>
      <c r="BF186" s="371" t="s">
        <v>145</v>
      </c>
      <c r="BG186" s="371">
        <v>0</v>
      </c>
      <c r="BH186" s="56" t="s">
        <v>145</v>
      </c>
      <c r="BI186" s="371">
        <v>0</v>
      </c>
      <c r="BJ186" s="371">
        <v>0</v>
      </c>
      <c r="BK186" s="888">
        <v>10.782</v>
      </c>
      <c r="BL186" s="925">
        <f t="shared" si="159"/>
        <v>50.704878501205705</v>
      </c>
      <c r="BM186" s="911">
        <v>5.3150000000000004</v>
      </c>
      <c r="BN186" s="921">
        <v>5.4669999999999996</v>
      </c>
      <c r="BO186" s="911">
        <v>1.161</v>
      </c>
      <c r="BP186" s="1159">
        <f t="shared" si="135"/>
        <v>48.664944013781216</v>
      </c>
      <c r="BQ186" s="918">
        <v>0.59599999999999997</v>
      </c>
      <c r="BR186" s="921">
        <v>0.56499999999999995</v>
      </c>
      <c r="BS186" s="911">
        <v>1.0249999999999999</v>
      </c>
      <c r="BT186" s="1159">
        <f t="shared" si="136"/>
        <v>48.292682926829272</v>
      </c>
      <c r="BU186" s="918">
        <v>0.53</v>
      </c>
      <c r="BV186" s="921">
        <v>0.495</v>
      </c>
      <c r="BW186" s="911">
        <v>1.0030000000000001</v>
      </c>
      <c r="BX186" s="1159">
        <f t="shared" si="137"/>
        <v>49.152542372881349</v>
      </c>
      <c r="BY186" s="918">
        <v>0.51</v>
      </c>
      <c r="BZ186" s="921">
        <v>0.49299999999999999</v>
      </c>
      <c r="CA186" s="911">
        <f t="shared" si="138"/>
        <v>7.593</v>
      </c>
      <c r="CB186" s="1159">
        <f t="shared" si="139"/>
        <v>51.547477940208076</v>
      </c>
      <c r="CC186" s="918">
        <f t="shared" si="140"/>
        <v>3.6790000000000003</v>
      </c>
      <c r="CD186" s="921">
        <f t="shared" si="141"/>
        <v>3.9139999999999993</v>
      </c>
      <c r="CE186" s="927">
        <v>2014</v>
      </c>
      <c r="CF186" s="926" t="s">
        <v>5693</v>
      </c>
      <c r="CG186" s="1026">
        <v>49.9</v>
      </c>
      <c r="CH186" s="495">
        <v>49.2</v>
      </c>
      <c r="CI186" s="497">
        <v>50.6</v>
      </c>
      <c r="CJ186" s="904">
        <v>59.6</v>
      </c>
      <c r="CK186" s="904">
        <v>38.200000000000003</v>
      </c>
      <c r="CL186" s="904">
        <v>2007</v>
      </c>
      <c r="CM186" s="905" t="s">
        <v>5575</v>
      </c>
      <c r="CN186" s="1172">
        <v>7.0410000000000004</v>
      </c>
      <c r="CO186" s="1045">
        <f t="shared" si="160"/>
        <v>65.303283249860883</v>
      </c>
      <c r="CP186" s="1040">
        <f>IF(OR(CZ186=1,CZ186=10),CN186*(1-BL186/100),IF(DA186=6,CN186*(1-BL186/100),CN186*(1-CB186/100)))</f>
        <v>3.4708695047301061</v>
      </c>
      <c r="CQ186" s="1041">
        <f>IF(OR(CZ186=1,CZ186=10),CN186*BL186/100,IF(DA186=6,CN186*BL186/100,CN186*CB186/100))</f>
        <v>3.5701304952698938</v>
      </c>
      <c r="CR186" s="1046">
        <v>2015</v>
      </c>
      <c r="CS186" s="1047" t="s">
        <v>6110</v>
      </c>
      <c r="CT186" s="1068" t="str">
        <f t="shared" si="161"/>
        <v>-</v>
      </c>
      <c r="CU186" s="1071">
        <v>18</v>
      </c>
      <c r="CV186" s="1068" t="s">
        <v>6075</v>
      </c>
      <c r="CW186" s="1113">
        <v>7.819</v>
      </c>
      <c r="CX186" s="1113">
        <v>7.0410000000000004</v>
      </c>
      <c r="CY186" s="1113">
        <v>10.869</v>
      </c>
      <c r="CZ186" s="1048">
        <v>10</v>
      </c>
      <c r="DA186" s="1104">
        <v>3</v>
      </c>
      <c r="DB186" s="1050" t="s">
        <v>647</v>
      </c>
      <c r="DC186" s="1146" t="s">
        <v>322</v>
      </c>
      <c r="DD186" s="978">
        <f t="shared" si="148"/>
        <v>2.1496889999999995</v>
      </c>
      <c r="DE186" s="979">
        <f t="shared" si="162"/>
        <v>19.937757373400107</v>
      </c>
      <c r="DF186" s="979">
        <f t="shared" si="149"/>
        <v>51.684290366192776</v>
      </c>
      <c r="DG186" s="980">
        <f t="shared" si="150"/>
        <v>1.0392184952698942</v>
      </c>
      <c r="DH186" s="980">
        <f t="shared" si="151"/>
        <v>1.1110515047301055</v>
      </c>
      <c r="DI186" s="979">
        <f t="shared" si="163"/>
        <v>19.552558706865362</v>
      </c>
      <c r="DJ186" s="981">
        <f t="shared" si="164"/>
        <v>20.322873691789017</v>
      </c>
      <c r="DK186" s="984">
        <f t="shared" si="165"/>
        <v>0.5519999999999996</v>
      </c>
      <c r="DL186" s="979">
        <f t="shared" si="152"/>
        <v>62.295200132265528</v>
      </c>
      <c r="DM186" s="980">
        <f t="shared" si="166"/>
        <v>0.20813049526989413</v>
      </c>
      <c r="DN186" s="985">
        <f t="shared" si="167"/>
        <v>0.34386950473010547</v>
      </c>
      <c r="DO186" s="984">
        <f t="shared" si="168"/>
        <v>1.0160279999999999</v>
      </c>
      <c r="DP186" s="979">
        <f t="shared" si="153"/>
        <v>48.037258815701925</v>
      </c>
      <c r="DQ186" s="980">
        <f t="shared" si="142"/>
        <v>0.52832000000000012</v>
      </c>
      <c r="DR186" s="985">
        <f t="shared" si="143"/>
        <v>0.48807199999999995</v>
      </c>
      <c r="DS186" s="984">
        <f t="shared" si="169"/>
        <v>0.58166099999999998</v>
      </c>
      <c r="DT186" s="339">
        <f t="shared" si="154"/>
        <v>47.984994696223396</v>
      </c>
      <c r="DU186" s="980">
        <f t="shared" si="144"/>
        <v>0.30276799999999998</v>
      </c>
      <c r="DV186" s="985">
        <f t="shared" si="145"/>
        <v>0.27910999999999997</v>
      </c>
      <c r="DW186" s="979">
        <f t="shared" si="146"/>
        <v>50.8</v>
      </c>
      <c r="DX186" s="981">
        <f t="shared" si="147"/>
        <v>49.4</v>
      </c>
      <c r="DY186" s="414" t="s">
        <v>145</v>
      </c>
      <c r="DZ186" s="111" t="s">
        <v>145</v>
      </c>
      <c r="EA186" s="118"/>
      <c r="EB186" s="123" t="s">
        <v>145</v>
      </c>
      <c r="EC186" s="113" t="s">
        <v>145</v>
      </c>
      <c r="ED186" s="20"/>
      <c r="EE186" s="414" t="s">
        <v>145</v>
      </c>
      <c r="EF186" s="111" t="s">
        <v>145</v>
      </c>
      <c r="EG186" s="380" t="s">
        <v>145</v>
      </c>
      <c r="EH186" s="24" t="s">
        <v>335</v>
      </c>
      <c r="EI186" s="287">
        <v>0</v>
      </c>
      <c r="EJ186" s="40" t="s">
        <v>145</v>
      </c>
      <c r="EK186" s="35" t="s">
        <v>145</v>
      </c>
      <c r="EL186" s="364" t="s">
        <v>145</v>
      </c>
      <c r="EM186" s="364" t="s">
        <v>145</v>
      </c>
      <c r="EN186" s="35" t="s">
        <v>145</v>
      </c>
      <c r="EO186" s="364" t="s">
        <v>145</v>
      </c>
      <c r="EP186" s="205" t="s">
        <v>145</v>
      </c>
      <c r="EQ186" s="207" t="s">
        <v>145</v>
      </c>
      <c r="ER186" s="517" t="s">
        <v>145</v>
      </c>
      <c r="ES186" s="183"/>
      <c r="ET186" s="183"/>
      <c r="EU186" s="82"/>
      <c r="EV186" s="82"/>
      <c r="EW186" s="82"/>
      <c r="EX186" s="90"/>
      <c r="EY186" s="159"/>
      <c r="EZ186" s="156"/>
      <c r="FA186" s="323"/>
      <c r="FB186" s="323"/>
      <c r="FC186" s="323"/>
      <c r="FD186" s="160"/>
      <c r="FE186" s="156"/>
      <c r="FF186" s="156"/>
      <c r="FG186" s="156"/>
      <c r="FH186" s="157"/>
      <c r="FI186" s="242"/>
      <c r="FJ186" s="373"/>
      <c r="FK186" s="179"/>
      <c r="FL186" s="179"/>
      <c r="FM186" s="179"/>
      <c r="FN186" s="369"/>
      <c r="FO186" s="164"/>
      <c r="FP186" s="255"/>
      <c r="FQ186" s="183"/>
      <c r="FR186" s="257"/>
      <c r="FS186" s="82"/>
      <c r="FT186" s="259"/>
      <c r="FU186" s="82"/>
      <c r="FV186" s="259"/>
      <c r="FW186" s="82"/>
      <c r="FX186" s="259"/>
      <c r="FY186" s="82"/>
      <c r="FZ186" s="259"/>
      <c r="GA186" s="82"/>
      <c r="GB186" s="261"/>
      <c r="GC186" s="90"/>
      <c r="GD186" s="76">
        <v>2</v>
      </c>
      <c r="GE186" s="445" t="s">
        <v>3425</v>
      </c>
      <c r="GF186" s="447" t="s">
        <v>10</v>
      </c>
      <c r="GG186" s="448">
        <v>1</v>
      </c>
      <c r="GH186" s="449">
        <v>1</v>
      </c>
      <c r="GI186" s="447" t="s">
        <v>145</v>
      </c>
      <c r="GJ186" s="449" t="s">
        <v>145</v>
      </c>
      <c r="GK186" s="447" t="s">
        <v>145</v>
      </c>
      <c r="GL186" s="448" t="s">
        <v>145</v>
      </c>
      <c r="GM186" s="449" t="s">
        <v>145</v>
      </c>
      <c r="GN186" s="447" t="s">
        <v>10</v>
      </c>
      <c r="GO186" s="449">
        <v>27</v>
      </c>
      <c r="GP186" s="447">
        <v>3</v>
      </c>
      <c r="GQ186" s="448">
        <v>11</v>
      </c>
      <c r="GR186" s="449">
        <v>13</v>
      </c>
      <c r="GS186" s="446"/>
      <c r="GT186" s="461">
        <v>0.74477827548980713</v>
      </c>
      <c r="GU186" s="462">
        <v>1.3230555057525635</v>
      </c>
      <c r="GV186" s="462">
        <v>-0.65382921695709229</v>
      </c>
      <c r="GW186" s="462">
        <v>-1.316985011100769</v>
      </c>
      <c r="GX186" s="462">
        <v>0.49187994003295898</v>
      </c>
      <c r="GY186" s="463">
        <v>-0.34834778308868408</v>
      </c>
      <c r="GZ186" s="10">
        <v>137</v>
      </c>
      <c r="HA186" s="536">
        <v>0.30590000000000001</v>
      </c>
      <c r="HB186" s="536">
        <v>0.11763999999999999</v>
      </c>
      <c r="HC186" s="525">
        <v>3.9370000000000002E-2</v>
      </c>
      <c r="HD186" s="526">
        <v>0.17610999999999999</v>
      </c>
      <c r="HE186" s="527">
        <v>0.70220000000000005</v>
      </c>
      <c r="HF186" s="10" t="s">
        <v>145</v>
      </c>
      <c r="HG186" s="532" t="s">
        <v>145</v>
      </c>
      <c r="HH186" s="524" t="s">
        <v>145</v>
      </c>
      <c r="HI186" s="525" t="s">
        <v>145</v>
      </c>
      <c r="HJ186" s="527" t="s">
        <v>145</v>
      </c>
      <c r="HK186" s="558" t="s">
        <v>145</v>
      </c>
      <c r="HL186" s="82" t="s">
        <v>145</v>
      </c>
      <c r="HM186" s="557" t="s">
        <v>145</v>
      </c>
      <c r="HN186" s="557" t="s">
        <v>145</v>
      </c>
      <c r="HO186" s="526" t="s">
        <v>145</v>
      </c>
      <c r="HP186" s="564" t="s">
        <v>145</v>
      </c>
      <c r="HQ186" s="564" t="s">
        <v>145</v>
      </c>
      <c r="HR186" s="565" t="s">
        <v>145</v>
      </c>
      <c r="HS186" s="524" t="s">
        <v>145</v>
      </c>
      <c r="HT186" s="526" t="s">
        <v>145</v>
      </c>
      <c r="HU186" s="526" t="s">
        <v>145</v>
      </c>
      <c r="HV186" s="582" t="s">
        <v>145</v>
      </c>
      <c r="HW186" s="526" t="s">
        <v>145</v>
      </c>
      <c r="HX186" s="526" t="s">
        <v>145</v>
      </c>
      <c r="HY186" s="526" t="s">
        <v>145</v>
      </c>
      <c r="HZ186" s="526" t="s">
        <v>145</v>
      </c>
      <c r="IA186" s="526" t="s">
        <v>145</v>
      </c>
      <c r="IB186" s="526" t="s">
        <v>145</v>
      </c>
      <c r="IC186" s="527" t="s">
        <v>145</v>
      </c>
      <c r="ID186" s="660"/>
      <c r="IE186" s="550"/>
      <c r="IF186" s="550"/>
      <c r="IG186" s="553">
        <v>1</v>
      </c>
      <c r="IH186" s="339"/>
      <c r="II186" s="553" t="s">
        <v>4921</v>
      </c>
      <c r="IJ186" s="424"/>
      <c r="IK186" s="24">
        <v>1</v>
      </c>
      <c r="IL186" s="749">
        <f t="shared" si="170"/>
        <v>2</v>
      </c>
      <c r="IM186" s="747">
        <f t="shared" si="171"/>
        <v>8</v>
      </c>
      <c r="IN186" s="750" t="str">
        <f t="shared" si="172"/>
        <v>D</v>
      </c>
      <c r="IO186" s="446"/>
      <c r="IP186" s="902">
        <v>1</v>
      </c>
      <c r="IQ186" s="903">
        <v>0</v>
      </c>
      <c r="IR186" s="993">
        <v>0</v>
      </c>
      <c r="IT186" s="435"/>
      <c r="IU186" s="435"/>
      <c r="IV186" s="435"/>
    </row>
    <row r="187" spans="1:256">
      <c r="A187" s="21">
        <v>185</v>
      </c>
      <c r="B187" s="9"/>
      <c r="C187" s="430" t="s">
        <v>280</v>
      </c>
      <c r="D187" s="423" t="s">
        <v>406</v>
      </c>
      <c r="E187" s="24" t="s">
        <v>9</v>
      </c>
      <c r="F187" s="76" t="s">
        <v>917</v>
      </c>
      <c r="G187" s="102" t="s">
        <v>631</v>
      </c>
      <c r="H187" s="375" t="s">
        <v>2529</v>
      </c>
      <c r="I187" s="364" t="s">
        <v>2468</v>
      </c>
      <c r="J187" s="370">
        <v>1</v>
      </c>
      <c r="K187" s="359">
        <v>1905</v>
      </c>
      <c r="L187" s="371">
        <v>2</v>
      </c>
      <c r="M187" s="373" t="s">
        <v>1810</v>
      </c>
      <c r="N187" s="369" t="s">
        <v>2528</v>
      </c>
      <c r="O187" s="365" t="s">
        <v>2967</v>
      </c>
      <c r="P187" s="362" t="s">
        <v>2968</v>
      </c>
      <c r="Q187" s="370">
        <v>2</v>
      </c>
      <c r="R187" s="370">
        <v>2014</v>
      </c>
      <c r="S187" s="372" t="s">
        <v>1961</v>
      </c>
      <c r="T187" s="370">
        <v>1</v>
      </c>
      <c r="U187" s="370">
        <v>2</v>
      </c>
      <c r="V187" s="370">
        <v>18</v>
      </c>
      <c r="W187" s="369" t="s">
        <v>1822</v>
      </c>
      <c r="X187" s="170">
        <v>0</v>
      </c>
      <c r="Y187" s="369">
        <v>0</v>
      </c>
      <c r="Z187" s="271"/>
      <c r="AA187" s="169">
        <v>1</v>
      </c>
      <c r="AB187" s="177">
        <v>1</v>
      </c>
      <c r="AC187" s="171"/>
      <c r="AD187" s="340" t="s">
        <v>2967</v>
      </c>
      <c r="AE187" s="355">
        <v>2015</v>
      </c>
      <c r="AF187" s="355">
        <v>2</v>
      </c>
      <c r="AG187" s="550" t="s">
        <v>4272</v>
      </c>
      <c r="AH187" s="355" t="s">
        <v>2785</v>
      </c>
      <c r="AI187" s="550">
        <v>0</v>
      </c>
      <c r="AJ187" s="550">
        <v>0</v>
      </c>
      <c r="AK187" s="590">
        <v>15775</v>
      </c>
      <c r="AL187" s="387">
        <v>10</v>
      </c>
      <c r="AM187" s="361" t="s">
        <v>2957</v>
      </c>
      <c r="AN187" s="342" t="s">
        <v>145</v>
      </c>
      <c r="AO187" s="170">
        <v>0</v>
      </c>
      <c r="AP187" s="369">
        <v>0</v>
      </c>
      <c r="AQ187" s="365" t="s">
        <v>5338</v>
      </c>
      <c r="AR187" s="378" t="s">
        <v>5339</v>
      </c>
      <c r="AS187" s="55">
        <v>1</v>
      </c>
      <c r="AT187" s="370">
        <v>2</v>
      </c>
      <c r="AU187" s="371">
        <v>2010</v>
      </c>
      <c r="AV187" s="370">
        <v>5</v>
      </c>
      <c r="AW187" s="589" t="s">
        <v>145</v>
      </c>
      <c r="AX187" s="687">
        <v>0</v>
      </c>
      <c r="AY187" s="174" t="s">
        <v>3963</v>
      </c>
      <c r="AZ187" s="55">
        <v>2012</v>
      </c>
      <c r="BA187" s="55">
        <v>1</v>
      </c>
      <c r="BB187" s="55">
        <v>1</v>
      </c>
      <c r="BC187" s="174" t="s">
        <v>4425</v>
      </c>
      <c r="BD187" s="55">
        <v>1991</v>
      </c>
      <c r="BE187" s="55">
        <v>1</v>
      </c>
      <c r="BF187" s="371" t="s">
        <v>323</v>
      </c>
      <c r="BG187" s="371">
        <v>0</v>
      </c>
      <c r="BH187" s="56" t="s">
        <v>145</v>
      </c>
      <c r="BI187" s="371">
        <v>2</v>
      </c>
      <c r="BJ187" s="371">
        <v>1</v>
      </c>
      <c r="BK187" s="888">
        <v>39032.383000000002</v>
      </c>
      <c r="BL187" s="925">
        <f t="shared" si="159"/>
        <v>50.023092364101885</v>
      </c>
      <c r="BM187" s="888">
        <v>19507.178</v>
      </c>
      <c r="BN187" s="920">
        <v>19525.205000000002</v>
      </c>
      <c r="BO187" s="888">
        <v>7277.92</v>
      </c>
      <c r="BP187" s="1158">
        <f t="shared" si="135"/>
        <v>49.513116384901181</v>
      </c>
      <c r="BQ187" s="917">
        <v>3674.395</v>
      </c>
      <c r="BR187" s="920">
        <v>3603.5250000000001</v>
      </c>
      <c r="BS187" s="888">
        <v>6227.2860000000001</v>
      </c>
      <c r="BT187" s="1158">
        <f t="shared" si="136"/>
        <v>49.598139542651481</v>
      </c>
      <c r="BU187" s="917">
        <v>3138.6680000000001</v>
      </c>
      <c r="BV187" s="920">
        <v>3088.6179999999999</v>
      </c>
      <c r="BW187" s="888">
        <v>5265.723</v>
      </c>
      <c r="BX187" s="1158">
        <f t="shared" si="137"/>
        <v>49.701323066177238</v>
      </c>
      <c r="BY187" s="917">
        <v>2648.5889999999999</v>
      </c>
      <c r="BZ187" s="920">
        <v>2617.134</v>
      </c>
      <c r="CA187" s="888">
        <f t="shared" si="138"/>
        <v>20261.454000000005</v>
      </c>
      <c r="CB187" s="1158">
        <f t="shared" si="139"/>
        <v>50.420507827325714</v>
      </c>
      <c r="CC187" s="917">
        <f t="shared" si="140"/>
        <v>10045.526</v>
      </c>
      <c r="CD187" s="920">
        <f t="shared" si="141"/>
        <v>10215.928000000002</v>
      </c>
      <c r="CE187" s="914">
        <v>2015</v>
      </c>
      <c r="CF187" s="910" t="s">
        <v>5630</v>
      </c>
      <c r="CG187" s="1026">
        <v>29.9</v>
      </c>
      <c r="CH187" s="495">
        <v>29.9</v>
      </c>
      <c r="CI187" s="497">
        <v>29.9</v>
      </c>
      <c r="CJ187" s="904">
        <v>38</v>
      </c>
      <c r="CK187" s="904">
        <v>28.7</v>
      </c>
      <c r="CL187" s="904">
        <v>2011</v>
      </c>
      <c r="CM187" s="905" t="s">
        <v>5575</v>
      </c>
      <c r="CN187" s="1044">
        <v>13954.129000000001</v>
      </c>
      <c r="CO187" s="1045">
        <f t="shared" si="160"/>
        <v>35.750133421267158</v>
      </c>
      <c r="CP187" s="1040">
        <f>IF(OR(CZ187=1,CZ187=10),CN187*(1-BL187/100),IF(DA187=6,CN187*(1-BL187/100),CN187*(1-CB187/100)))</f>
        <v>6973.8421617240738</v>
      </c>
      <c r="CQ187" s="1041">
        <f>IF(OR(CZ187=1,CZ187=10),CN187*BL187/100,IF(DA187=6,CN187*BL187/100,CN187*CB187/100))</f>
        <v>6980.2868382759279</v>
      </c>
      <c r="CR187" s="1046">
        <v>2011</v>
      </c>
      <c r="CS187" s="1047" t="s">
        <v>6055</v>
      </c>
      <c r="CT187" s="1068">
        <f t="shared" si="161"/>
        <v>18</v>
      </c>
      <c r="CU187" s="1071">
        <v>18</v>
      </c>
      <c r="CV187" s="1068" t="s">
        <v>6076</v>
      </c>
      <c r="CW187" s="1113">
        <v>13954.129000000001</v>
      </c>
      <c r="CX187" s="1113">
        <v>14954.434999999999</v>
      </c>
      <c r="CY187" s="1113">
        <v>34612.25</v>
      </c>
      <c r="CZ187" s="494">
        <v>1</v>
      </c>
      <c r="DA187" s="1104">
        <v>4</v>
      </c>
      <c r="DB187" s="1050" t="s">
        <v>647</v>
      </c>
      <c r="DC187" s="1143" t="s">
        <v>320</v>
      </c>
      <c r="DD187" s="978">
        <f t="shared" si="148"/>
        <v>19465.746229000004</v>
      </c>
      <c r="DE187" s="979">
        <f t="shared" si="162"/>
        <v>49.870760463177469</v>
      </c>
      <c r="DF187" s="979">
        <f t="shared" si="149"/>
        <v>50.146776927470206</v>
      </c>
      <c r="DG187" s="980">
        <f t="shared" si="150"/>
        <v>9704.3018902759268</v>
      </c>
      <c r="DH187" s="980">
        <f t="shared" si="151"/>
        <v>9761.4443387240754</v>
      </c>
      <c r="DI187" s="979">
        <f t="shared" si="163"/>
        <v>49.747338596469085</v>
      </c>
      <c r="DJ187" s="981">
        <f t="shared" si="164"/>
        <v>49.994068378406652</v>
      </c>
      <c r="DK187" s="984">
        <f t="shared" si="165"/>
        <v>6307.3250000000044</v>
      </c>
      <c r="DL187" s="979">
        <f t="shared" si="152"/>
        <v>51.299737396187318</v>
      </c>
      <c r="DM187" s="980">
        <f t="shared" si="166"/>
        <v>3071.6838382759261</v>
      </c>
      <c r="DN187" s="985">
        <f t="shared" si="167"/>
        <v>3235.6411617240738</v>
      </c>
      <c r="DO187" s="984">
        <f t="shared" si="168"/>
        <v>8056.5993090000011</v>
      </c>
      <c r="DP187" s="979">
        <f t="shared" si="153"/>
        <v>49.645414877861839</v>
      </c>
      <c r="DQ187" s="980">
        <f t="shared" si="142"/>
        <v>4056.8671570000006</v>
      </c>
      <c r="DR187" s="985">
        <f t="shared" si="143"/>
        <v>3999.7321520000005</v>
      </c>
      <c r="DS187" s="984">
        <f t="shared" si="169"/>
        <v>5101.8219200000003</v>
      </c>
      <c r="DT187" s="339">
        <f t="shared" si="154"/>
        <v>49.513116384901181</v>
      </c>
      <c r="DU187" s="980">
        <f t="shared" si="144"/>
        <v>2575.7508950000001</v>
      </c>
      <c r="DV187" s="985">
        <f t="shared" si="145"/>
        <v>2526.0710250000002</v>
      </c>
      <c r="DW187" s="979">
        <f t="shared" si="146"/>
        <v>70.100000000000009</v>
      </c>
      <c r="DX187" s="981">
        <f t="shared" si="147"/>
        <v>70.100000000000009</v>
      </c>
      <c r="DY187" s="414">
        <v>38.01</v>
      </c>
      <c r="DZ187" s="111">
        <v>2009</v>
      </c>
      <c r="EA187" s="118">
        <v>13113.4979</v>
      </c>
      <c r="EB187" s="123">
        <v>24.5</v>
      </c>
      <c r="EC187" s="113">
        <v>2009</v>
      </c>
      <c r="ED187" s="20">
        <v>8454.7552250000008</v>
      </c>
      <c r="EE187" s="414">
        <v>24.5</v>
      </c>
      <c r="EF187" s="111">
        <v>2009</v>
      </c>
      <c r="EG187" s="380">
        <v>73.211883544921903</v>
      </c>
      <c r="EH187" s="24" t="s">
        <v>335</v>
      </c>
      <c r="EI187" s="287">
        <v>2</v>
      </c>
      <c r="EJ187" s="40">
        <v>2</v>
      </c>
      <c r="EK187" s="35" t="s">
        <v>145</v>
      </c>
      <c r="EL187" s="364" t="s">
        <v>931</v>
      </c>
      <c r="EM187" s="364" t="s">
        <v>145</v>
      </c>
      <c r="EN187" s="35" t="s">
        <v>145</v>
      </c>
      <c r="EO187" s="364" t="s">
        <v>1646</v>
      </c>
      <c r="EP187" s="205">
        <v>0.21</v>
      </c>
      <c r="EQ187" s="207" t="s">
        <v>145</v>
      </c>
      <c r="ER187" s="517">
        <v>1</v>
      </c>
      <c r="ES187" s="183" t="s">
        <v>145</v>
      </c>
      <c r="ET187" s="183" t="s">
        <v>145</v>
      </c>
      <c r="EU187" s="82" t="s">
        <v>145</v>
      </c>
      <c r="EV187" s="82" t="s">
        <v>3772</v>
      </c>
      <c r="EW187" s="82" t="s">
        <v>145</v>
      </c>
      <c r="EX187" s="360" t="s">
        <v>3772</v>
      </c>
      <c r="EY187" s="159"/>
      <c r="EZ187" s="156"/>
      <c r="FA187" s="323"/>
      <c r="FB187" s="323"/>
      <c r="FC187" s="323"/>
      <c r="FD187" s="160"/>
      <c r="FE187" s="156"/>
      <c r="FF187" s="156"/>
      <c r="FG187" s="156"/>
      <c r="FH187" s="157"/>
      <c r="FI187" s="242"/>
      <c r="FJ187" s="373"/>
      <c r="FK187" s="179"/>
      <c r="FL187" s="179"/>
      <c r="FM187" s="179"/>
      <c r="FN187" s="369"/>
      <c r="FO187" s="164"/>
      <c r="FP187" s="255">
        <v>1</v>
      </c>
      <c r="FQ187" s="183" t="s">
        <v>1935</v>
      </c>
      <c r="FR187" s="257">
        <v>1</v>
      </c>
      <c r="FS187" s="82" t="s">
        <v>1936</v>
      </c>
      <c r="FT187" s="259"/>
      <c r="FU187" s="82"/>
      <c r="FV187" s="259"/>
      <c r="FW187" s="82"/>
      <c r="FX187" s="259">
        <v>1</v>
      </c>
      <c r="FY187" s="82" t="s">
        <v>1937</v>
      </c>
      <c r="FZ187" s="259">
        <v>1</v>
      </c>
      <c r="GA187" s="82" t="s">
        <v>1938</v>
      </c>
      <c r="GB187" s="261"/>
      <c r="GC187" s="90"/>
      <c r="GD187" s="76">
        <v>2</v>
      </c>
      <c r="GE187" s="445" t="s">
        <v>3425</v>
      </c>
      <c r="GF187" s="447" t="s">
        <v>590</v>
      </c>
      <c r="GG187" s="448">
        <v>6</v>
      </c>
      <c r="GH187" s="449">
        <v>4</v>
      </c>
      <c r="GI187" s="447" t="s">
        <v>590</v>
      </c>
      <c r="GJ187" s="449">
        <v>34</v>
      </c>
      <c r="GK187" s="447">
        <v>11</v>
      </c>
      <c r="GL187" s="448">
        <v>7</v>
      </c>
      <c r="GM187" s="449">
        <v>16</v>
      </c>
      <c r="GN187" s="447" t="s">
        <v>590</v>
      </c>
      <c r="GO187" s="449">
        <v>58</v>
      </c>
      <c r="GP187" s="447">
        <v>19</v>
      </c>
      <c r="GQ187" s="448">
        <v>24</v>
      </c>
      <c r="GR187" s="449">
        <v>15</v>
      </c>
      <c r="GS187" s="446">
        <v>7</v>
      </c>
      <c r="GT187" s="461">
        <v>-0.54907214641571045</v>
      </c>
      <c r="GU187" s="462">
        <v>-0.8406258225440979</v>
      </c>
      <c r="GV187" s="462">
        <v>-0.5801740288734436</v>
      </c>
      <c r="GW187" s="462">
        <v>-0.23669642210006714</v>
      </c>
      <c r="GX187" s="462">
        <v>-0.35707482695579529</v>
      </c>
      <c r="GY187" s="463">
        <v>-1.0506607294082642</v>
      </c>
      <c r="GZ187" s="10">
        <v>156</v>
      </c>
      <c r="HA187" s="536">
        <v>0.25925999999999999</v>
      </c>
      <c r="HB187" s="536">
        <v>0.13725000000000001</v>
      </c>
      <c r="HC187" s="525">
        <v>0.14960000000000001</v>
      </c>
      <c r="HD187" s="526">
        <v>0.10108</v>
      </c>
      <c r="HE187" s="527">
        <v>0.52710000000000001</v>
      </c>
      <c r="HF187" s="10">
        <v>146</v>
      </c>
      <c r="HG187" s="532">
        <v>1.94</v>
      </c>
      <c r="HH187" s="545">
        <v>2.1800000000000002</v>
      </c>
      <c r="HI187" s="546">
        <v>0.83</v>
      </c>
      <c r="HJ187" s="547">
        <v>3.66</v>
      </c>
      <c r="HK187" s="379" t="s">
        <v>4762</v>
      </c>
      <c r="HL187" s="23" t="s">
        <v>4763</v>
      </c>
      <c r="HM187" s="696">
        <v>2014</v>
      </c>
      <c r="HN187" s="557" t="s">
        <v>145</v>
      </c>
      <c r="HO187" s="557" t="s">
        <v>145</v>
      </c>
      <c r="HP187" s="562" t="s">
        <v>145</v>
      </c>
      <c r="HQ187" s="562" t="s">
        <v>145</v>
      </c>
      <c r="HR187" s="563" t="s">
        <v>145</v>
      </c>
      <c r="HS187" s="545">
        <v>32</v>
      </c>
      <c r="HT187" s="557">
        <v>97</v>
      </c>
      <c r="HU187" s="557">
        <v>2005</v>
      </c>
      <c r="HV187" s="583" t="s">
        <v>4253</v>
      </c>
      <c r="HW187" s="557">
        <v>6</v>
      </c>
      <c r="HX187" s="557">
        <v>26</v>
      </c>
      <c r="HY187" s="557">
        <v>21</v>
      </c>
      <c r="HZ187" s="557">
        <v>22</v>
      </c>
      <c r="IA187" s="557">
        <v>11</v>
      </c>
      <c r="IB187" s="557">
        <v>6</v>
      </c>
      <c r="IC187" s="547">
        <v>5</v>
      </c>
      <c r="ID187" s="40"/>
      <c r="IE187" s="550"/>
      <c r="IF187" s="550"/>
      <c r="IG187" s="553"/>
      <c r="IH187" s="115"/>
      <c r="II187" s="647" t="s">
        <v>4921</v>
      </c>
      <c r="IJ187" s="423" t="s">
        <v>4918</v>
      </c>
      <c r="IK187" s="10">
        <v>0</v>
      </c>
      <c r="IL187" s="749">
        <f t="shared" si="170"/>
        <v>16</v>
      </c>
      <c r="IM187" s="747">
        <f t="shared" si="171"/>
        <v>64</v>
      </c>
      <c r="IN187" s="750" t="str">
        <f t="shared" si="172"/>
        <v>B</v>
      </c>
      <c r="IO187" s="446">
        <v>1</v>
      </c>
      <c r="IP187" s="902">
        <v>2</v>
      </c>
      <c r="IQ187" s="903">
        <v>0</v>
      </c>
      <c r="IR187" s="993">
        <v>0</v>
      </c>
      <c r="IT187" s="435"/>
      <c r="IU187" s="435"/>
      <c r="IV187" s="435"/>
    </row>
    <row r="188" spans="1:256">
      <c r="A188" s="21">
        <v>186</v>
      </c>
      <c r="B188" s="9"/>
      <c r="C188" s="430" t="s">
        <v>282</v>
      </c>
      <c r="D188" s="424" t="s">
        <v>408</v>
      </c>
      <c r="E188" s="24" t="s">
        <v>20</v>
      </c>
      <c r="F188" s="76" t="s">
        <v>918</v>
      </c>
      <c r="G188" s="102" t="s">
        <v>630</v>
      </c>
      <c r="H188" s="375" t="s">
        <v>2530</v>
      </c>
      <c r="I188" s="364" t="s">
        <v>2523</v>
      </c>
      <c r="J188" s="370">
        <v>1</v>
      </c>
      <c r="K188" s="359">
        <v>1784</v>
      </c>
      <c r="L188" s="371">
        <v>2</v>
      </c>
      <c r="M188" s="373" t="s">
        <v>1825</v>
      </c>
      <c r="N188" s="369" t="s">
        <v>1822</v>
      </c>
      <c r="O188" s="365" t="s">
        <v>5001</v>
      </c>
      <c r="P188" s="364" t="s">
        <v>5002</v>
      </c>
      <c r="Q188" s="370">
        <v>2</v>
      </c>
      <c r="R188" s="358">
        <v>1994</v>
      </c>
      <c r="S188" s="372" t="s">
        <v>5170</v>
      </c>
      <c r="T188" s="370">
        <v>1</v>
      </c>
      <c r="U188" s="358">
        <v>2</v>
      </c>
      <c r="V188" s="370">
        <v>16</v>
      </c>
      <c r="W188" s="369" t="s">
        <v>1822</v>
      </c>
      <c r="X188" s="170">
        <v>1</v>
      </c>
      <c r="Y188" s="369">
        <v>1</v>
      </c>
      <c r="Z188" s="271"/>
      <c r="AA188" s="169">
        <v>1</v>
      </c>
      <c r="AB188" s="177">
        <v>1</v>
      </c>
      <c r="AC188" s="171"/>
      <c r="AD188" s="366" t="s">
        <v>3371</v>
      </c>
      <c r="AE188" s="355">
        <v>2012</v>
      </c>
      <c r="AF188" s="355">
        <v>1</v>
      </c>
      <c r="AG188" s="550">
        <v>2</v>
      </c>
      <c r="AH188" s="355" t="s">
        <v>323</v>
      </c>
      <c r="AI188" s="550">
        <v>0</v>
      </c>
      <c r="AJ188" s="550">
        <v>0</v>
      </c>
      <c r="AK188" s="590" t="s">
        <v>145</v>
      </c>
      <c r="AL188" s="387">
        <v>9</v>
      </c>
      <c r="AM188" s="361" t="s">
        <v>3372</v>
      </c>
      <c r="AN188" s="384" t="s">
        <v>145</v>
      </c>
      <c r="AO188" s="170">
        <v>0</v>
      </c>
      <c r="AP188" s="369">
        <v>0</v>
      </c>
      <c r="AQ188" s="365" t="s">
        <v>5001</v>
      </c>
      <c r="AR188" s="685" t="s">
        <v>5002</v>
      </c>
      <c r="AS188" s="55">
        <v>2</v>
      </c>
      <c r="AT188" s="370">
        <v>2</v>
      </c>
      <c r="AU188" s="367">
        <v>2015</v>
      </c>
      <c r="AV188" s="358">
        <v>10</v>
      </c>
      <c r="AW188" s="589" t="s">
        <v>145</v>
      </c>
      <c r="AX188" s="687">
        <v>0</v>
      </c>
      <c r="AY188" s="174" t="s">
        <v>4426</v>
      </c>
      <c r="AZ188" s="55">
        <v>2011</v>
      </c>
      <c r="BA188" s="55">
        <v>1</v>
      </c>
      <c r="BB188" s="55">
        <v>1</v>
      </c>
      <c r="BC188" s="174" t="s">
        <v>4427</v>
      </c>
      <c r="BD188" s="55">
        <v>1998</v>
      </c>
      <c r="BE188" s="55">
        <v>1</v>
      </c>
      <c r="BF188" s="371" t="s">
        <v>323</v>
      </c>
      <c r="BG188" s="371">
        <v>0</v>
      </c>
      <c r="BH188" s="56" t="s">
        <v>145</v>
      </c>
      <c r="BI188" s="371">
        <v>3</v>
      </c>
      <c r="BJ188" s="371">
        <v>1</v>
      </c>
      <c r="BK188" s="888">
        <v>44823.764999999999</v>
      </c>
      <c r="BL188" s="925">
        <f t="shared" si="159"/>
        <v>53.686630295335526</v>
      </c>
      <c r="BM188" s="888">
        <v>20759.396000000001</v>
      </c>
      <c r="BN188" s="920">
        <v>24064.368999999999</v>
      </c>
      <c r="BO188" s="888">
        <v>2460.8829999999998</v>
      </c>
      <c r="BP188" s="1158">
        <f t="shared" si="135"/>
        <v>48.450332665144998</v>
      </c>
      <c r="BQ188" s="917">
        <v>1268.577</v>
      </c>
      <c r="BR188" s="920">
        <v>1192.306</v>
      </c>
      <c r="BS188" s="888">
        <v>2393.3249999999998</v>
      </c>
      <c r="BT188" s="1158">
        <f t="shared" si="136"/>
        <v>48.545308305391039</v>
      </c>
      <c r="BU188" s="917">
        <v>1231.4780000000001</v>
      </c>
      <c r="BV188" s="920">
        <v>1161.847</v>
      </c>
      <c r="BW188" s="888">
        <v>1836.912</v>
      </c>
      <c r="BX188" s="1158">
        <f t="shared" si="137"/>
        <v>48.509672755145594</v>
      </c>
      <c r="BY188" s="917">
        <v>945.83199999999999</v>
      </c>
      <c r="BZ188" s="920">
        <v>891.08</v>
      </c>
      <c r="CA188" s="888">
        <f t="shared" si="138"/>
        <v>38132.645000000004</v>
      </c>
      <c r="CB188" s="1158">
        <f t="shared" si="139"/>
        <v>54.596621870840565</v>
      </c>
      <c r="CC188" s="917">
        <f t="shared" si="140"/>
        <v>17313.509000000002</v>
      </c>
      <c r="CD188" s="920">
        <f t="shared" si="141"/>
        <v>20819.135999999995</v>
      </c>
      <c r="CE188" s="914">
        <v>2015</v>
      </c>
      <c r="CF188" s="910" t="s">
        <v>5630</v>
      </c>
      <c r="CG188" s="930">
        <v>99.8</v>
      </c>
      <c r="CH188" s="495">
        <v>99.9</v>
      </c>
      <c r="CI188" s="497">
        <v>99.7</v>
      </c>
      <c r="CJ188" s="904">
        <v>99.7</v>
      </c>
      <c r="CK188" s="904">
        <v>100</v>
      </c>
      <c r="CL188" s="904">
        <v>2012</v>
      </c>
      <c r="CM188" s="905" t="s">
        <v>5573</v>
      </c>
      <c r="CN188" s="1044">
        <v>34670.813999999998</v>
      </c>
      <c r="CO188" s="1045">
        <f t="shared" si="160"/>
        <v>77.349178499396459</v>
      </c>
      <c r="CP188" s="1040">
        <f>IF(OR(CZ188=1,CZ188=10),CN188*(1-BL188/100),IF(DA188=6,CN188*(1-BL188/100),CN188*(1-CB188/100)))</f>
        <v>16057.222267436569</v>
      </c>
      <c r="CQ188" s="1041">
        <f>IF(OR(CZ188=1,CZ188=10),CN188*BL188/100,IF(DA188=6,CN188*BL188/100,CN188*CB188/100))</f>
        <v>18613.591732563429</v>
      </c>
      <c r="CR188" s="1046">
        <v>2014</v>
      </c>
      <c r="CS188" s="1047" t="s">
        <v>6056</v>
      </c>
      <c r="CT188" s="1068">
        <f t="shared" si="161"/>
        <v>16</v>
      </c>
      <c r="CU188" s="1071">
        <v>18</v>
      </c>
      <c r="CV188" s="1068" t="s">
        <v>6077</v>
      </c>
      <c r="CW188" s="1113">
        <v>34670.813999999998</v>
      </c>
      <c r="CX188" s="1113">
        <v>36363.25</v>
      </c>
      <c r="CY188" s="1113">
        <v>44291.413</v>
      </c>
      <c r="CZ188" s="494">
        <v>1</v>
      </c>
      <c r="DA188" s="1104">
        <v>4</v>
      </c>
      <c r="DB188" s="1050" t="s">
        <v>647</v>
      </c>
      <c r="DC188" s="1146" t="s">
        <v>322</v>
      </c>
      <c r="DD188" s="978">
        <f t="shared" si="148"/>
        <v>3475.2132400000055</v>
      </c>
      <c r="DE188" s="979">
        <f t="shared" si="162"/>
        <v>7.7530596548505137</v>
      </c>
      <c r="DF188" s="979">
        <f t="shared" si="149"/>
        <v>63.745152122997858</v>
      </c>
      <c r="DG188" s="980">
        <f t="shared" si="150"/>
        <v>1259.7326195634321</v>
      </c>
      <c r="DH188" s="980">
        <f t="shared" si="151"/>
        <v>2215.2799664365662</v>
      </c>
      <c r="DI188" s="979">
        <f t="shared" si="163"/>
        <v>6.0682527543837601</v>
      </c>
      <c r="DJ188" s="981">
        <f t="shared" si="164"/>
        <v>9.2056432746545998</v>
      </c>
      <c r="DK188" s="984">
        <f t="shared" si="165"/>
        <v>3461.8310000000056</v>
      </c>
      <c r="DL188" s="979">
        <f t="shared" si="152"/>
        <v>63.710339049958307</v>
      </c>
      <c r="DM188" s="980">
        <f t="shared" si="166"/>
        <v>1256.2867325634325</v>
      </c>
      <c r="DN188" s="985">
        <f t="shared" si="167"/>
        <v>2205.5442674365659</v>
      </c>
      <c r="DO188" s="984">
        <f t="shared" si="168"/>
        <v>8.4604740000000085</v>
      </c>
      <c r="DP188" s="979">
        <f t="shared" si="153"/>
        <v>72.794751216066615</v>
      </c>
      <c r="DQ188" s="980">
        <f t="shared" si="142"/>
        <v>2.1773099999997605</v>
      </c>
      <c r="DR188" s="985">
        <f t="shared" si="143"/>
        <v>6.1587810000000056</v>
      </c>
      <c r="DS188" s="984">
        <f t="shared" si="169"/>
        <v>4.9217660000000043</v>
      </c>
      <c r="DT188" s="339">
        <f t="shared" si="154"/>
        <v>72.675498997717497</v>
      </c>
      <c r="DU188" s="980">
        <f t="shared" si="144"/>
        <v>1.2685769999998602</v>
      </c>
      <c r="DV188" s="985">
        <f t="shared" si="145"/>
        <v>3.5769180000000032</v>
      </c>
      <c r="DW188" s="979">
        <f t="shared" si="146"/>
        <v>9.9999999999988987E-2</v>
      </c>
      <c r="DX188" s="981">
        <f t="shared" si="147"/>
        <v>0.30000000000000027</v>
      </c>
      <c r="DY188" s="414">
        <v>0.02</v>
      </c>
      <c r="DZ188" s="111">
        <v>2010</v>
      </c>
      <c r="EA188" s="118">
        <v>9</v>
      </c>
      <c r="EB188" s="123">
        <v>2.9</v>
      </c>
      <c r="EC188" s="113">
        <v>2008</v>
      </c>
      <c r="ED188" s="20">
        <v>1325.4769000000001</v>
      </c>
      <c r="EE188" s="414">
        <v>24.1</v>
      </c>
      <c r="EF188" s="121">
        <v>2010</v>
      </c>
      <c r="EG188" s="380">
        <v>99.730216979980497</v>
      </c>
      <c r="EH188" s="24" t="s">
        <v>368</v>
      </c>
      <c r="EI188" s="288">
        <v>0</v>
      </c>
      <c r="EJ188" s="40" t="s">
        <v>145</v>
      </c>
      <c r="EK188" s="35" t="s">
        <v>145</v>
      </c>
      <c r="EL188" s="95" t="s">
        <v>145</v>
      </c>
      <c r="EM188" s="95" t="s">
        <v>145</v>
      </c>
      <c r="EN188" s="35" t="s">
        <v>145</v>
      </c>
      <c r="EO188" s="95" t="s">
        <v>145</v>
      </c>
      <c r="EP188" s="205" t="s">
        <v>145</v>
      </c>
      <c r="EQ188" s="207" t="s">
        <v>145</v>
      </c>
      <c r="ER188" s="517" t="s">
        <v>145</v>
      </c>
      <c r="ES188" s="183"/>
      <c r="ET188" s="183"/>
      <c r="EU188" s="82"/>
      <c r="EV188" s="82"/>
      <c r="EW188" s="82"/>
      <c r="EX188" s="90"/>
      <c r="EY188" s="159"/>
      <c r="EZ188" s="156"/>
      <c r="FA188" s="323"/>
      <c r="FB188" s="323"/>
      <c r="FC188" s="323"/>
      <c r="FD188" s="160"/>
      <c r="FE188" s="156"/>
      <c r="FF188" s="156"/>
      <c r="FG188" s="156"/>
      <c r="FH188" s="157"/>
      <c r="FI188" s="242"/>
      <c r="FJ188" s="240"/>
      <c r="FK188" s="179"/>
      <c r="FL188" s="179"/>
      <c r="FM188" s="179"/>
      <c r="FN188" s="172"/>
      <c r="FO188" s="164"/>
      <c r="FP188" s="255">
        <v>2</v>
      </c>
      <c r="FQ188" s="183"/>
      <c r="FR188" s="257"/>
      <c r="FS188" s="82"/>
      <c r="FT188" s="259"/>
      <c r="FU188" s="82"/>
      <c r="FV188" s="259"/>
      <c r="FW188" s="82"/>
      <c r="FX188" s="259"/>
      <c r="FY188" s="82"/>
      <c r="FZ188" s="259"/>
      <c r="GA188" s="82"/>
      <c r="GB188" s="261"/>
      <c r="GC188" s="90"/>
      <c r="GD188" s="76">
        <v>1</v>
      </c>
      <c r="GE188" s="445" t="s">
        <v>3424</v>
      </c>
      <c r="GF188" s="447" t="s">
        <v>590</v>
      </c>
      <c r="GG188" s="448">
        <v>4</v>
      </c>
      <c r="GH188" s="449">
        <v>3</v>
      </c>
      <c r="GI188" s="447" t="s">
        <v>590</v>
      </c>
      <c r="GJ188" s="449">
        <v>33</v>
      </c>
      <c r="GK188" s="447">
        <v>8</v>
      </c>
      <c r="GL188" s="448">
        <v>8</v>
      </c>
      <c r="GM188" s="449">
        <v>17</v>
      </c>
      <c r="GN188" s="447" t="s">
        <v>580</v>
      </c>
      <c r="GO188" s="449">
        <v>63</v>
      </c>
      <c r="GP188" s="447">
        <v>19</v>
      </c>
      <c r="GQ188" s="448">
        <v>24</v>
      </c>
      <c r="GR188" s="449">
        <v>20</v>
      </c>
      <c r="GS188" s="446">
        <v>7</v>
      </c>
      <c r="GT188" s="461">
        <v>-0.32557454705238342</v>
      </c>
      <c r="GU188" s="462">
        <v>-0.75779855251312256</v>
      </c>
      <c r="GV188" s="462">
        <v>-0.65008199214935303</v>
      </c>
      <c r="GW188" s="462">
        <v>-0.63841933012008667</v>
      </c>
      <c r="GX188" s="462">
        <v>-0.82528936862945557</v>
      </c>
      <c r="GY188" s="463">
        <v>-1.0917834043502808</v>
      </c>
      <c r="GZ188" s="10">
        <v>87</v>
      </c>
      <c r="HA188" s="536">
        <v>0.50316000000000005</v>
      </c>
      <c r="HB188" s="536">
        <v>0.43136999999999998</v>
      </c>
      <c r="HC188" s="525">
        <v>0.26771</v>
      </c>
      <c r="HD188" s="526">
        <v>0.38016</v>
      </c>
      <c r="HE188" s="527">
        <v>0.86160000000000003</v>
      </c>
      <c r="HF188" s="10">
        <v>73</v>
      </c>
      <c r="HG188" s="532">
        <v>5.15</v>
      </c>
      <c r="HH188" s="545">
        <v>6.16</v>
      </c>
      <c r="HI188" s="546">
        <v>2.11</v>
      </c>
      <c r="HJ188" s="547">
        <v>9.23</v>
      </c>
      <c r="HK188" s="558" t="s">
        <v>4050</v>
      </c>
      <c r="HL188" s="585" t="s">
        <v>4642</v>
      </c>
      <c r="HM188" s="557">
        <v>2011</v>
      </c>
      <c r="HN188" s="557">
        <v>2012</v>
      </c>
      <c r="HO188" s="557" t="s">
        <v>3985</v>
      </c>
      <c r="HP188" s="562" t="s">
        <v>4131</v>
      </c>
      <c r="HQ188" s="639" t="s">
        <v>4643</v>
      </c>
      <c r="HR188" s="563" t="s">
        <v>145</v>
      </c>
      <c r="HS188" s="545">
        <v>11</v>
      </c>
      <c r="HT188" s="557">
        <v>115</v>
      </c>
      <c r="HU188" s="557">
        <v>2011</v>
      </c>
      <c r="HV188" s="583" t="s">
        <v>4254</v>
      </c>
      <c r="HW188" s="557">
        <v>5</v>
      </c>
      <c r="HX188" s="557">
        <v>28</v>
      </c>
      <c r="HY188" s="557">
        <v>23</v>
      </c>
      <c r="HZ188" s="557">
        <v>27</v>
      </c>
      <c r="IA188" s="557">
        <v>19</v>
      </c>
      <c r="IB188" s="557">
        <v>5</v>
      </c>
      <c r="IC188" s="547">
        <v>8</v>
      </c>
      <c r="ID188" s="660"/>
      <c r="IE188" s="550"/>
      <c r="IF188" s="550"/>
      <c r="IG188" s="553"/>
      <c r="IH188" s="339"/>
      <c r="II188" s="553" t="s">
        <v>4922</v>
      </c>
      <c r="IJ188" s="424" t="s">
        <v>4926</v>
      </c>
      <c r="IK188" s="24">
        <v>0</v>
      </c>
      <c r="IL188" s="749">
        <f t="shared" si="170"/>
        <v>17</v>
      </c>
      <c r="IM188" s="747">
        <f t="shared" si="171"/>
        <v>68</v>
      </c>
      <c r="IN188" s="750" t="str">
        <f t="shared" si="172"/>
        <v>B</v>
      </c>
      <c r="IO188" s="446"/>
      <c r="IP188" s="902">
        <v>4</v>
      </c>
      <c r="IQ188" s="903">
        <v>0</v>
      </c>
      <c r="IR188" s="993">
        <v>0</v>
      </c>
      <c r="IT188" s="435"/>
      <c r="IU188" s="435"/>
      <c r="IV188" s="435"/>
    </row>
    <row r="189" spans="1:256" s="15" customFormat="1">
      <c r="A189" s="21">
        <v>187</v>
      </c>
      <c r="B189" s="9"/>
      <c r="C189" s="430" t="s">
        <v>283</v>
      </c>
      <c r="D189" s="424" t="s">
        <v>410</v>
      </c>
      <c r="E189" s="24" t="s">
        <v>17</v>
      </c>
      <c r="F189" s="76" t="s">
        <v>919</v>
      </c>
      <c r="G189" s="102" t="s">
        <v>425</v>
      </c>
      <c r="H189" s="284" t="s">
        <v>2532</v>
      </c>
      <c r="I189" s="82" t="s">
        <v>2128</v>
      </c>
      <c r="J189" s="370">
        <v>3</v>
      </c>
      <c r="K189" s="359">
        <v>1971</v>
      </c>
      <c r="L189" s="371">
        <v>2</v>
      </c>
      <c r="M189" s="373" t="s">
        <v>1825</v>
      </c>
      <c r="N189" s="369" t="s">
        <v>2531</v>
      </c>
      <c r="O189" s="365" t="s">
        <v>3373</v>
      </c>
      <c r="P189" s="362" t="s">
        <v>2009</v>
      </c>
      <c r="Q189" s="370">
        <v>6</v>
      </c>
      <c r="R189" s="370">
        <v>2004</v>
      </c>
      <c r="S189" s="372" t="s">
        <v>3374</v>
      </c>
      <c r="T189" s="370">
        <v>2</v>
      </c>
      <c r="U189" s="370">
        <v>2</v>
      </c>
      <c r="V189" s="370" t="s">
        <v>145</v>
      </c>
      <c r="W189" s="369" t="s">
        <v>3375</v>
      </c>
      <c r="X189" s="170">
        <v>1</v>
      </c>
      <c r="Y189" s="369">
        <v>1</v>
      </c>
      <c r="Z189" s="271"/>
      <c r="AA189" s="169"/>
      <c r="AB189" s="177">
        <v>1</v>
      </c>
      <c r="AC189" s="171"/>
      <c r="AD189" s="94" t="s">
        <v>3376</v>
      </c>
      <c r="AE189" s="355">
        <v>2004</v>
      </c>
      <c r="AF189" s="805">
        <v>3</v>
      </c>
      <c r="AG189" s="550" t="s">
        <v>5171</v>
      </c>
      <c r="AH189" s="550" t="s">
        <v>4676</v>
      </c>
      <c r="AI189" s="550">
        <v>1</v>
      </c>
      <c r="AJ189" s="550">
        <v>1</v>
      </c>
      <c r="AK189" s="590">
        <v>17537</v>
      </c>
      <c r="AL189" s="387">
        <v>2</v>
      </c>
      <c r="AM189" s="361" t="s">
        <v>2763</v>
      </c>
      <c r="AN189" s="342" t="s">
        <v>145</v>
      </c>
      <c r="AO189" s="170">
        <v>1</v>
      </c>
      <c r="AP189" s="369">
        <v>0</v>
      </c>
      <c r="AQ189" s="365" t="s">
        <v>5003</v>
      </c>
      <c r="AR189" s="378" t="s">
        <v>2798</v>
      </c>
      <c r="AS189" s="55">
        <v>2</v>
      </c>
      <c r="AT189" s="370">
        <v>2</v>
      </c>
      <c r="AU189" s="371">
        <v>2010</v>
      </c>
      <c r="AV189" s="370">
        <v>5</v>
      </c>
      <c r="AW189" s="589">
        <v>400</v>
      </c>
      <c r="AX189" s="687">
        <v>0</v>
      </c>
      <c r="AY189" s="174" t="s">
        <v>2161</v>
      </c>
      <c r="AZ189" s="55">
        <v>2004</v>
      </c>
      <c r="BA189" s="55">
        <v>1</v>
      </c>
      <c r="BB189" s="55">
        <v>2</v>
      </c>
      <c r="BC189" s="174" t="s">
        <v>4428</v>
      </c>
      <c r="BD189" s="55">
        <v>2006</v>
      </c>
      <c r="BE189" s="55">
        <v>2</v>
      </c>
      <c r="BF189" s="367" t="s">
        <v>4396</v>
      </c>
      <c r="BG189" s="367">
        <v>1</v>
      </c>
      <c r="BH189" s="1" t="s">
        <v>4390</v>
      </c>
      <c r="BI189" s="367">
        <v>0</v>
      </c>
      <c r="BJ189" s="367">
        <v>0</v>
      </c>
      <c r="BK189" s="888">
        <v>9156.9629999999997</v>
      </c>
      <c r="BL189" s="925">
        <f t="shared" si="159"/>
        <v>26.741475312284212</v>
      </c>
      <c r="BM189" s="888">
        <v>6708.2560000000003</v>
      </c>
      <c r="BN189" s="920">
        <v>2448.7069999999999</v>
      </c>
      <c r="BO189" s="888">
        <v>491.34399999999999</v>
      </c>
      <c r="BP189" s="1158">
        <f t="shared" si="135"/>
        <v>48.946969943664719</v>
      </c>
      <c r="BQ189" s="917">
        <v>250.846</v>
      </c>
      <c r="BR189" s="920">
        <v>240.49799999999999</v>
      </c>
      <c r="BS189" s="888">
        <v>431.84</v>
      </c>
      <c r="BT189" s="1158">
        <f t="shared" si="136"/>
        <v>49.015144497962211</v>
      </c>
      <c r="BU189" s="917">
        <v>220.173</v>
      </c>
      <c r="BV189" s="920">
        <v>211.667</v>
      </c>
      <c r="BW189" s="888">
        <v>353.065</v>
      </c>
      <c r="BX189" s="1158">
        <f t="shared" si="137"/>
        <v>48.64854913401215</v>
      </c>
      <c r="BY189" s="917">
        <v>181.304</v>
      </c>
      <c r="BZ189" s="920">
        <v>171.761</v>
      </c>
      <c r="CA189" s="888">
        <f t="shared" si="138"/>
        <v>7880.7140000000009</v>
      </c>
      <c r="CB189" s="1158">
        <f t="shared" si="139"/>
        <v>23.15502123284768</v>
      </c>
      <c r="CC189" s="917">
        <f t="shared" si="140"/>
        <v>6055.933</v>
      </c>
      <c r="CD189" s="920">
        <f t="shared" si="141"/>
        <v>1824.7809999999999</v>
      </c>
      <c r="CE189" s="914">
        <v>2015</v>
      </c>
      <c r="CF189" s="910" t="s">
        <v>5630</v>
      </c>
      <c r="CG189" s="930">
        <v>100</v>
      </c>
      <c r="CH189" s="1005">
        <v>100</v>
      </c>
      <c r="CI189" s="1006">
        <v>100</v>
      </c>
      <c r="CJ189" s="904" t="s">
        <v>1621</v>
      </c>
      <c r="CK189" s="904" t="s">
        <v>1621</v>
      </c>
      <c r="CL189" s="904">
        <v>2012</v>
      </c>
      <c r="CM189" s="905" t="s">
        <v>5612</v>
      </c>
      <c r="CN189" s="1044">
        <v>8264.07</v>
      </c>
      <c r="CO189" s="1045">
        <f t="shared" si="160"/>
        <v>90.249026888063213</v>
      </c>
      <c r="CP189" s="1049">
        <v>6161.8419999999996</v>
      </c>
      <c r="CQ189" s="1050">
        <v>2102.2280000000001</v>
      </c>
      <c r="CR189" s="1046">
        <v>2010</v>
      </c>
      <c r="CS189" s="1047" t="s">
        <v>6058</v>
      </c>
      <c r="CT189" s="1068" t="str">
        <f t="shared" si="161"/>
        <v>-</v>
      </c>
      <c r="CU189" s="1071">
        <v>25</v>
      </c>
      <c r="CV189" s="1068" t="s">
        <v>6057</v>
      </c>
      <c r="CW189" s="1113">
        <v>224.279</v>
      </c>
      <c r="CX189" s="1113" t="s">
        <v>145</v>
      </c>
      <c r="CY189" s="1113" t="s">
        <v>145</v>
      </c>
      <c r="CZ189" s="1048">
        <v>20</v>
      </c>
      <c r="DA189" s="1104">
        <v>6</v>
      </c>
      <c r="DB189" s="1050" t="s">
        <v>647</v>
      </c>
      <c r="DC189" s="1146" t="s">
        <v>322</v>
      </c>
      <c r="DD189" s="978">
        <f t="shared" si="148"/>
        <v>892.89300000000003</v>
      </c>
      <c r="DE189" s="979">
        <f t="shared" si="162"/>
        <v>9.7509731119367853</v>
      </c>
      <c r="DF189" s="979">
        <f t="shared" si="149"/>
        <v>38.804089627760533</v>
      </c>
      <c r="DG189" s="980">
        <f t="shared" si="150"/>
        <v>546.41400000000067</v>
      </c>
      <c r="DH189" s="980">
        <f t="shared" si="151"/>
        <v>346.47899999999981</v>
      </c>
      <c r="DI189" s="979">
        <f t="shared" si="163"/>
        <v>8.1453957630716634</v>
      </c>
      <c r="DJ189" s="981">
        <f t="shared" si="164"/>
        <v>14.149467453639812</v>
      </c>
      <c r="DK189" s="984">
        <f t="shared" si="165"/>
        <v>892.89300000000003</v>
      </c>
      <c r="DL189" s="979">
        <f t="shared" si="152"/>
        <v>38.804089627760533</v>
      </c>
      <c r="DM189" s="980">
        <f t="shared" si="166"/>
        <v>546.41400000000067</v>
      </c>
      <c r="DN189" s="985">
        <f t="shared" si="167"/>
        <v>346.47899999999981</v>
      </c>
      <c r="DO189" s="984">
        <f t="shared" si="168"/>
        <v>0</v>
      </c>
      <c r="DP189" s="979">
        <f t="shared" si="153"/>
        <v>0</v>
      </c>
      <c r="DQ189" s="980">
        <f t="shared" si="142"/>
        <v>0</v>
      </c>
      <c r="DR189" s="985">
        <f t="shared" si="143"/>
        <v>0</v>
      </c>
      <c r="DS189" s="984">
        <f t="shared" si="169"/>
        <v>0</v>
      </c>
      <c r="DT189" s="339">
        <f t="shared" si="154"/>
        <v>0</v>
      </c>
      <c r="DU189" s="980">
        <f t="shared" si="144"/>
        <v>0</v>
      </c>
      <c r="DV189" s="985">
        <f t="shared" si="145"/>
        <v>0</v>
      </c>
      <c r="DW189" s="979">
        <f t="shared" si="146"/>
        <v>0</v>
      </c>
      <c r="DX189" s="981">
        <f t="shared" si="147"/>
        <v>0</v>
      </c>
      <c r="DY189" s="414" t="s">
        <v>145</v>
      </c>
      <c r="DZ189" s="111" t="s">
        <v>145</v>
      </c>
      <c r="EA189" s="118"/>
      <c r="EB189" s="123" t="s">
        <v>145</v>
      </c>
      <c r="EC189" s="113" t="s">
        <v>145</v>
      </c>
      <c r="ED189" s="20"/>
      <c r="EE189" s="414">
        <v>19.5</v>
      </c>
      <c r="EF189" s="121">
        <v>2003</v>
      </c>
      <c r="EG189" s="380">
        <v>90.033843994140597</v>
      </c>
      <c r="EH189" s="24" t="s">
        <v>328</v>
      </c>
      <c r="EI189" s="288">
        <v>0</v>
      </c>
      <c r="EJ189" s="40" t="s">
        <v>145</v>
      </c>
      <c r="EK189" s="35" t="s">
        <v>145</v>
      </c>
      <c r="EL189" s="82" t="s">
        <v>145</v>
      </c>
      <c r="EM189" s="82" t="s">
        <v>145</v>
      </c>
      <c r="EN189" s="35" t="s">
        <v>145</v>
      </c>
      <c r="EO189" s="82" t="s">
        <v>145</v>
      </c>
      <c r="EP189" s="205" t="s">
        <v>145</v>
      </c>
      <c r="EQ189" s="207" t="s">
        <v>145</v>
      </c>
      <c r="ER189" s="517" t="s">
        <v>145</v>
      </c>
      <c r="ES189" s="183"/>
      <c r="ET189" s="183"/>
      <c r="EU189" s="82"/>
      <c r="EV189" s="82"/>
      <c r="EW189" s="82"/>
      <c r="EX189" s="90"/>
      <c r="EY189" s="159"/>
      <c r="EZ189" s="156"/>
      <c r="FA189" s="323"/>
      <c r="FB189" s="323"/>
      <c r="FC189" s="323"/>
      <c r="FD189" s="160"/>
      <c r="FE189" s="156"/>
      <c r="FF189" s="156"/>
      <c r="FG189" s="156"/>
      <c r="FH189" s="157"/>
      <c r="FI189" s="242"/>
      <c r="FJ189" s="373"/>
      <c r="FK189" s="179"/>
      <c r="FL189" s="179"/>
      <c r="FM189" s="179"/>
      <c r="FN189" s="369"/>
      <c r="FO189" s="232"/>
      <c r="FP189" s="255"/>
      <c r="FQ189" s="183"/>
      <c r="FR189" s="257"/>
      <c r="FS189" s="82"/>
      <c r="FT189" s="259"/>
      <c r="FU189" s="82"/>
      <c r="FV189" s="259"/>
      <c r="FW189" s="82"/>
      <c r="FX189" s="259"/>
      <c r="FY189" s="82"/>
      <c r="FZ189" s="259"/>
      <c r="GA189" s="82"/>
      <c r="GB189" s="261"/>
      <c r="GC189" s="90"/>
      <c r="GD189" s="76">
        <v>3</v>
      </c>
      <c r="GE189" s="445" t="s">
        <v>3430</v>
      </c>
      <c r="GF189" s="447" t="s">
        <v>580</v>
      </c>
      <c r="GG189" s="448">
        <v>6</v>
      </c>
      <c r="GH189" s="449">
        <v>6</v>
      </c>
      <c r="GI189" s="447" t="s">
        <v>580</v>
      </c>
      <c r="GJ189" s="449">
        <v>67</v>
      </c>
      <c r="GK189" s="447">
        <v>14</v>
      </c>
      <c r="GL189" s="448">
        <v>22</v>
      </c>
      <c r="GM189" s="449">
        <v>31</v>
      </c>
      <c r="GN189" s="447" t="s">
        <v>580</v>
      </c>
      <c r="GO189" s="449">
        <v>76</v>
      </c>
      <c r="GP189" s="447">
        <v>25</v>
      </c>
      <c r="GQ189" s="448">
        <v>28</v>
      </c>
      <c r="GR189" s="449">
        <v>23</v>
      </c>
      <c r="GS189" s="446">
        <v>-8</v>
      </c>
      <c r="GT189" s="461">
        <v>-1.029416561126709</v>
      </c>
      <c r="GU189" s="462">
        <v>0.9181857705116272</v>
      </c>
      <c r="GV189" s="462">
        <v>1.1673915386199951</v>
      </c>
      <c r="GW189" s="462">
        <v>0.77827703952789307</v>
      </c>
      <c r="GX189" s="462">
        <v>0.64305514097213745</v>
      </c>
      <c r="GY189" s="463">
        <v>1.2931500673294067</v>
      </c>
      <c r="GZ189" s="10">
        <v>32</v>
      </c>
      <c r="HA189" s="536">
        <v>0.71357999999999999</v>
      </c>
      <c r="HB189" s="536">
        <v>0.84313000000000005</v>
      </c>
      <c r="HC189" s="525">
        <v>0.88188</v>
      </c>
      <c r="HD189" s="526">
        <v>0.59319</v>
      </c>
      <c r="HE189" s="527">
        <v>0.66569999999999996</v>
      </c>
      <c r="HF189" s="10">
        <v>32</v>
      </c>
      <c r="HG189" s="532">
        <v>7.03</v>
      </c>
      <c r="HH189" s="545">
        <v>7.67</v>
      </c>
      <c r="HI189" s="546">
        <v>6.51</v>
      </c>
      <c r="HJ189" s="547">
        <v>6.79</v>
      </c>
      <c r="HK189" s="558" t="s">
        <v>145</v>
      </c>
      <c r="HL189" s="82" t="s">
        <v>145</v>
      </c>
      <c r="HM189" s="557" t="s">
        <v>145</v>
      </c>
      <c r="HN189" s="557" t="s">
        <v>145</v>
      </c>
      <c r="HO189" s="557" t="s">
        <v>145</v>
      </c>
      <c r="HP189" s="562" t="s">
        <v>145</v>
      </c>
      <c r="HQ189" s="562" t="s">
        <v>145</v>
      </c>
      <c r="HR189" s="563" t="s">
        <v>145</v>
      </c>
      <c r="HS189" s="545" t="s">
        <v>145</v>
      </c>
      <c r="HT189" s="557" t="s">
        <v>145</v>
      </c>
      <c r="HU189" s="557" t="s">
        <v>145</v>
      </c>
      <c r="HV189" s="581" t="s">
        <v>145</v>
      </c>
      <c r="HW189" s="557" t="s">
        <v>145</v>
      </c>
      <c r="HX189" s="557" t="s">
        <v>145</v>
      </c>
      <c r="HY189" s="557" t="s">
        <v>145</v>
      </c>
      <c r="HZ189" s="557" t="s">
        <v>145</v>
      </c>
      <c r="IA189" s="557" t="s">
        <v>145</v>
      </c>
      <c r="IB189" s="557" t="s">
        <v>145</v>
      </c>
      <c r="IC189" s="547" t="s">
        <v>145</v>
      </c>
      <c r="ID189" s="660"/>
      <c r="IE189" s="550"/>
      <c r="IF189" s="550"/>
      <c r="IG189" s="553"/>
      <c r="IH189" s="339">
        <v>22.3</v>
      </c>
      <c r="II189" s="553" t="s">
        <v>4920</v>
      </c>
      <c r="IJ189" s="424" t="s">
        <v>4926</v>
      </c>
      <c r="IK189" s="24">
        <v>0</v>
      </c>
      <c r="IL189" s="749">
        <f t="shared" si="170"/>
        <v>21</v>
      </c>
      <c r="IM189" s="747">
        <f t="shared" si="171"/>
        <v>84</v>
      </c>
      <c r="IN189" s="750" t="str">
        <f t="shared" si="172"/>
        <v>A</v>
      </c>
      <c r="IO189" s="446"/>
      <c r="IP189" s="902">
        <v>6</v>
      </c>
      <c r="IQ189" s="903">
        <v>0</v>
      </c>
      <c r="IR189" s="993">
        <v>0</v>
      </c>
      <c r="IT189" s="435"/>
      <c r="IU189" s="435"/>
      <c r="IV189" s="435"/>
    </row>
    <row r="190" spans="1:256" s="15" customFormat="1">
      <c r="A190" s="21">
        <v>188</v>
      </c>
      <c r="B190" s="9"/>
      <c r="C190" s="430" t="s">
        <v>284</v>
      </c>
      <c r="D190" s="424"/>
      <c r="E190" s="24" t="s">
        <v>17</v>
      </c>
      <c r="F190" s="76" t="s">
        <v>920</v>
      </c>
      <c r="G190" s="102" t="s">
        <v>506</v>
      </c>
      <c r="H190" s="284" t="s">
        <v>2533</v>
      </c>
      <c r="I190" s="82" t="s">
        <v>2107</v>
      </c>
      <c r="J190" s="370">
        <v>5</v>
      </c>
      <c r="K190" s="359">
        <v>1837</v>
      </c>
      <c r="L190" s="371">
        <v>2</v>
      </c>
      <c r="M190" s="373" t="s">
        <v>2272</v>
      </c>
      <c r="N190" s="369" t="s">
        <v>1822</v>
      </c>
      <c r="O190" s="379" t="s">
        <v>145</v>
      </c>
      <c r="P190" s="362" t="s">
        <v>145</v>
      </c>
      <c r="Q190" s="370">
        <v>0</v>
      </c>
      <c r="R190" s="370" t="s">
        <v>145</v>
      </c>
      <c r="S190" s="372" t="s">
        <v>145</v>
      </c>
      <c r="T190" s="370">
        <v>0</v>
      </c>
      <c r="U190" s="370">
        <v>0</v>
      </c>
      <c r="V190" s="370" t="s">
        <v>145</v>
      </c>
      <c r="W190" s="369" t="s">
        <v>145</v>
      </c>
      <c r="X190" s="170">
        <v>0</v>
      </c>
      <c r="Y190" s="369">
        <v>0</v>
      </c>
      <c r="Z190" s="271"/>
      <c r="AA190" s="169">
        <v>1</v>
      </c>
      <c r="AB190" s="177">
        <v>1</v>
      </c>
      <c r="AC190" s="171"/>
      <c r="AD190" s="94" t="s">
        <v>145</v>
      </c>
      <c r="AE190" s="355" t="s">
        <v>145</v>
      </c>
      <c r="AF190" s="355">
        <v>0</v>
      </c>
      <c r="AG190" s="550">
        <v>0</v>
      </c>
      <c r="AH190" s="355" t="s">
        <v>145</v>
      </c>
      <c r="AI190" s="550" t="s">
        <v>145</v>
      </c>
      <c r="AJ190" s="550" t="s">
        <v>145</v>
      </c>
      <c r="AK190" s="590" t="s">
        <v>145</v>
      </c>
      <c r="AL190" s="395">
        <v>0</v>
      </c>
      <c r="AM190" s="360" t="s">
        <v>145</v>
      </c>
      <c r="AN190" s="384">
        <v>3</v>
      </c>
      <c r="AO190" s="170">
        <v>0</v>
      </c>
      <c r="AP190" s="172">
        <v>0</v>
      </c>
      <c r="AQ190" s="365" t="s">
        <v>5004</v>
      </c>
      <c r="AR190" s="378" t="s">
        <v>5005</v>
      </c>
      <c r="AS190" s="55">
        <v>2</v>
      </c>
      <c r="AT190" s="370">
        <v>2</v>
      </c>
      <c r="AU190" s="371">
        <v>2006</v>
      </c>
      <c r="AV190" s="370">
        <v>10</v>
      </c>
      <c r="AW190" s="589">
        <v>27000</v>
      </c>
      <c r="AX190" s="687">
        <v>1</v>
      </c>
      <c r="AY190" s="174" t="s">
        <v>2182</v>
      </c>
      <c r="AZ190" s="55">
        <v>2006</v>
      </c>
      <c r="BA190" s="55">
        <v>1</v>
      </c>
      <c r="BB190" s="55">
        <v>2</v>
      </c>
      <c r="BC190" s="174" t="s">
        <v>3964</v>
      </c>
      <c r="BD190" s="55">
        <v>2006</v>
      </c>
      <c r="BE190" s="55">
        <v>2</v>
      </c>
      <c r="BF190" s="367" t="s">
        <v>4396</v>
      </c>
      <c r="BG190" s="367">
        <v>1</v>
      </c>
      <c r="BH190" s="1" t="s">
        <v>3965</v>
      </c>
      <c r="BI190" s="367">
        <v>3</v>
      </c>
      <c r="BJ190" s="367">
        <v>1</v>
      </c>
      <c r="BK190" s="888">
        <v>64715.81</v>
      </c>
      <c r="BL190" s="925">
        <f t="shared" si="159"/>
        <v>50.709735379963575</v>
      </c>
      <c r="BM190" s="888">
        <v>31898.594000000001</v>
      </c>
      <c r="BN190" s="920">
        <v>32817.216</v>
      </c>
      <c r="BO190" s="888">
        <v>4057.5459999999998</v>
      </c>
      <c r="BP190" s="1158">
        <f t="shared" si="135"/>
        <v>48.792176354870662</v>
      </c>
      <c r="BQ190" s="917">
        <v>2077.7809999999999</v>
      </c>
      <c r="BR190" s="920">
        <v>1979.7650000000001</v>
      </c>
      <c r="BS190" s="888">
        <v>3975.355</v>
      </c>
      <c r="BT190" s="1158">
        <f t="shared" si="136"/>
        <v>48.857347331244625</v>
      </c>
      <c r="BU190" s="917">
        <v>2033.1020000000001</v>
      </c>
      <c r="BV190" s="920">
        <v>1942.2529999999999</v>
      </c>
      <c r="BW190" s="888">
        <v>3469.83</v>
      </c>
      <c r="BX190" s="1158">
        <f t="shared" si="137"/>
        <v>48.833977457108844</v>
      </c>
      <c r="BY190" s="917">
        <v>1775.374</v>
      </c>
      <c r="BZ190" s="920">
        <v>1694.4559999999999</v>
      </c>
      <c r="CA190" s="888">
        <f t="shared" si="138"/>
        <v>53213.078999999991</v>
      </c>
      <c r="CB190" s="1158">
        <f t="shared" si="139"/>
        <v>51.1166474693186</v>
      </c>
      <c r="CC190" s="917">
        <f t="shared" si="140"/>
        <v>26012.337000000003</v>
      </c>
      <c r="CD190" s="920">
        <f t="shared" si="141"/>
        <v>27200.742000000002</v>
      </c>
      <c r="CE190" s="914">
        <v>2015</v>
      </c>
      <c r="CF190" s="910" t="s">
        <v>5630</v>
      </c>
      <c r="CG190" s="930">
        <v>100</v>
      </c>
      <c r="CH190" s="1005">
        <v>100</v>
      </c>
      <c r="CI190" s="1006">
        <v>100</v>
      </c>
      <c r="CJ190" s="904" t="s">
        <v>1621</v>
      </c>
      <c r="CK190" s="904" t="s">
        <v>1621</v>
      </c>
      <c r="CL190" s="904">
        <v>2010</v>
      </c>
      <c r="CM190" s="905" t="s">
        <v>5576</v>
      </c>
      <c r="CN190" s="1044">
        <v>46425.385999999999</v>
      </c>
      <c r="CO190" s="1045">
        <f t="shared" si="160"/>
        <v>71.737317357226928</v>
      </c>
      <c r="CP190" s="1040">
        <f>IF(OR(CZ190=1,CZ190=10),CN190*(1-BL190/100),IF(DA190=6,CN190*(1-BL190/100),CN190*(1-CB190/100)))</f>
        <v>22883.195610273346</v>
      </c>
      <c r="CQ190" s="1041">
        <f>IF(OR(CZ190=1,CZ190=10),CN190*BL190/100,IF(DA190=6,CN190*BL190/100,CN190*CB190/100))</f>
        <v>23542.190389726657</v>
      </c>
      <c r="CR190" s="1046">
        <v>2015</v>
      </c>
      <c r="CS190" s="1047" t="s">
        <v>5659</v>
      </c>
      <c r="CT190" s="1068" t="str">
        <f t="shared" si="161"/>
        <v>-</v>
      </c>
      <c r="CU190" s="1071">
        <v>18</v>
      </c>
      <c r="CV190" s="1068" t="s">
        <v>6078</v>
      </c>
      <c r="CW190" s="1113">
        <v>46425.385999999999</v>
      </c>
      <c r="CX190" s="1113">
        <v>50780.423000000003</v>
      </c>
      <c r="CY190" s="1113">
        <v>64088.222000000002</v>
      </c>
      <c r="CZ190" s="494">
        <v>1</v>
      </c>
      <c r="DA190" s="1104">
        <v>4</v>
      </c>
      <c r="DB190" s="1050" t="s">
        <v>647</v>
      </c>
      <c r="DC190" s="1145" t="s">
        <v>323</v>
      </c>
      <c r="DD190" s="1131">
        <f t="shared" si="148"/>
        <v>6787.692999999992</v>
      </c>
      <c r="DE190" s="1132">
        <f t="shared" si="162"/>
        <v>10.488461783913378</v>
      </c>
      <c r="DF190" s="1132">
        <f t="shared" si="149"/>
        <v>53.899780238637042</v>
      </c>
      <c r="DG190" s="1133">
        <f t="shared" si="150"/>
        <v>3129.1413897266575</v>
      </c>
      <c r="DH190" s="1133">
        <f t="shared" si="151"/>
        <v>3658.5516102733454</v>
      </c>
      <c r="DI190" s="1132">
        <f t="shared" si="163"/>
        <v>9.8096530202135472</v>
      </c>
      <c r="DJ190" s="1134">
        <f t="shared" si="164"/>
        <v>11.148269281200896</v>
      </c>
      <c r="DK190" s="1135">
        <f t="shared" si="165"/>
        <v>6787.692999999992</v>
      </c>
      <c r="DL190" s="1132">
        <f t="shared" si="152"/>
        <v>53.899780238637042</v>
      </c>
      <c r="DM190" s="1133">
        <f t="shared" si="166"/>
        <v>3129.1413897266575</v>
      </c>
      <c r="DN190" s="1136">
        <f t="shared" si="167"/>
        <v>3658.5516102733454</v>
      </c>
      <c r="DO190" s="1135">
        <f t="shared" si="168"/>
        <v>0</v>
      </c>
      <c r="DP190" s="1132">
        <f t="shared" si="153"/>
        <v>0</v>
      </c>
      <c r="DQ190" s="1133">
        <f t="shared" si="142"/>
        <v>0</v>
      </c>
      <c r="DR190" s="1136">
        <f t="shared" si="143"/>
        <v>0</v>
      </c>
      <c r="DS190" s="1135">
        <f t="shared" si="169"/>
        <v>0</v>
      </c>
      <c r="DT190" s="1137">
        <f t="shared" si="154"/>
        <v>0</v>
      </c>
      <c r="DU190" s="1133">
        <f t="shared" si="144"/>
        <v>0</v>
      </c>
      <c r="DV190" s="1136">
        <f t="shared" si="145"/>
        <v>0</v>
      </c>
      <c r="DW190" s="1132">
        <f t="shared" si="146"/>
        <v>0</v>
      </c>
      <c r="DX190" s="1134">
        <f t="shared" si="147"/>
        <v>0</v>
      </c>
      <c r="DY190" s="414" t="s">
        <v>145</v>
      </c>
      <c r="DZ190" s="111" t="s">
        <v>145</v>
      </c>
      <c r="EA190" s="118"/>
      <c r="EB190" s="123" t="s">
        <v>145</v>
      </c>
      <c r="EC190" s="113" t="s">
        <v>145</v>
      </c>
      <c r="ED190" s="20"/>
      <c r="EE190" s="414">
        <v>16.2</v>
      </c>
      <c r="EF190" s="111">
        <v>2011</v>
      </c>
      <c r="EG190" s="380" t="s">
        <v>145</v>
      </c>
      <c r="EH190" s="24" t="s">
        <v>335</v>
      </c>
      <c r="EI190" s="287">
        <v>0</v>
      </c>
      <c r="EJ190" s="40" t="s">
        <v>145</v>
      </c>
      <c r="EK190" s="35" t="s">
        <v>145</v>
      </c>
      <c r="EL190" s="82" t="s">
        <v>145</v>
      </c>
      <c r="EM190" s="82" t="s">
        <v>145</v>
      </c>
      <c r="EN190" s="35" t="s">
        <v>145</v>
      </c>
      <c r="EO190" s="82" t="s">
        <v>145</v>
      </c>
      <c r="EP190" s="205" t="s">
        <v>145</v>
      </c>
      <c r="EQ190" s="207" t="s">
        <v>145</v>
      </c>
      <c r="ER190" s="517" t="s">
        <v>145</v>
      </c>
      <c r="ES190" s="183"/>
      <c r="ET190" s="183"/>
      <c r="EU190" s="82"/>
      <c r="EV190" s="82"/>
      <c r="EW190" s="82"/>
      <c r="EX190" s="90"/>
      <c r="EY190" s="159"/>
      <c r="EZ190" s="156"/>
      <c r="FA190" s="323"/>
      <c r="FB190" s="323"/>
      <c r="FC190" s="323"/>
      <c r="FD190" s="160"/>
      <c r="FE190" s="156"/>
      <c r="FF190" s="156"/>
      <c r="FG190" s="156"/>
      <c r="FH190" s="157"/>
      <c r="FI190" s="242"/>
      <c r="FJ190" s="240"/>
      <c r="FK190" s="179"/>
      <c r="FL190" s="179"/>
      <c r="FM190" s="179"/>
      <c r="FN190" s="172"/>
      <c r="FO190" s="164"/>
      <c r="FP190" s="255">
        <v>2</v>
      </c>
      <c r="FQ190" s="183"/>
      <c r="FR190" s="257"/>
      <c r="FS190" s="82"/>
      <c r="FT190" s="259"/>
      <c r="FU190" s="82"/>
      <c r="FV190" s="259"/>
      <c r="FW190" s="82"/>
      <c r="FX190" s="259"/>
      <c r="FY190" s="82"/>
      <c r="FZ190" s="259"/>
      <c r="GA190" s="82"/>
      <c r="GB190" s="261"/>
      <c r="GC190" s="90"/>
      <c r="GD190" s="76">
        <v>2</v>
      </c>
      <c r="GE190" s="445" t="s">
        <v>3425</v>
      </c>
      <c r="GF190" s="447" t="s">
        <v>10</v>
      </c>
      <c r="GG190" s="448">
        <v>1</v>
      </c>
      <c r="GH190" s="449">
        <v>1</v>
      </c>
      <c r="GI190" s="447" t="s">
        <v>10</v>
      </c>
      <c r="GJ190" s="449">
        <v>24</v>
      </c>
      <c r="GK190" s="447">
        <v>2</v>
      </c>
      <c r="GL190" s="448">
        <v>6</v>
      </c>
      <c r="GM190" s="449">
        <v>16</v>
      </c>
      <c r="GN190" s="447" t="s">
        <v>10</v>
      </c>
      <c r="GO190" s="449">
        <v>23</v>
      </c>
      <c r="GP190" s="447">
        <v>8</v>
      </c>
      <c r="GQ190" s="448">
        <v>10</v>
      </c>
      <c r="GR190" s="449">
        <v>5</v>
      </c>
      <c r="GS190" s="446">
        <v>10</v>
      </c>
      <c r="GT190" s="461">
        <v>1.3169810771942139</v>
      </c>
      <c r="GU190" s="462">
        <v>0.48337709903717041</v>
      </c>
      <c r="GV190" s="462">
        <v>1.4710603952407837</v>
      </c>
      <c r="GW190" s="462">
        <v>1.765687108039856</v>
      </c>
      <c r="GX190" s="462">
        <v>1.6732847690582275</v>
      </c>
      <c r="GY190" s="463">
        <v>1.681486964225769</v>
      </c>
      <c r="GZ190" s="10">
        <v>8</v>
      </c>
      <c r="HA190" s="536">
        <v>0.86948000000000003</v>
      </c>
      <c r="HB190" s="536">
        <v>0.96077999999999997</v>
      </c>
      <c r="HC190" s="525">
        <v>0.89763000000000004</v>
      </c>
      <c r="HD190" s="526">
        <v>0.85340000000000005</v>
      </c>
      <c r="HE190" s="527">
        <v>0.85740000000000005</v>
      </c>
      <c r="HF190" s="10">
        <v>5</v>
      </c>
      <c r="HG190" s="532">
        <v>8.5</v>
      </c>
      <c r="HH190" s="545">
        <v>9.18</v>
      </c>
      <c r="HI190" s="546">
        <v>7.88</v>
      </c>
      <c r="HJ190" s="547">
        <v>8.41</v>
      </c>
      <c r="HK190" s="558" t="s">
        <v>4132</v>
      </c>
      <c r="HL190" s="585" t="s">
        <v>4644</v>
      </c>
      <c r="HM190" s="557">
        <v>1984</v>
      </c>
      <c r="HN190" s="557">
        <v>2000</v>
      </c>
      <c r="HO190" s="557" t="s">
        <v>3985</v>
      </c>
      <c r="HP190" s="562" t="s">
        <v>3997</v>
      </c>
      <c r="HQ190" s="639" t="s">
        <v>4645</v>
      </c>
      <c r="HR190" s="563" t="s">
        <v>4066</v>
      </c>
      <c r="HS190" s="545">
        <v>29</v>
      </c>
      <c r="HT190" s="557">
        <v>99</v>
      </c>
      <c r="HU190" s="557">
        <v>2000</v>
      </c>
      <c r="HV190" s="583" t="s">
        <v>4264</v>
      </c>
      <c r="HW190" s="557">
        <v>2</v>
      </c>
      <c r="HX190" s="557">
        <v>25</v>
      </c>
      <c r="HY190" s="557">
        <v>20</v>
      </c>
      <c r="HZ190" s="557">
        <v>12</v>
      </c>
      <c r="IA190" s="557">
        <v>23</v>
      </c>
      <c r="IB190" s="557">
        <v>7</v>
      </c>
      <c r="IC190" s="547">
        <v>10</v>
      </c>
      <c r="ID190" s="40" t="s">
        <v>5199</v>
      </c>
      <c r="IE190" s="355" t="s">
        <v>5200</v>
      </c>
      <c r="IF190" s="355"/>
      <c r="IG190" s="553"/>
      <c r="IH190" s="339"/>
      <c r="II190" s="553" t="s">
        <v>4920</v>
      </c>
      <c r="IJ190" s="424" t="s">
        <v>4926</v>
      </c>
      <c r="IK190" s="24">
        <v>0</v>
      </c>
      <c r="IL190" s="749">
        <f t="shared" si="170"/>
        <v>14</v>
      </c>
      <c r="IM190" s="747">
        <f t="shared" si="171"/>
        <v>56.000000000000007</v>
      </c>
      <c r="IN190" s="750" t="str">
        <f t="shared" si="172"/>
        <v>B</v>
      </c>
      <c r="IO190" s="446"/>
      <c r="IP190" s="902">
        <v>1</v>
      </c>
      <c r="IQ190" s="903">
        <v>2</v>
      </c>
      <c r="IR190" s="993">
        <v>0</v>
      </c>
      <c r="IT190" s="435"/>
      <c r="IU190" s="435"/>
      <c r="IV190" s="435"/>
    </row>
    <row r="191" spans="1:256" s="15" customFormat="1">
      <c r="A191" s="21">
        <v>189</v>
      </c>
      <c r="B191" s="9"/>
      <c r="C191" s="430" t="s">
        <v>285</v>
      </c>
      <c r="D191" s="424"/>
      <c r="E191" s="24" t="s">
        <v>17</v>
      </c>
      <c r="F191" s="76" t="s">
        <v>742</v>
      </c>
      <c r="G191" s="102" t="s">
        <v>632</v>
      </c>
      <c r="H191" s="284" t="s">
        <v>2535</v>
      </c>
      <c r="I191" s="82" t="s">
        <v>2534</v>
      </c>
      <c r="J191" s="370">
        <v>5</v>
      </c>
      <c r="K191" s="359">
        <v>1946</v>
      </c>
      <c r="L191" s="371">
        <v>1</v>
      </c>
      <c r="M191" s="373" t="s">
        <v>145</v>
      </c>
      <c r="N191" s="369" t="s">
        <v>1822</v>
      </c>
      <c r="O191" s="379" t="s">
        <v>145</v>
      </c>
      <c r="P191" s="362" t="s">
        <v>145</v>
      </c>
      <c r="Q191" s="370">
        <v>0</v>
      </c>
      <c r="R191" s="370">
        <v>2010</v>
      </c>
      <c r="S191" s="372" t="s">
        <v>2983</v>
      </c>
      <c r="T191" s="370">
        <v>1</v>
      </c>
      <c r="U191" s="370">
        <v>1</v>
      </c>
      <c r="V191" s="370" t="s">
        <v>145</v>
      </c>
      <c r="W191" s="369" t="s">
        <v>1822</v>
      </c>
      <c r="X191" s="170">
        <v>0</v>
      </c>
      <c r="Y191" s="369">
        <v>0</v>
      </c>
      <c r="Z191" s="271"/>
      <c r="AA191" s="169">
        <v>1</v>
      </c>
      <c r="AB191" s="177">
        <v>1</v>
      </c>
      <c r="AC191" s="171"/>
      <c r="AD191" s="94" t="s">
        <v>2984</v>
      </c>
      <c r="AE191" s="355">
        <v>2010</v>
      </c>
      <c r="AF191" s="355">
        <v>1</v>
      </c>
      <c r="AG191" s="550" t="s">
        <v>4272</v>
      </c>
      <c r="AH191" s="355" t="s">
        <v>323</v>
      </c>
      <c r="AI191" s="550">
        <v>0</v>
      </c>
      <c r="AJ191" s="550">
        <v>0</v>
      </c>
      <c r="AK191" s="590" t="s">
        <v>145</v>
      </c>
      <c r="AL191" s="395">
        <v>7</v>
      </c>
      <c r="AM191" s="361" t="s">
        <v>2985</v>
      </c>
      <c r="AN191" s="342" t="s">
        <v>145</v>
      </c>
      <c r="AO191" s="170">
        <v>0</v>
      </c>
      <c r="AP191" s="369">
        <v>0</v>
      </c>
      <c r="AQ191" s="365" t="s">
        <v>5006</v>
      </c>
      <c r="AR191" s="378" t="s">
        <v>5007</v>
      </c>
      <c r="AS191" s="55">
        <v>2</v>
      </c>
      <c r="AT191" s="370">
        <v>2</v>
      </c>
      <c r="AU191" s="371">
        <v>2006</v>
      </c>
      <c r="AV191" s="370">
        <v>10</v>
      </c>
      <c r="AW191" s="589">
        <v>72000</v>
      </c>
      <c r="AX191" s="687">
        <v>0</v>
      </c>
      <c r="AY191" s="174" t="s">
        <v>3966</v>
      </c>
      <c r="AZ191" s="55">
        <v>2002</v>
      </c>
      <c r="BA191" s="55">
        <v>1</v>
      </c>
      <c r="BB191" s="55">
        <v>2</v>
      </c>
      <c r="BC191" s="174" t="s">
        <v>4391</v>
      </c>
      <c r="BD191" s="55">
        <v>1974</v>
      </c>
      <c r="BE191" s="55">
        <v>1</v>
      </c>
      <c r="BF191" s="367" t="s">
        <v>323</v>
      </c>
      <c r="BG191" s="367">
        <v>0</v>
      </c>
      <c r="BH191" s="56" t="s">
        <v>145</v>
      </c>
      <c r="BI191" s="367">
        <v>3</v>
      </c>
      <c r="BJ191" s="367">
        <v>1</v>
      </c>
      <c r="BK191" s="888">
        <v>321773.63099999999</v>
      </c>
      <c r="BL191" s="925">
        <f t="shared" si="159"/>
        <v>50.432926556371548</v>
      </c>
      <c r="BM191" s="888">
        <v>159493.772</v>
      </c>
      <c r="BN191" s="920">
        <v>162279.859</v>
      </c>
      <c r="BO191" s="888">
        <v>19701.274000000001</v>
      </c>
      <c r="BP191" s="1158">
        <f t="shared" si="135"/>
        <v>48.88226517736873</v>
      </c>
      <c r="BQ191" s="917">
        <v>10070.844999999999</v>
      </c>
      <c r="BR191" s="920">
        <v>9630.4290000000001</v>
      </c>
      <c r="BS191" s="888">
        <v>20633.331999999999</v>
      </c>
      <c r="BT191" s="1158">
        <f t="shared" si="136"/>
        <v>48.969734989966724</v>
      </c>
      <c r="BU191" s="917">
        <v>10529.244000000001</v>
      </c>
      <c r="BV191" s="920">
        <v>10104.088</v>
      </c>
      <c r="BW191" s="888">
        <v>20642.609</v>
      </c>
      <c r="BX191" s="1158">
        <f t="shared" si="137"/>
        <v>48.950149663736788</v>
      </c>
      <c r="BY191" s="917">
        <v>10538.021000000001</v>
      </c>
      <c r="BZ191" s="920">
        <v>10104.588</v>
      </c>
      <c r="CA191" s="888">
        <f t="shared" si="138"/>
        <v>260796.41600000003</v>
      </c>
      <c r="CB191" s="1158">
        <f t="shared" si="139"/>
        <v>50.783195578884033</v>
      </c>
      <c r="CC191" s="917">
        <f t="shared" si="140"/>
        <v>128355.66199999998</v>
      </c>
      <c r="CD191" s="920">
        <f t="shared" si="141"/>
        <v>132440.75400000002</v>
      </c>
      <c r="CE191" s="914">
        <v>2015</v>
      </c>
      <c r="CF191" s="910" t="s">
        <v>5630</v>
      </c>
      <c r="CG191" s="930">
        <v>100</v>
      </c>
      <c r="CH191" s="1005">
        <v>100</v>
      </c>
      <c r="CI191" s="1006">
        <v>100</v>
      </c>
      <c r="CJ191" s="904" t="s">
        <v>1621</v>
      </c>
      <c r="CK191" s="904" t="s">
        <v>1621</v>
      </c>
      <c r="CL191" s="904">
        <v>2009</v>
      </c>
      <c r="CM191" s="905" t="s">
        <v>5576</v>
      </c>
      <c r="CN191" s="1044">
        <v>219941</v>
      </c>
      <c r="CO191" s="1045">
        <f t="shared" si="160"/>
        <v>68.352710977737019</v>
      </c>
      <c r="CP191" s="1049">
        <v>105299</v>
      </c>
      <c r="CQ191" s="1050">
        <v>114642</v>
      </c>
      <c r="CR191" s="1046">
        <v>2015</v>
      </c>
      <c r="CS191" s="1047" t="s">
        <v>5660</v>
      </c>
      <c r="CT191" s="1068" t="str">
        <f t="shared" si="161"/>
        <v>-</v>
      </c>
      <c r="CU191" s="1071">
        <v>18</v>
      </c>
      <c r="CV191" s="1117" t="s">
        <v>6059</v>
      </c>
      <c r="CW191" s="1113">
        <v>190669.639</v>
      </c>
      <c r="CX191" s="1113">
        <v>245712.91500000001</v>
      </c>
      <c r="CY191" s="1113">
        <v>318892.103</v>
      </c>
      <c r="CZ191" s="1048">
        <v>10</v>
      </c>
      <c r="DA191" s="1104">
        <v>4</v>
      </c>
      <c r="DB191" s="1050" t="s">
        <v>647</v>
      </c>
      <c r="DC191" s="1145" t="s">
        <v>323</v>
      </c>
      <c r="DD191" s="1131">
        <f t="shared" si="148"/>
        <v>40855.416000000027</v>
      </c>
      <c r="DE191" s="1132">
        <f t="shared" si="162"/>
        <v>12.696943460851839</v>
      </c>
      <c r="DF191" s="1132">
        <f t="shared" si="149"/>
        <v>43.56522523231682</v>
      </c>
      <c r="DG191" s="1133">
        <f t="shared" si="150"/>
        <v>23056.661999999982</v>
      </c>
      <c r="DH191" s="1133">
        <f t="shared" si="151"/>
        <v>17798.754000000015</v>
      </c>
      <c r="DI191" s="1132">
        <f t="shared" si="163"/>
        <v>14.456151930496686</v>
      </c>
      <c r="DJ191" s="1134">
        <f t="shared" si="164"/>
        <v>10.967937801819273</v>
      </c>
      <c r="DK191" s="1135">
        <f t="shared" si="165"/>
        <v>40855.416000000027</v>
      </c>
      <c r="DL191" s="1132">
        <f t="shared" si="152"/>
        <v>43.56522523231682</v>
      </c>
      <c r="DM191" s="1133">
        <f t="shared" si="166"/>
        <v>23056.661999999982</v>
      </c>
      <c r="DN191" s="1136">
        <f t="shared" si="167"/>
        <v>17798.754000000015</v>
      </c>
      <c r="DO191" s="1135">
        <f t="shared" si="168"/>
        <v>0</v>
      </c>
      <c r="DP191" s="1132">
        <f t="shared" si="153"/>
        <v>0</v>
      </c>
      <c r="DQ191" s="1133">
        <f t="shared" si="142"/>
        <v>0</v>
      </c>
      <c r="DR191" s="1136">
        <f t="shared" si="143"/>
        <v>0</v>
      </c>
      <c r="DS191" s="1135">
        <f t="shared" si="169"/>
        <v>0</v>
      </c>
      <c r="DT191" s="1137">
        <f t="shared" si="154"/>
        <v>0</v>
      </c>
      <c r="DU191" s="1133">
        <f t="shared" si="144"/>
        <v>0</v>
      </c>
      <c r="DV191" s="1136">
        <f t="shared" si="145"/>
        <v>0</v>
      </c>
      <c r="DW191" s="1132">
        <f t="shared" si="146"/>
        <v>0</v>
      </c>
      <c r="DX191" s="1134">
        <f t="shared" si="147"/>
        <v>0</v>
      </c>
      <c r="DY191" s="414" t="s">
        <v>145</v>
      </c>
      <c r="DZ191" s="111" t="s">
        <v>145</v>
      </c>
      <c r="EA191" s="118"/>
      <c r="EB191" s="123" t="s">
        <v>145</v>
      </c>
      <c r="EC191" s="113" t="s">
        <v>145</v>
      </c>
      <c r="ED191" s="20"/>
      <c r="EE191" s="414">
        <v>15.1</v>
      </c>
      <c r="EF191" s="111">
        <v>2010</v>
      </c>
      <c r="EG191" s="380" t="s">
        <v>145</v>
      </c>
      <c r="EH191" s="24" t="s">
        <v>335</v>
      </c>
      <c r="EI191" s="287">
        <v>0</v>
      </c>
      <c r="EJ191" s="40" t="s">
        <v>145</v>
      </c>
      <c r="EK191" s="35" t="s">
        <v>145</v>
      </c>
      <c r="EL191" s="82" t="s">
        <v>145</v>
      </c>
      <c r="EM191" s="82" t="s">
        <v>145</v>
      </c>
      <c r="EN191" s="35" t="s">
        <v>145</v>
      </c>
      <c r="EO191" s="82" t="s">
        <v>145</v>
      </c>
      <c r="EP191" s="205" t="s">
        <v>145</v>
      </c>
      <c r="EQ191" s="207" t="s">
        <v>145</v>
      </c>
      <c r="ER191" s="517" t="s">
        <v>145</v>
      </c>
      <c r="ES191" s="183"/>
      <c r="ET191" s="183"/>
      <c r="EU191" s="82"/>
      <c r="EV191" s="82"/>
      <c r="EW191" s="82"/>
      <c r="EX191" s="90"/>
      <c r="EY191" s="159"/>
      <c r="EZ191" s="156"/>
      <c r="FA191" s="323"/>
      <c r="FB191" s="323"/>
      <c r="FC191" s="323"/>
      <c r="FD191" s="160"/>
      <c r="FE191" s="156"/>
      <c r="FF191" s="156"/>
      <c r="FG191" s="156"/>
      <c r="FH191" s="157"/>
      <c r="FI191" s="242"/>
      <c r="FJ191" s="240"/>
      <c r="FK191" s="179"/>
      <c r="FL191" s="179"/>
      <c r="FM191" s="179"/>
      <c r="FN191" s="172"/>
      <c r="FO191" s="164"/>
      <c r="FP191" s="255">
        <v>2</v>
      </c>
      <c r="FQ191" s="183"/>
      <c r="FR191" s="257"/>
      <c r="FS191" s="82"/>
      <c r="FT191" s="259"/>
      <c r="FU191" s="82"/>
      <c r="FV191" s="259"/>
      <c r="FW191" s="82"/>
      <c r="FX191" s="259"/>
      <c r="FY191" s="82"/>
      <c r="FZ191" s="259"/>
      <c r="GA191" s="82"/>
      <c r="GB191" s="261"/>
      <c r="GC191" s="90"/>
      <c r="GD191" s="76">
        <v>2</v>
      </c>
      <c r="GE191" s="445" t="s">
        <v>3425</v>
      </c>
      <c r="GF191" s="447" t="s">
        <v>10</v>
      </c>
      <c r="GG191" s="448">
        <v>1</v>
      </c>
      <c r="GH191" s="449">
        <v>1</v>
      </c>
      <c r="GI191" s="447" t="s">
        <v>10</v>
      </c>
      <c r="GJ191" s="449">
        <v>19</v>
      </c>
      <c r="GK191" s="447">
        <v>4</v>
      </c>
      <c r="GL191" s="448">
        <v>2</v>
      </c>
      <c r="GM191" s="449">
        <v>13</v>
      </c>
      <c r="GN191" s="447" t="s">
        <v>10</v>
      </c>
      <c r="GO191" s="449">
        <v>21</v>
      </c>
      <c r="GP191" s="447">
        <v>6</v>
      </c>
      <c r="GQ191" s="448">
        <v>10</v>
      </c>
      <c r="GR191" s="449">
        <v>5</v>
      </c>
      <c r="GS191" s="446">
        <v>10</v>
      </c>
      <c r="GT191" s="461">
        <v>1.0757720470428467</v>
      </c>
      <c r="GU191" s="462">
        <v>0.60816466808319092</v>
      </c>
      <c r="GV191" s="462">
        <v>1.5015720129013062</v>
      </c>
      <c r="GW191" s="462">
        <v>1.2578444480895996</v>
      </c>
      <c r="GX191" s="462">
        <v>1.5356947183609009</v>
      </c>
      <c r="GY191" s="463">
        <v>1.2826782464981079</v>
      </c>
      <c r="GZ191" s="10">
        <v>7</v>
      </c>
      <c r="HA191" s="536">
        <v>0.87483</v>
      </c>
      <c r="HB191" s="536">
        <v>0.92156000000000005</v>
      </c>
      <c r="HC191" s="525">
        <v>0.94488000000000005</v>
      </c>
      <c r="HD191" s="526">
        <v>0.74058999999999997</v>
      </c>
      <c r="HE191" s="527">
        <v>0.93899999999999995</v>
      </c>
      <c r="HF191" s="10">
        <v>14</v>
      </c>
      <c r="HG191" s="532">
        <v>8.02</v>
      </c>
      <c r="HH191" s="545">
        <v>7.78</v>
      </c>
      <c r="HI191" s="546">
        <v>7.5</v>
      </c>
      <c r="HJ191" s="547">
        <v>9.56</v>
      </c>
      <c r="HK191" s="558" t="s">
        <v>4133</v>
      </c>
      <c r="HL191" s="585" t="s">
        <v>4646</v>
      </c>
      <c r="HM191" s="557">
        <v>1974</v>
      </c>
      <c r="HN191" s="557" t="s">
        <v>145</v>
      </c>
      <c r="HO191" s="557" t="s">
        <v>4095</v>
      </c>
      <c r="HP191" s="562" t="s">
        <v>4134</v>
      </c>
      <c r="HQ191" s="639" t="s">
        <v>4647</v>
      </c>
      <c r="HR191" s="563" t="s">
        <v>4098</v>
      </c>
      <c r="HS191" s="545">
        <v>44</v>
      </c>
      <c r="HT191" s="557">
        <v>89</v>
      </c>
      <c r="HU191" s="557">
        <v>1966</v>
      </c>
      <c r="HV191" s="583" t="s">
        <v>4255</v>
      </c>
      <c r="HW191" s="557">
        <v>4</v>
      </c>
      <c r="HX191" s="557">
        <v>18</v>
      </c>
      <c r="HY191" s="557">
        <v>19</v>
      </c>
      <c r="HZ191" s="557">
        <v>16</v>
      </c>
      <c r="IA191" s="557">
        <v>14</v>
      </c>
      <c r="IB191" s="557">
        <v>4</v>
      </c>
      <c r="IC191" s="547">
        <v>14</v>
      </c>
      <c r="ID191" s="660" t="s">
        <v>5210</v>
      </c>
      <c r="IE191" s="355" t="s">
        <v>5200</v>
      </c>
      <c r="IF191" s="355" t="s">
        <v>5202</v>
      </c>
      <c r="IG191" s="553"/>
      <c r="IH191" s="339"/>
      <c r="II191" s="553" t="s">
        <v>4920</v>
      </c>
      <c r="IJ191" s="424" t="s">
        <v>4926</v>
      </c>
      <c r="IK191" s="24">
        <v>0</v>
      </c>
      <c r="IL191" s="749">
        <f t="shared" si="170"/>
        <v>16</v>
      </c>
      <c r="IM191" s="747">
        <f t="shared" si="171"/>
        <v>64</v>
      </c>
      <c r="IN191" s="750" t="str">
        <f t="shared" si="172"/>
        <v>B</v>
      </c>
      <c r="IO191" s="446"/>
      <c r="IP191" s="902">
        <v>3</v>
      </c>
      <c r="IQ191" s="903">
        <v>2</v>
      </c>
      <c r="IR191" s="993">
        <v>0</v>
      </c>
      <c r="IT191" s="435"/>
      <c r="IU191" s="435"/>
      <c r="IV191" s="435"/>
    </row>
    <row r="192" spans="1:256" s="15" customFormat="1">
      <c r="A192" s="21">
        <v>190</v>
      </c>
      <c r="B192" s="9"/>
      <c r="C192" s="430" t="s">
        <v>286</v>
      </c>
      <c r="D192" s="424" t="s">
        <v>409</v>
      </c>
      <c r="E192" s="697" t="s">
        <v>17</v>
      </c>
      <c r="F192" s="76" t="s">
        <v>921</v>
      </c>
      <c r="G192" s="102" t="s">
        <v>633</v>
      </c>
      <c r="H192" s="375" t="s">
        <v>2536</v>
      </c>
      <c r="I192" s="82" t="s">
        <v>2552</v>
      </c>
      <c r="J192" s="370">
        <v>6</v>
      </c>
      <c r="K192" s="359">
        <v>1879</v>
      </c>
      <c r="L192" s="371">
        <v>2</v>
      </c>
      <c r="M192" s="373" t="s">
        <v>1847</v>
      </c>
      <c r="N192" s="369" t="s">
        <v>1822</v>
      </c>
      <c r="O192" s="365" t="s">
        <v>3377</v>
      </c>
      <c r="P192" s="362" t="s">
        <v>2048</v>
      </c>
      <c r="Q192" s="370">
        <v>2</v>
      </c>
      <c r="R192" s="370">
        <v>1989</v>
      </c>
      <c r="S192" s="372" t="s">
        <v>1961</v>
      </c>
      <c r="T192" s="370">
        <v>2</v>
      </c>
      <c r="U192" s="370">
        <v>2</v>
      </c>
      <c r="V192" s="370" t="s">
        <v>145</v>
      </c>
      <c r="W192" s="351" t="s">
        <v>1848</v>
      </c>
      <c r="X192" s="170">
        <v>1</v>
      </c>
      <c r="Y192" s="369">
        <v>1</v>
      </c>
      <c r="Z192" s="271"/>
      <c r="AA192" s="169">
        <v>1</v>
      </c>
      <c r="AB192" s="177">
        <v>1</v>
      </c>
      <c r="AC192" s="171"/>
      <c r="AD192" s="81" t="s">
        <v>3378</v>
      </c>
      <c r="AE192" s="355">
        <v>2011</v>
      </c>
      <c r="AF192" s="805">
        <v>3</v>
      </c>
      <c r="AG192" s="550" t="s">
        <v>5171</v>
      </c>
      <c r="AH192" s="355" t="s">
        <v>4637</v>
      </c>
      <c r="AI192" s="550">
        <v>1</v>
      </c>
      <c r="AJ192" s="550">
        <v>1</v>
      </c>
      <c r="AK192" s="590" t="s">
        <v>145</v>
      </c>
      <c r="AL192" s="387">
        <v>1</v>
      </c>
      <c r="AM192" s="361" t="s">
        <v>3379</v>
      </c>
      <c r="AN192" s="384" t="s">
        <v>145</v>
      </c>
      <c r="AO192" s="170">
        <v>1</v>
      </c>
      <c r="AP192" s="172">
        <v>0</v>
      </c>
      <c r="AQ192" s="365" t="s">
        <v>5340</v>
      </c>
      <c r="AR192" s="362" t="s">
        <v>5341</v>
      </c>
      <c r="AS192" s="55">
        <v>1</v>
      </c>
      <c r="AT192" s="370">
        <v>2</v>
      </c>
      <c r="AU192" s="371">
        <v>2012</v>
      </c>
      <c r="AV192" s="370">
        <v>5</v>
      </c>
      <c r="AW192" s="589" t="s">
        <v>145</v>
      </c>
      <c r="AX192" s="794">
        <v>1</v>
      </c>
      <c r="AY192" s="174" t="s">
        <v>3967</v>
      </c>
      <c r="AZ192" s="55">
        <v>2010</v>
      </c>
      <c r="BA192" s="55">
        <v>1</v>
      </c>
      <c r="BB192" s="55">
        <v>2</v>
      </c>
      <c r="BC192" s="174" t="s">
        <v>3968</v>
      </c>
      <c r="BD192" s="55">
        <v>2006</v>
      </c>
      <c r="BE192" s="55">
        <v>2</v>
      </c>
      <c r="BF192" s="371" t="s">
        <v>4393</v>
      </c>
      <c r="BG192" s="371">
        <v>1</v>
      </c>
      <c r="BH192" s="1" t="s">
        <v>3968</v>
      </c>
      <c r="BI192" s="371">
        <v>3</v>
      </c>
      <c r="BJ192" s="371">
        <v>1</v>
      </c>
      <c r="BK192" s="888">
        <v>3431.5549999999998</v>
      </c>
      <c r="BL192" s="925">
        <f t="shared" si="159"/>
        <v>51.730367136764535</v>
      </c>
      <c r="BM192" s="888">
        <v>1656.3989999999999</v>
      </c>
      <c r="BN192" s="920">
        <v>1775.1559999999999</v>
      </c>
      <c r="BO192" s="888">
        <v>240.761</v>
      </c>
      <c r="BP192" s="1158">
        <f t="shared" si="135"/>
        <v>48.951865127657719</v>
      </c>
      <c r="BQ192" s="917">
        <v>122.904</v>
      </c>
      <c r="BR192" s="920">
        <v>117.857</v>
      </c>
      <c r="BS192" s="888">
        <v>244.60300000000001</v>
      </c>
      <c r="BT192" s="1158">
        <f t="shared" si="136"/>
        <v>48.850586460509476</v>
      </c>
      <c r="BU192" s="917">
        <v>125.113</v>
      </c>
      <c r="BV192" s="920">
        <v>119.49</v>
      </c>
      <c r="BW192" s="888">
        <v>249.50299999999999</v>
      </c>
      <c r="BX192" s="1158">
        <f t="shared" si="137"/>
        <v>48.940493701478545</v>
      </c>
      <c r="BY192" s="917">
        <v>127.395</v>
      </c>
      <c r="BZ192" s="920">
        <v>122.108</v>
      </c>
      <c r="CA192" s="888">
        <f t="shared" si="138"/>
        <v>2696.6879999999996</v>
      </c>
      <c r="CB192" s="1158">
        <f t="shared" si="139"/>
        <v>52.497767631998961</v>
      </c>
      <c r="CC192" s="917">
        <f t="shared" si="140"/>
        <v>1280.9869999999999</v>
      </c>
      <c r="CD192" s="920">
        <f t="shared" si="141"/>
        <v>1415.701</v>
      </c>
      <c r="CE192" s="914">
        <v>2015</v>
      </c>
      <c r="CF192" s="910" t="s">
        <v>5630</v>
      </c>
      <c r="CG192" s="930">
        <v>100</v>
      </c>
      <c r="CH192" s="1005">
        <v>100</v>
      </c>
      <c r="CI192" s="1006">
        <v>100</v>
      </c>
      <c r="CJ192" s="904" t="s">
        <v>1621</v>
      </c>
      <c r="CK192" s="904" t="s">
        <v>1621</v>
      </c>
      <c r="CL192" s="904">
        <v>2012</v>
      </c>
      <c r="CM192" s="905" t="s">
        <v>5579</v>
      </c>
      <c r="CN192" s="1044">
        <v>2620.7910000000002</v>
      </c>
      <c r="CO192" s="1045">
        <f t="shared" si="160"/>
        <v>76.373276838051567</v>
      </c>
      <c r="CP192" s="1040">
        <f>IF(OR(CZ192=1,CZ192=10),CN192*(1-BL192/100),IF(DA192=6,CN192*(1-BL192/100),CN192*(1-CB192/100)))</f>
        <v>1265.0461938127175</v>
      </c>
      <c r="CQ192" s="1041">
        <f>IF(OR(CZ192=1,CZ192=10),CN192*BL192/100,IF(DA192=6,CN192*BL192/100,CN192*CB192/100))</f>
        <v>1355.7448061872826</v>
      </c>
      <c r="CR192" s="1046">
        <v>2014</v>
      </c>
      <c r="CS192" s="1047" t="s">
        <v>5661</v>
      </c>
      <c r="CT192" s="1068" t="str">
        <f t="shared" si="161"/>
        <v>-</v>
      </c>
      <c r="CU192" s="1071">
        <v>18</v>
      </c>
      <c r="CV192" s="1068" t="s">
        <v>6079</v>
      </c>
      <c r="CW192" s="1113">
        <v>2620.7910000000002</v>
      </c>
      <c r="CX192" s="1113">
        <v>2389.6390000000001</v>
      </c>
      <c r="CY192" s="1113">
        <v>3332.9720000000002</v>
      </c>
      <c r="CZ192" s="494">
        <v>1</v>
      </c>
      <c r="DA192" s="1104">
        <v>6</v>
      </c>
      <c r="DB192" s="1050" t="s">
        <v>647</v>
      </c>
      <c r="DC192" s="1146" t="s">
        <v>322</v>
      </c>
      <c r="DD192" s="984">
        <f t="shared" si="148"/>
        <v>75.89699999999948</v>
      </c>
      <c r="DE192" s="979">
        <f t="shared" si="162"/>
        <v>2.2117378273115098</v>
      </c>
      <c r="DF192" s="979">
        <f t="shared" si="149"/>
        <v>78.996790140213463</v>
      </c>
      <c r="DG192" s="590">
        <f t="shared" si="150"/>
        <v>15.940806187282305</v>
      </c>
      <c r="DH192" s="590">
        <f t="shared" si="151"/>
        <v>59.956193812717402</v>
      </c>
      <c r="DI192" s="979">
        <f t="shared" si="163"/>
        <v>0.96237719216700246</v>
      </c>
      <c r="DJ192" s="981">
        <f t="shared" si="164"/>
        <v>3.3775168950062642</v>
      </c>
      <c r="DK192" s="984">
        <f t="shared" si="165"/>
        <v>75.89699999999948</v>
      </c>
      <c r="DL192" s="979">
        <f t="shared" si="152"/>
        <v>78.996790140213463</v>
      </c>
      <c r="DM192" s="590">
        <f t="shared" si="166"/>
        <v>15.940806187282305</v>
      </c>
      <c r="DN192" s="987">
        <f t="shared" si="167"/>
        <v>59.956193812717402</v>
      </c>
      <c r="DO192" s="984">
        <f t="shared" si="168"/>
        <v>0</v>
      </c>
      <c r="DP192" s="979">
        <f t="shared" si="153"/>
        <v>0</v>
      </c>
      <c r="DQ192" s="590">
        <f t="shared" si="142"/>
        <v>0</v>
      </c>
      <c r="DR192" s="987">
        <f t="shared" si="143"/>
        <v>0</v>
      </c>
      <c r="DS192" s="984">
        <f t="shared" si="169"/>
        <v>0</v>
      </c>
      <c r="DT192" s="339">
        <f t="shared" si="154"/>
        <v>0</v>
      </c>
      <c r="DU192" s="590">
        <f t="shared" si="144"/>
        <v>0</v>
      </c>
      <c r="DV192" s="987">
        <f t="shared" si="145"/>
        <v>0</v>
      </c>
      <c r="DW192" s="979">
        <f t="shared" si="146"/>
        <v>0</v>
      </c>
      <c r="DX192" s="981">
        <f t="shared" si="147"/>
        <v>0</v>
      </c>
      <c r="DY192" s="414">
        <v>0.2</v>
      </c>
      <c r="DZ192" s="111">
        <v>2010</v>
      </c>
      <c r="EA192" s="118">
        <v>7</v>
      </c>
      <c r="EB192" s="123">
        <v>13.7</v>
      </c>
      <c r="EC192" s="113">
        <v>2011</v>
      </c>
      <c r="ED192" s="20">
        <v>461.49751499999996</v>
      </c>
      <c r="EE192" s="414">
        <v>18.600000000000001</v>
      </c>
      <c r="EF192" s="111">
        <v>2010</v>
      </c>
      <c r="EG192" s="380">
        <v>98.395942687988295</v>
      </c>
      <c r="EH192" s="24" t="s">
        <v>358</v>
      </c>
      <c r="EI192" s="287">
        <v>0</v>
      </c>
      <c r="EJ192" s="40" t="s">
        <v>145</v>
      </c>
      <c r="EK192" s="35" t="s">
        <v>145</v>
      </c>
      <c r="EL192" s="82" t="s">
        <v>145</v>
      </c>
      <c r="EM192" s="82" t="s">
        <v>145</v>
      </c>
      <c r="EN192" s="35" t="s">
        <v>145</v>
      </c>
      <c r="EO192" s="82" t="s">
        <v>145</v>
      </c>
      <c r="EP192" s="205" t="s">
        <v>145</v>
      </c>
      <c r="EQ192" s="207" t="s">
        <v>145</v>
      </c>
      <c r="ER192" s="517">
        <v>1</v>
      </c>
      <c r="ES192" s="183" t="s">
        <v>145</v>
      </c>
      <c r="ET192" s="183" t="s">
        <v>145</v>
      </c>
      <c r="EU192" s="82" t="s">
        <v>145</v>
      </c>
      <c r="EV192" s="82" t="s">
        <v>3802</v>
      </c>
      <c r="EW192" s="82" t="s">
        <v>145</v>
      </c>
      <c r="EX192" s="360" t="s">
        <v>145</v>
      </c>
      <c r="EY192" s="159">
        <v>3241003</v>
      </c>
      <c r="EZ192" s="156">
        <v>2005</v>
      </c>
      <c r="FA192" s="323">
        <v>91.8</v>
      </c>
      <c r="FB192" s="323">
        <v>8.1999999999999993</v>
      </c>
      <c r="FC192" s="323">
        <v>20.5</v>
      </c>
      <c r="FD192" s="231" t="s">
        <v>1794</v>
      </c>
      <c r="FE192" s="156">
        <v>96.8</v>
      </c>
      <c r="FF192" s="156" t="s">
        <v>1673</v>
      </c>
      <c r="FG192" s="156" t="s">
        <v>1795</v>
      </c>
      <c r="FH192" s="157" t="s">
        <v>318</v>
      </c>
      <c r="FI192" s="242">
        <v>4</v>
      </c>
      <c r="FJ192" s="240" t="s">
        <v>1847</v>
      </c>
      <c r="FK192" s="179" t="s">
        <v>145</v>
      </c>
      <c r="FL192" s="236" t="s">
        <v>1817</v>
      </c>
      <c r="FM192" s="236" t="s">
        <v>1848</v>
      </c>
      <c r="FN192" s="172" t="s">
        <v>1601</v>
      </c>
      <c r="FO192" s="366" t="s">
        <v>1796</v>
      </c>
      <c r="FP192" s="254">
        <v>1</v>
      </c>
      <c r="FQ192" s="82" t="s">
        <v>1612</v>
      </c>
      <c r="FR192" s="257"/>
      <c r="FS192" s="82"/>
      <c r="FT192" s="259"/>
      <c r="FU192" s="82"/>
      <c r="FV192" s="259"/>
      <c r="FW192" s="82"/>
      <c r="FX192" s="259"/>
      <c r="FY192" s="82"/>
      <c r="FZ192" s="259"/>
      <c r="GA192" s="82"/>
      <c r="GB192" s="261"/>
      <c r="GC192" s="90"/>
      <c r="GD192" s="76">
        <v>1</v>
      </c>
      <c r="GE192" s="445" t="s">
        <v>3424</v>
      </c>
      <c r="GF192" s="447" t="s">
        <v>10</v>
      </c>
      <c r="GG192" s="448">
        <v>1</v>
      </c>
      <c r="GH192" s="449">
        <v>1</v>
      </c>
      <c r="GI192" s="447" t="s">
        <v>145</v>
      </c>
      <c r="GJ192" s="449" t="s">
        <v>145</v>
      </c>
      <c r="GK192" s="447" t="s">
        <v>145</v>
      </c>
      <c r="GL192" s="448" t="s">
        <v>145</v>
      </c>
      <c r="GM192" s="449" t="s">
        <v>145</v>
      </c>
      <c r="GN192" s="447" t="s">
        <v>10</v>
      </c>
      <c r="GO192" s="449">
        <v>26</v>
      </c>
      <c r="GP192" s="447">
        <v>8</v>
      </c>
      <c r="GQ192" s="448">
        <v>10</v>
      </c>
      <c r="GR192" s="449">
        <v>8</v>
      </c>
      <c r="GS192" s="446">
        <v>10</v>
      </c>
      <c r="GT192" s="461">
        <v>1.0664023160934448</v>
      </c>
      <c r="GU192" s="462">
        <v>0.80878651142120361</v>
      </c>
      <c r="GV192" s="462">
        <v>0.40524104237556458</v>
      </c>
      <c r="GW192" s="462">
        <v>0.52224761247634888</v>
      </c>
      <c r="GX192" s="462">
        <v>0.50333994626998901</v>
      </c>
      <c r="GY192" s="463">
        <v>1.3355363607406616</v>
      </c>
      <c r="GZ192" s="528">
        <v>26</v>
      </c>
      <c r="HA192" s="536">
        <v>0.74195</v>
      </c>
      <c r="HB192" s="536">
        <v>0.98038999999999998</v>
      </c>
      <c r="HC192" s="525">
        <v>0.85038999999999998</v>
      </c>
      <c r="HD192" s="526">
        <v>0.56069999999999998</v>
      </c>
      <c r="HE192" s="527">
        <v>0.81479999999999997</v>
      </c>
      <c r="HF192" s="528">
        <v>48</v>
      </c>
      <c r="HG192" s="533">
        <v>6.32</v>
      </c>
      <c r="HH192" s="545">
        <v>7.05</v>
      </c>
      <c r="HI192" s="546">
        <v>4.5599999999999996</v>
      </c>
      <c r="HJ192" s="547">
        <v>8.39</v>
      </c>
      <c r="HK192" s="559" t="s">
        <v>4073</v>
      </c>
      <c r="HL192" s="585" t="s">
        <v>4648</v>
      </c>
      <c r="HM192" s="557">
        <v>2008</v>
      </c>
      <c r="HN192" s="557">
        <v>2008</v>
      </c>
      <c r="HO192" s="557" t="s">
        <v>3985</v>
      </c>
      <c r="HP192" s="562" t="s">
        <v>4135</v>
      </c>
      <c r="HQ192" s="639" t="s">
        <v>4649</v>
      </c>
      <c r="HR192" s="563" t="s">
        <v>3994</v>
      </c>
      <c r="HS192" s="545">
        <v>42</v>
      </c>
      <c r="HT192" s="557">
        <v>91</v>
      </c>
      <c r="HU192" s="557">
        <v>2008</v>
      </c>
      <c r="HV192" s="583" t="s">
        <v>4256</v>
      </c>
      <c r="HW192" s="557">
        <v>3</v>
      </c>
      <c r="HX192" s="557">
        <v>28</v>
      </c>
      <c r="HY192" s="557">
        <v>15</v>
      </c>
      <c r="HZ192" s="557">
        <v>20</v>
      </c>
      <c r="IA192" s="557">
        <v>11</v>
      </c>
      <c r="IB192" s="557">
        <v>2</v>
      </c>
      <c r="IC192" s="547">
        <v>12</v>
      </c>
      <c r="ID192" s="660"/>
      <c r="IE192" s="550"/>
      <c r="IF192" s="550"/>
      <c r="IG192" s="553"/>
      <c r="IH192" s="339"/>
      <c r="II192" s="553" t="s">
        <v>4922</v>
      </c>
      <c r="IJ192" s="424" t="s">
        <v>4926</v>
      </c>
      <c r="IK192" s="24">
        <v>0</v>
      </c>
      <c r="IL192" s="749">
        <f t="shared" si="170"/>
        <v>24</v>
      </c>
      <c r="IM192" s="747">
        <f t="shared" si="171"/>
        <v>96</v>
      </c>
      <c r="IN192" s="750" t="str">
        <f t="shared" si="172"/>
        <v>A</v>
      </c>
      <c r="IO192" s="446"/>
      <c r="IP192" s="902">
        <v>6</v>
      </c>
      <c r="IQ192" s="903">
        <v>0</v>
      </c>
      <c r="IR192" s="993">
        <v>0</v>
      </c>
      <c r="IT192" s="435"/>
      <c r="IU192" s="435"/>
      <c r="IV192" s="435"/>
    </row>
    <row r="193" spans="1:256">
      <c r="A193" s="21">
        <v>191</v>
      </c>
      <c r="B193" s="9"/>
      <c r="C193" s="430" t="s">
        <v>288</v>
      </c>
      <c r="D193" s="424" t="s">
        <v>408</v>
      </c>
      <c r="E193" s="24" t="s">
        <v>20</v>
      </c>
      <c r="F193" s="76" t="s">
        <v>922</v>
      </c>
      <c r="G193" s="102" t="s">
        <v>634</v>
      </c>
      <c r="H193" s="251" t="s">
        <v>2538</v>
      </c>
      <c r="I193" s="95" t="s">
        <v>2553</v>
      </c>
      <c r="J193" s="370">
        <v>6</v>
      </c>
      <c r="K193" s="359">
        <v>1992</v>
      </c>
      <c r="L193" s="371">
        <v>2</v>
      </c>
      <c r="M193" s="373" t="s">
        <v>1825</v>
      </c>
      <c r="N193" s="369" t="s">
        <v>1822</v>
      </c>
      <c r="O193" s="365" t="s">
        <v>3380</v>
      </c>
      <c r="P193" s="364" t="s">
        <v>3381</v>
      </c>
      <c r="Q193" s="370">
        <v>2</v>
      </c>
      <c r="R193" s="358">
        <v>1995</v>
      </c>
      <c r="S193" s="372" t="s">
        <v>3062</v>
      </c>
      <c r="T193" s="370">
        <v>1</v>
      </c>
      <c r="U193" s="358">
        <v>2</v>
      </c>
      <c r="V193" s="370">
        <v>16</v>
      </c>
      <c r="W193" s="369" t="s">
        <v>1822</v>
      </c>
      <c r="X193" s="170">
        <v>0</v>
      </c>
      <c r="Y193" s="369">
        <v>0</v>
      </c>
      <c r="Z193" s="271"/>
      <c r="AA193" s="169"/>
      <c r="AB193" s="177"/>
      <c r="AC193" s="171"/>
      <c r="AD193" s="81" t="s">
        <v>3382</v>
      </c>
      <c r="AE193" s="355">
        <v>2013</v>
      </c>
      <c r="AF193" s="550">
        <v>2</v>
      </c>
      <c r="AG193" s="550">
        <v>2</v>
      </c>
      <c r="AH193" s="355" t="s">
        <v>4628</v>
      </c>
      <c r="AI193" s="550">
        <v>0</v>
      </c>
      <c r="AJ193" s="550">
        <v>0</v>
      </c>
      <c r="AK193" s="590">
        <v>5000</v>
      </c>
      <c r="AL193" s="395">
        <v>3</v>
      </c>
      <c r="AM193" s="361" t="s">
        <v>3382</v>
      </c>
      <c r="AN193" s="384" t="s">
        <v>145</v>
      </c>
      <c r="AO193" s="170">
        <v>0</v>
      </c>
      <c r="AP193" s="172">
        <v>0</v>
      </c>
      <c r="AQ193" s="365" t="s">
        <v>5252</v>
      </c>
      <c r="AR193" s="685" t="s">
        <v>4934</v>
      </c>
      <c r="AS193" s="55">
        <v>2</v>
      </c>
      <c r="AT193" s="370">
        <v>3</v>
      </c>
      <c r="AU193" s="367">
        <v>2011</v>
      </c>
      <c r="AV193" s="358">
        <v>5</v>
      </c>
      <c r="AW193" s="589">
        <v>5000</v>
      </c>
      <c r="AX193" s="687">
        <v>0</v>
      </c>
      <c r="AY193" s="174" t="s">
        <v>2537</v>
      </c>
      <c r="AZ193" s="55">
        <v>2011</v>
      </c>
      <c r="BA193" s="55">
        <v>1</v>
      </c>
      <c r="BB193" s="55">
        <v>2</v>
      </c>
      <c r="BC193" s="174" t="s">
        <v>3969</v>
      </c>
      <c r="BD193" s="55">
        <v>2006</v>
      </c>
      <c r="BE193" s="55">
        <v>2</v>
      </c>
      <c r="BF193" s="371" t="s">
        <v>4365</v>
      </c>
      <c r="BG193" s="371">
        <v>1</v>
      </c>
      <c r="BH193" s="1" t="s">
        <v>3970</v>
      </c>
      <c r="BI193" s="371">
        <v>0</v>
      </c>
      <c r="BJ193" s="371">
        <v>1</v>
      </c>
      <c r="BK193" s="888">
        <v>29893.488000000001</v>
      </c>
      <c r="BL193" s="925">
        <f t="shared" si="159"/>
        <v>50.827257093585068</v>
      </c>
      <c r="BM193" s="888">
        <v>14699.448</v>
      </c>
      <c r="BN193" s="920">
        <v>15194.04</v>
      </c>
      <c r="BO193" s="888">
        <v>3194.9349999999999</v>
      </c>
      <c r="BP193" s="1158">
        <f t="shared" si="135"/>
        <v>48.888255942609163</v>
      </c>
      <c r="BQ193" s="917">
        <v>1632.9870000000001</v>
      </c>
      <c r="BR193" s="920">
        <v>1561.9480000000001</v>
      </c>
      <c r="BS193" s="888">
        <v>2838.3969999999999</v>
      </c>
      <c r="BT193" s="1158">
        <f t="shared" si="136"/>
        <v>48.934204764167944</v>
      </c>
      <c r="BU193" s="917">
        <v>1449.45</v>
      </c>
      <c r="BV193" s="920">
        <v>1388.9469999999999</v>
      </c>
      <c r="BW193" s="888">
        <v>2492.2660000000001</v>
      </c>
      <c r="BX193" s="1158">
        <f t="shared" si="137"/>
        <v>49.00106970925254</v>
      </c>
      <c r="BY193" s="917">
        <v>1271.029</v>
      </c>
      <c r="BZ193" s="920">
        <v>1221.2370000000001</v>
      </c>
      <c r="CA193" s="888">
        <f t="shared" si="138"/>
        <v>21367.89</v>
      </c>
      <c r="CB193" s="1158">
        <f t="shared" si="139"/>
        <v>51.581639553554425</v>
      </c>
      <c r="CC193" s="917">
        <f t="shared" si="140"/>
        <v>10345.981999999998</v>
      </c>
      <c r="CD193" s="920">
        <f t="shared" si="141"/>
        <v>11021.907999999999</v>
      </c>
      <c r="CE193" s="914">
        <v>2015</v>
      </c>
      <c r="CF193" s="910" t="s">
        <v>5630</v>
      </c>
      <c r="CG193" s="930">
        <v>99.9</v>
      </c>
      <c r="CH193" s="495">
        <v>99.9</v>
      </c>
      <c r="CI193" s="497">
        <v>100</v>
      </c>
      <c r="CJ193" s="904">
        <v>100</v>
      </c>
      <c r="CK193" s="904">
        <v>99.9</v>
      </c>
      <c r="CL193" s="904">
        <v>2006</v>
      </c>
      <c r="CM193" s="905" t="s">
        <v>5573</v>
      </c>
      <c r="CN193" s="1044">
        <v>20798.52</v>
      </c>
      <c r="CO193" s="1045">
        <f t="shared" si="160"/>
        <v>69.57542057320309</v>
      </c>
      <c r="CP193" s="1040">
        <f>IF(OR(CZ193=1,CZ193=10),CN193*(1-BL193/100),IF(DA193=6,CN193*(1-BL193/100),CN193*(1-CB193/100)))</f>
        <v>10227.202767939292</v>
      </c>
      <c r="CQ193" s="1041">
        <f>IF(OR(CZ193=1,CZ193=10),CN193*BL193/100,IF(DA193=6,CN193*BL193/100,CN193*CB193/100))</f>
        <v>10571.31723206071</v>
      </c>
      <c r="CR193" s="1046">
        <v>2015</v>
      </c>
      <c r="CS193" s="1047" t="s">
        <v>6060</v>
      </c>
      <c r="CT193" s="1068">
        <f t="shared" si="161"/>
        <v>16</v>
      </c>
      <c r="CU193" s="1071">
        <v>18</v>
      </c>
      <c r="CV193" s="1068" t="s">
        <v>6080</v>
      </c>
      <c r="CW193" s="1113">
        <v>20798.52</v>
      </c>
      <c r="CX193" s="1113">
        <v>19248</v>
      </c>
      <c r="CY193" s="1113">
        <v>30492.799999999999</v>
      </c>
      <c r="CZ193" s="494">
        <v>1</v>
      </c>
      <c r="DA193" s="1104">
        <v>4</v>
      </c>
      <c r="DB193" s="1050" t="s">
        <v>647</v>
      </c>
      <c r="DC193" s="1146" t="s">
        <v>322</v>
      </c>
      <c r="DD193" s="984">
        <f t="shared" si="148"/>
        <v>577.89559799999802</v>
      </c>
      <c r="DE193" s="979">
        <f t="shared" si="162"/>
        <v>1.9331822301900601</v>
      </c>
      <c r="DF193" s="979">
        <f t="shared" si="149"/>
        <v>77.970963872836236</v>
      </c>
      <c r="DG193" s="590">
        <f t="shared" si="150"/>
        <v>123.13269806070542</v>
      </c>
      <c r="DH193" s="590">
        <f t="shared" si="151"/>
        <v>450.59076793928944</v>
      </c>
      <c r="DI193" s="979">
        <f t="shared" si="163"/>
        <v>0.8376688570938543</v>
      </c>
      <c r="DJ193" s="981">
        <f t="shared" si="164"/>
        <v>2.9655757648346945</v>
      </c>
      <c r="DK193" s="984">
        <f t="shared" si="165"/>
        <v>569.36999999999898</v>
      </c>
      <c r="DL193" s="979">
        <f t="shared" si="152"/>
        <v>79.138480766336514</v>
      </c>
      <c r="DM193" s="590">
        <f t="shared" si="166"/>
        <v>118.77923206070591</v>
      </c>
      <c r="DN193" s="987">
        <f t="shared" si="167"/>
        <v>450.59076793928944</v>
      </c>
      <c r="DO193" s="984">
        <f t="shared" si="168"/>
        <v>5.3306629999994133</v>
      </c>
      <c r="DP193" s="979">
        <f t="shared" si="153"/>
        <v>0</v>
      </c>
      <c r="DQ193" s="590">
        <f t="shared" si="142"/>
        <v>2.7204789999997008</v>
      </c>
      <c r="DR193" s="987">
        <f t="shared" si="143"/>
        <v>0</v>
      </c>
      <c r="DS193" s="984">
        <f t="shared" si="169"/>
        <v>3.1949349999996479</v>
      </c>
      <c r="DT193" s="339">
        <f t="shared" si="154"/>
        <v>0</v>
      </c>
      <c r="DU193" s="590">
        <f t="shared" si="144"/>
        <v>1.6329869999998203</v>
      </c>
      <c r="DV193" s="987">
        <f t="shared" si="145"/>
        <v>0</v>
      </c>
      <c r="DW193" s="979">
        <f t="shared" si="146"/>
        <v>9.9999999999988987E-2</v>
      </c>
      <c r="DX193" s="981">
        <f t="shared" si="147"/>
        <v>0</v>
      </c>
      <c r="DY193" s="414" t="s">
        <v>145</v>
      </c>
      <c r="DZ193" s="111" t="s">
        <v>145</v>
      </c>
      <c r="EA193" s="368"/>
      <c r="EB193" s="123" t="s">
        <v>145</v>
      </c>
      <c r="EC193" s="113" t="s">
        <v>145</v>
      </c>
      <c r="ED193" s="20"/>
      <c r="EE193" s="414">
        <v>17</v>
      </c>
      <c r="EF193" s="111">
        <v>2011</v>
      </c>
      <c r="EG193" s="380">
        <v>99.476913452148395</v>
      </c>
      <c r="EH193" s="24" t="s">
        <v>369</v>
      </c>
      <c r="EI193" s="287">
        <v>3</v>
      </c>
      <c r="EJ193" s="40">
        <v>3</v>
      </c>
      <c r="EK193" s="35" t="s">
        <v>145</v>
      </c>
      <c r="EL193" s="95" t="s">
        <v>145</v>
      </c>
      <c r="EM193" s="95" t="s">
        <v>145</v>
      </c>
      <c r="EN193" s="35" t="s">
        <v>145</v>
      </c>
      <c r="EO193" s="95" t="s">
        <v>1725</v>
      </c>
      <c r="EP193" s="205">
        <v>1</v>
      </c>
      <c r="EQ193" s="207">
        <v>0.81</v>
      </c>
      <c r="ER193" s="517" t="s">
        <v>145</v>
      </c>
      <c r="ES193" s="183"/>
      <c r="ET193" s="183"/>
      <c r="EU193" s="82"/>
      <c r="EV193" s="82"/>
      <c r="EW193" s="82"/>
      <c r="EX193" s="90"/>
      <c r="EY193" s="159"/>
      <c r="EZ193" s="156"/>
      <c r="FA193" s="323"/>
      <c r="FB193" s="323"/>
      <c r="FC193" s="323"/>
      <c r="FD193" s="160"/>
      <c r="FE193" s="156"/>
      <c r="FF193" s="156"/>
      <c r="FG193" s="156"/>
      <c r="FH193" s="157"/>
      <c r="FI193" s="242"/>
      <c r="FJ193" s="240"/>
      <c r="FK193" s="179"/>
      <c r="FL193" s="179"/>
      <c r="FM193" s="179"/>
      <c r="FN193" s="172"/>
      <c r="FO193" s="164"/>
      <c r="FP193" s="255"/>
      <c r="FQ193" s="183"/>
      <c r="FR193" s="257"/>
      <c r="FS193" s="82"/>
      <c r="FT193" s="259"/>
      <c r="FU193" s="82"/>
      <c r="FV193" s="259"/>
      <c r="FW193" s="82"/>
      <c r="FX193" s="259"/>
      <c r="FY193" s="82"/>
      <c r="FZ193" s="259"/>
      <c r="GA193" s="82"/>
      <c r="GB193" s="261"/>
      <c r="GC193" s="90"/>
      <c r="GD193" s="76">
        <v>1</v>
      </c>
      <c r="GE193" s="445" t="s">
        <v>3424</v>
      </c>
      <c r="GF193" s="447" t="s">
        <v>580</v>
      </c>
      <c r="GG193" s="448">
        <v>7</v>
      </c>
      <c r="GH193" s="449">
        <v>7</v>
      </c>
      <c r="GI193" s="447" t="s">
        <v>580</v>
      </c>
      <c r="GJ193" s="449">
        <v>79</v>
      </c>
      <c r="GK193" s="447">
        <v>20</v>
      </c>
      <c r="GL193" s="448">
        <v>28</v>
      </c>
      <c r="GM193" s="449">
        <v>31</v>
      </c>
      <c r="GN193" s="447" t="s">
        <v>580</v>
      </c>
      <c r="GO193" s="449">
        <v>95</v>
      </c>
      <c r="GP193" s="447">
        <v>30</v>
      </c>
      <c r="GQ193" s="448">
        <v>37</v>
      </c>
      <c r="GR193" s="449">
        <v>28</v>
      </c>
      <c r="GS193" s="446">
        <v>-9</v>
      </c>
      <c r="GT193" s="461">
        <v>-1.9435014724731445</v>
      </c>
      <c r="GU193" s="462">
        <v>-0.54892224073410034</v>
      </c>
      <c r="GV193" s="462">
        <v>-0.93606066703796387</v>
      </c>
      <c r="GW193" s="462">
        <v>-1.631834864616394</v>
      </c>
      <c r="GX193" s="462">
        <v>-1.2041685581207275</v>
      </c>
      <c r="GY193" s="463">
        <v>-1.2260184288024902</v>
      </c>
      <c r="GZ193" s="10">
        <v>100</v>
      </c>
      <c r="HA193" s="536">
        <v>0.46950999999999998</v>
      </c>
      <c r="HB193" s="536">
        <v>0.47058</v>
      </c>
      <c r="HC193" s="525">
        <v>0.44880999999999999</v>
      </c>
      <c r="HD193" s="526">
        <v>0.23333999999999999</v>
      </c>
      <c r="HE193" s="527">
        <v>0.72640000000000005</v>
      </c>
      <c r="HF193" s="10">
        <v>115</v>
      </c>
      <c r="HG193" s="532">
        <v>3.4</v>
      </c>
      <c r="HH193" s="545">
        <v>2.95</v>
      </c>
      <c r="HI193" s="546">
        <v>2.09</v>
      </c>
      <c r="HJ193" s="547">
        <v>6.94</v>
      </c>
      <c r="HK193" s="558" t="s">
        <v>145</v>
      </c>
      <c r="HL193" s="82" t="s">
        <v>145</v>
      </c>
      <c r="HM193" s="557" t="s">
        <v>145</v>
      </c>
      <c r="HN193" s="557" t="s">
        <v>145</v>
      </c>
      <c r="HO193" s="557" t="s">
        <v>145</v>
      </c>
      <c r="HP193" s="562" t="s">
        <v>145</v>
      </c>
      <c r="HQ193" s="562" t="s">
        <v>145</v>
      </c>
      <c r="HR193" s="563" t="s">
        <v>145</v>
      </c>
      <c r="HS193" s="545">
        <v>93</v>
      </c>
      <c r="HT193" s="557">
        <v>59</v>
      </c>
      <c r="HU193" s="557">
        <v>1997</v>
      </c>
      <c r="HV193" s="583" t="s">
        <v>4265</v>
      </c>
      <c r="HW193" s="557">
        <v>3</v>
      </c>
      <c r="HX193" s="557">
        <v>25</v>
      </c>
      <c r="HY193" s="557">
        <v>10</v>
      </c>
      <c r="HZ193" s="557">
        <v>13</v>
      </c>
      <c r="IA193" s="557">
        <v>7</v>
      </c>
      <c r="IB193" s="557">
        <v>1</v>
      </c>
      <c r="IC193" s="547">
        <v>0</v>
      </c>
      <c r="ID193" s="660"/>
      <c r="IE193" s="550"/>
      <c r="IF193" s="550"/>
      <c r="IG193" s="553"/>
      <c r="IH193" s="339">
        <v>40.200000000000003</v>
      </c>
      <c r="II193" s="553" t="s">
        <v>4923</v>
      </c>
      <c r="IJ193" s="424" t="s">
        <v>4926</v>
      </c>
      <c r="IK193" s="24">
        <v>0</v>
      </c>
      <c r="IL193" s="749">
        <f t="shared" si="170"/>
        <v>18</v>
      </c>
      <c r="IM193" s="747">
        <f t="shared" si="171"/>
        <v>72</v>
      </c>
      <c r="IN193" s="750" t="str">
        <f t="shared" si="172"/>
        <v>B</v>
      </c>
      <c r="IO193" s="446"/>
      <c r="IP193" s="902">
        <v>4</v>
      </c>
      <c r="IQ193" s="903">
        <v>0</v>
      </c>
      <c r="IR193" s="993">
        <v>0</v>
      </c>
      <c r="IT193" s="435"/>
      <c r="IU193" s="435"/>
      <c r="IV193" s="435"/>
    </row>
    <row r="194" spans="1:256">
      <c r="A194" s="21">
        <v>192</v>
      </c>
      <c r="B194" s="9"/>
      <c r="C194" s="430" t="s">
        <v>289</v>
      </c>
      <c r="D194" s="424" t="s">
        <v>407</v>
      </c>
      <c r="E194" s="24" t="s">
        <v>20</v>
      </c>
      <c r="F194" s="76" t="s">
        <v>923</v>
      </c>
      <c r="G194" s="102" t="s">
        <v>638</v>
      </c>
      <c r="H194" s="375" t="s">
        <v>2540</v>
      </c>
      <c r="I194" s="364" t="s">
        <v>2539</v>
      </c>
      <c r="J194" s="370">
        <v>2</v>
      </c>
      <c r="K194" s="359">
        <v>1971</v>
      </c>
      <c r="L194" s="371">
        <v>2</v>
      </c>
      <c r="M194" s="373" t="s">
        <v>1809</v>
      </c>
      <c r="N194" s="369" t="s">
        <v>1822</v>
      </c>
      <c r="O194" s="365" t="s">
        <v>3383</v>
      </c>
      <c r="P194" s="364" t="s">
        <v>145</v>
      </c>
      <c r="Q194" s="370">
        <v>0</v>
      </c>
      <c r="R194" s="358" t="s">
        <v>145</v>
      </c>
      <c r="S194" s="372" t="s">
        <v>145</v>
      </c>
      <c r="T194" s="370">
        <v>0</v>
      </c>
      <c r="U194" s="358">
        <v>0</v>
      </c>
      <c r="V194" s="370" t="s">
        <v>145</v>
      </c>
      <c r="W194" s="369" t="s">
        <v>145</v>
      </c>
      <c r="X194" s="170">
        <v>0</v>
      </c>
      <c r="Y194" s="369">
        <v>0</v>
      </c>
      <c r="Z194" s="271"/>
      <c r="AA194" s="169"/>
      <c r="AB194" s="177"/>
      <c r="AC194" s="171"/>
      <c r="AD194" s="34" t="s">
        <v>145</v>
      </c>
      <c r="AE194" s="355" t="s">
        <v>145</v>
      </c>
      <c r="AF194" s="355">
        <v>0</v>
      </c>
      <c r="AG194" s="550">
        <v>0</v>
      </c>
      <c r="AH194" s="355" t="s">
        <v>145</v>
      </c>
      <c r="AI194" s="550" t="s">
        <v>145</v>
      </c>
      <c r="AJ194" s="550" t="s">
        <v>145</v>
      </c>
      <c r="AK194" s="590" t="s">
        <v>145</v>
      </c>
      <c r="AL194" s="355">
        <v>0</v>
      </c>
      <c r="AM194" s="360" t="s">
        <v>145</v>
      </c>
      <c r="AN194" s="384" t="s">
        <v>145</v>
      </c>
      <c r="AO194" s="170">
        <v>0</v>
      </c>
      <c r="AP194" s="369">
        <v>0</v>
      </c>
      <c r="AQ194" s="365" t="s">
        <v>5377</v>
      </c>
      <c r="AR194" s="685" t="s">
        <v>5378</v>
      </c>
      <c r="AS194" s="55">
        <v>0</v>
      </c>
      <c r="AT194" s="370">
        <v>2</v>
      </c>
      <c r="AU194" s="367">
        <v>2010</v>
      </c>
      <c r="AV194" s="358">
        <v>5</v>
      </c>
      <c r="AW194" s="589" t="s">
        <v>145</v>
      </c>
      <c r="AX194" s="687">
        <v>0</v>
      </c>
      <c r="AY194" s="174" t="s">
        <v>3971</v>
      </c>
      <c r="AZ194" s="55">
        <v>2004</v>
      </c>
      <c r="BA194" s="55">
        <v>1</v>
      </c>
      <c r="BB194" s="55">
        <v>0</v>
      </c>
      <c r="BC194" s="174" t="s">
        <v>5350</v>
      </c>
      <c r="BD194" s="55">
        <v>1993</v>
      </c>
      <c r="BE194" s="55">
        <v>1</v>
      </c>
      <c r="BF194" s="371" t="s">
        <v>323</v>
      </c>
      <c r="BG194" s="371">
        <v>0</v>
      </c>
      <c r="BH194" s="56" t="s">
        <v>145</v>
      </c>
      <c r="BI194" s="371">
        <v>3</v>
      </c>
      <c r="BJ194" s="371">
        <v>0</v>
      </c>
      <c r="BK194" s="888">
        <v>264.65199999999999</v>
      </c>
      <c r="BL194" s="925">
        <f t="shared" si="159"/>
        <v>49.346689237186951</v>
      </c>
      <c r="BM194" s="888">
        <v>134.05500000000001</v>
      </c>
      <c r="BN194" s="920">
        <v>130.59700000000001</v>
      </c>
      <c r="BO194" s="888">
        <v>34.768000000000001</v>
      </c>
      <c r="BP194" s="1158">
        <f t="shared" si="135"/>
        <v>48.282903819604229</v>
      </c>
      <c r="BQ194" s="917">
        <v>17.981000000000002</v>
      </c>
      <c r="BR194" s="920">
        <v>16.786999999999999</v>
      </c>
      <c r="BS194" s="888">
        <v>33.470999999999997</v>
      </c>
      <c r="BT194" s="1158">
        <f t="shared" si="136"/>
        <v>47.942995428878739</v>
      </c>
      <c r="BU194" s="917">
        <v>17.423999999999999</v>
      </c>
      <c r="BV194" s="920">
        <v>16.047000000000001</v>
      </c>
      <c r="BW194" s="888">
        <v>28.440999999999999</v>
      </c>
      <c r="BX194" s="1158">
        <f t="shared" si="137"/>
        <v>47.361203895784257</v>
      </c>
      <c r="BY194" s="917">
        <v>14.971</v>
      </c>
      <c r="BZ194" s="920">
        <v>13.47</v>
      </c>
      <c r="CA194" s="888">
        <f t="shared" si="138"/>
        <v>167.97199999999998</v>
      </c>
      <c r="CB194" s="1158">
        <f t="shared" si="139"/>
        <v>50.182768556664215</v>
      </c>
      <c r="CC194" s="917">
        <f t="shared" si="140"/>
        <v>83.679000000000002</v>
      </c>
      <c r="CD194" s="920">
        <f t="shared" si="141"/>
        <v>84.293000000000006</v>
      </c>
      <c r="CE194" s="914">
        <v>2015</v>
      </c>
      <c r="CF194" s="910" t="s">
        <v>5630</v>
      </c>
      <c r="CG194" s="1026">
        <v>43.4</v>
      </c>
      <c r="CH194" s="495">
        <v>44</v>
      </c>
      <c r="CI194" s="497">
        <v>42.9</v>
      </c>
      <c r="CJ194" s="904">
        <v>50.8</v>
      </c>
      <c r="CK194" s="904">
        <v>36.700000000000003</v>
      </c>
      <c r="CL194" s="904">
        <v>2013</v>
      </c>
      <c r="CM194" s="905" t="s">
        <v>5580</v>
      </c>
      <c r="CN194" s="1125">
        <v>143.29300000000001</v>
      </c>
      <c r="CO194" s="1045">
        <f t="shared" si="160"/>
        <v>54.143932409352672</v>
      </c>
      <c r="CP194" s="1040">
        <f>IF(OR(CZ194=1,CZ194=10),CN194*(1-BL194/100),IF(DA194=6,CN194*(1-BL194/100),CN194*(1-CB194/100)))</f>
        <v>72.58264859135771</v>
      </c>
      <c r="CQ194" s="1041">
        <f>IF(OR(CZ194=1,CZ194=10),CN194*BL194/100,IF(DA194=6,CN194*BL194/100,CN194*CB194/100))</f>
        <v>70.710351408642296</v>
      </c>
      <c r="CR194" s="1046">
        <v>2012</v>
      </c>
      <c r="CS194" s="1047" t="s">
        <v>6061</v>
      </c>
      <c r="CT194" s="1068" t="str">
        <f t="shared" si="161"/>
        <v>-</v>
      </c>
      <c r="CU194" s="1071">
        <v>18</v>
      </c>
      <c r="CV194" s="1068" t="s">
        <v>6081</v>
      </c>
      <c r="CW194" s="1113">
        <v>192.63200000000001</v>
      </c>
      <c r="CX194" s="1113">
        <v>143.29300000000001</v>
      </c>
      <c r="CY194" s="1113">
        <v>256.15499999999997</v>
      </c>
      <c r="CZ194" s="494">
        <v>1</v>
      </c>
      <c r="DA194" s="1104">
        <v>4</v>
      </c>
      <c r="DB194" s="1050" t="s">
        <v>647</v>
      </c>
      <c r="DC194" s="1146" t="s">
        <v>322</v>
      </c>
      <c r="DD194" s="984">
        <f t="shared" si="148"/>
        <v>79.399879999999968</v>
      </c>
      <c r="DE194" s="979">
        <f t="shared" si="162"/>
        <v>30.001617218082604</v>
      </c>
      <c r="DF194" s="979">
        <f t="shared" si="149"/>
        <v>50.40591067814929</v>
      </c>
      <c r="DG194" s="590">
        <f t="shared" si="150"/>
        <v>39.306911408642293</v>
      </c>
      <c r="DH194" s="590">
        <f t="shared" si="151"/>
        <v>40.022232591357707</v>
      </c>
      <c r="DI194" s="979">
        <f t="shared" si="163"/>
        <v>29.321481040350822</v>
      </c>
      <c r="DJ194" s="981">
        <f t="shared" si="164"/>
        <v>30.645598743736613</v>
      </c>
      <c r="DK194" s="984">
        <f t="shared" si="165"/>
        <v>24.678999999999974</v>
      </c>
      <c r="DL194" s="979">
        <f t="shared" si="152"/>
        <v>55.037272950110314</v>
      </c>
      <c r="DM194" s="590">
        <f t="shared" si="166"/>
        <v>11.096351408642292</v>
      </c>
      <c r="DN194" s="987">
        <f t="shared" si="167"/>
        <v>13.58264859135771</v>
      </c>
      <c r="DO194" s="984">
        <f t="shared" si="168"/>
        <v>35.042192</v>
      </c>
      <c r="DP194" s="979">
        <f t="shared" si="153"/>
        <v>48.096897020597339</v>
      </c>
      <c r="DQ194" s="590">
        <f t="shared" si="142"/>
        <v>18.141200000000001</v>
      </c>
      <c r="DR194" s="987">
        <f t="shared" si="143"/>
        <v>16.854206999999999</v>
      </c>
      <c r="DS194" s="984">
        <f t="shared" si="169"/>
        <v>19.678688000000001</v>
      </c>
      <c r="DT194" s="339">
        <f t="shared" si="154"/>
        <v>48.709431238505324</v>
      </c>
      <c r="DU194" s="590">
        <f t="shared" si="144"/>
        <v>10.069360000000001</v>
      </c>
      <c r="DV194" s="987">
        <f t="shared" si="145"/>
        <v>9.5853769999999994</v>
      </c>
      <c r="DW194" s="979">
        <f t="shared" si="146"/>
        <v>56.000000000000007</v>
      </c>
      <c r="DX194" s="981">
        <f t="shared" si="147"/>
        <v>57.099999999999994</v>
      </c>
      <c r="DY194" s="414" t="s">
        <v>145</v>
      </c>
      <c r="DZ194" s="111" t="s">
        <v>145</v>
      </c>
      <c r="EA194" s="368"/>
      <c r="EB194" s="123" t="s">
        <v>145</v>
      </c>
      <c r="EC194" s="113" t="s">
        <v>145</v>
      </c>
      <c r="ED194" s="20"/>
      <c r="EE194" s="414" t="s">
        <v>145</v>
      </c>
      <c r="EF194" s="111" t="s">
        <v>145</v>
      </c>
      <c r="EG194" s="380">
        <v>83.359756469726605</v>
      </c>
      <c r="EH194" s="24" t="s">
        <v>335</v>
      </c>
      <c r="EI194" s="287">
        <v>0</v>
      </c>
      <c r="EJ194" s="40" t="s">
        <v>145</v>
      </c>
      <c r="EK194" s="355" t="s">
        <v>145</v>
      </c>
      <c r="EL194" s="364" t="s">
        <v>145</v>
      </c>
      <c r="EM194" s="364" t="s">
        <v>145</v>
      </c>
      <c r="EN194" s="355" t="s">
        <v>145</v>
      </c>
      <c r="EO194" s="364" t="s">
        <v>145</v>
      </c>
      <c r="EP194" s="205" t="s">
        <v>145</v>
      </c>
      <c r="EQ194" s="207" t="s">
        <v>145</v>
      </c>
      <c r="ER194" s="517" t="s">
        <v>145</v>
      </c>
      <c r="ES194" s="183"/>
      <c r="ET194" s="183"/>
      <c r="EU194" s="82"/>
      <c r="EV194" s="82"/>
      <c r="EW194" s="82"/>
      <c r="EX194" s="360"/>
      <c r="EY194" s="159"/>
      <c r="EZ194" s="156"/>
      <c r="FA194" s="323"/>
      <c r="FB194" s="323"/>
      <c r="FC194" s="323"/>
      <c r="FD194" s="160"/>
      <c r="FE194" s="156"/>
      <c r="FF194" s="156"/>
      <c r="FG194" s="156"/>
      <c r="FH194" s="157"/>
      <c r="FI194" s="242"/>
      <c r="FJ194" s="373"/>
      <c r="FK194" s="179"/>
      <c r="FL194" s="179"/>
      <c r="FM194" s="179"/>
      <c r="FN194" s="369"/>
      <c r="FO194" s="164"/>
      <c r="FP194" s="255"/>
      <c r="FQ194" s="183"/>
      <c r="FR194" s="257"/>
      <c r="FS194" s="82"/>
      <c r="FT194" s="259"/>
      <c r="FU194" s="82"/>
      <c r="FV194" s="259"/>
      <c r="FW194" s="82"/>
      <c r="FX194" s="259"/>
      <c r="FY194" s="82"/>
      <c r="FZ194" s="259"/>
      <c r="GA194" s="82"/>
      <c r="GB194" s="261"/>
      <c r="GC194" s="360"/>
      <c r="GD194" s="76">
        <v>1</v>
      </c>
      <c r="GE194" s="445" t="s">
        <v>3431</v>
      </c>
      <c r="GF194" s="447" t="s">
        <v>10</v>
      </c>
      <c r="GG194" s="448">
        <v>2</v>
      </c>
      <c r="GH194" s="449">
        <v>2</v>
      </c>
      <c r="GI194" s="447" t="s">
        <v>145</v>
      </c>
      <c r="GJ194" s="449" t="s">
        <v>145</v>
      </c>
      <c r="GK194" s="447" t="s">
        <v>145</v>
      </c>
      <c r="GL194" s="448" t="s">
        <v>145</v>
      </c>
      <c r="GM194" s="449" t="s">
        <v>145</v>
      </c>
      <c r="GN194" s="447" t="s">
        <v>10</v>
      </c>
      <c r="GO194" s="449">
        <v>25</v>
      </c>
      <c r="GP194" s="447">
        <v>6</v>
      </c>
      <c r="GQ194" s="448">
        <v>11</v>
      </c>
      <c r="GR194" s="449">
        <v>8</v>
      </c>
      <c r="GS194" s="446"/>
      <c r="GT194" s="461">
        <v>0.51491749286651611</v>
      </c>
      <c r="GU194" s="462">
        <v>1.1897262334823608</v>
      </c>
      <c r="GV194" s="462">
        <v>-0.21368579566478729</v>
      </c>
      <c r="GW194" s="462">
        <v>-0.55249053239822388</v>
      </c>
      <c r="GX194" s="462">
        <v>0.27983322739601135</v>
      </c>
      <c r="GY194" s="463">
        <v>0.37616285681724548</v>
      </c>
      <c r="GZ194" s="10">
        <v>159</v>
      </c>
      <c r="HA194" s="536">
        <v>0.25705</v>
      </c>
      <c r="HB194" s="536">
        <v>0.17646999999999999</v>
      </c>
      <c r="HC194" s="525">
        <v>7.8740000000000004E-2</v>
      </c>
      <c r="HD194" s="526">
        <v>0.11882</v>
      </c>
      <c r="HE194" s="527">
        <v>0.5736</v>
      </c>
      <c r="HF194" s="10" t="s">
        <v>145</v>
      </c>
      <c r="HG194" s="532" t="s">
        <v>145</v>
      </c>
      <c r="HH194" s="524" t="s">
        <v>145</v>
      </c>
      <c r="HI194" s="525" t="s">
        <v>145</v>
      </c>
      <c r="HJ194" s="527" t="s">
        <v>145</v>
      </c>
      <c r="HK194" s="558" t="s">
        <v>4764</v>
      </c>
      <c r="HL194" s="585" t="s">
        <v>4765</v>
      </c>
      <c r="HM194" s="557">
        <v>2000</v>
      </c>
      <c r="HN194" s="557">
        <v>2000</v>
      </c>
      <c r="HO194" s="526" t="s">
        <v>3985</v>
      </c>
      <c r="HP194" s="564" t="s">
        <v>4869</v>
      </c>
      <c r="HQ194" s="655" t="s">
        <v>4870</v>
      </c>
      <c r="HR194" s="565" t="s">
        <v>145</v>
      </c>
      <c r="HS194" s="524" t="s">
        <v>145</v>
      </c>
      <c r="HT194" s="526" t="s">
        <v>145</v>
      </c>
      <c r="HU194" s="526" t="s">
        <v>145</v>
      </c>
      <c r="HV194" s="582" t="s">
        <v>145</v>
      </c>
      <c r="HW194" s="526" t="s">
        <v>145</v>
      </c>
      <c r="HX194" s="526" t="s">
        <v>145</v>
      </c>
      <c r="HY194" s="526" t="s">
        <v>145</v>
      </c>
      <c r="HZ194" s="526" t="s">
        <v>145</v>
      </c>
      <c r="IA194" s="526" t="s">
        <v>145</v>
      </c>
      <c r="IB194" s="526" t="s">
        <v>145</v>
      </c>
      <c r="IC194" s="527" t="s">
        <v>145</v>
      </c>
      <c r="ID194" s="660"/>
      <c r="IE194" s="550"/>
      <c r="IF194" s="550"/>
      <c r="IG194" s="553"/>
      <c r="IH194" s="339"/>
      <c r="II194" s="553" t="s">
        <v>4921</v>
      </c>
      <c r="IJ194" s="424" t="s">
        <v>4926</v>
      </c>
      <c r="IK194" s="24">
        <v>1</v>
      </c>
      <c r="IL194" s="749">
        <f t="shared" si="170"/>
        <v>7</v>
      </c>
      <c r="IM194" s="747">
        <f t="shared" si="171"/>
        <v>28.000000000000004</v>
      </c>
      <c r="IN194" s="750" t="str">
        <f t="shared" si="172"/>
        <v>C</v>
      </c>
      <c r="IO194" s="446"/>
      <c r="IP194" s="902">
        <v>1</v>
      </c>
      <c r="IQ194" s="903">
        <v>0</v>
      </c>
      <c r="IR194" s="993">
        <v>0</v>
      </c>
      <c r="IT194" s="435"/>
      <c r="IU194" s="435"/>
      <c r="IV194" s="435"/>
    </row>
    <row r="195" spans="1:256">
      <c r="A195" s="21">
        <v>193</v>
      </c>
      <c r="B195" s="9"/>
      <c r="C195" s="431" t="s">
        <v>290</v>
      </c>
      <c r="D195" s="424" t="s">
        <v>409</v>
      </c>
      <c r="E195" s="24" t="s">
        <v>12</v>
      </c>
      <c r="F195" s="76" t="s">
        <v>924</v>
      </c>
      <c r="G195" s="102" t="s">
        <v>636</v>
      </c>
      <c r="H195" s="375" t="s">
        <v>1799</v>
      </c>
      <c r="I195" s="364" t="s">
        <v>1798</v>
      </c>
      <c r="J195" s="176">
        <v>4</v>
      </c>
      <c r="K195" s="88">
        <v>1873</v>
      </c>
      <c r="L195" s="371">
        <v>2</v>
      </c>
      <c r="M195" s="240" t="s">
        <v>2541</v>
      </c>
      <c r="N195" s="369" t="s">
        <v>1822</v>
      </c>
      <c r="O195" s="365" t="s">
        <v>3350</v>
      </c>
      <c r="P195" s="23" t="s">
        <v>3351</v>
      </c>
      <c r="Q195" s="370">
        <v>2</v>
      </c>
      <c r="R195" s="370">
        <v>1941</v>
      </c>
      <c r="S195" s="372" t="s">
        <v>1817</v>
      </c>
      <c r="T195" s="370">
        <v>1</v>
      </c>
      <c r="U195" s="370">
        <v>2</v>
      </c>
      <c r="V195" s="370">
        <v>10</v>
      </c>
      <c r="W195" s="369" t="s">
        <v>1822</v>
      </c>
      <c r="X195" s="170">
        <v>1</v>
      </c>
      <c r="Y195" s="369">
        <v>1</v>
      </c>
      <c r="Z195" s="271"/>
      <c r="AA195" s="169">
        <v>1</v>
      </c>
      <c r="AB195" s="177">
        <v>1</v>
      </c>
      <c r="AC195" s="171"/>
      <c r="AD195" s="85" t="s">
        <v>1594</v>
      </c>
      <c r="AE195" s="357">
        <v>2015</v>
      </c>
      <c r="AF195" s="357">
        <v>2</v>
      </c>
      <c r="AG195" s="550" t="s">
        <v>5171</v>
      </c>
      <c r="AH195" s="355" t="s">
        <v>2899</v>
      </c>
      <c r="AI195" s="55">
        <v>0</v>
      </c>
      <c r="AJ195" s="55">
        <v>0</v>
      </c>
      <c r="AK195" s="590" t="s">
        <v>145</v>
      </c>
      <c r="AL195" s="386">
        <v>10</v>
      </c>
      <c r="AM195" s="361" t="s">
        <v>3406</v>
      </c>
      <c r="AN195" s="384" t="s">
        <v>145</v>
      </c>
      <c r="AO195" s="170">
        <v>0</v>
      </c>
      <c r="AP195" s="172">
        <v>0</v>
      </c>
      <c r="AQ195" s="365" t="s">
        <v>5008</v>
      </c>
      <c r="AR195" s="377" t="s">
        <v>3351</v>
      </c>
      <c r="AS195" s="55">
        <v>2</v>
      </c>
      <c r="AT195" s="370">
        <v>2</v>
      </c>
      <c r="AU195" s="371">
        <v>2007</v>
      </c>
      <c r="AV195" s="370">
        <v>5</v>
      </c>
      <c r="AW195" s="589">
        <v>1200</v>
      </c>
      <c r="AX195" s="687">
        <v>0</v>
      </c>
      <c r="AY195" s="174" t="s">
        <v>3972</v>
      </c>
      <c r="AZ195" s="55">
        <v>1994</v>
      </c>
      <c r="BA195" s="55">
        <v>1</v>
      </c>
      <c r="BB195" s="55">
        <v>1</v>
      </c>
      <c r="BC195" s="174" t="s">
        <v>4392</v>
      </c>
      <c r="BD195" s="55">
        <v>2006</v>
      </c>
      <c r="BE195" s="803">
        <v>0</v>
      </c>
      <c r="BF195" s="795" t="s">
        <v>145</v>
      </c>
      <c r="BG195" s="367">
        <v>0</v>
      </c>
      <c r="BH195" s="56" t="s">
        <v>145</v>
      </c>
      <c r="BI195" s="367">
        <v>0</v>
      </c>
      <c r="BJ195" s="367">
        <v>0</v>
      </c>
      <c r="BK195" s="888">
        <v>31108.082999999999</v>
      </c>
      <c r="BL195" s="925">
        <f t="shared" ref="BL195:BL200" si="173">BN195/BK195*100</f>
        <v>50.214865377593341</v>
      </c>
      <c r="BM195" s="888">
        <v>15487.200999999999</v>
      </c>
      <c r="BN195" s="920">
        <v>15620.882</v>
      </c>
      <c r="BO195" s="888">
        <v>2959.9459999999999</v>
      </c>
      <c r="BP195" s="1158">
        <f t="shared" si="135"/>
        <v>48.883695851208095</v>
      </c>
      <c r="BQ195" s="917">
        <v>1513.0150000000001</v>
      </c>
      <c r="BR195" s="920">
        <v>1446.931</v>
      </c>
      <c r="BS195" s="888">
        <v>2922.8470000000002</v>
      </c>
      <c r="BT195" s="1158">
        <f t="shared" si="136"/>
        <v>48.946831633677711</v>
      </c>
      <c r="BU195" s="917">
        <v>1492.2059999999999</v>
      </c>
      <c r="BV195" s="920">
        <v>1430.6410000000001</v>
      </c>
      <c r="BW195" s="888">
        <v>2860.2620000000002</v>
      </c>
      <c r="BX195" s="1158">
        <f t="shared" si="137"/>
        <v>48.973835264042243</v>
      </c>
      <c r="BY195" s="917">
        <v>1459.482</v>
      </c>
      <c r="BZ195" s="920">
        <v>1400.78</v>
      </c>
      <c r="CA195" s="888">
        <f t="shared" si="138"/>
        <v>22365.027999999998</v>
      </c>
      <c r="CB195" s="1158">
        <f t="shared" si="139"/>
        <v>50.715474176915855</v>
      </c>
      <c r="CC195" s="917">
        <f t="shared" si="140"/>
        <v>11022.498</v>
      </c>
      <c r="CD195" s="920">
        <f t="shared" si="141"/>
        <v>11342.529999999999</v>
      </c>
      <c r="CE195" s="914">
        <v>2015</v>
      </c>
      <c r="CF195" s="910" t="s">
        <v>5630</v>
      </c>
      <c r="CG195" s="930">
        <v>80.8</v>
      </c>
      <c r="CH195" s="504">
        <v>80.8</v>
      </c>
      <c r="CI195" s="1008">
        <v>80.8</v>
      </c>
      <c r="CJ195" s="904" t="s">
        <v>1621</v>
      </c>
      <c r="CK195" s="904" t="s">
        <v>1621</v>
      </c>
      <c r="CL195" s="904">
        <v>2011</v>
      </c>
      <c r="CM195" s="905" t="s">
        <v>5613</v>
      </c>
      <c r="CN195" s="1044">
        <f>CP195+CQ195</f>
        <v>27227.93</v>
      </c>
      <c r="CO195" s="1045">
        <f t="shared" ref="CO195:CO200" si="174">CN195/BK195*100</f>
        <v>87.52686560595842</v>
      </c>
      <c r="CP195" s="1049">
        <v>13549.752</v>
      </c>
      <c r="CQ195" s="1050">
        <v>13678.178</v>
      </c>
      <c r="CR195" s="1046">
        <v>2015</v>
      </c>
      <c r="CS195" s="1047" t="s">
        <v>5828</v>
      </c>
      <c r="CT195" s="1068">
        <f t="shared" ref="CT195:CT200" si="175">V195</f>
        <v>10</v>
      </c>
      <c r="CU195" s="1071">
        <v>18</v>
      </c>
      <c r="CV195" s="1068" t="s">
        <v>6082</v>
      </c>
      <c r="CW195" s="1113">
        <v>19504.106</v>
      </c>
      <c r="CX195" s="1113">
        <v>19498.303</v>
      </c>
      <c r="CY195" s="1113">
        <v>29275.46</v>
      </c>
      <c r="CZ195" s="1048">
        <v>20</v>
      </c>
      <c r="DA195" s="1104">
        <v>4</v>
      </c>
      <c r="DB195" s="1050" t="s">
        <v>647</v>
      </c>
      <c r="DC195" s="1146" t="s">
        <v>322</v>
      </c>
      <c r="DD195" s="978">
        <f t="shared" si="148"/>
        <v>3880.1529999999984</v>
      </c>
      <c r="DE195" s="979">
        <f t="shared" ref="DE195:DE200" si="176">DD195/BK195*100</f>
        <v>12.473134394041569</v>
      </c>
      <c r="DF195" s="979">
        <f t="shared" si="149"/>
        <v>50.067716401904782</v>
      </c>
      <c r="DG195" s="980">
        <f t="shared" si="150"/>
        <v>1937.4489999999987</v>
      </c>
      <c r="DH195" s="980">
        <f t="shared" si="151"/>
        <v>1942.7039999999997</v>
      </c>
      <c r="DI195" s="979">
        <f t="shared" ref="DI195:DI200" si="177">DG195/BM195*100</f>
        <v>12.510001000180724</v>
      </c>
      <c r="DJ195" s="981">
        <f t="shared" ref="DJ195:DJ200" si="178">DH195/BN195*100</f>
        <v>12.436583286398296</v>
      </c>
      <c r="DK195" s="984">
        <f t="shared" ref="DK195:DK200" si="179">IF(OR($CZ195=1,$CZ195=10),CA195-CN195,BK195-CN195-DO195-DS195)</f>
        <v>2201.4864399999979</v>
      </c>
      <c r="DL195" s="979">
        <f t="shared" si="152"/>
        <v>50.931970128328409</v>
      </c>
      <c r="DM195" s="980">
        <f t="shared" ref="DM195:DM200" si="180">IF(OR($CZ195=1,$CZ195=10),CC195-CP195,BM195-CP195-DQ195-DU195)</f>
        <v>1080.2260239999985</v>
      </c>
      <c r="DN195" s="985">
        <f t="shared" ref="DN195:DN200" si="181">IF(OR($CZ195=1,$CZ195=10),CD195-CQ195,BN195-CQ195-DR195-DV195)</f>
        <v>1121.2604159999994</v>
      </c>
      <c r="DO195" s="984">
        <f t="shared" ref="DO195:DO200" si="182">BS195*(1-$CG195/100)+BW195*(1-$CG195/100)</f>
        <v>1110.3569280000004</v>
      </c>
      <c r="DP195" s="979">
        <f t="shared" si="153"/>
        <v>48.960187331762214</v>
      </c>
      <c r="DQ195" s="980">
        <f t="shared" si="142"/>
        <v>566.72409600000015</v>
      </c>
      <c r="DR195" s="985">
        <f t="shared" si="143"/>
        <v>543.63283200000023</v>
      </c>
      <c r="DS195" s="984">
        <f t="shared" ref="DS195:DS200" si="183">BO195*(1-$CG195/100)</f>
        <v>568.30963200000019</v>
      </c>
      <c r="DT195" s="339">
        <f t="shared" si="154"/>
        <v>48.883695851208095</v>
      </c>
      <c r="DU195" s="980">
        <f t="shared" si="144"/>
        <v>290.4988800000001</v>
      </c>
      <c r="DV195" s="985">
        <f t="shared" si="145"/>
        <v>277.81075200000009</v>
      </c>
      <c r="DW195" s="979">
        <f t="shared" si="146"/>
        <v>19.200000000000006</v>
      </c>
      <c r="DX195" s="981">
        <f t="shared" si="147"/>
        <v>19.200000000000006</v>
      </c>
      <c r="DY195" s="414">
        <v>6.63</v>
      </c>
      <c r="DZ195" s="111">
        <v>2006</v>
      </c>
      <c r="EA195" s="118">
        <v>1932.348</v>
      </c>
      <c r="EB195" s="123">
        <v>31.9</v>
      </c>
      <c r="EC195" s="113">
        <v>2011</v>
      </c>
      <c r="ED195" s="20">
        <v>9339.6819999999989</v>
      </c>
      <c r="EE195" s="414">
        <v>31.6</v>
      </c>
      <c r="EF195" s="111">
        <v>2011</v>
      </c>
      <c r="EG195" s="380">
        <v>95.511993408203097</v>
      </c>
      <c r="EH195" s="24" t="s">
        <v>358</v>
      </c>
      <c r="EI195" s="287">
        <v>3</v>
      </c>
      <c r="EJ195" s="40" t="s">
        <v>145</v>
      </c>
      <c r="EK195" s="35" t="s">
        <v>145</v>
      </c>
      <c r="EL195" s="364" t="s">
        <v>145</v>
      </c>
      <c r="EM195" s="364" t="s">
        <v>145</v>
      </c>
      <c r="EN195" s="35" t="s">
        <v>145</v>
      </c>
      <c r="EO195" s="364" t="s">
        <v>145</v>
      </c>
      <c r="EP195" s="205" t="s">
        <v>145</v>
      </c>
      <c r="EQ195" s="207" t="s">
        <v>145</v>
      </c>
      <c r="ER195" s="517">
        <v>1</v>
      </c>
      <c r="ES195" s="183" t="s">
        <v>145</v>
      </c>
      <c r="ET195" s="183" t="s">
        <v>145</v>
      </c>
      <c r="EU195" s="82" t="s">
        <v>145</v>
      </c>
      <c r="EV195" s="82" t="s">
        <v>145</v>
      </c>
      <c r="EW195" s="82" t="s">
        <v>3877</v>
      </c>
      <c r="EX195" s="360" t="s">
        <v>145</v>
      </c>
      <c r="EY195" s="159">
        <v>23054210</v>
      </c>
      <c r="EZ195" s="156">
        <v>2001</v>
      </c>
      <c r="FA195" s="323">
        <v>93</v>
      </c>
      <c r="FB195" s="323">
        <v>7</v>
      </c>
      <c r="FC195" s="323">
        <v>29</v>
      </c>
      <c r="FD195" s="231" t="s">
        <v>1797</v>
      </c>
      <c r="FE195" s="156">
        <v>95</v>
      </c>
      <c r="FF195" s="156" t="s">
        <v>1673</v>
      </c>
      <c r="FG195" s="156">
        <v>8</v>
      </c>
      <c r="FH195" s="157" t="s">
        <v>318</v>
      </c>
      <c r="FI195" s="242">
        <v>2</v>
      </c>
      <c r="FJ195" s="240" t="s">
        <v>1849</v>
      </c>
      <c r="FK195" s="179" t="s">
        <v>145</v>
      </c>
      <c r="FL195" s="236" t="s">
        <v>1817</v>
      </c>
      <c r="FM195" s="179" t="s">
        <v>1822</v>
      </c>
      <c r="FN195" s="172" t="s">
        <v>145</v>
      </c>
      <c r="FO195" s="165" t="s">
        <v>1800</v>
      </c>
      <c r="FP195" s="255"/>
      <c r="FQ195" s="183"/>
      <c r="FR195" s="257">
        <v>1</v>
      </c>
      <c r="FS195" s="82" t="s">
        <v>1939</v>
      </c>
      <c r="FT195" s="259"/>
      <c r="FU195" s="82"/>
      <c r="FV195" s="259"/>
      <c r="FW195" s="82"/>
      <c r="FX195" s="259"/>
      <c r="FY195" s="82"/>
      <c r="FZ195" s="259"/>
      <c r="GA195" s="82"/>
      <c r="GB195" s="261"/>
      <c r="GC195" s="90"/>
      <c r="GD195" s="76">
        <v>1</v>
      </c>
      <c r="GE195" s="445" t="s">
        <v>3424</v>
      </c>
      <c r="GF195" s="447" t="s">
        <v>590</v>
      </c>
      <c r="GG195" s="448">
        <v>5</v>
      </c>
      <c r="GH195" s="449">
        <v>5</v>
      </c>
      <c r="GI195" s="447" t="s">
        <v>590</v>
      </c>
      <c r="GJ195" s="449">
        <v>56</v>
      </c>
      <c r="GK195" s="447">
        <v>17</v>
      </c>
      <c r="GL195" s="448">
        <v>18</v>
      </c>
      <c r="GM195" s="449">
        <v>21</v>
      </c>
      <c r="GN195" s="447" t="s">
        <v>580</v>
      </c>
      <c r="GO195" s="449">
        <v>78</v>
      </c>
      <c r="GP195" s="447">
        <v>26</v>
      </c>
      <c r="GQ195" s="448">
        <v>30</v>
      </c>
      <c r="GR195" s="449">
        <v>22</v>
      </c>
      <c r="GS195" s="446">
        <v>9</v>
      </c>
      <c r="GT195" s="461">
        <v>-0.95268487930297852</v>
      </c>
      <c r="GU195" s="462">
        <v>-1.0772242546081543</v>
      </c>
      <c r="GV195" s="462">
        <v>-1.136284351348877</v>
      </c>
      <c r="GW195" s="462">
        <v>-1.6428266763687134</v>
      </c>
      <c r="GX195" s="462">
        <v>-1.7902894020080566</v>
      </c>
      <c r="GY195" s="463">
        <v>-1.275205135345459</v>
      </c>
      <c r="GZ195" s="10">
        <v>67</v>
      </c>
      <c r="HA195" s="536">
        <v>0.55639000000000005</v>
      </c>
      <c r="HB195" s="536">
        <v>0.56862000000000001</v>
      </c>
      <c r="HC195" s="525">
        <v>0.55118</v>
      </c>
      <c r="HD195" s="526">
        <v>0.34948000000000001</v>
      </c>
      <c r="HE195" s="527">
        <v>0.76849999999999996</v>
      </c>
      <c r="HF195" s="10">
        <v>80</v>
      </c>
      <c r="HG195" s="532">
        <v>4.8099999999999996</v>
      </c>
      <c r="HH195" s="545">
        <v>5.36</v>
      </c>
      <c r="HI195" s="546">
        <v>2.36</v>
      </c>
      <c r="HJ195" s="547">
        <v>8.6199999999999992</v>
      </c>
      <c r="HK195" s="558" t="s">
        <v>145</v>
      </c>
      <c r="HL195" s="82" t="s">
        <v>145</v>
      </c>
      <c r="HM195" s="557" t="s">
        <v>145</v>
      </c>
      <c r="HN195" s="557" t="s">
        <v>145</v>
      </c>
      <c r="HO195" s="557" t="s">
        <v>145</v>
      </c>
      <c r="HP195" s="562" t="s">
        <v>145</v>
      </c>
      <c r="HQ195" s="562" t="s">
        <v>145</v>
      </c>
      <c r="HR195" s="563" t="s">
        <v>145</v>
      </c>
      <c r="HS195" s="545" t="s">
        <v>145</v>
      </c>
      <c r="HT195" s="557" t="s">
        <v>145</v>
      </c>
      <c r="HU195" s="557" t="s">
        <v>145</v>
      </c>
      <c r="HV195" s="581" t="s">
        <v>145</v>
      </c>
      <c r="HW195" s="557" t="s">
        <v>145</v>
      </c>
      <c r="HX195" s="557" t="s">
        <v>145</v>
      </c>
      <c r="HY195" s="557" t="s">
        <v>145</v>
      </c>
      <c r="HZ195" s="557" t="s">
        <v>145</v>
      </c>
      <c r="IA195" s="557" t="s">
        <v>145</v>
      </c>
      <c r="IB195" s="557" t="s">
        <v>145</v>
      </c>
      <c r="IC195" s="547" t="s">
        <v>145</v>
      </c>
      <c r="ID195" s="660"/>
      <c r="IE195" s="550"/>
      <c r="IF195" s="550"/>
      <c r="IG195" s="553"/>
      <c r="IH195" s="339">
        <v>29.9</v>
      </c>
      <c r="II195" s="553" t="s">
        <v>4922</v>
      </c>
      <c r="IJ195" s="424" t="s">
        <v>4926</v>
      </c>
      <c r="IK195" s="24">
        <v>0</v>
      </c>
      <c r="IL195" s="749">
        <f t="shared" ref="IL195:IL200" si="184">L195+T195+U195+AF195+(IF(AG195="2B",2,IF(AG195="3B",3,IF(AG195="4B",4,AG195))))+AS195+BA195+BB195+BE195+BG195+BI195+BJ195</f>
        <v>15</v>
      </c>
      <c r="IM195" s="747">
        <f t="shared" ref="IM195:IM200" si="185">IL195/25*100</f>
        <v>60</v>
      </c>
      <c r="IN195" s="750" t="str">
        <f t="shared" ref="IN195:IN200" si="186">IF(IM195&lt;25,"D",IF(IM195&lt;50,"C",IF(IM195&lt;75,"B","A")))</f>
        <v>B</v>
      </c>
      <c r="IO195" s="446"/>
      <c r="IP195" s="902">
        <v>3</v>
      </c>
      <c r="IQ195" s="903">
        <v>0</v>
      </c>
      <c r="IR195" s="993">
        <v>0</v>
      </c>
      <c r="IT195" s="435"/>
      <c r="IU195" s="435"/>
      <c r="IV195" s="435"/>
    </row>
    <row r="196" spans="1:256">
      <c r="A196" s="21">
        <v>194</v>
      </c>
      <c r="B196" s="9"/>
      <c r="C196" s="430" t="s">
        <v>927</v>
      </c>
      <c r="D196" s="424" t="s">
        <v>407</v>
      </c>
      <c r="E196" s="24" t="s">
        <v>20</v>
      </c>
      <c r="F196" s="76" t="s">
        <v>743</v>
      </c>
      <c r="G196" s="102" t="s">
        <v>637</v>
      </c>
      <c r="H196" s="375" t="s">
        <v>2543</v>
      </c>
      <c r="I196" s="364" t="s">
        <v>2542</v>
      </c>
      <c r="J196" s="176">
        <v>5</v>
      </c>
      <c r="K196" s="359">
        <v>1975</v>
      </c>
      <c r="L196" s="371">
        <v>2</v>
      </c>
      <c r="M196" s="240" t="s">
        <v>1816</v>
      </c>
      <c r="N196" s="369" t="s">
        <v>1822</v>
      </c>
      <c r="O196" s="365" t="s">
        <v>2926</v>
      </c>
      <c r="P196" s="362" t="s">
        <v>2927</v>
      </c>
      <c r="Q196" s="370">
        <v>2</v>
      </c>
      <c r="R196" s="370">
        <v>1975</v>
      </c>
      <c r="S196" s="372" t="s">
        <v>2083</v>
      </c>
      <c r="T196" s="370">
        <v>1</v>
      </c>
      <c r="U196" s="370">
        <v>2</v>
      </c>
      <c r="V196" s="370">
        <v>14</v>
      </c>
      <c r="W196" s="369" t="s">
        <v>1822</v>
      </c>
      <c r="X196" s="170">
        <v>1</v>
      </c>
      <c r="Y196" s="369">
        <v>1</v>
      </c>
      <c r="Z196" s="273" t="s">
        <v>2886</v>
      </c>
      <c r="AA196" s="169">
        <v>1</v>
      </c>
      <c r="AB196" s="177"/>
      <c r="AC196" s="171"/>
      <c r="AD196" s="366" t="s">
        <v>2924</v>
      </c>
      <c r="AE196" s="357">
        <v>2016</v>
      </c>
      <c r="AF196" s="357">
        <v>1</v>
      </c>
      <c r="AG196" s="550" t="s">
        <v>4272</v>
      </c>
      <c r="AH196" s="355" t="s">
        <v>323</v>
      </c>
      <c r="AI196" s="55">
        <v>0</v>
      </c>
      <c r="AJ196" s="55">
        <v>0</v>
      </c>
      <c r="AK196" s="590" t="s">
        <v>145</v>
      </c>
      <c r="AL196" s="386">
        <v>10</v>
      </c>
      <c r="AM196" s="361" t="s">
        <v>2925</v>
      </c>
      <c r="AN196" s="342" t="s">
        <v>145</v>
      </c>
      <c r="AO196" s="170">
        <v>1</v>
      </c>
      <c r="AP196" s="172">
        <v>0</v>
      </c>
      <c r="AQ196" s="365" t="s">
        <v>5342</v>
      </c>
      <c r="AR196" s="378" t="s">
        <v>5343</v>
      </c>
      <c r="AS196" s="55">
        <v>1</v>
      </c>
      <c r="AT196" s="370">
        <v>2</v>
      </c>
      <c r="AU196" s="371">
        <v>2008</v>
      </c>
      <c r="AV196" s="370">
        <v>5</v>
      </c>
      <c r="AW196" s="589" t="s">
        <v>145</v>
      </c>
      <c r="AX196" s="687">
        <v>0</v>
      </c>
      <c r="AY196" s="174" t="s">
        <v>3973</v>
      </c>
      <c r="AZ196" s="55">
        <v>2010</v>
      </c>
      <c r="BA196" s="55">
        <v>1</v>
      </c>
      <c r="BB196" s="55">
        <v>2</v>
      </c>
      <c r="BC196" s="174" t="s">
        <v>3974</v>
      </c>
      <c r="BD196" s="55">
        <v>2010</v>
      </c>
      <c r="BE196" s="55">
        <v>2</v>
      </c>
      <c r="BF196" s="371" t="s">
        <v>4393</v>
      </c>
      <c r="BG196" s="371">
        <v>1</v>
      </c>
      <c r="BH196" s="1" t="s">
        <v>3974</v>
      </c>
      <c r="BI196" s="371">
        <v>2</v>
      </c>
      <c r="BJ196" s="371">
        <v>0</v>
      </c>
      <c r="BK196" s="888">
        <v>93447.600999999995</v>
      </c>
      <c r="BL196" s="925">
        <f t="shared" si="173"/>
        <v>50.534343840458781</v>
      </c>
      <c r="BM196" s="888">
        <v>46224.468999999997</v>
      </c>
      <c r="BN196" s="920">
        <v>47223.131999999998</v>
      </c>
      <c r="BO196" s="888">
        <v>7740.8450000000003</v>
      </c>
      <c r="BP196" s="1158">
        <f t="shared" ref="BP196:BP200" si="187">BR196/BO196*100</f>
        <v>47.311126886018258</v>
      </c>
      <c r="BQ196" s="917">
        <v>4078.5639999999999</v>
      </c>
      <c r="BR196" s="920">
        <v>3662.2809999999999</v>
      </c>
      <c r="BS196" s="888">
        <v>7221.24</v>
      </c>
      <c r="BT196" s="1158">
        <f t="shared" ref="BT196:BT200" si="188">BV196/BS196*100</f>
        <v>47.729254255501822</v>
      </c>
      <c r="BU196" s="917">
        <v>3774.596</v>
      </c>
      <c r="BV196" s="920">
        <v>3446.6439999999998</v>
      </c>
      <c r="BW196" s="888">
        <v>6614.674</v>
      </c>
      <c r="BX196" s="1158">
        <f t="shared" ref="BX196:BX200" si="189">BZ196/BW196*100</f>
        <v>48.497870038644386</v>
      </c>
      <c r="BY196" s="917">
        <v>3406.6979999999999</v>
      </c>
      <c r="BZ196" s="920">
        <v>3207.9760000000001</v>
      </c>
      <c r="CA196" s="888">
        <f t="shared" ref="CA196:CA200" si="190">BK196-BO196-BS196-BW196</f>
        <v>71870.84199999999</v>
      </c>
      <c r="CB196" s="1158">
        <f t="shared" ref="CB196:CB200" si="191">CD196/CA196*100</f>
        <v>51.350770316563143</v>
      </c>
      <c r="CC196" s="917">
        <f t="shared" ref="CC196:CC200" si="192">BM196-BQ196-BU196-BY196</f>
        <v>34964.611000000004</v>
      </c>
      <c r="CD196" s="920">
        <f t="shared" ref="CD196:CD200" si="193">BN196-BR196-BV196-BZ196</f>
        <v>36906.230999999992</v>
      </c>
      <c r="CE196" s="914">
        <v>2015</v>
      </c>
      <c r="CF196" s="910" t="s">
        <v>5630</v>
      </c>
      <c r="CG196" s="930">
        <v>95</v>
      </c>
      <c r="CH196" s="495">
        <v>94.6</v>
      </c>
      <c r="CI196" s="497">
        <v>95.3</v>
      </c>
      <c r="CJ196" s="904">
        <v>97.1</v>
      </c>
      <c r="CK196" s="904">
        <v>94.2</v>
      </c>
      <c r="CL196" s="904">
        <v>2011</v>
      </c>
      <c r="CM196" s="905" t="s">
        <v>5573</v>
      </c>
      <c r="CN196" s="1044">
        <v>62270.777999999998</v>
      </c>
      <c r="CO196" s="1045">
        <f t="shared" si="174"/>
        <v>66.637107142001426</v>
      </c>
      <c r="CP196" s="1040">
        <f>IF(OR(CZ196=1,CZ196=10),CN196*(1-BL196/100),IF(DA196=6,CN196*(1-BL196/100),CN196*(1-CB196/100)))</f>
        <v>30802.648933351236</v>
      </c>
      <c r="CQ196" s="1041">
        <f>IF(OR(CZ196=1,CZ196=10),CN196*BL196/100,IF(DA196=6,CN196*BL196/100,CN196*CB196/100))</f>
        <v>31468.129066648762</v>
      </c>
      <c r="CR196" s="1046">
        <v>2011</v>
      </c>
      <c r="CS196" s="1047" t="s">
        <v>6062</v>
      </c>
      <c r="CT196" s="1068">
        <f t="shared" si="175"/>
        <v>14</v>
      </c>
      <c r="CU196" s="1071">
        <v>18</v>
      </c>
      <c r="CV196" s="1068" t="s">
        <v>6083</v>
      </c>
      <c r="CW196" s="1113">
        <v>62270.777999999998</v>
      </c>
      <c r="CX196" s="1113">
        <v>62610.288999999997</v>
      </c>
      <c r="CY196" s="1113">
        <v>90549.39</v>
      </c>
      <c r="CZ196" s="494">
        <v>1</v>
      </c>
      <c r="DA196" s="1104">
        <v>4</v>
      </c>
      <c r="DB196" s="1050" t="s">
        <v>647</v>
      </c>
      <c r="DC196" s="1146" t="s">
        <v>322</v>
      </c>
      <c r="DD196" s="978">
        <f t="shared" si="148"/>
        <v>10678.901949999992</v>
      </c>
      <c r="DE196" s="979">
        <f t="shared" si="176"/>
        <v>11.427689780928665</v>
      </c>
      <c r="DF196" s="979">
        <f t="shared" si="149"/>
        <v>55.464469175608777</v>
      </c>
      <c r="DG196" s="980">
        <f t="shared" si="150"/>
        <v>4769.9943986487688</v>
      </c>
      <c r="DH196" s="980">
        <f t="shared" si="151"/>
        <v>5922.9962803512308</v>
      </c>
      <c r="DI196" s="979">
        <f t="shared" si="177"/>
        <v>10.319197822799801</v>
      </c>
      <c r="DJ196" s="981">
        <f t="shared" si="178"/>
        <v>12.542574008753233</v>
      </c>
      <c r="DK196" s="984">
        <f t="shared" si="179"/>
        <v>9600.0639999999912</v>
      </c>
      <c r="DL196" s="979">
        <f t="shared" si="152"/>
        <v>56.646517495625389</v>
      </c>
      <c r="DM196" s="980">
        <f t="shared" si="180"/>
        <v>4161.9620666487681</v>
      </c>
      <c r="DN196" s="985">
        <f t="shared" si="181"/>
        <v>5438.1019333512304</v>
      </c>
      <c r="DO196" s="984">
        <f t="shared" si="182"/>
        <v>691.79570000000058</v>
      </c>
      <c r="DP196" s="979">
        <f t="shared" si="153"/>
        <v>45.21091125602544</v>
      </c>
      <c r="DQ196" s="980">
        <f t="shared" ref="DQ196:DQ200" si="194">BU196*(1-$CH196/100)+BY196*(1-$CH196/100)</f>
        <v>387.78987600000039</v>
      </c>
      <c r="DR196" s="985">
        <f t="shared" ref="DR196:DR200" si="195">BV196*(1-$CI196/100)+BZ196*(1-$CI196/100)</f>
        <v>312.76714000000027</v>
      </c>
      <c r="DS196" s="984">
        <f t="shared" si="183"/>
        <v>387.04225000000037</v>
      </c>
      <c r="DT196" s="339">
        <f t="shared" si="154"/>
        <v>44.472459272857158</v>
      </c>
      <c r="DU196" s="980">
        <f t="shared" ref="DU196:DU200" si="196">BQ196*(1-$CH196/100)</f>
        <v>220.24245600000017</v>
      </c>
      <c r="DV196" s="985">
        <f t="shared" ref="DV196:DV200" si="197">BR196*(1-$CI196/100)</f>
        <v>172.12720700000014</v>
      </c>
      <c r="DW196" s="979">
        <f t="shared" ref="DW196:DW200" si="198">DU196/BQ196*100</f>
        <v>5.4000000000000048</v>
      </c>
      <c r="DX196" s="981">
        <f t="shared" ref="DX196:DX200" si="199">DV196/BR196*100</f>
        <v>4.7000000000000046</v>
      </c>
      <c r="DY196" s="414">
        <v>16.850000000000001</v>
      </c>
      <c r="DZ196" s="111">
        <v>2008</v>
      </c>
      <c r="EA196" s="118">
        <v>14844.959999999997</v>
      </c>
      <c r="EB196" s="123">
        <v>20.7</v>
      </c>
      <c r="EC196" s="113">
        <v>2010</v>
      </c>
      <c r="ED196" s="20">
        <v>18182.88</v>
      </c>
      <c r="EE196" s="414">
        <v>11.3</v>
      </c>
      <c r="EF196" s="111">
        <v>2012</v>
      </c>
      <c r="EG196" s="380">
        <v>93.520454406738295</v>
      </c>
      <c r="EH196" s="24" t="s">
        <v>370</v>
      </c>
      <c r="EI196" s="287">
        <v>3</v>
      </c>
      <c r="EJ196" s="40">
        <v>2</v>
      </c>
      <c r="EK196" s="35" t="s">
        <v>728</v>
      </c>
      <c r="EL196" s="364" t="s">
        <v>931</v>
      </c>
      <c r="EM196" s="364" t="s">
        <v>145</v>
      </c>
      <c r="EN196" s="35" t="s">
        <v>145</v>
      </c>
      <c r="EO196" s="364" t="s">
        <v>1725</v>
      </c>
      <c r="EP196" s="205">
        <v>0.88</v>
      </c>
      <c r="EQ196" s="207" t="s">
        <v>145</v>
      </c>
      <c r="ER196" s="517">
        <v>5</v>
      </c>
      <c r="ES196" s="183" t="s">
        <v>3779</v>
      </c>
      <c r="ET196" s="183" t="s">
        <v>3925</v>
      </c>
      <c r="EU196" s="82" t="s">
        <v>3777</v>
      </c>
      <c r="EV196" s="82" t="s">
        <v>145</v>
      </c>
      <c r="EW196" s="82" t="s">
        <v>145</v>
      </c>
      <c r="EX196" s="360" t="s">
        <v>3780</v>
      </c>
      <c r="EY196" s="159"/>
      <c r="EZ196" s="156"/>
      <c r="FA196" s="323"/>
      <c r="FB196" s="323"/>
      <c r="FC196" s="323"/>
      <c r="FD196" s="160"/>
      <c r="FE196" s="156"/>
      <c r="FF196" s="156"/>
      <c r="FG196" s="156"/>
      <c r="FH196" s="157"/>
      <c r="FI196" s="242"/>
      <c r="FJ196" s="240"/>
      <c r="FK196" s="179"/>
      <c r="FL196" s="179"/>
      <c r="FM196" s="179"/>
      <c r="FN196" s="172"/>
      <c r="FO196" s="164"/>
      <c r="FP196" s="255"/>
      <c r="FQ196" s="183"/>
      <c r="FR196" s="257"/>
      <c r="FS196" s="82"/>
      <c r="FT196" s="259"/>
      <c r="FU196" s="82"/>
      <c r="FV196" s="259"/>
      <c r="FW196" s="82"/>
      <c r="FX196" s="259">
        <v>1</v>
      </c>
      <c r="FY196" s="82" t="s">
        <v>1940</v>
      </c>
      <c r="FZ196" s="259"/>
      <c r="GA196" s="82"/>
      <c r="GB196" s="261"/>
      <c r="GC196" s="90"/>
      <c r="GD196" s="76">
        <v>1</v>
      </c>
      <c r="GE196" s="445" t="s">
        <v>3424</v>
      </c>
      <c r="GF196" s="447" t="s">
        <v>580</v>
      </c>
      <c r="GG196" s="448">
        <v>7</v>
      </c>
      <c r="GH196" s="449">
        <v>5</v>
      </c>
      <c r="GI196" s="447" t="s">
        <v>580</v>
      </c>
      <c r="GJ196" s="449">
        <v>76</v>
      </c>
      <c r="GK196" s="447">
        <v>14</v>
      </c>
      <c r="GL196" s="448">
        <v>28</v>
      </c>
      <c r="GM196" s="449">
        <v>34</v>
      </c>
      <c r="GN196" s="447" t="s">
        <v>580</v>
      </c>
      <c r="GO196" s="449">
        <v>84</v>
      </c>
      <c r="GP196" s="447">
        <v>29</v>
      </c>
      <c r="GQ196" s="448">
        <v>33</v>
      </c>
      <c r="GR196" s="449">
        <v>22</v>
      </c>
      <c r="GS196" s="446">
        <v>-7</v>
      </c>
      <c r="GT196" s="461">
        <v>-1.3361901044845581</v>
      </c>
      <c r="GU196" s="462">
        <v>0.22413204610347748</v>
      </c>
      <c r="GV196" s="462">
        <v>-0.29934275150299072</v>
      </c>
      <c r="GW196" s="462">
        <v>-0.65493541955947876</v>
      </c>
      <c r="GX196" s="462">
        <v>-0.48722907900810242</v>
      </c>
      <c r="GY196" s="463">
        <v>-0.53402566909790039</v>
      </c>
      <c r="GZ196" s="10">
        <v>99</v>
      </c>
      <c r="HA196" s="536">
        <v>0.47044999999999998</v>
      </c>
      <c r="HB196" s="536">
        <v>0.49019000000000001</v>
      </c>
      <c r="HC196" s="525">
        <v>0.41732000000000002</v>
      </c>
      <c r="HD196" s="526">
        <v>0.37923000000000001</v>
      </c>
      <c r="HE196" s="527">
        <v>0.61480000000000001</v>
      </c>
      <c r="HF196" s="10">
        <v>101</v>
      </c>
      <c r="HG196" s="532">
        <v>4.09</v>
      </c>
      <c r="HH196" s="545">
        <v>4.4800000000000004</v>
      </c>
      <c r="HI196" s="546">
        <v>2.5</v>
      </c>
      <c r="HJ196" s="547">
        <v>6.5</v>
      </c>
      <c r="HK196" s="558" t="s">
        <v>4136</v>
      </c>
      <c r="HL196" s="585" t="s">
        <v>4650</v>
      </c>
      <c r="HM196" s="557">
        <v>2010</v>
      </c>
      <c r="HN196" s="557">
        <v>2010</v>
      </c>
      <c r="HO196" s="557" t="s">
        <v>4065</v>
      </c>
      <c r="HP196" s="562" t="s">
        <v>145</v>
      </c>
      <c r="HQ196" s="562" t="s">
        <v>145</v>
      </c>
      <c r="HR196" s="563" t="s">
        <v>145</v>
      </c>
      <c r="HS196" s="545" t="s">
        <v>145</v>
      </c>
      <c r="HT196" s="557" t="s">
        <v>145</v>
      </c>
      <c r="HU196" s="557" t="s">
        <v>145</v>
      </c>
      <c r="HV196" s="581" t="s">
        <v>145</v>
      </c>
      <c r="HW196" s="557" t="s">
        <v>145</v>
      </c>
      <c r="HX196" s="557" t="s">
        <v>145</v>
      </c>
      <c r="HY196" s="557" t="s">
        <v>145</v>
      </c>
      <c r="HZ196" s="557" t="s">
        <v>145</v>
      </c>
      <c r="IA196" s="557" t="s">
        <v>145</v>
      </c>
      <c r="IB196" s="557" t="s">
        <v>145</v>
      </c>
      <c r="IC196" s="547" t="s">
        <v>145</v>
      </c>
      <c r="ID196" s="660"/>
      <c r="IE196" s="550"/>
      <c r="IF196" s="355" t="s">
        <v>5202</v>
      </c>
      <c r="IG196" s="553"/>
      <c r="IH196" s="339"/>
      <c r="II196" s="553" t="s">
        <v>4923</v>
      </c>
      <c r="IJ196" s="424"/>
      <c r="IK196" s="24">
        <v>0</v>
      </c>
      <c r="IL196" s="749">
        <f t="shared" si="184"/>
        <v>17</v>
      </c>
      <c r="IM196" s="747">
        <f t="shared" si="185"/>
        <v>68</v>
      </c>
      <c r="IN196" s="750" t="str">
        <f t="shared" si="186"/>
        <v>B</v>
      </c>
      <c r="IO196" s="446"/>
      <c r="IP196" s="902">
        <v>3</v>
      </c>
      <c r="IQ196" s="903">
        <v>0</v>
      </c>
      <c r="IR196" s="993">
        <v>0</v>
      </c>
      <c r="IT196" s="435"/>
      <c r="IU196" s="435"/>
      <c r="IV196" s="435"/>
    </row>
    <row r="197" spans="1:256">
      <c r="A197" s="21">
        <v>195</v>
      </c>
      <c r="B197" s="9"/>
      <c r="C197" s="431" t="s">
        <v>5571</v>
      </c>
      <c r="D197" s="424" t="s">
        <v>410</v>
      </c>
      <c r="E197" s="697" t="s">
        <v>20</v>
      </c>
      <c r="F197" s="76" t="s">
        <v>3450</v>
      </c>
      <c r="G197" s="102" t="s">
        <v>1605</v>
      </c>
      <c r="H197" s="375" t="s">
        <v>2545</v>
      </c>
      <c r="I197" s="364" t="s">
        <v>2544</v>
      </c>
      <c r="J197" s="176">
        <v>2</v>
      </c>
      <c r="K197" s="88">
        <v>2012</v>
      </c>
      <c r="L197" s="371">
        <v>2</v>
      </c>
      <c r="M197" s="240" t="s">
        <v>1847</v>
      </c>
      <c r="N197" s="369" t="s">
        <v>1822</v>
      </c>
      <c r="O197" s="365" t="s">
        <v>3402</v>
      </c>
      <c r="P197" s="362" t="s">
        <v>3403</v>
      </c>
      <c r="Q197" s="370">
        <v>2</v>
      </c>
      <c r="R197" s="370">
        <v>1993</v>
      </c>
      <c r="S197" s="372" t="s">
        <v>1961</v>
      </c>
      <c r="T197" s="370">
        <v>1</v>
      </c>
      <c r="U197" s="370">
        <v>2</v>
      </c>
      <c r="V197" s="370">
        <v>16</v>
      </c>
      <c r="W197" s="369" t="s">
        <v>1822</v>
      </c>
      <c r="X197" s="170">
        <v>1</v>
      </c>
      <c r="Y197" s="369">
        <v>1</v>
      </c>
      <c r="Z197" s="271"/>
      <c r="AA197" s="169"/>
      <c r="AB197" s="177"/>
      <c r="AC197" s="171"/>
      <c r="AD197" s="376" t="s">
        <v>145</v>
      </c>
      <c r="AE197" s="355" t="s">
        <v>145</v>
      </c>
      <c r="AF197" s="357">
        <v>0</v>
      </c>
      <c r="AG197" s="550">
        <v>1</v>
      </c>
      <c r="AH197" s="355" t="s">
        <v>145</v>
      </c>
      <c r="AI197" s="550" t="s">
        <v>145</v>
      </c>
      <c r="AJ197" s="550" t="s">
        <v>145</v>
      </c>
      <c r="AK197" s="590" t="s">
        <v>145</v>
      </c>
      <c r="AL197" s="357">
        <v>0</v>
      </c>
      <c r="AM197" s="360" t="s">
        <v>145</v>
      </c>
      <c r="AN197" s="384" t="s">
        <v>145</v>
      </c>
      <c r="AO197" s="170">
        <v>0</v>
      </c>
      <c r="AP197" s="369">
        <v>0</v>
      </c>
      <c r="AQ197" s="365" t="s">
        <v>5425</v>
      </c>
      <c r="AR197" s="362" t="s">
        <v>5426</v>
      </c>
      <c r="AS197" s="55">
        <v>0</v>
      </c>
      <c r="AT197" s="370">
        <v>2</v>
      </c>
      <c r="AU197" s="371">
        <v>2003</v>
      </c>
      <c r="AV197" s="370">
        <v>5</v>
      </c>
      <c r="AW197" s="589" t="s">
        <v>145</v>
      </c>
      <c r="AX197" s="687">
        <v>0</v>
      </c>
      <c r="AY197" s="174" t="s">
        <v>4429</v>
      </c>
      <c r="AZ197" s="55">
        <v>2000</v>
      </c>
      <c r="BA197" s="55">
        <v>1</v>
      </c>
      <c r="BB197" s="55">
        <v>0</v>
      </c>
      <c r="BC197" s="108" t="s">
        <v>145</v>
      </c>
      <c r="BD197" s="55" t="s">
        <v>145</v>
      </c>
      <c r="BE197" s="55">
        <v>0</v>
      </c>
      <c r="BF197" s="371" t="s">
        <v>145</v>
      </c>
      <c r="BG197" s="371">
        <v>0</v>
      </c>
      <c r="BH197" s="56" t="s">
        <v>145</v>
      </c>
      <c r="BI197" s="371">
        <v>0</v>
      </c>
      <c r="BJ197" s="371">
        <v>0</v>
      </c>
      <c r="BK197" s="888">
        <v>4668.4660000000003</v>
      </c>
      <c r="BL197" s="925">
        <f t="shared" si="173"/>
        <v>49.303475702725471</v>
      </c>
      <c r="BM197" s="888">
        <v>2366.75</v>
      </c>
      <c r="BN197" s="920">
        <v>2301.7159999999999</v>
      </c>
      <c r="BO197" s="888">
        <v>703.44100000000003</v>
      </c>
      <c r="BP197" s="1158">
        <f t="shared" si="187"/>
        <v>48.918672639212097</v>
      </c>
      <c r="BQ197" s="917">
        <v>359.327</v>
      </c>
      <c r="BR197" s="920">
        <v>344.11399999999998</v>
      </c>
      <c r="BS197" s="888">
        <v>618.95299999999997</v>
      </c>
      <c r="BT197" s="1158">
        <f t="shared" si="188"/>
        <v>48.963168447361923</v>
      </c>
      <c r="BU197" s="917">
        <v>315.89400000000001</v>
      </c>
      <c r="BV197" s="920">
        <v>303.05900000000003</v>
      </c>
      <c r="BW197" s="888">
        <v>555.38699999999994</v>
      </c>
      <c r="BX197" s="1158">
        <f t="shared" si="189"/>
        <v>48.968917169469215</v>
      </c>
      <c r="BY197" s="917">
        <v>283.42</v>
      </c>
      <c r="BZ197" s="920">
        <v>271.96699999999998</v>
      </c>
      <c r="CA197" s="888">
        <f t="shared" si="190"/>
        <v>2790.6850000000004</v>
      </c>
      <c r="CB197" s="1158">
        <f t="shared" si="191"/>
        <v>49.542531672331343</v>
      </c>
      <c r="CC197" s="917">
        <f t="shared" si="192"/>
        <v>1408.1089999999999</v>
      </c>
      <c r="CD197" s="920">
        <f t="shared" si="193"/>
        <v>1382.576</v>
      </c>
      <c r="CE197" s="914">
        <v>2015</v>
      </c>
      <c r="CF197" s="910" t="s">
        <v>5630</v>
      </c>
      <c r="CG197" s="930">
        <v>99.3</v>
      </c>
      <c r="CH197" s="495">
        <v>99.2</v>
      </c>
      <c r="CI197" s="497">
        <v>99.3</v>
      </c>
      <c r="CJ197" s="904">
        <v>99.2</v>
      </c>
      <c r="CK197" s="904">
        <v>99.4</v>
      </c>
      <c r="CL197" s="904">
        <v>2010</v>
      </c>
      <c r="CM197" s="905" t="s">
        <v>5573</v>
      </c>
      <c r="CN197" s="1044">
        <v>1951.799</v>
      </c>
      <c r="CO197" s="1045">
        <f t="shared" si="174"/>
        <v>41.808144259806106</v>
      </c>
      <c r="CP197" s="1049">
        <v>1000.147</v>
      </c>
      <c r="CQ197" s="1050">
        <v>951.65200000000004</v>
      </c>
      <c r="CR197" s="1046">
        <v>2015</v>
      </c>
      <c r="CS197" s="1047" t="s">
        <v>5662</v>
      </c>
      <c r="CT197" s="1068">
        <f t="shared" si="175"/>
        <v>16</v>
      </c>
      <c r="CU197" s="1071">
        <v>18</v>
      </c>
      <c r="CV197" s="1117" t="s">
        <v>6063</v>
      </c>
      <c r="CW197" s="1113">
        <v>1341.671</v>
      </c>
      <c r="CX197" s="1113">
        <v>1808.337</v>
      </c>
      <c r="CY197" s="1113">
        <v>3761.904</v>
      </c>
      <c r="CZ197" s="1048">
        <v>10</v>
      </c>
      <c r="DA197" s="1104">
        <v>5</v>
      </c>
      <c r="DB197" s="1050" t="s">
        <v>647</v>
      </c>
      <c r="DC197" s="1146" t="s">
        <v>322</v>
      </c>
      <c r="DD197" s="978">
        <f t="shared" si="148"/>
        <v>852.03046700000039</v>
      </c>
      <c r="DE197" s="979">
        <f t="shared" si="176"/>
        <v>18.250758750304712</v>
      </c>
      <c r="DF197" s="979">
        <f t="shared" si="149"/>
        <v>51.331260669578825</v>
      </c>
      <c r="DG197" s="980">
        <f t="shared" si="150"/>
        <v>415.63112799999988</v>
      </c>
      <c r="DH197" s="980">
        <f t="shared" si="151"/>
        <v>437.35798</v>
      </c>
      <c r="DI197" s="979">
        <f t="shared" si="177"/>
        <v>17.561260293651625</v>
      </c>
      <c r="DJ197" s="981">
        <f t="shared" si="178"/>
        <v>19.001387660336896</v>
      </c>
      <c r="DK197" s="984">
        <f t="shared" si="179"/>
        <v>838.88600000000042</v>
      </c>
      <c r="DL197" s="979">
        <f t="shared" si="152"/>
        <v>51.368600739552186</v>
      </c>
      <c r="DM197" s="980">
        <f t="shared" si="180"/>
        <v>407.96199999999988</v>
      </c>
      <c r="DN197" s="985">
        <f t="shared" si="181"/>
        <v>430.92399999999998</v>
      </c>
      <c r="DO197" s="984">
        <f t="shared" si="182"/>
        <v>8.2203800000000076</v>
      </c>
      <c r="DP197" s="979">
        <f t="shared" si="153"/>
        <v>48.965887221758599</v>
      </c>
      <c r="DQ197" s="980">
        <f t="shared" si="194"/>
        <v>4.7945120000000045</v>
      </c>
      <c r="DR197" s="985">
        <f t="shared" si="195"/>
        <v>4.0251820000000036</v>
      </c>
      <c r="DS197" s="984">
        <f t="shared" si="183"/>
        <v>4.9240870000000045</v>
      </c>
      <c r="DT197" s="339">
        <f t="shared" si="154"/>
        <v>48.91867263921209</v>
      </c>
      <c r="DU197" s="980">
        <f t="shared" si="196"/>
        <v>2.8746160000000027</v>
      </c>
      <c r="DV197" s="985">
        <f t="shared" si="197"/>
        <v>2.4087980000000018</v>
      </c>
      <c r="DW197" s="979">
        <f t="shared" si="198"/>
        <v>0.80000000000000071</v>
      </c>
      <c r="DX197" s="981">
        <f t="shared" si="199"/>
        <v>0.70000000000000051</v>
      </c>
      <c r="DY197" s="414">
        <v>0.04</v>
      </c>
      <c r="DZ197" s="111">
        <v>2009</v>
      </c>
      <c r="EA197" s="118">
        <v>2</v>
      </c>
      <c r="EB197" s="123">
        <v>21.9</v>
      </c>
      <c r="EC197" s="113">
        <v>2009</v>
      </c>
      <c r="ED197" s="20">
        <v>880.25582699999995</v>
      </c>
      <c r="EE197" s="414">
        <v>38</v>
      </c>
      <c r="EF197" s="111">
        <v>2010</v>
      </c>
      <c r="EG197" s="380">
        <v>95.913764953613295</v>
      </c>
      <c r="EH197" s="24" t="s">
        <v>328</v>
      </c>
      <c r="EI197" s="287">
        <v>3</v>
      </c>
      <c r="EJ197" s="40" t="s">
        <v>145</v>
      </c>
      <c r="EK197" s="35" t="s">
        <v>145</v>
      </c>
      <c r="EL197" s="364" t="s">
        <v>145</v>
      </c>
      <c r="EM197" s="364" t="s">
        <v>145</v>
      </c>
      <c r="EN197" s="35" t="s">
        <v>145</v>
      </c>
      <c r="EO197" s="364" t="s">
        <v>145</v>
      </c>
      <c r="EP197" s="205" t="s">
        <v>145</v>
      </c>
      <c r="EQ197" s="207" t="s">
        <v>145</v>
      </c>
      <c r="ER197" s="517" t="s">
        <v>145</v>
      </c>
      <c r="ES197" s="183"/>
      <c r="ET197" s="183"/>
      <c r="EU197" s="82"/>
      <c r="EV197" s="82"/>
      <c r="EW197" s="82"/>
      <c r="EX197" s="90"/>
      <c r="EY197" s="159"/>
      <c r="EZ197" s="156"/>
      <c r="FA197" s="323"/>
      <c r="FB197" s="323"/>
      <c r="FC197" s="323"/>
      <c r="FD197" s="160"/>
      <c r="FE197" s="156"/>
      <c r="FF197" s="156"/>
      <c r="FG197" s="156"/>
      <c r="FH197" s="157"/>
      <c r="FI197" s="242"/>
      <c r="FJ197" s="240"/>
      <c r="FK197" s="179"/>
      <c r="FL197" s="179"/>
      <c r="FM197" s="179"/>
      <c r="FN197" s="172"/>
      <c r="FO197" s="164"/>
      <c r="FP197" s="255"/>
      <c r="FQ197" s="183"/>
      <c r="FR197" s="257"/>
      <c r="FS197" s="82"/>
      <c r="FT197" s="259"/>
      <c r="FU197" s="82"/>
      <c r="FV197" s="259"/>
      <c r="FW197" s="82"/>
      <c r="FX197" s="259"/>
      <c r="FY197" s="82"/>
      <c r="FZ197" s="259"/>
      <c r="GA197" s="82"/>
      <c r="GB197" s="261"/>
      <c r="GC197" s="90"/>
      <c r="GD197" s="76">
        <v>1</v>
      </c>
      <c r="GE197" s="445" t="s">
        <v>145</v>
      </c>
      <c r="GF197" s="447" t="s">
        <v>580</v>
      </c>
      <c r="GG197" s="448">
        <v>6</v>
      </c>
      <c r="GH197" s="449">
        <v>5</v>
      </c>
      <c r="GI197" s="447" t="s">
        <v>145</v>
      </c>
      <c r="GJ197" s="449" t="s">
        <v>145</v>
      </c>
      <c r="GK197" s="447" t="s">
        <v>145</v>
      </c>
      <c r="GL197" s="448" t="s">
        <v>145</v>
      </c>
      <c r="GM197" s="449" t="s">
        <v>145</v>
      </c>
      <c r="GN197" s="447" t="s">
        <v>580</v>
      </c>
      <c r="GO197" s="449">
        <v>82</v>
      </c>
      <c r="GP197" s="447">
        <v>27</v>
      </c>
      <c r="GQ197" s="448">
        <v>33</v>
      </c>
      <c r="GR197" s="449">
        <v>22</v>
      </c>
      <c r="GS197" s="446"/>
      <c r="GT197" s="461">
        <v>-0.86887443065643311</v>
      </c>
      <c r="GU197" s="462">
        <v>-1.9004571437835693</v>
      </c>
      <c r="GV197" s="462">
        <v>-0.7752259373664856</v>
      </c>
      <c r="GW197" s="462">
        <v>0.15254800021648407</v>
      </c>
      <c r="GX197" s="462">
        <v>-0.43996623158454895</v>
      </c>
      <c r="GY197" s="463">
        <v>-0.71473544836044312</v>
      </c>
      <c r="GZ197" s="10" t="s">
        <v>145</v>
      </c>
      <c r="HA197" s="536" t="s">
        <v>145</v>
      </c>
      <c r="HB197" s="536" t="s">
        <v>145</v>
      </c>
      <c r="HC197" s="525" t="s">
        <v>145</v>
      </c>
      <c r="HD197" s="526" t="s">
        <v>145</v>
      </c>
      <c r="HE197" s="527" t="s">
        <v>145</v>
      </c>
      <c r="HF197" s="10">
        <v>100</v>
      </c>
      <c r="HG197" s="532">
        <v>4.16</v>
      </c>
      <c r="HH197" s="545">
        <v>4.7699999999999996</v>
      </c>
      <c r="HI197" s="546">
        <v>1.84</v>
      </c>
      <c r="HJ197" s="547">
        <v>7.59</v>
      </c>
      <c r="HK197" s="558" t="s">
        <v>145</v>
      </c>
      <c r="HL197" s="82" t="s">
        <v>145</v>
      </c>
      <c r="HM197" s="557" t="s">
        <v>145</v>
      </c>
      <c r="HN197" s="557" t="s">
        <v>145</v>
      </c>
      <c r="HO197" s="557" t="s">
        <v>145</v>
      </c>
      <c r="HP197" s="562" t="s">
        <v>145</v>
      </c>
      <c r="HQ197" s="562" t="s">
        <v>145</v>
      </c>
      <c r="HR197" s="563" t="s">
        <v>145</v>
      </c>
      <c r="HS197" s="545" t="s">
        <v>145</v>
      </c>
      <c r="HT197" s="557" t="s">
        <v>145</v>
      </c>
      <c r="HU197" s="557" t="s">
        <v>145</v>
      </c>
      <c r="HV197" s="581" t="s">
        <v>145</v>
      </c>
      <c r="HW197" s="557" t="s">
        <v>145</v>
      </c>
      <c r="HX197" s="557" t="s">
        <v>145</v>
      </c>
      <c r="HY197" s="557" t="s">
        <v>145</v>
      </c>
      <c r="HZ197" s="557" t="s">
        <v>145</v>
      </c>
      <c r="IA197" s="557" t="s">
        <v>145</v>
      </c>
      <c r="IB197" s="557" t="s">
        <v>145</v>
      </c>
      <c r="IC197" s="547" t="s">
        <v>145</v>
      </c>
      <c r="ID197" s="660"/>
      <c r="IE197" s="550"/>
      <c r="IF197" s="550"/>
      <c r="IG197" s="553">
        <v>1</v>
      </c>
      <c r="IH197" s="339"/>
      <c r="II197" s="553" t="s">
        <v>4920</v>
      </c>
      <c r="IJ197" s="424"/>
      <c r="IK197" s="24">
        <v>0</v>
      </c>
      <c r="IL197" s="749">
        <f t="shared" si="184"/>
        <v>7</v>
      </c>
      <c r="IM197" s="747">
        <f t="shared" si="185"/>
        <v>28.000000000000004</v>
      </c>
      <c r="IN197" s="750" t="str">
        <f t="shared" si="186"/>
        <v>C</v>
      </c>
      <c r="IO197" s="446"/>
      <c r="IP197" s="902">
        <v>5</v>
      </c>
      <c r="IQ197" s="903">
        <v>0</v>
      </c>
      <c r="IR197" s="993">
        <v>0</v>
      </c>
      <c r="IT197" s="435"/>
      <c r="IU197" s="435"/>
      <c r="IV197" s="435"/>
    </row>
    <row r="198" spans="1:256">
      <c r="A198" s="21">
        <v>196</v>
      </c>
      <c r="B198" s="9"/>
      <c r="C198" s="430" t="s">
        <v>294</v>
      </c>
      <c r="D198" s="424" t="s">
        <v>410</v>
      </c>
      <c r="E198" s="24" t="s">
        <v>20</v>
      </c>
      <c r="F198" s="76" t="s">
        <v>744</v>
      </c>
      <c r="G198" s="102" t="s">
        <v>640</v>
      </c>
      <c r="H198" s="375" t="s">
        <v>2546</v>
      </c>
      <c r="I198" s="364" t="s">
        <v>1677</v>
      </c>
      <c r="J198" s="176">
        <v>2</v>
      </c>
      <c r="K198" s="88">
        <v>1993</v>
      </c>
      <c r="L198" s="371">
        <v>2</v>
      </c>
      <c r="M198" s="240" t="s">
        <v>145</v>
      </c>
      <c r="N198" s="172" t="s">
        <v>1822</v>
      </c>
      <c r="O198" s="365" t="s">
        <v>2896</v>
      </c>
      <c r="P198" s="362" t="s">
        <v>2897</v>
      </c>
      <c r="Q198" s="176">
        <v>2</v>
      </c>
      <c r="R198" s="370">
        <v>2000</v>
      </c>
      <c r="S198" s="372" t="s">
        <v>1961</v>
      </c>
      <c r="T198" s="176">
        <v>1</v>
      </c>
      <c r="U198" s="370">
        <v>2</v>
      </c>
      <c r="V198" s="176">
        <v>16</v>
      </c>
      <c r="W198" s="369" t="s">
        <v>2898</v>
      </c>
      <c r="X198" s="170">
        <v>0</v>
      </c>
      <c r="Y198" s="369">
        <v>0</v>
      </c>
      <c r="Z198" s="271"/>
      <c r="AA198" s="169"/>
      <c r="AB198" s="177"/>
      <c r="AC198" s="171"/>
      <c r="AD198" s="366" t="s">
        <v>3400</v>
      </c>
      <c r="AE198" s="357">
        <v>2016</v>
      </c>
      <c r="AF198" s="357">
        <v>2</v>
      </c>
      <c r="AG198" s="55" t="s">
        <v>4272</v>
      </c>
      <c r="AH198" s="355" t="s">
        <v>2788</v>
      </c>
      <c r="AI198" s="55">
        <v>0</v>
      </c>
      <c r="AJ198" s="55">
        <v>0</v>
      </c>
      <c r="AK198" s="590" t="s">
        <v>145</v>
      </c>
      <c r="AL198" s="386">
        <v>10</v>
      </c>
      <c r="AM198" s="361" t="s">
        <v>3401</v>
      </c>
      <c r="AN198" s="384" t="s">
        <v>145</v>
      </c>
      <c r="AO198" s="170">
        <v>0</v>
      </c>
      <c r="AP198" s="369">
        <v>0</v>
      </c>
      <c r="AQ198" s="365" t="s">
        <v>5427</v>
      </c>
      <c r="AR198" s="362" t="s">
        <v>2348</v>
      </c>
      <c r="AS198" s="55">
        <v>1</v>
      </c>
      <c r="AT198" s="370">
        <v>2</v>
      </c>
      <c r="AU198" s="371">
        <v>2003</v>
      </c>
      <c r="AV198" s="370">
        <v>5</v>
      </c>
      <c r="AW198" s="589" t="s">
        <v>145</v>
      </c>
      <c r="AX198" s="687">
        <v>0</v>
      </c>
      <c r="AY198" s="174" t="s">
        <v>3975</v>
      </c>
      <c r="AZ198" s="55">
        <v>2007</v>
      </c>
      <c r="BA198" s="55">
        <v>1</v>
      </c>
      <c r="BB198" s="55">
        <v>0</v>
      </c>
      <c r="BC198" s="108" t="s">
        <v>145</v>
      </c>
      <c r="BD198" s="55" t="s">
        <v>145</v>
      </c>
      <c r="BE198" s="55">
        <v>0</v>
      </c>
      <c r="BF198" s="371" t="s">
        <v>145</v>
      </c>
      <c r="BG198" s="371">
        <v>0</v>
      </c>
      <c r="BH198" s="56" t="s">
        <v>145</v>
      </c>
      <c r="BI198" s="371">
        <v>3</v>
      </c>
      <c r="BJ198" s="371">
        <v>1</v>
      </c>
      <c r="BK198" s="888">
        <v>26832.215</v>
      </c>
      <c r="BL198" s="925">
        <f t="shared" si="173"/>
        <v>49.488769376661601</v>
      </c>
      <c r="BM198" s="888">
        <v>13553.281999999999</v>
      </c>
      <c r="BN198" s="920">
        <v>13278.933000000001</v>
      </c>
      <c r="BO198" s="888">
        <v>3924.578</v>
      </c>
      <c r="BP198" s="1158">
        <f t="shared" si="187"/>
        <v>48.959327601591809</v>
      </c>
      <c r="BQ198" s="917">
        <v>2003.1310000000001</v>
      </c>
      <c r="BR198" s="920">
        <v>1921.4469999999999</v>
      </c>
      <c r="BS198" s="888">
        <v>3616.0430000000001</v>
      </c>
      <c r="BT198" s="1158">
        <f t="shared" si="188"/>
        <v>48.97978259661182</v>
      </c>
      <c r="BU198" s="917">
        <v>1844.913</v>
      </c>
      <c r="BV198" s="920">
        <v>1771.13</v>
      </c>
      <c r="BW198" s="888">
        <v>3263.049</v>
      </c>
      <c r="BX198" s="1158">
        <f t="shared" si="189"/>
        <v>48.993594641085679</v>
      </c>
      <c r="BY198" s="917">
        <v>1664.364</v>
      </c>
      <c r="BZ198" s="920">
        <v>1598.6849999999999</v>
      </c>
      <c r="CA198" s="888">
        <f t="shared" si="190"/>
        <v>16028.544999999998</v>
      </c>
      <c r="CB198" s="1158">
        <f t="shared" si="191"/>
        <v>49.834036713875157</v>
      </c>
      <c r="CC198" s="917">
        <f t="shared" si="192"/>
        <v>8040.8739999999998</v>
      </c>
      <c r="CD198" s="920">
        <f t="shared" si="193"/>
        <v>7987.6710000000003</v>
      </c>
      <c r="CE198" s="914">
        <v>2015</v>
      </c>
      <c r="CF198" s="910" t="s">
        <v>5630</v>
      </c>
      <c r="CG198" s="1026">
        <v>17.100000000000001</v>
      </c>
      <c r="CH198" s="495">
        <v>18.8</v>
      </c>
      <c r="CI198" s="497">
        <v>15.2</v>
      </c>
      <c r="CJ198" s="904">
        <v>42</v>
      </c>
      <c r="CK198" s="904">
        <v>10.5</v>
      </c>
      <c r="CL198" s="904">
        <v>2012</v>
      </c>
      <c r="CM198" s="905" t="s">
        <v>5614</v>
      </c>
      <c r="CN198" s="1044">
        <v>10243.364</v>
      </c>
      <c r="CO198" s="1045">
        <f t="shared" si="174"/>
        <v>38.175618375150911</v>
      </c>
      <c r="CP198" s="1040">
        <f>IF(OR(CZ198=1,CZ198=10),CN198*(1-BL198/100),IF(DA198=6,CN198*(1-BL198/100),CN198*(1-CB198/100)))</f>
        <v>5174.0492136280209</v>
      </c>
      <c r="CQ198" s="1041">
        <f>IF(OR(CZ198=1,CZ198=10),CN198*BL198/100,IF(DA198=6,CN198*BL198/100,CN198*CB198/100))</f>
        <v>5069.3147863719787</v>
      </c>
      <c r="CR198" s="1046">
        <v>2012</v>
      </c>
      <c r="CS198" s="1013" t="s">
        <v>6064</v>
      </c>
      <c r="CT198" s="1068">
        <f t="shared" si="175"/>
        <v>16</v>
      </c>
      <c r="CU198" s="1073">
        <v>18</v>
      </c>
      <c r="CV198" s="1068" t="s">
        <v>6084</v>
      </c>
      <c r="CW198" s="1113">
        <v>10243.364</v>
      </c>
      <c r="CX198" s="1113">
        <v>12252.058999999999</v>
      </c>
      <c r="CY198" s="1113">
        <v>24771.809000000001</v>
      </c>
      <c r="CZ198" s="494">
        <v>1</v>
      </c>
      <c r="DA198" s="1104">
        <v>3</v>
      </c>
      <c r="DB198" s="1050" t="s">
        <v>647</v>
      </c>
      <c r="DC198" s="1143" t="s">
        <v>320</v>
      </c>
      <c r="DD198" s="978">
        <f t="shared" ref="DD198:DD200" si="200">DK198+DO198+DS198</f>
        <v>14741.423429999999</v>
      </c>
      <c r="DE198" s="979">
        <f t="shared" si="176"/>
        <v>54.939271431747251</v>
      </c>
      <c r="DF198" s="979">
        <f t="shared" ref="DF198:DF200" si="201">IF(DD198=0,0,DH198/DD198*100)</f>
        <v>50.234947966812605</v>
      </c>
      <c r="DG198" s="980">
        <f t="shared" ref="DG198:DG200" si="202">DM198+DQ198+DU198</f>
        <v>7342.9000823719789</v>
      </c>
      <c r="DH198" s="980">
        <f t="shared" ref="DH198:DH200" si="203">DN198+DR198+DV198</f>
        <v>7405.3463896280209</v>
      </c>
      <c r="DI198" s="979">
        <f t="shared" si="177"/>
        <v>54.178021842768267</v>
      </c>
      <c r="DJ198" s="981">
        <f t="shared" si="178"/>
        <v>55.767631251908725</v>
      </c>
      <c r="DK198" s="984">
        <f t="shared" si="179"/>
        <v>5785.1809999999987</v>
      </c>
      <c r="DL198" s="979">
        <f t="shared" ref="DL198:DL200" si="204">IF(DN198=0,0,DN198/DK198*100)</f>
        <v>50.445374373386457</v>
      </c>
      <c r="DM198" s="980">
        <f t="shared" si="180"/>
        <v>2866.8247863719789</v>
      </c>
      <c r="DN198" s="985">
        <f t="shared" si="181"/>
        <v>2918.3562136280216</v>
      </c>
      <c r="DO198" s="984">
        <f t="shared" si="182"/>
        <v>5702.7672679999996</v>
      </c>
      <c r="DP198" s="979">
        <f t="shared" ref="DP198:DP200" si="205">IF(DR198=0,0,DR198/DO198*100)</f>
        <v>50.109060842003842</v>
      </c>
      <c r="DQ198" s="980">
        <f t="shared" si="194"/>
        <v>2849.5329240000001</v>
      </c>
      <c r="DR198" s="985">
        <f t="shared" si="195"/>
        <v>2857.6031199999998</v>
      </c>
      <c r="DS198" s="984">
        <f t="shared" si="183"/>
        <v>3253.4751619999997</v>
      </c>
      <c r="DT198" s="339">
        <f t="shared" ref="DT198:DT200" si="206">IF(DV198=0,0,DV198/DS198*100)</f>
        <v>50.08143523057884</v>
      </c>
      <c r="DU198" s="980">
        <f t="shared" si="196"/>
        <v>1626.5423720000001</v>
      </c>
      <c r="DV198" s="985">
        <f t="shared" si="197"/>
        <v>1629.3870559999998</v>
      </c>
      <c r="DW198" s="979">
        <f t="shared" si="198"/>
        <v>81.2</v>
      </c>
      <c r="DX198" s="981">
        <f t="shared" si="199"/>
        <v>84.8</v>
      </c>
      <c r="DY198" s="414">
        <v>17.5</v>
      </c>
      <c r="DZ198" s="111">
        <v>2005</v>
      </c>
      <c r="EA198" s="118">
        <v>4339.9790000000003</v>
      </c>
      <c r="EB198" s="123">
        <v>34.799999999999997</v>
      </c>
      <c r="EC198" s="113">
        <v>2005</v>
      </c>
      <c r="ED198" s="20">
        <v>8630.3582399999996</v>
      </c>
      <c r="EE198" s="414">
        <v>45.2</v>
      </c>
      <c r="EF198" s="121">
        <v>2003</v>
      </c>
      <c r="EG198" s="380">
        <v>66.373771667480497</v>
      </c>
      <c r="EH198" s="24" t="s">
        <v>328</v>
      </c>
      <c r="EI198" s="288">
        <v>1</v>
      </c>
      <c r="EJ198" s="40">
        <v>1</v>
      </c>
      <c r="EK198" s="35" t="s">
        <v>728</v>
      </c>
      <c r="EL198" s="364" t="s">
        <v>1638</v>
      </c>
      <c r="EM198" s="364" t="s">
        <v>1639</v>
      </c>
      <c r="EN198" s="35" t="s">
        <v>145</v>
      </c>
      <c r="EO198" s="364" t="s">
        <v>1650</v>
      </c>
      <c r="EP198" s="205">
        <v>0.22</v>
      </c>
      <c r="EQ198" s="207" t="s">
        <v>145</v>
      </c>
      <c r="ER198" s="517">
        <v>4</v>
      </c>
      <c r="ES198" s="183" t="s">
        <v>145</v>
      </c>
      <c r="ET198" s="183" t="s">
        <v>3927</v>
      </c>
      <c r="EU198" s="82" t="s">
        <v>145</v>
      </c>
      <c r="EV198" s="82" t="s">
        <v>145</v>
      </c>
      <c r="EW198" s="82" t="s">
        <v>3928</v>
      </c>
      <c r="EX198" s="360" t="s">
        <v>3879</v>
      </c>
      <c r="EY198" s="159"/>
      <c r="EZ198" s="156"/>
      <c r="FA198" s="323"/>
      <c r="FB198" s="323"/>
      <c r="FC198" s="323"/>
      <c r="FD198" s="160"/>
      <c r="FE198" s="156"/>
      <c r="FF198" s="156"/>
      <c r="FG198" s="156"/>
      <c r="FH198" s="157"/>
      <c r="FI198" s="242"/>
      <c r="FJ198" s="240"/>
      <c r="FK198" s="179"/>
      <c r="FL198" s="179"/>
      <c r="FM198" s="179"/>
      <c r="FN198" s="172"/>
      <c r="FO198" s="164"/>
      <c r="FP198" s="255">
        <v>1</v>
      </c>
      <c r="FQ198" s="183" t="s">
        <v>1941</v>
      </c>
      <c r="FR198" s="257"/>
      <c r="FS198" s="82"/>
      <c r="FT198" s="259"/>
      <c r="FU198" s="82"/>
      <c r="FV198" s="259">
        <v>1</v>
      </c>
      <c r="FW198" s="82" t="s">
        <v>1942</v>
      </c>
      <c r="FX198" s="259">
        <v>1</v>
      </c>
      <c r="FY198" s="82" t="s">
        <v>1943</v>
      </c>
      <c r="FZ198" s="259"/>
      <c r="GA198" s="82"/>
      <c r="GB198" s="261"/>
      <c r="GC198" s="90"/>
      <c r="GD198" s="76">
        <v>3</v>
      </c>
      <c r="GE198" s="445" t="s">
        <v>3436</v>
      </c>
      <c r="GF198" s="447" t="s">
        <v>580</v>
      </c>
      <c r="GG198" s="448">
        <v>6</v>
      </c>
      <c r="GH198" s="449">
        <v>6</v>
      </c>
      <c r="GI198" s="447" t="s">
        <v>145</v>
      </c>
      <c r="GJ198" s="449" t="s">
        <v>145</v>
      </c>
      <c r="GK198" s="447" t="s">
        <v>145</v>
      </c>
      <c r="GL198" s="448" t="s">
        <v>145</v>
      </c>
      <c r="GM198" s="449" t="s">
        <v>145</v>
      </c>
      <c r="GN198" s="447" t="s">
        <v>580</v>
      </c>
      <c r="GO198" s="449">
        <v>76</v>
      </c>
      <c r="GP198" s="447">
        <v>24</v>
      </c>
      <c r="GQ198" s="448">
        <v>29</v>
      </c>
      <c r="GR198" s="449">
        <v>23</v>
      </c>
      <c r="GS198" s="446">
        <v>3</v>
      </c>
      <c r="GT198" s="461">
        <v>-1.3525716066360474</v>
      </c>
      <c r="GU198" s="462">
        <v>-2.3490240573883057</v>
      </c>
      <c r="GV198" s="462">
        <v>-1.20396888256073</v>
      </c>
      <c r="GW198" s="462">
        <v>-0.7351837158203125</v>
      </c>
      <c r="GX198" s="462">
        <v>-1.15868079662323</v>
      </c>
      <c r="GY198" s="463">
        <v>-1.2027156352996826</v>
      </c>
      <c r="GZ198" s="10">
        <v>150</v>
      </c>
      <c r="HA198" s="536">
        <v>0.27199000000000001</v>
      </c>
      <c r="HB198" s="536">
        <v>0.27450000000000002</v>
      </c>
      <c r="HC198" s="525">
        <v>0.30708000000000002</v>
      </c>
      <c r="HD198" s="526">
        <v>0.12486</v>
      </c>
      <c r="HE198" s="527">
        <v>0.38400000000000001</v>
      </c>
      <c r="HF198" s="10">
        <v>138</v>
      </c>
      <c r="HG198" s="532">
        <v>2.1800000000000002</v>
      </c>
      <c r="HH198" s="545">
        <v>2.66</v>
      </c>
      <c r="HI198" s="546">
        <v>0.73</v>
      </c>
      <c r="HJ198" s="547">
        <v>4.1100000000000003</v>
      </c>
      <c r="HK198" s="558" t="s">
        <v>4137</v>
      </c>
      <c r="HL198" s="585" t="s">
        <v>4651</v>
      </c>
      <c r="HM198" s="557">
        <v>2012</v>
      </c>
      <c r="HN198" s="557" t="s">
        <v>145</v>
      </c>
      <c r="HO198" s="557" t="s">
        <v>4095</v>
      </c>
      <c r="HP198" s="562" t="s">
        <v>4138</v>
      </c>
      <c r="HQ198" s="639" t="s">
        <v>4871</v>
      </c>
      <c r="HR198" s="563" t="s">
        <v>145</v>
      </c>
      <c r="HS198" s="545">
        <v>23</v>
      </c>
      <c r="HT198" s="557">
        <v>103</v>
      </c>
      <c r="HU198" s="557">
        <v>2012</v>
      </c>
      <c r="HV198" s="583" t="s">
        <v>4257</v>
      </c>
      <c r="HW198" s="557">
        <v>2</v>
      </c>
      <c r="HX198" s="557">
        <v>29</v>
      </c>
      <c r="HY198" s="557">
        <v>16</v>
      </c>
      <c r="HZ198" s="557">
        <v>19</v>
      </c>
      <c r="IA198" s="557">
        <v>19</v>
      </c>
      <c r="IB198" s="557">
        <v>3</v>
      </c>
      <c r="IC198" s="547">
        <v>15</v>
      </c>
      <c r="ID198" s="660"/>
      <c r="IE198" s="550"/>
      <c r="IF198" s="550"/>
      <c r="IG198" s="553">
        <v>1</v>
      </c>
      <c r="IH198" s="339">
        <v>28.4</v>
      </c>
      <c r="II198" s="553" t="s">
        <v>4921</v>
      </c>
      <c r="IJ198" s="424"/>
      <c r="IK198" s="24">
        <v>0</v>
      </c>
      <c r="IL198" s="749">
        <f t="shared" si="184"/>
        <v>15</v>
      </c>
      <c r="IM198" s="747">
        <f t="shared" si="185"/>
        <v>60</v>
      </c>
      <c r="IN198" s="750" t="str">
        <f t="shared" si="186"/>
        <v>B</v>
      </c>
      <c r="IO198" s="446"/>
      <c r="IP198" s="902">
        <v>3</v>
      </c>
      <c r="IQ198" s="903">
        <v>0</v>
      </c>
      <c r="IR198" s="993">
        <v>0</v>
      </c>
      <c r="IT198" s="435"/>
      <c r="IU198" s="435"/>
      <c r="IV198" s="435"/>
    </row>
    <row r="199" spans="1:256">
      <c r="A199" s="21">
        <v>197</v>
      </c>
      <c r="B199" s="9"/>
      <c r="C199" s="430" t="s">
        <v>295</v>
      </c>
      <c r="D199" s="423" t="s">
        <v>406</v>
      </c>
      <c r="E199" s="24" t="s">
        <v>20</v>
      </c>
      <c r="F199" s="76" t="s">
        <v>925</v>
      </c>
      <c r="G199" s="102" t="s">
        <v>642</v>
      </c>
      <c r="H199" s="375" t="s">
        <v>2548</v>
      </c>
      <c r="I199" s="364" t="s">
        <v>2549</v>
      </c>
      <c r="J199" s="176">
        <v>2</v>
      </c>
      <c r="K199" s="359">
        <v>1973</v>
      </c>
      <c r="L199" s="371">
        <v>2</v>
      </c>
      <c r="M199" s="240" t="s">
        <v>1825</v>
      </c>
      <c r="N199" s="285" t="s">
        <v>2547</v>
      </c>
      <c r="O199" s="365" t="s">
        <v>2918</v>
      </c>
      <c r="P199" s="377" t="s">
        <v>2914</v>
      </c>
      <c r="Q199" s="370">
        <v>2</v>
      </c>
      <c r="R199" s="370">
        <v>1994</v>
      </c>
      <c r="S199" s="234" t="s">
        <v>1961</v>
      </c>
      <c r="T199" s="176">
        <v>1</v>
      </c>
      <c r="U199" s="370">
        <v>2</v>
      </c>
      <c r="V199" s="176">
        <v>18</v>
      </c>
      <c r="W199" s="369" t="s">
        <v>1822</v>
      </c>
      <c r="X199" s="170">
        <v>0</v>
      </c>
      <c r="Y199" s="369">
        <v>0</v>
      </c>
      <c r="Z199" s="271"/>
      <c r="AA199" s="169">
        <v>1</v>
      </c>
      <c r="AB199" s="177"/>
      <c r="AC199" s="171"/>
      <c r="AD199" s="366" t="s">
        <v>1595</v>
      </c>
      <c r="AE199" s="357">
        <v>2013</v>
      </c>
      <c r="AF199" s="357">
        <v>2</v>
      </c>
      <c r="AG199" s="55" t="s">
        <v>5171</v>
      </c>
      <c r="AH199" s="355" t="s">
        <v>2917</v>
      </c>
      <c r="AI199" s="55">
        <v>0</v>
      </c>
      <c r="AJ199" s="55">
        <v>0</v>
      </c>
      <c r="AK199" s="590" t="s">
        <v>145</v>
      </c>
      <c r="AL199" s="386">
        <v>9</v>
      </c>
      <c r="AM199" s="361" t="s">
        <v>2916</v>
      </c>
      <c r="AN199" s="342" t="s">
        <v>145</v>
      </c>
      <c r="AO199" s="170">
        <v>0</v>
      </c>
      <c r="AP199" s="172">
        <v>0</v>
      </c>
      <c r="AQ199" s="365" t="s">
        <v>5344</v>
      </c>
      <c r="AR199" s="377" t="s">
        <v>4934</v>
      </c>
      <c r="AS199" s="55">
        <v>1</v>
      </c>
      <c r="AT199" s="370">
        <v>3</v>
      </c>
      <c r="AU199" s="371">
        <v>2008</v>
      </c>
      <c r="AV199" s="370">
        <v>5</v>
      </c>
      <c r="AW199" s="589" t="s">
        <v>145</v>
      </c>
      <c r="AX199" s="687">
        <v>0</v>
      </c>
      <c r="AY199" s="174" t="s">
        <v>2183</v>
      </c>
      <c r="AZ199" s="55">
        <v>2011</v>
      </c>
      <c r="BA199" s="55">
        <v>1</v>
      </c>
      <c r="BB199" s="55">
        <v>0</v>
      </c>
      <c r="BC199" s="174" t="s">
        <v>145</v>
      </c>
      <c r="BD199" s="55" t="s">
        <v>145</v>
      </c>
      <c r="BE199" s="55">
        <v>0</v>
      </c>
      <c r="BF199" s="367" t="s">
        <v>145</v>
      </c>
      <c r="BG199" s="367">
        <v>0</v>
      </c>
      <c r="BH199" s="56" t="s">
        <v>145</v>
      </c>
      <c r="BI199" s="367">
        <v>0</v>
      </c>
      <c r="BJ199" s="367">
        <v>0</v>
      </c>
      <c r="BK199" s="888">
        <v>16211.767</v>
      </c>
      <c r="BL199" s="925">
        <f t="shared" si="173"/>
        <v>50.0754791257486</v>
      </c>
      <c r="BM199" s="888">
        <v>8093.6469999999999</v>
      </c>
      <c r="BN199" s="920">
        <v>8118.12</v>
      </c>
      <c r="BO199" s="888">
        <v>2850.8040000000001</v>
      </c>
      <c r="BP199" s="1158">
        <f t="shared" si="187"/>
        <v>49.545707105784892</v>
      </c>
      <c r="BQ199" s="917">
        <v>1438.3530000000001</v>
      </c>
      <c r="BR199" s="920">
        <v>1412.451</v>
      </c>
      <c r="BS199" s="888">
        <v>2487.5529999999999</v>
      </c>
      <c r="BT199" s="1158">
        <f t="shared" si="188"/>
        <v>49.664429260401697</v>
      </c>
      <c r="BU199" s="917">
        <v>1252.124</v>
      </c>
      <c r="BV199" s="920">
        <v>1235.4290000000001</v>
      </c>
      <c r="BW199" s="888">
        <v>2105.2600000000002</v>
      </c>
      <c r="BX199" s="1158">
        <f t="shared" si="189"/>
        <v>49.758082137123196</v>
      </c>
      <c r="BY199" s="917">
        <v>1057.723</v>
      </c>
      <c r="BZ199" s="920">
        <v>1047.537</v>
      </c>
      <c r="CA199" s="888">
        <f t="shared" si="190"/>
        <v>8768.15</v>
      </c>
      <c r="CB199" s="1158">
        <f t="shared" si="191"/>
        <v>50.440549032578133</v>
      </c>
      <c r="CC199" s="917">
        <f t="shared" si="192"/>
        <v>4345.4470000000001</v>
      </c>
      <c r="CD199" s="920">
        <f t="shared" si="193"/>
        <v>4422.7029999999995</v>
      </c>
      <c r="CE199" s="914">
        <v>2015</v>
      </c>
      <c r="CF199" s="910" t="s">
        <v>5630</v>
      </c>
      <c r="CG199" s="404">
        <v>50</v>
      </c>
      <c r="CH199" s="1007">
        <f>CG199</f>
        <v>50</v>
      </c>
      <c r="CI199" s="824">
        <f>CG199</f>
        <v>50</v>
      </c>
      <c r="CJ199" s="904">
        <v>27.7</v>
      </c>
      <c r="CK199" s="904">
        <v>8.6</v>
      </c>
      <c r="CL199" s="904">
        <v>2014</v>
      </c>
      <c r="CM199" s="1002" t="s">
        <v>6099</v>
      </c>
      <c r="CN199" s="1051">
        <v>5166.0879999999997</v>
      </c>
      <c r="CO199" s="1045">
        <f t="shared" si="174"/>
        <v>31.866285766381914</v>
      </c>
      <c r="CP199" s="1040">
        <f>IF(OR(CZ199=1,CZ199=10),CN199*(1-BL199/100),IF(DA199=6,CN199*(1-BL199/100),CN199*(1-CB199/100)))</f>
        <v>2579.1446819421967</v>
      </c>
      <c r="CQ199" s="1041">
        <f>IF(OR(CZ199=1,CZ199=10),CN199*BL199/100,IF(DA199=6,CN199*BL199/100,CN199*CB199/100))</f>
        <v>2586.9433180578035</v>
      </c>
      <c r="CR199" s="1046">
        <v>2015</v>
      </c>
      <c r="CS199" s="1047" t="s">
        <v>6065</v>
      </c>
      <c r="CT199" s="1068">
        <f t="shared" si="175"/>
        <v>18</v>
      </c>
      <c r="CU199" s="1071">
        <v>18</v>
      </c>
      <c r="CV199" s="1068" t="s">
        <v>6085</v>
      </c>
      <c r="CW199" s="1113">
        <v>5166.0879999999997</v>
      </c>
      <c r="CX199" s="1113">
        <v>6916.26</v>
      </c>
      <c r="CY199" s="1113">
        <v>14638.504999999999</v>
      </c>
      <c r="CZ199" s="494">
        <v>1</v>
      </c>
      <c r="DA199" s="1104">
        <v>4</v>
      </c>
      <c r="DB199" s="1050" t="s">
        <v>647</v>
      </c>
      <c r="DC199" s="1143" t="s">
        <v>320</v>
      </c>
      <c r="DD199" s="984">
        <f t="shared" si="200"/>
        <v>7323.8705</v>
      </c>
      <c r="DE199" s="979">
        <f t="shared" si="176"/>
        <v>45.176263019324175</v>
      </c>
      <c r="DF199" s="979">
        <f t="shared" si="201"/>
        <v>50.294010276973033</v>
      </c>
      <c r="DG199" s="590">
        <f t="shared" si="202"/>
        <v>3640.4023180578033</v>
      </c>
      <c r="DH199" s="590">
        <f t="shared" si="203"/>
        <v>3683.4681819421962</v>
      </c>
      <c r="DI199" s="979">
        <f t="shared" si="177"/>
        <v>44.978516088702698</v>
      </c>
      <c r="DJ199" s="981">
        <f t="shared" si="178"/>
        <v>45.373413819236433</v>
      </c>
      <c r="DK199" s="984">
        <f t="shared" si="179"/>
        <v>3602.0619999999999</v>
      </c>
      <c r="DL199" s="979">
        <f t="shared" si="204"/>
        <v>50.96413337533324</v>
      </c>
      <c r="DM199" s="590">
        <f t="shared" si="180"/>
        <v>1766.3023180578034</v>
      </c>
      <c r="DN199" s="987">
        <f t="shared" si="181"/>
        <v>1835.759681942196</v>
      </c>
      <c r="DO199" s="984">
        <f t="shared" si="182"/>
        <v>2296.4065000000001</v>
      </c>
      <c r="DP199" s="979">
        <f t="shared" si="205"/>
        <v>49.707357996069085</v>
      </c>
      <c r="DQ199" s="590">
        <f t="shared" si="194"/>
        <v>1154.9234999999999</v>
      </c>
      <c r="DR199" s="987">
        <f t="shared" si="195"/>
        <v>1141.4830000000002</v>
      </c>
      <c r="DS199" s="984">
        <f t="shared" si="183"/>
        <v>1425.402</v>
      </c>
      <c r="DT199" s="339">
        <f t="shared" si="206"/>
        <v>49.545707105784892</v>
      </c>
      <c r="DU199" s="590">
        <f t="shared" si="196"/>
        <v>719.17650000000003</v>
      </c>
      <c r="DV199" s="987">
        <f t="shared" si="197"/>
        <v>706.22550000000001</v>
      </c>
      <c r="DW199" s="979">
        <f t="shared" si="198"/>
        <v>50</v>
      </c>
      <c r="DX199" s="981">
        <f t="shared" si="199"/>
        <v>50</v>
      </c>
      <c r="DY199" s="414">
        <v>74.45</v>
      </c>
      <c r="DZ199" s="111">
        <v>2010</v>
      </c>
      <c r="EA199" s="118">
        <v>9230.3469150000001</v>
      </c>
      <c r="EB199" s="123">
        <v>60.5</v>
      </c>
      <c r="EC199" s="113">
        <v>2010</v>
      </c>
      <c r="ED199" s="20">
        <v>8152.3501950000009</v>
      </c>
      <c r="EE199" s="414">
        <v>60.5</v>
      </c>
      <c r="EF199" s="121">
        <v>2010</v>
      </c>
      <c r="EG199" s="380">
        <v>61.428287506103501</v>
      </c>
      <c r="EH199" s="24" t="s">
        <v>335</v>
      </c>
      <c r="EI199" s="288">
        <v>1</v>
      </c>
      <c r="EJ199" s="40">
        <v>1</v>
      </c>
      <c r="EK199" s="35" t="s">
        <v>728</v>
      </c>
      <c r="EL199" s="364" t="s">
        <v>1638</v>
      </c>
      <c r="EM199" s="364" t="s">
        <v>1641</v>
      </c>
      <c r="EN199" s="35" t="s">
        <v>145</v>
      </c>
      <c r="EO199" s="364" t="s">
        <v>1646</v>
      </c>
      <c r="EP199" s="205">
        <v>0.14000000000000001</v>
      </c>
      <c r="EQ199" s="207" t="s">
        <v>145</v>
      </c>
      <c r="ER199" s="517">
        <v>1</v>
      </c>
      <c r="ES199" s="183" t="s">
        <v>145</v>
      </c>
      <c r="ET199" s="183" t="s">
        <v>145</v>
      </c>
      <c r="EU199" s="82" t="s">
        <v>145</v>
      </c>
      <c r="EV199" s="82" t="s">
        <v>145</v>
      </c>
      <c r="EW199" s="82" t="s">
        <v>3849</v>
      </c>
      <c r="EX199" s="360" t="s">
        <v>145</v>
      </c>
      <c r="EY199" s="159"/>
      <c r="EZ199" s="156"/>
      <c r="FA199" s="323"/>
      <c r="FB199" s="323"/>
      <c r="FC199" s="323"/>
      <c r="FD199" s="160"/>
      <c r="FE199" s="156"/>
      <c r="FF199" s="156"/>
      <c r="FG199" s="156"/>
      <c r="FH199" s="157"/>
      <c r="FI199" s="242"/>
      <c r="FJ199" s="240"/>
      <c r="FK199" s="179"/>
      <c r="FL199" s="179"/>
      <c r="FM199" s="179"/>
      <c r="FN199" s="172"/>
      <c r="FO199" s="164"/>
      <c r="FP199" s="255"/>
      <c r="FQ199" s="183"/>
      <c r="FR199" s="257">
        <v>1</v>
      </c>
      <c r="FS199" s="82" t="s">
        <v>1702</v>
      </c>
      <c r="FT199" s="259"/>
      <c r="FU199" s="82"/>
      <c r="FV199" s="259"/>
      <c r="FW199" s="82"/>
      <c r="FX199" s="259"/>
      <c r="FY199" s="82"/>
      <c r="FZ199" s="259"/>
      <c r="GA199" s="82"/>
      <c r="GB199" s="261"/>
      <c r="GC199" s="90"/>
      <c r="GD199" s="76">
        <v>2</v>
      </c>
      <c r="GE199" s="445" t="s">
        <v>3433</v>
      </c>
      <c r="GF199" s="447" t="s">
        <v>590</v>
      </c>
      <c r="GG199" s="448">
        <v>3</v>
      </c>
      <c r="GH199" s="449">
        <v>4</v>
      </c>
      <c r="GI199" s="447" t="s">
        <v>590</v>
      </c>
      <c r="GJ199" s="449">
        <v>43</v>
      </c>
      <c r="GK199" s="447">
        <v>12</v>
      </c>
      <c r="GL199" s="448">
        <v>13</v>
      </c>
      <c r="GM199" s="449">
        <v>18</v>
      </c>
      <c r="GN199" s="447" t="s">
        <v>580</v>
      </c>
      <c r="GO199" s="449">
        <v>61</v>
      </c>
      <c r="GP199" s="447">
        <v>18</v>
      </c>
      <c r="GQ199" s="448">
        <v>24</v>
      </c>
      <c r="GR199" s="449">
        <v>19</v>
      </c>
      <c r="GS199" s="446">
        <v>7</v>
      </c>
      <c r="GT199" s="461">
        <v>-0.11189679801464081</v>
      </c>
      <c r="GU199" s="462">
        <v>0.38940578699111938</v>
      </c>
      <c r="GV199" s="462">
        <v>-0.47539421916007996</v>
      </c>
      <c r="GW199" s="462">
        <v>-0.46777227520942688</v>
      </c>
      <c r="GX199" s="462">
        <v>-0.30641353130340576</v>
      </c>
      <c r="GY199" s="463">
        <v>-0.38686278462409973</v>
      </c>
      <c r="GZ199" s="10">
        <v>163</v>
      </c>
      <c r="HA199" s="536">
        <v>0.23893</v>
      </c>
      <c r="HB199" s="536">
        <v>0.17646999999999999</v>
      </c>
      <c r="HC199" s="525">
        <v>0.14172999999999999</v>
      </c>
      <c r="HD199" s="526">
        <v>0.12471</v>
      </c>
      <c r="HE199" s="527">
        <v>0.45040000000000002</v>
      </c>
      <c r="HF199" s="10">
        <v>144</v>
      </c>
      <c r="HG199" s="532">
        <v>2.02</v>
      </c>
      <c r="HH199" s="545">
        <v>2.68</v>
      </c>
      <c r="HI199" s="546">
        <v>0.54</v>
      </c>
      <c r="HJ199" s="547">
        <v>3.64</v>
      </c>
      <c r="HK199" s="558" t="s">
        <v>145</v>
      </c>
      <c r="HL199" s="82" t="s">
        <v>145</v>
      </c>
      <c r="HM199" s="557" t="s">
        <v>145</v>
      </c>
      <c r="HN199" s="557" t="s">
        <v>145</v>
      </c>
      <c r="HO199" s="557" t="s">
        <v>145</v>
      </c>
      <c r="HP199" s="562" t="s">
        <v>145</v>
      </c>
      <c r="HQ199" s="562" t="s">
        <v>145</v>
      </c>
      <c r="HR199" s="563" t="s">
        <v>145</v>
      </c>
      <c r="HS199" s="545" t="s">
        <v>145</v>
      </c>
      <c r="HT199" s="557" t="s">
        <v>145</v>
      </c>
      <c r="HU199" s="696" t="s">
        <v>145</v>
      </c>
      <c r="HV199" s="581" t="s">
        <v>145</v>
      </c>
      <c r="HW199" s="557" t="s">
        <v>145</v>
      </c>
      <c r="HX199" s="557" t="s">
        <v>145</v>
      </c>
      <c r="HY199" s="557" t="s">
        <v>145</v>
      </c>
      <c r="HZ199" s="557" t="s">
        <v>145</v>
      </c>
      <c r="IA199" s="557" t="s">
        <v>145</v>
      </c>
      <c r="IB199" s="557" t="s">
        <v>145</v>
      </c>
      <c r="IC199" s="547" t="s">
        <v>145</v>
      </c>
      <c r="ID199" s="40"/>
      <c r="IE199" s="550"/>
      <c r="IF199" s="550"/>
      <c r="IG199" s="553"/>
      <c r="IH199" s="115"/>
      <c r="II199" s="647" t="s">
        <v>4921</v>
      </c>
      <c r="IJ199" s="423" t="s">
        <v>4918</v>
      </c>
      <c r="IK199" s="10">
        <v>0</v>
      </c>
      <c r="IL199" s="749">
        <f t="shared" si="184"/>
        <v>13</v>
      </c>
      <c r="IM199" s="747">
        <f t="shared" si="185"/>
        <v>52</v>
      </c>
      <c r="IN199" s="750" t="str">
        <f t="shared" si="186"/>
        <v>B</v>
      </c>
      <c r="IO199" s="446">
        <v>1</v>
      </c>
      <c r="IP199" s="902">
        <v>4</v>
      </c>
      <c r="IQ199" s="903">
        <v>0</v>
      </c>
      <c r="IR199" s="993">
        <v>0</v>
      </c>
      <c r="IT199" s="435"/>
      <c r="IU199" s="435"/>
      <c r="IV199" s="435"/>
    </row>
    <row r="200" spans="1:256">
      <c r="A200" s="21">
        <v>198</v>
      </c>
      <c r="B200" s="9"/>
      <c r="C200" s="430" t="s">
        <v>297</v>
      </c>
      <c r="D200" s="423" t="s">
        <v>406</v>
      </c>
      <c r="E200" s="10" t="s">
        <v>9</v>
      </c>
      <c r="F200" s="76" t="s">
        <v>926</v>
      </c>
      <c r="G200" s="102" t="s">
        <v>643</v>
      </c>
      <c r="H200" s="375" t="s">
        <v>2550</v>
      </c>
      <c r="I200" s="364" t="s">
        <v>2551</v>
      </c>
      <c r="J200" s="370">
        <v>2</v>
      </c>
      <c r="K200" s="359">
        <v>1904</v>
      </c>
      <c r="L200" s="371">
        <v>2</v>
      </c>
      <c r="M200" s="373" t="s">
        <v>1835</v>
      </c>
      <c r="N200" s="369" t="s">
        <v>1822</v>
      </c>
      <c r="O200" s="365" t="s">
        <v>2922</v>
      </c>
      <c r="P200" s="362" t="s">
        <v>2919</v>
      </c>
      <c r="Q200" s="370">
        <v>2</v>
      </c>
      <c r="R200" s="370">
        <v>1996</v>
      </c>
      <c r="S200" s="372" t="s">
        <v>1959</v>
      </c>
      <c r="T200" s="370">
        <v>1</v>
      </c>
      <c r="U200" s="370">
        <v>2</v>
      </c>
      <c r="V200" s="370">
        <v>16</v>
      </c>
      <c r="W200" s="353">
        <v>2</v>
      </c>
      <c r="X200" s="170">
        <v>1</v>
      </c>
      <c r="Y200" s="369">
        <v>1</v>
      </c>
      <c r="Z200" s="271"/>
      <c r="AA200" s="169">
        <v>1</v>
      </c>
      <c r="AB200" s="177">
        <v>1</v>
      </c>
      <c r="AC200" s="171"/>
      <c r="AD200" s="366" t="s">
        <v>2923</v>
      </c>
      <c r="AE200" s="357">
        <v>2004</v>
      </c>
      <c r="AF200" s="357">
        <v>1</v>
      </c>
      <c r="AG200" s="550" t="s">
        <v>4272</v>
      </c>
      <c r="AH200" s="355" t="s">
        <v>323</v>
      </c>
      <c r="AI200" s="55">
        <v>0</v>
      </c>
      <c r="AJ200" s="55">
        <v>0</v>
      </c>
      <c r="AK200" s="590" t="s">
        <v>145</v>
      </c>
      <c r="AL200" s="386">
        <v>9</v>
      </c>
      <c r="AM200" s="361" t="s">
        <v>2920</v>
      </c>
      <c r="AN200" s="342" t="s">
        <v>145</v>
      </c>
      <c r="AO200" s="170">
        <v>1</v>
      </c>
      <c r="AP200" s="369">
        <v>0</v>
      </c>
      <c r="AQ200" s="365" t="s">
        <v>5345</v>
      </c>
      <c r="AR200" s="362" t="s">
        <v>5346</v>
      </c>
      <c r="AS200" s="55">
        <v>1</v>
      </c>
      <c r="AT200" s="370">
        <v>2</v>
      </c>
      <c r="AU200" s="371">
        <v>2013</v>
      </c>
      <c r="AV200" s="370">
        <v>5</v>
      </c>
      <c r="AW200" s="589" t="s">
        <v>145</v>
      </c>
      <c r="AX200" s="687">
        <v>0</v>
      </c>
      <c r="AY200" s="174" t="s">
        <v>4600</v>
      </c>
      <c r="AZ200" s="55">
        <v>2003</v>
      </c>
      <c r="BA200" s="55">
        <v>0</v>
      </c>
      <c r="BB200" s="55">
        <v>0</v>
      </c>
      <c r="BC200" s="108" t="s">
        <v>145</v>
      </c>
      <c r="BD200" s="55" t="s">
        <v>145</v>
      </c>
      <c r="BE200" s="55">
        <v>0</v>
      </c>
      <c r="BF200" s="371" t="s">
        <v>145</v>
      </c>
      <c r="BG200" s="371">
        <v>0</v>
      </c>
      <c r="BH200" s="56" t="s">
        <v>145</v>
      </c>
      <c r="BI200" s="371">
        <v>3</v>
      </c>
      <c r="BJ200" s="371">
        <v>1</v>
      </c>
      <c r="BK200" s="888">
        <v>15602.751</v>
      </c>
      <c r="BL200" s="925">
        <f t="shared" si="173"/>
        <v>50.72947712874479</v>
      </c>
      <c r="BM200" s="888">
        <v>7687.5569999999998</v>
      </c>
      <c r="BN200" s="920">
        <v>7915.1940000000004</v>
      </c>
      <c r="BO200" s="888">
        <v>2504.6819999999998</v>
      </c>
      <c r="BP200" s="1158">
        <f t="shared" si="187"/>
        <v>49.826085706688517</v>
      </c>
      <c r="BQ200" s="917">
        <v>1256.6969999999999</v>
      </c>
      <c r="BR200" s="920">
        <v>1247.9849999999999</v>
      </c>
      <c r="BS200" s="888">
        <v>2151.1419999999998</v>
      </c>
      <c r="BT200" s="1158">
        <f t="shared" si="188"/>
        <v>49.911116978795455</v>
      </c>
      <c r="BU200" s="917">
        <v>1077.4829999999999</v>
      </c>
      <c r="BV200" s="920">
        <v>1073.6590000000001</v>
      </c>
      <c r="BW200" s="888">
        <v>1834.9739999999999</v>
      </c>
      <c r="BX200" s="1158">
        <f t="shared" si="189"/>
        <v>49.97073528017291</v>
      </c>
      <c r="BY200" s="917">
        <v>918.024</v>
      </c>
      <c r="BZ200" s="920">
        <v>916.95</v>
      </c>
      <c r="CA200" s="888">
        <f t="shared" si="190"/>
        <v>9111.9529999999995</v>
      </c>
      <c r="CB200" s="1158">
        <f t="shared" si="191"/>
        <v>51.323794141607202</v>
      </c>
      <c r="CC200" s="917">
        <f t="shared" si="192"/>
        <v>4435.3529999999992</v>
      </c>
      <c r="CD200" s="920">
        <f t="shared" si="193"/>
        <v>4676.6000000000013</v>
      </c>
      <c r="CE200" s="995">
        <v>2015</v>
      </c>
      <c r="CF200" s="996" t="s">
        <v>5630</v>
      </c>
      <c r="CG200" s="1026">
        <v>48.8</v>
      </c>
      <c r="CH200" s="495">
        <v>48.3</v>
      </c>
      <c r="CI200" s="497">
        <v>49.3</v>
      </c>
      <c r="CJ200" s="904">
        <v>65.2</v>
      </c>
      <c r="CK200" s="904">
        <v>42.7</v>
      </c>
      <c r="CL200" s="904" t="s">
        <v>5572</v>
      </c>
      <c r="CM200" s="905" t="s">
        <v>5575</v>
      </c>
      <c r="CN200" s="1044">
        <v>6400</v>
      </c>
      <c r="CO200" s="1045">
        <f t="shared" si="174"/>
        <v>41.018407587226122</v>
      </c>
      <c r="CP200" s="1040">
        <f>IF(OR(CZ200=1,CZ200=10),CN200*(1-BL200/100),IF(DA200=6,CN200*(1-BL200/100),CN200*(1-CB200/100)))</f>
        <v>3153.3134637603334</v>
      </c>
      <c r="CQ200" s="1041">
        <f>IF(OR(CZ200=1,CZ200=10),CN200*BL200/100,IF(DA200=6,CN200*BL200/100,CN200*CB200/100))</f>
        <v>3246.6865362396666</v>
      </c>
      <c r="CR200" s="1046">
        <v>2013</v>
      </c>
      <c r="CS200" s="1047" t="s">
        <v>6066</v>
      </c>
      <c r="CT200" s="1068">
        <f t="shared" si="175"/>
        <v>16</v>
      </c>
      <c r="CU200" s="1071">
        <v>18</v>
      </c>
      <c r="CV200" s="1068" t="s">
        <v>6086</v>
      </c>
      <c r="CW200" s="1113">
        <v>6400</v>
      </c>
      <c r="CX200" s="1113">
        <v>5696.78</v>
      </c>
      <c r="CY200" s="1113">
        <v>13182.907999999999</v>
      </c>
      <c r="CZ200" s="494">
        <v>1</v>
      </c>
      <c r="DA200" s="1104">
        <v>3</v>
      </c>
      <c r="DB200" s="1050" t="s">
        <v>647</v>
      </c>
      <c r="DC200" s="1143" t="s">
        <v>320</v>
      </c>
      <c r="DD200" s="978">
        <f t="shared" si="200"/>
        <v>6035.2415759999985</v>
      </c>
      <c r="DE200" s="979">
        <f t="shared" si="176"/>
        <v>38.680624820584512</v>
      </c>
      <c r="DF200" s="979">
        <f t="shared" si="201"/>
        <v>50.899049906736259</v>
      </c>
      <c r="DG200" s="980">
        <f t="shared" si="202"/>
        <v>2963.4290042396656</v>
      </c>
      <c r="DH200" s="980">
        <f t="shared" si="203"/>
        <v>3071.8806217603351</v>
      </c>
      <c r="DI200" s="979">
        <f t="shared" si="177"/>
        <v>38.548384151683891</v>
      </c>
      <c r="DJ200" s="981">
        <f t="shared" si="178"/>
        <v>38.809922053209753</v>
      </c>
      <c r="DK200" s="984">
        <f t="shared" si="179"/>
        <v>2711.9529999999995</v>
      </c>
      <c r="DL200" s="979">
        <f t="shared" si="204"/>
        <v>52.726336472657707</v>
      </c>
      <c r="DM200" s="980">
        <f t="shared" si="180"/>
        <v>1282.0395362396657</v>
      </c>
      <c r="DN200" s="985">
        <f t="shared" si="181"/>
        <v>1429.9134637603347</v>
      </c>
      <c r="DO200" s="984">
        <f t="shared" si="182"/>
        <v>2040.8913919999998</v>
      </c>
      <c r="DP200" s="979">
        <f t="shared" si="205"/>
        <v>49.450880480758094</v>
      </c>
      <c r="DQ200" s="980">
        <f t="shared" si="194"/>
        <v>1031.6771189999999</v>
      </c>
      <c r="DR200" s="985">
        <f t="shared" si="195"/>
        <v>1009.2387630000001</v>
      </c>
      <c r="DS200" s="984">
        <f t="shared" si="183"/>
        <v>1282.3971839999999</v>
      </c>
      <c r="DT200" s="339">
        <f t="shared" si="206"/>
        <v>49.33950283845914</v>
      </c>
      <c r="DU200" s="980">
        <f t="shared" si="196"/>
        <v>649.71234900000002</v>
      </c>
      <c r="DV200" s="985">
        <f t="shared" si="197"/>
        <v>632.72839499999998</v>
      </c>
      <c r="DW200" s="979">
        <f t="shared" si="198"/>
        <v>51.7</v>
      </c>
      <c r="DX200" s="981">
        <f t="shared" si="199"/>
        <v>50.7</v>
      </c>
      <c r="DY200" s="414" t="e">
        <f>EA200/#REF!*100</f>
        <v>#REF!</v>
      </c>
      <c r="DZ200" s="111">
        <v>2011</v>
      </c>
      <c r="EA200" s="368" t="e">
        <f>5.6*#REF!/100+30.3*#REF!/100</f>
        <v>#REF!</v>
      </c>
      <c r="EB200" s="123">
        <v>71</v>
      </c>
      <c r="EC200" s="113">
        <v>2004</v>
      </c>
      <c r="ED200" s="20">
        <v>9055.6083799999997</v>
      </c>
      <c r="EE200" s="414">
        <v>68</v>
      </c>
      <c r="EF200" s="121">
        <v>2004</v>
      </c>
      <c r="EG200" s="380">
        <v>83.582717895507798</v>
      </c>
      <c r="EH200" s="24" t="s">
        <v>335</v>
      </c>
      <c r="EI200" s="288">
        <v>1</v>
      </c>
      <c r="EJ200" s="40">
        <v>3</v>
      </c>
      <c r="EK200" s="355" t="s">
        <v>145</v>
      </c>
      <c r="EL200" s="364" t="s">
        <v>145</v>
      </c>
      <c r="EM200" s="364" t="s">
        <v>145</v>
      </c>
      <c r="EN200" s="355" t="s">
        <v>145</v>
      </c>
      <c r="EO200" s="364" t="s">
        <v>1646</v>
      </c>
      <c r="EP200" s="205">
        <v>0.38</v>
      </c>
      <c r="EQ200" s="207" t="s">
        <v>145</v>
      </c>
      <c r="ER200" s="517" t="s">
        <v>145</v>
      </c>
      <c r="ES200" s="183"/>
      <c r="ET200" s="183"/>
      <c r="EU200" s="82"/>
      <c r="EV200" s="82"/>
      <c r="EW200" s="82"/>
      <c r="EX200" s="360"/>
      <c r="EY200" s="159"/>
      <c r="EZ200" s="156"/>
      <c r="FA200" s="323"/>
      <c r="FB200" s="323"/>
      <c r="FC200" s="323"/>
      <c r="FD200" s="160"/>
      <c r="FE200" s="156"/>
      <c r="FF200" s="156"/>
      <c r="FG200" s="156"/>
      <c r="FH200" s="157"/>
      <c r="FI200" s="242"/>
      <c r="FJ200" s="373"/>
      <c r="FK200" s="179"/>
      <c r="FL200" s="179"/>
      <c r="FM200" s="179"/>
      <c r="FN200" s="369"/>
      <c r="FO200" s="164"/>
      <c r="FP200" s="255"/>
      <c r="FQ200" s="183"/>
      <c r="FR200" s="257"/>
      <c r="FS200" s="82"/>
      <c r="FT200" s="259"/>
      <c r="FU200" s="82"/>
      <c r="FV200" s="259"/>
      <c r="FW200" s="82"/>
      <c r="FX200" s="259"/>
      <c r="FY200" s="82"/>
      <c r="FZ200" s="259"/>
      <c r="GA200" s="82"/>
      <c r="GB200" s="261"/>
      <c r="GC200" s="360"/>
      <c r="GD200" s="76">
        <v>1</v>
      </c>
      <c r="GE200" s="445" t="s">
        <v>3431</v>
      </c>
      <c r="GF200" s="447" t="s">
        <v>580</v>
      </c>
      <c r="GG200" s="448">
        <v>5</v>
      </c>
      <c r="GH200" s="449">
        <v>6</v>
      </c>
      <c r="GI200" s="447" t="s">
        <v>590</v>
      </c>
      <c r="GJ200" s="449">
        <v>55</v>
      </c>
      <c r="GK200" s="447">
        <v>15</v>
      </c>
      <c r="GL200" s="448">
        <v>15</v>
      </c>
      <c r="GM200" s="449">
        <v>25</v>
      </c>
      <c r="GN200" s="447" t="s">
        <v>580</v>
      </c>
      <c r="GO200" s="449">
        <v>73</v>
      </c>
      <c r="GP200" s="447">
        <v>24</v>
      </c>
      <c r="GQ200" s="448">
        <v>25</v>
      </c>
      <c r="GR200" s="449">
        <v>24</v>
      </c>
      <c r="GS200" s="446">
        <v>4</v>
      </c>
      <c r="GT200" s="461">
        <v>-1.385584831237793</v>
      </c>
      <c r="GU200" s="462">
        <v>-0.69024169445037842</v>
      </c>
      <c r="GV200" s="462">
        <v>-1.1385077238082886</v>
      </c>
      <c r="GW200" s="462">
        <v>-1.7961570024490356</v>
      </c>
      <c r="GX200" s="462">
        <v>-1.5678373575210571</v>
      </c>
      <c r="GY200" s="463">
        <v>-1.3651399612426758</v>
      </c>
      <c r="GZ200" s="10">
        <v>126</v>
      </c>
      <c r="HA200" s="535">
        <v>0.35844999999999999</v>
      </c>
      <c r="HB200" s="535">
        <v>0.45097999999999999</v>
      </c>
      <c r="HC200" s="523">
        <v>0.30708000000000002</v>
      </c>
      <c r="HD200" s="462">
        <v>0.22375999999999999</v>
      </c>
      <c r="HE200" s="463">
        <v>0.54449999999999998</v>
      </c>
      <c r="HF200" s="10">
        <v>121</v>
      </c>
      <c r="HG200" s="532">
        <v>2.89</v>
      </c>
      <c r="HH200" s="447">
        <v>3.12</v>
      </c>
      <c r="HI200" s="544">
        <v>1.92</v>
      </c>
      <c r="HJ200" s="449">
        <v>4.3600000000000003</v>
      </c>
      <c r="HK200" s="558" t="s">
        <v>4139</v>
      </c>
      <c r="HL200" s="585" t="s">
        <v>4652</v>
      </c>
      <c r="HM200" s="448">
        <v>2002</v>
      </c>
      <c r="HN200" s="448">
        <v>2002</v>
      </c>
      <c r="HO200" s="448" t="s">
        <v>4095</v>
      </c>
      <c r="HP200" s="560" t="s">
        <v>4140</v>
      </c>
      <c r="HQ200" s="654" t="s">
        <v>4653</v>
      </c>
      <c r="HR200" s="561" t="s">
        <v>145</v>
      </c>
      <c r="HS200" s="447">
        <v>72</v>
      </c>
      <c r="HT200" s="448">
        <v>70</v>
      </c>
      <c r="HU200" s="448">
        <v>2002</v>
      </c>
      <c r="HV200" s="580" t="s">
        <v>4258</v>
      </c>
      <c r="HW200" s="448">
        <v>2</v>
      </c>
      <c r="HX200" s="448">
        <v>16</v>
      </c>
      <c r="HY200" s="448">
        <v>10</v>
      </c>
      <c r="HZ200" s="448">
        <v>14</v>
      </c>
      <c r="IA200" s="448">
        <v>22</v>
      </c>
      <c r="IB200" s="448">
        <v>1</v>
      </c>
      <c r="IC200" s="449">
        <v>5</v>
      </c>
      <c r="ID200" s="40"/>
      <c r="IE200" s="355"/>
      <c r="IF200" s="355"/>
      <c r="IG200" s="647">
        <v>1</v>
      </c>
      <c r="IH200" s="115"/>
      <c r="II200" s="647" t="s">
        <v>4923</v>
      </c>
      <c r="IJ200" s="423" t="s">
        <v>4926</v>
      </c>
      <c r="IK200" s="10">
        <v>0</v>
      </c>
      <c r="IL200" s="749">
        <f t="shared" si="184"/>
        <v>13</v>
      </c>
      <c r="IM200" s="997">
        <f t="shared" si="185"/>
        <v>52</v>
      </c>
      <c r="IN200" s="750" t="str">
        <f t="shared" si="186"/>
        <v>B</v>
      </c>
      <c r="IO200" s="446">
        <v>1</v>
      </c>
      <c r="IP200" s="902">
        <v>3</v>
      </c>
      <c r="IQ200" s="903">
        <v>0</v>
      </c>
      <c r="IR200" s="993">
        <v>0</v>
      </c>
      <c r="IT200" s="435"/>
      <c r="IU200" s="435"/>
      <c r="IV200" s="435"/>
    </row>
    <row r="201" spans="1:256">
      <c r="C201" s="13"/>
      <c r="AY201" s="37"/>
      <c r="DD201" s="356"/>
      <c r="DG201" s="356"/>
      <c r="DH201" s="356"/>
      <c r="DK201" s="356"/>
      <c r="DL201" s="356"/>
      <c r="DM201" s="356"/>
      <c r="DN201" s="356"/>
      <c r="DO201" s="356"/>
      <c r="DP201" s="356"/>
      <c r="DQ201" s="356"/>
      <c r="DR201" s="356"/>
      <c r="DU201" s="356"/>
      <c r="DV201" s="356"/>
      <c r="HV201" s="15"/>
      <c r="IL201" s="418"/>
      <c r="IM201" s="2"/>
      <c r="IN201" s="418"/>
    </row>
    <row r="202" spans="1:256">
      <c r="H202" s="3" t="s">
        <v>66</v>
      </c>
      <c r="AY202" s="37"/>
      <c r="CG202" s="420"/>
      <c r="DD202" s="356"/>
      <c r="DG202" s="356"/>
      <c r="DH202" s="356"/>
      <c r="DK202" s="356"/>
      <c r="DL202" s="356"/>
      <c r="DM202" s="356"/>
      <c r="DN202" s="356"/>
      <c r="DO202" s="356"/>
      <c r="DP202" s="356"/>
      <c r="DQ202" s="356"/>
      <c r="DR202" s="356"/>
      <c r="DU202" s="356"/>
      <c r="DV202" s="356"/>
      <c r="EJ202" s="4" t="s">
        <v>66</v>
      </c>
      <c r="GC202" s="3" t="s">
        <v>66</v>
      </c>
      <c r="IK202" s="354" t="s">
        <v>66</v>
      </c>
      <c r="IL202" s="418"/>
      <c r="IM202" s="2"/>
      <c r="IN202" s="751" t="s">
        <v>5197</v>
      </c>
      <c r="IO202" s="77"/>
      <c r="IP202" s="77"/>
      <c r="IQ202" s="77"/>
      <c r="IR202" s="77"/>
    </row>
    <row r="203" spans="1:256">
      <c r="D203" s="46" t="s">
        <v>2557</v>
      </c>
      <c r="E203" s="46" t="s">
        <v>401</v>
      </c>
      <c r="F203" s="33" t="s">
        <v>66</v>
      </c>
      <c r="H203" s="4">
        <f>198-COUNTIF(H3:H200,"-")</f>
        <v>198</v>
      </c>
      <c r="I203" s="4">
        <f>198-COUNTIF(I3:I200,"-")</f>
        <v>198</v>
      </c>
      <c r="J203" s="92" t="s">
        <v>1850</v>
      </c>
      <c r="K203" s="4">
        <f>198-COUNTIF(K3:K200,"-")</f>
        <v>198</v>
      </c>
      <c r="L203" s="92" t="s">
        <v>1736</v>
      </c>
      <c r="M203" s="4">
        <f>198-COUNTIF(M3:M200,"-")</f>
        <v>169</v>
      </c>
      <c r="N203" s="4">
        <f>198-COUNTIF(N3:N200,"-")</f>
        <v>197</v>
      </c>
      <c r="O203" s="4">
        <f>198-COUNTIF(O3:O200,"-")</f>
        <v>184</v>
      </c>
      <c r="P203" s="4">
        <f>198-COUNTIF(P3:P200,"-")</f>
        <v>182</v>
      </c>
      <c r="Q203" s="92" t="s">
        <v>2740</v>
      </c>
      <c r="R203" s="4">
        <f>198-COUNTIF(R3:R200,"-")</f>
        <v>182</v>
      </c>
      <c r="S203" s="4">
        <f>198-COUNTIF(S3:S200,"-")</f>
        <v>182</v>
      </c>
      <c r="T203" s="92" t="s">
        <v>2738</v>
      </c>
      <c r="U203" s="92" t="s">
        <v>2739</v>
      </c>
      <c r="V203" s="4">
        <f>198-COUNTIF(V3:V200,"-")</f>
        <v>169</v>
      </c>
      <c r="W203" s="4">
        <f>198-COUNTIF(W3:W200,"-")</f>
        <v>181</v>
      </c>
      <c r="X203" s="4">
        <f>COUNTIF(X3:X200,1)</f>
        <v>117</v>
      </c>
      <c r="Y203" s="4">
        <f>COUNTIF(Y3:Y200,1)</f>
        <v>99</v>
      </c>
      <c r="Z203" s="4">
        <f>COUNTA(Z3:Z200)</f>
        <v>64</v>
      </c>
      <c r="AA203" s="28">
        <f>SUM(AA3:AA200)</f>
        <v>119</v>
      </c>
      <c r="AB203" s="28">
        <f>SUM(AB3:AB200)</f>
        <v>113</v>
      </c>
      <c r="AC203" s="28">
        <f>SUM(AC3:AC200)</f>
        <v>13</v>
      </c>
      <c r="AD203" s="4">
        <f>198-COUNTIF(AD3:AD200,"-")</f>
        <v>148</v>
      </c>
      <c r="AE203" s="4">
        <f>198-COUNTIF(AE3:AE200,"-")</f>
        <v>148</v>
      </c>
      <c r="AF203" s="92" t="s">
        <v>1614</v>
      </c>
      <c r="AG203" s="332" t="s">
        <v>4268</v>
      </c>
      <c r="AH203" s="4">
        <f>198-COUNTIF(AH3:AH200,"-")</f>
        <v>148</v>
      </c>
      <c r="AI203" s="332" t="s">
        <v>4335</v>
      </c>
      <c r="AJ203" s="332" t="s">
        <v>4334</v>
      </c>
      <c r="AK203" s="73">
        <f>SUM(AK3:AK200)</f>
        <v>3146496.8760000002</v>
      </c>
      <c r="AL203" s="332" t="s">
        <v>2817</v>
      </c>
      <c r="AM203" s="4">
        <f>198-COUNTIF(AM3:AM200,"-")</f>
        <v>148</v>
      </c>
      <c r="AN203" s="634" t="s">
        <v>5467</v>
      </c>
      <c r="AO203" s="29">
        <f>COUNTIF(AO3:AO200,1)</f>
        <v>54</v>
      </c>
      <c r="AP203" s="29">
        <f>COUNTIF(AP3:AP200,1)</f>
        <v>48</v>
      </c>
      <c r="AQ203" s="4">
        <f>198-COUNTIF(AQ3:AQ200,"-")</f>
        <v>198</v>
      </c>
      <c r="AR203" s="4">
        <f>198-COUNTIF(AR3:AR200,"-")</f>
        <v>198</v>
      </c>
      <c r="AS203" s="92" t="s">
        <v>5161</v>
      </c>
      <c r="AT203" s="92" t="s">
        <v>4898</v>
      </c>
      <c r="AU203" s="4">
        <f>198-COUNTIF(AU3:AU200,"-")</f>
        <v>196</v>
      </c>
      <c r="AV203" s="4">
        <f>198-COUNTIF(AV3:AV200,"-")</f>
        <v>198</v>
      </c>
      <c r="AW203" s="73">
        <f>SUM(AW3:AW200)</f>
        <v>350037</v>
      </c>
      <c r="AX203" s="332" t="s">
        <v>4900</v>
      </c>
      <c r="AY203" s="4">
        <f>198-COUNTIF(AY3:AY200,"-")</f>
        <v>196</v>
      </c>
      <c r="AZ203" s="4">
        <f>198-COUNTIF(AZ3:AZ200,"-")</f>
        <v>196</v>
      </c>
      <c r="BA203" s="92" t="s">
        <v>4597</v>
      </c>
      <c r="BB203" s="92" t="s">
        <v>1730</v>
      </c>
      <c r="BC203" s="4">
        <f>198-COUNTIF(BC3:BC200,"-")</f>
        <v>145</v>
      </c>
      <c r="BD203" s="4">
        <f>198-COUNTIF(BD3:BD200,"-")</f>
        <v>145</v>
      </c>
      <c r="BE203" s="92" t="s">
        <v>2838</v>
      </c>
      <c r="BF203" s="4">
        <f>198-COUNTIF(BF3:BF200,"-")</f>
        <v>61</v>
      </c>
      <c r="BG203" s="92" t="s">
        <v>2565</v>
      </c>
      <c r="BH203" s="4">
        <f>COUNTIF(BH3:BH200,"&gt;a")</f>
        <v>34</v>
      </c>
      <c r="BI203" s="92" t="s">
        <v>5447</v>
      </c>
      <c r="BJ203" s="92" t="s">
        <v>5448</v>
      </c>
      <c r="BK203" s="1154">
        <f>SUM(BK3:BK202)</f>
        <v>7345825.5569999963</v>
      </c>
      <c r="BL203" s="913">
        <f>BN203/BK203*100</f>
        <v>49.555372169444958</v>
      </c>
      <c r="BM203" s="435">
        <f>SUM(BM3:BM202)</f>
        <v>3705574.3633104502</v>
      </c>
      <c r="BN203" s="435">
        <f>SUM(BN3:BN202)</f>
        <v>3640251.1936895512</v>
      </c>
      <c r="BO203" s="1154">
        <f t="shared" ref="BO203:BW203" si="207">SUM(BO3:BO202)</f>
        <v>670473.58600000036</v>
      </c>
      <c r="BP203" s="1155"/>
      <c r="BQ203" s="435">
        <f t="shared" ref="BQ203" si="208">SUM(BQ3:BQ202)</f>
        <v>346514.54399999999</v>
      </c>
      <c r="BR203" s="435">
        <f>SUM(BR3:BR202)</f>
        <v>323959.04800000001</v>
      </c>
      <c r="BS203" s="1154">
        <f t="shared" si="207"/>
        <v>637050.60700000019</v>
      </c>
      <c r="BT203" s="1155"/>
      <c r="BU203" s="435">
        <f t="shared" ref="BU203" si="209">SUM(BU3:BU202)</f>
        <v>329370.99800000037</v>
      </c>
      <c r="BV203" s="435">
        <f>SUM(BV3:BV202)</f>
        <v>307679.60899999994</v>
      </c>
      <c r="BW203" s="1154">
        <f t="shared" si="207"/>
        <v>607054.25900000008</v>
      </c>
      <c r="BX203" s="1155"/>
      <c r="BY203" s="435">
        <f t="shared" ref="BY203" si="210">SUM(BY3:BY202)</f>
        <v>313842.51000000007</v>
      </c>
      <c r="BZ203" s="435">
        <f t="shared" ref="BZ203:CC203" si="211">SUM(BZ3:BZ202)</f>
        <v>293211.7490000003</v>
      </c>
      <c r="CA203" s="1154">
        <f t="shared" si="211"/>
        <v>5431247.1049999995</v>
      </c>
      <c r="CB203" s="1155"/>
      <c r="CC203" s="435">
        <f t="shared" si="211"/>
        <v>2715846.3113104478</v>
      </c>
      <c r="CD203" s="435">
        <f t="shared" ref="CD203" si="212">SUM(CD3:CD202)</f>
        <v>2715400.7876895512</v>
      </c>
      <c r="CE203" s="435"/>
      <c r="CF203" s="435"/>
      <c r="CN203" s="1057">
        <f>SUM(CN3:CN202)</f>
        <v>5001793.8650000012</v>
      </c>
      <c r="CP203" s="1123">
        <f t="shared" ref="CP203:CQ203" si="213">SUM(CP3:CP202)</f>
        <v>2527335.1859748499</v>
      </c>
      <c r="CQ203" s="1123">
        <f t="shared" si="213"/>
        <v>2474458.679025149</v>
      </c>
      <c r="CS203" s="1074"/>
      <c r="CT203" s="1106" t="s">
        <v>5737</v>
      </c>
      <c r="CU203" s="1084" t="s">
        <v>5736</v>
      </c>
      <c r="CV203" s="1121"/>
      <c r="CZ203" s="1085" t="s">
        <v>5664</v>
      </c>
      <c r="DA203" s="1085" t="s">
        <v>5748</v>
      </c>
      <c r="DD203" s="1169">
        <f>SUM(DD3:DD200)</f>
        <v>1494361.8872580004</v>
      </c>
      <c r="DE203" s="407"/>
      <c r="DF203" s="407"/>
      <c r="DG203" s="991">
        <f t="shared" ref="DG203:DH203" si="214">SUM(DG3:DG200)</f>
        <v>743260.41716059798</v>
      </c>
      <c r="DH203" s="991">
        <f t="shared" si="214"/>
        <v>751006.50084940158</v>
      </c>
      <c r="DI203" s="1153">
        <f>DG203/BM203*100</f>
        <v>20.057900457207158</v>
      </c>
      <c r="DJ203" s="1153">
        <f>DH203/BN203*100</f>
        <v>20.630623022699272</v>
      </c>
      <c r="DK203" s="1169">
        <f>SUM(DK3:DK200)</f>
        <v>1017949.8602879995</v>
      </c>
      <c r="DL203" s="407"/>
      <c r="DM203" s="991">
        <f t="shared" ref="DM203:DN203" si="215">SUM(DM3:DM200)</f>
        <v>500262.85677059821</v>
      </c>
      <c r="DN203" s="991">
        <f t="shared" si="215"/>
        <v>517683.04724240181</v>
      </c>
      <c r="DO203" s="1169">
        <f>SUM(DO3:DO200)</f>
        <v>303983.81075100007</v>
      </c>
      <c r="DP203" s="407"/>
      <c r="DQ203" s="991">
        <f t="shared" ref="DQ203:DR203" si="216">SUM(DQ3:DQ200)</f>
        <v>155057.94640400007</v>
      </c>
      <c r="DR203" s="991">
        <f t="shared" si="216"/>
        <v>148867.91831800004</v>
      </c>
      <c r="DS203" s="1169">
        <f>SUM(DS3:DS200)</f>
        <v>172428.21621899997</v>
      </c>
      <c r="DT203" s="45"/>
      <c r="DU203" s="991">
        <f t="shared" ref="DU203:DV203" si="217">SUM(DU3:DU200)</f>
        <v>87939.61398600004</v>
      </c>
      <c r="DV203" s="991">
        <f t="shared" si="217"/>
        <v>84455.535289000036</v>
      </c>
      <c r="DW203" s="1153">
        <f t="shared" ref="DW203" si="218">DU203/BQ203*100</f>
        <v>25.378332744959774</v>
      </c>
      <c r="DX203" s="1153">
        <f t="shared" ref="DX203" si="219">DV203/BR203*100</f>
        <v>26.069818333643219</v>
      </c>
      <c r="DY203" s="4">
        <f>COUNTIF(DY3:DY200,"&gt;40")</f>
        <v>32</v>
      </c>
      <c r="EA203" s="72" t="e">
        <f>SUM(EA3:EA200)</f>
        <v>#REF!</v>
      </c>
      <c r="EB203" s="4">
        <f>COUNTIF(EB3:EB200,"&gt;40")</f>
        <v>44</v>
      </c>
      <c r="ED203" s="72" t="e">
        <f>SUM(ED3:ED200)</f>
        <v>#REF!</v>
      </c>
      <c r="EE203" s="4">
        <f>COUNTIF(EE3:EE200,"&gt;40")</f>
        <v>40</v>
      </c>
      <c r="EH203" s="354"/>
      <c r="EI203" s="289" t="s">
        <v>2556</v>
      </c>
      <c r="EJ203" s="290" t="s">
        <v>1716</v>
      </c>
      <c r="FH203" s="4"/>
      <c r="FI203" s="92" t="s">
        <v>1850</v>
      </c>
      <c r="GD203" s="33" t="s">
        <v>66</v>
      </c>
      <c r="GE203" s="442" t="s">
        <v>3428</v>
      </c>
      <c r="GF203" s="436" t="s">
        <v>3440</v>
      </c>
      <c r="GI203" s="436" t="s">
        <v>3440</v>
      </c>
      <c r="GN203" s="436" t="s">
        <v>3440</v>
      </c>
      <c r="GS203" s="444" t="s">
        <v>3446</v>
      </c>
      <c r="GZ203" s="529" t="s">
        <v>3932</v>
      </c>
      <c r="HF203" s="548" t="s">
        <v>3944</v>
      </c>
      <c r="IG203" s="4">
        <f>SUM(IG2:IG202)</f>
        <v>33</v>
      </c>
      <c r="IH203" s="4">
        <f>COUNTIF(IH3:IH200,"&gt;0")</f>
        <v>32</v>
      </c>
      <c r="II203" s="634" t="s">
        <v>4924</v>
      </c>
      <c r="IJ203" s="634" t="s">
        <v>4918</v>
      </c>
      <c r="IK203" s="4">
        <f>SUM(IK2:IK202)</f>
        <v>29</v>
      </c>
      <c r="IL203" s="418"/>
      <c r="IM203" s="2"/>
      <c r="IN203" s="752" t="s">
        <v>412</v>
      </c>
    </row>
    <row r="204" spans="1:256">
      <c r="C204" s="421" t="s">
        <v>406</v>
      </c>
      <c r="D204" s="99">
        <f t="shared" ref="D204:D209" si="220">COUNTIF($D$2:$D$200,C204)</f>
        <v>48</v>
      </c>
      <c r="E204" s="17">
        <f>COUNTIF($E$3:$E$200,F204)</f>
        <v>59</v>
      </c>
      <c r="F204" s="426" t="s">
        <v>17</v>
      </c>
      <c r="I204" s="14" t="s">
        <v>2488</v>
      </c>
      <c r="J204" s="202">
        <f>COUNTIF(J$3:J$200,1)</f>
        <v>39</v>
      </c>
      <c r="K204" s="14">
        <v>0</v>
      </c>
      <c r="L204" s="78">
        <f>COUNTIF(L$3:L$200,0)</f>
        <v>0</v>
      </c>
      <c r="N204" s="14"/>
      <c r="P204" s="14">
        <v>0</v>
      </c>
      <c r="Q204" s="336">
        <f>COUNTIF(Q$3:Q$200,0)</f>
        <v>19</v>
      </c>
      <c r="S204" s="14">
        <v>0</v>
      </c>
      <c r="T204" s="78">
        <f>COUNTIF(T$3:T$200,0)</f>
        <v>17</v>
      </c>
      <c r="U204" s="78">
        <f>COUNTIF(U$3:U$200,0)</f>
        <v>17</v>
      </c>
      <c r="W204" s="14"/>
      <c r="AE204" s="14">
        <v>0</v>
      </c>
      <c r="AF204" s="737">
        <f>COUNTIF(AF$3:AF$200,0)</f>
        <v>50</v>
      </c>
      <c r="AG204" s="738">
        <f>COUNTIF(AG$3:AG$200,0)</f>
        <v>17</v>
      </c>
      <c r="AH204" s="15" t="s">
        <v>5176</v>
      </c>
      <c r="AI204" s="587">
        <f>COUNTIF(AI$3:AI$200,0)</f>
        <v>104</v>
      </c>
      <c r="AJ204" s="587">
        <f>COUNTIF(AJ$3:AJ$200,0)</f>
        <v>111</v>
      </c>
      <c r="AK204" s="19"/>
      <c r="AL204" s="336">
        <f>COUNTIF(AL$3:AL$200,0)+COUNTIF(AL$3:AL$200,"-")</f>
        <v>50</v>
      </c>
      <c r="AM204" s="798" t="s">
        <v>5435</v>
      </c>
      <c r="AN204" s="738">
        <f>COUNTIF(AN$3:AN$200,"-")</f>
        <v>164</v>
      </c>
      <c r="AO204" s="799"/>
      <c r="AR204" s="14" t="s">
        <v>5158</v>
      </c>
      <c r="AS204" s="737">
        <f>COUNTIF(AS$3:AS$200,0)+COUNTIF(AS$3:AS$200,"-")</f>
        <v>7</v>
      </c>
      <c r="AT204" s="202">
        <f>COUNTIF(AT$3:AT$200,1)</f>
        <v>5</v>
      </c>
      <c r="AU204" s="15" t="s">
        <v>5160</v>
      </c>
      <c r="AX204" s="587">
        <f>COUNTIF(AX$3:AX$200,0)+COUNTIF(AX$3:AX$200,"-")</f>
        <v>156</v>
      </c>
      <c r="AZ204" s="14">
        <v>0</v>
      </c>
      <c r="BA204" s="587">
        <f>COUNTIF(BA$3:BA$200,0)</f>
        <v>24</v>
      </c>
      <c r="BB204" s="78">
        <f>COUNTIF(BB$3:BB$200,0)</f>
        <v>54</v>
      </c>
      <c r="BC204" s="15">
        <v>0</v>
      </c>
      <c r="BD204" s="14">
        <v>0</v>
      </c>
      <c r="BE204" s="78">
        <f>COUNTIF(BE$3:BE$200,0)</f>
        <v>137</v>
      </c>
      <c r="BF204" s="3">
        <v>0</v>
      </c>
      <c r="BG204" s="587">
        <f>COUNTIF(BG$3:BG$200,0)</f>
        <v>164</v>
      </c>
      <c r="BI204" s="738">
        <f>COUNTIF(BI$3:BI$200,0)</f>
        <v>83</v>
      </c>
      <c r="BJ204" s="587">
        <f>COUNTIF(BJ$3:BJ$200,0)</f>
        <v>78</v>
      </c>
      <c r="CS204" s="1079">
        <v>0</v>
      </c>
      <c r="CT204" s="1077">
        <f>COUNTIF(CT$3:CT$200,$CS204)</f>
        <v>21</v>
      </c>
      <c r="CU204" s="1076">
        <f t="shared" ref="CU204:CU210" si="221">COUNTIF(CU$3:CU$200,$CV204)</f>
        <v>5</v>
      </c>
      <c r="CV204" s="498">
        <v>16</v>
      </c>
      <c r="CW204" s="1115"/>
      <c r="CX204" s="1115"/>
      <c r="CY204" s="1105">
        <v>1</v>
      </c>
      <c r="CZ204" s="1058">
        <f>COUNTIF(CZ$3:CZ$200,1)</f>
        <v>153</v>
      </c>
      <c r="DA204" s="1108">
        <f>COUNTIF(DA$3:DA$200,2)</f>
        <v>2</v>
      </c>
      <c r="DB204" s="1056">
        <v>2</v>
      </c>
      <c r="DJ204" s="971"/>
      <c r="DK204" s="971"/>
      <c r="DL204" s="971"/>
      <c r="DM204" s="820"/>
      <c r="DN204" s="820"/>
      <c r="DO204" s="971"/>
      <c r="DP204" s="971"/>
      <c r="DQ204" s="820"/>
      <c r="DR204" s="820"/>
      <c r="DS204" s="971"/>
      <c r="DT204" s="820"/>
      <c r="DU204" s="820"/>
      <c r="DX204" s="971"/>
      <c r="EA204" s="72">
        <v>142</v>
      </c>
      <c r="ED204" s="72">
        <v>120</v>
      </c>
      <c r="EF204" s="434">
        <v>0</v>
      </c>
      <c r="EH204" s="354"/>
      <c r="EI204" s="99">
        <f>COUNTIF(EI$3:EI$200,0)</f>
        <v>103</v>
      </c>
      <c r="EJ204" s="202">
        <f>COUNTIF(EJ$3:EJ$200,1)</f>
        <v>27</v>
      </c>
      <c r="EK204" s="15">
        <v>1</v>
      </c>
      <c r="ER204" s="354">
        <f>SUM(ER3:ER200)</f>
        <v>138</v>
      </c>
      <c r="ES204" s="3" t="s">
        <v>3902</v>
      </c>
      <c r="FH204" s="14">
        <v>0</v>
      </c>
      <c r="FI204" s="78">
        <f>COUNTIF(FI$3:FI$200,0)+COUNTIF(FI$3:FI$200,"-")</f>
        <v>0</v>
      </c>
      <c r="FJ204" s="14"/>
      <c r="FK204" s="14"/>
      <c r="FL204" s="14"/>
      <c r="FM204" s="14"/>
      <c r="FN204" s="14"/>
      <c r="FO204" s="14" t="s">
        <v>1952</v>
      </c>
      <c r="FP204" s="99">
        <f>COUNTIF(FP$3:FP$200,1)</f>
        <v>43</v>
      </c>
      <c r="FR204" s="99">
        <f>COUNTIF(FR$3:FR$200,1)</f>
        <v>36</v>
      </c>
      <c r="FT204" s="99">
        <f>COUNTIF(FT$3:FT$200,1)</f>
        <v>14</v>
      </c>
      <c r="FV204" s="99">
        <f>COUNTIF(FV$3:FV$200,1)</f>
        <v>8</v>
      </c>
      <c r="FX204" s="99">
        <f>COUNTIF(FX$3:FX$200,1)</f>
        <v>12</v>
      </c>
      <c r="FZ204" s="99">
        <f>COUNTIF(FZ$3:FZ$200,1)</f>
        <v>9</v>
      </c>
      <c r="GB204" s="99">
        <f>COUNTIF(GB$3:GB$200,1)</f>
        <v>12</v>
      </c>
      <c r="GD204" s="670" t="s">
        <v>3424</v>
      </c>
      <c r="GE204" s="437">
        <f>COUNTIF(GE$3:GE$200,"civil")</f>
        <v>105</v>
      </c>
      <c r="GF204" s="438">
        <f>COUNTIF(GF$3:GF$200,GG204)</f>
        <v>88</v>
      </c>
      <c r="GG204" s="15" t="s">
        <v>10</v>
      </c>
      <c r="GH204" s="14" t="s">
        <v>10</v>
      </c>
      <c r="GI204" s="99">
        <f>COUNTIF(GI$3:GI$200,GH204)</f>
        <v>19</v>
      </c>
      <c r="GM204" s="14" t="s">
        <v>10</v>
      </c>
      <c r="GN204" s="99">
        <f>COUNTIF(GN$3:GN$200,GM204)</f>
        <v>63</v>
      </c>
      <c r="GS204" s="437">
        <f t="shared" ref="GS204:GS224" si="222">COUNTIF(GS$3:GS$200,GT204)</f>
        <v>41</v>
      </c>
      <c r="GT204" s="15">
        <v>10</v>
      </c>
      <c r="GZ204" s="530">
        <f>COUNTIF(GZ3:GZ200,"&gt;=0")</f>
        <v>193</v>
      </c>
      <c r="HF204" s="16">
        <v>166</v>
      </c>
      <c r="HK204" s="4">
        <f t="shared" ref="HK204:HR204" si="223">198-COUNTIF(HK3:HK200,"-")-COUNTIF(HK3:HK200," ")</f>
        <v>115</v>
      </c>
      <c r="HL204" s="4">
        <f t="shared" si="223"/>
        <v>115</v>
      </c>
      <c r="HM204" s="4">
        <f t="shared" si="223"/>
        <v>115</v>
      </c>
      <c r="HN204" s="4">
        <f t="shared" si="223"/>
        <v>87</v>
      </c>
      <c r="HO204" s="4">
        <f t="shared" si="223"/>
        <v>109</v>
      </c>
      <c r="HP204" s="4">
        <f t="shared" si="223"/>
        <v>89</v>
      </c>
      <c r="HQ204" s="4">
        <f t="shared" si="223"/>
        <v>89</v>
      </c>
      <c r="HR204" s="4">
        <f t="shared" si="223"/>
        <v>67</v>
      </c>
      <c r="HS204" s="4">
        <f t="shared" ref="HS204:IC204" si="224">198-COUNTIF(HS3:HS200,"-")</f>
        <v>99</v>
      </c>
      <c r="HT204" s="4">
        <f t="shared" si="224"/>
        <v>99</v>
      </c>
      <c r="HU204" s="4">
        <f t="shared" si="224"/>
        <v>120</v>
      </c>
      <c r="HV204" s="4">
        <f t="shared" si="224"/>
        <v>120</v>
      </c>
      <c r="HW204" s="4">
        <f t="shared" si="224"/>
        <v>99</v>
      </c>
      <c r="HX204" s="4">
        <f t="shared" si="224"/>
        <v>99</v>
      </c>
      <c r="HY204" s="4">
        <f t="shared" si="224"/>
        <v>99</v>
      </c>
      <c r="HZ204" s="4">
        <f t="shared" si="224"/>
        <v>99</v>
      </c>
      <c r="IA204" s="4">
        <f t="shared" si="224"/>
        <v>99</v>
      </c>
      <c r="IB204" s="4">
        <f t="shared" si="224"/>
        <v>99</v>
      </c>
      <c r="IC204" s="4">
        <f t="shared" si="224"/>
        <v>99</v>
      </c>
      <c r="IH204" s="14" t="s">
        <v>4921</v>
      </c>
      <c r="II204" s="698">
        <f>COUNTIF(II$3:II$200,"IDA")</f>
        <v>59</v>
      </c>
      <c r="IJ204" s="699">
        <f>COUNTIF(IJ$3:IJ$200,"HIPC")</f>
        <v>39</v>
      </c>
      <c r="IK204" s="354" t="s">
        <v>4918</v>
      </c>
      <c r="IL204" s="753">
        <f>IN204/$IN$208</f>
        <v>0.25252525252525254</v>
      </c>
      <c r="IM204" s="754" t="s">
        <v>320</v>
      </c>
      <c r="IN204" s="755">
        <f>COUNTIF(IN$3:IN$200,IM204)</f>
        <v>50</v>
      </c>
      <c r="IP204" s="698">
        <f>COUNTIF($IP$3:$IP$200,1)</f>
        <v>17</v>
      </c>
      <c r="IQ204" s="698">
        <f>COUNTIF($IQ$3:$IQ$200,0)</f>
        <v>176</v>
      </c>
      <c r="IR204" s="698">
        <f>COUNTIF($IR$3:$IR$200,0)</f>
        <v>185</v>
      </c>
    </row>
    <row r="205" spans="1:256">
      <c r="C205" s="14" t="s">
        <v>407</v>
      </c>
      <c r="D205" s="18">
        <f t="shared" si="220"/>
        <v>29</v>
      </c>
      <c r="E205" s="18">
        <f>COUNTIF($E$3:$E$200,F205)</f>
        <v>55</v>
      </c>
      <c r="F205" s="15" t="s">
        <v>12</v>
      </c>
      <c r="I205" s="14" t="s">
        <v>3405</v>
      </c>
      <c r="J205" s="43">
        <f>COUNTIF(J$3:J$200,2)</f>
        <v>60</v>
      </c>
      <c r="K205" s="14">
        <v>1</v>
      </c>
      <c r="L205" s="43">
        <f>COUNTIF(L$3:L$200,1)</f>
        <v>12</v>
      </c>
      <c r="N205" s="14"/>
      <c r="P205" s="14" t="s">
        <v>2488</v>
      </c>
      <c r="Q205" s="202">
        <f>COUNTIF(Q$3:Q$200,1)</f>
        <v>15</v>
      </c>
      <c r="S205" s="14">
        <v>1</v>
      </c>
      <c r="T205" s="43">
        <f>COUNTIF(T$3:T$200,1)</f>
        <v>162</v>
      </c>
      <c r="U205" s="43">
        <f>COUNTIF(U$3:U$200,1)</f>
        <v>29</v>
      </c>
      <c r="W205" s="14"/>
      <c r="AE205" s="14">
        <v>1</v>
      </c>
      <c r="AF205" s="43">
        <f>COUNTIF(AF$3:AF$200,1)</f>
        <v>28</v>
      </c>
      <c r="AG205" s="79">
        <f>COUNTIF(AG$3:AG$200,1)</f>
        <v>33</v>
      </c>
      <c r="AH205" s="15" t="s">
        <v>5172</v>
      </c>
      <c r="AI205" s="79">
        <f>COUNTIF(AI$3:AI$200,1)</f>
        <v>44</v>
      </c>
      <c r="AJ205" s="802">
        <f>COUNTIF(AJ$3:AJ$200,1)</f>
        <v>37</v>
      </c>
      <c r="AK205" s="698">
        <f>COUNTIF(AL$2:AL$200,11)</f>
        <v>0</v>
      </c>
      <c r="AL205" s="43">
        <f>COUNTIF(AL$3:AL$200,1)</f>
        <v>19</v>
      </c>
      <c r="AM205" s="799" t="s">
        <v>5436</v>
      </c>
      <c r="AN205" s="738">
        <f>COUNTIF(AN$3:AN$200,1)</f>
        <v>1</v>
      </c>
      <c r="AO205" s="799"/>
      <c r="AR205" s="14" t="s">
        <v>5409</v>
      </c>
      <c r="AS205" s="797">
        <f>COUNTIF(AS$3:AS$200,1)</f>
        <v>72</v>
      </c>
      <c r="AT205" s="43">
        <f>COUNTIF(AT$3:AT$200,2)</f>
        <v>107</v>
      </c>
      <c r="AU205" s="15" t="s">
        <v>5162</v>
      </c>
      <c r="AX205" s="79">
        <f>COUNTIF(AX$3:AX$200,1)</f>
        <v>42</v>
      </c>
      <c r="AZ205" s="14">
        <v>1</v>
      </c>
      <c r="BA205" s="79">
        <f>COUNTIF(BA$3:BA$200,1)</f>
        <v>174</v>
      </c>
      <c r="BB205" s="43">
        <f>COUNTIF(BB$3:BB$200,1)</f>
        <v>91</v>
      </c>
      <c r="BC205" s="15">
        <v>1</v>
      </c>
      <c r="BD205" s="14">
        <v>1</v>
      </c>
      <c r="BE205" s="43">
        <f>COUNTIF(BE$3:BE$200,1)</f>
        <v>31</v>
      </c>
      <c r="BF205" s="3">
        <v>1</v>
      </c>
      <c r="BG205" s="79">
        <f>COUNTIF(BG$3:BG$200,1)</f>
        <v>34</v>
      </c>
      <c r="BH205" s="109"/>
      <c r="BI205" s="797">
        <f>COUNTIF(BI$3:BI$200,1)</f>
        <v>15</v>
      </c>
      <c r="BJ205" s="79">
        <f>COUNTIF(BJ$3:BJ$200,1)</f>
        <v>120</v>
      </c>
      <c r="BY205" s="1000"/>
      <c r="BZ205" s="1000"/>
      <c r="CC205" s="1000"/>
      <c r="CD205" s="1000"/>
      <c r="CS205" s="1075" t="s">
        <v>6127</v>
      </c>
      <c r="CT205" s="1076">
        <f>COUNTIF(CT$3:CT$200,"&lt;15")-CT204</f>
        <v>26</v>
      </c>
      <c r="CU205" s="1077">
        <f t="shared" si="221"/>
        <v>6</v>
      </c>
      <c r="CV205" s="498">
        <v>17</v>
      </c>
      <c r="CW205" s="1115"/>
      <c r="CX205" s="1115"/>
      <c r="CY205" s="1105">
        <v>2</v>
      </c>
      <c r="CZ205" s="1108">
        <f>COUNTIF(CZ$3:CZ$200,2)</f>
        <v>5</v>
      </c>
      <c r="DA205" s="1059">
        <f>COUNTIF(DA$3:DA$200,3)</f>
        <v>9</v>
      </c>
      <c r="DB205" s="1061">
        <v>3</v>
      </c>
      <c r="DC205" s="1168" t="s">
        <v>6101</v>
      </c>
      <c r="DD205" s="1160">
        <f>SUM(DG203:DH203)</f>
        <v>1494266.9180099997</v>
      </c>
      <c r="DE205" s="1160"/>
      <c r="DF205" s="1160"/>
      <c r="DG205" s="1216"/>
      <c r="DH205" s="1216"/>
      <c r="DI205" s="1160"/>
      <c r="DJ205" s="1160"/>
      <c r="DK205" s="1160">
        <f>SUM(DM203:DN203)</f>
        <v>1017945.904013</v>
      </c>
      <c r="DL205" s="1160"/>
      <c r="DM205" s="1216"/>
      <c r="DN205" s="1216"/>
      <c r="DO205" s="1160">
        <f>SUM(DQ203:DR203)</f>
        <v>303925.86472200009</v>
      </c>
      <c r="DP205" s="1160"/>
      <c r="DQ205" s="1216"/>
      <c r="DR205" s="1216"/>
      <c r="DS205" s="1160">
        <f>SUM(DU203:DV203)</f>
        <v>172395.14927500009</v>
      </c>
      <c r="DW205" s="1160"/>
      <c r="DX205" s="1160"/>
      <c r="EF205" s="434">
        <v>1</v>
      </c>
      <c r="EH205" s="354"/>
      <c r="EI205" s="18">
        <f>COUNTIF(EI$3:EI$200,1)</f>
        <v>45</v>
      </c>
      <c r="EJ205" s="43">
        <f>COUNTIF(EJ$3:EJ$200,2)</f>
        <v>17</v>
      </c>
      <c r="EK205" s="15">
        <v>2</v>
      </c>
      <c r="ER205" s="354">
        <v>69</v>
      </c>
      <c r="ES205" s="3" t="s">
        <v>3901</v>
      </c>
      <c r="FH205" s="14">
        <v>1</v>
      </c>
      <c r="FI205" s="43">
        <f>COUNTIF(FI$3:FI$200,1)</f>
        <v>9</v>
      </c>
      <c r="FJ205" s="14"/>
      <c r="FK205" s="14"/>
      <c r="FL205" s="14"/>
      <c r="FM205" s="14"/>
      <c r="FN205" s="14"/>
      <c r="FO205" s="14" t="s">
        <v>1953</v>
      </c>
      <c r="FP205" s="19">
        <f>COUNTIF(FP$3:FP$200,2)</f>
        <v>16</v>
      </c>
      <c r="FR205" s="19">
        <f>COUNTIF(FR$3:FR$200,2)</f>
        <v>0</v>
      </c>
      <c r="FT205" s="19">
        <f>COUNTIF(FT$3:FT$200,2)</f>
        <v>0</v>
      </c>
      <c r="FV205" s="19">
        <f>COUNTIF(FV$3:FV$200,2)</f>
        <v>0</v>
      </c>
      <c r="FX205" s="19">
        <f>COUNTIF(FX$3:FX$200,2)</f>
        <v>0</v>
      </c>
      <c r="FZ205" s="19">
        <f>COUNTIF(FZ$3:FZ$200,2)</f>
        <v>0</v>
      </c>
      <c r="GB205" s="19">
        <f>COUNTIF(GB$3:GB$200,2)</f>
        <v>0</v>
      </c>
      <c r="GD205" s="670" t="s">
        <v>3425</v>
      </c>
      <c r="GE205" s="18">
        <f>COUNTIF(GE$3:GE$200,"common")</f>
        <v>36</v>
      </c>
      <c r="GF205" s="439">
        <f>COUNTIF(GF$3:GF$200,GG205)</f>
        <v>61</v>
      </c>
      <c r="GG205" s="15" t="s">
        <v>590</v>
      </c>
      <c r="GH205" s="14" t="s">
        <v>590</v>
      </c>
      <c r="GI205" s="18">
        <f>COUNTIF(GI$3:GI$200,GH205)</f>
        <v>31</v>
      </c>
      <c r="GM205" s="14" t="s">
        <v>590</v>
      </c>
      <c r="GN205" s="18">
        <f>COUNTIF(GN$3:GN$200,GM205)</f>
        <v>69</v>
      </c>
      <c r="GS205" s="18">
        <f t="shared" si="222"/>
        <v>24</v>
      </c>
      <c r="GT205" s="15">
        <v>9</v>
      </c>
      <c r="IH205" s="14" t="s">
        <v>4922</v>
      </c>
      <c r="II205" s="18">
        <f>COUNTIF(II$3:II$200,"IBRD")</f>
        <v>67</v>
      </c>
      <c r="IJ205" s="699">
        <f>COUNTIF(IJ$3:IJ$200,"EMU")</f>
        <v>18</v>
      </c>
      <c r="IK205" s="354" t="s">
        <v>4925</v>
      </c>
      <c r="IL205" s="753">
        <f>IN205/$IN$208</f>
        <v>0.48484848484848486</v>
      </c>
      <c r="IM205" s="754" t="s">
        <v>322</v>
      </c>
      <c r="IN205" s="756">
        <f>COUNTIF(IN$3:IN$200,IM205)</f>
        <v>96</v>
      </c>
      <c r="IP205" s="741">
        <f>COUNTIF($IP$3:$IP$200,2)</f>
        <v>7</v>
      </c>
      <c r="IQ205" s="741">
        <f>COUNTIF($IQ$3:$IQ$200,1)</f>
        <v>7</v>
      </c>
      <c r="IR205" s="19">
        <f>COUNTIF($IR$3:$IR$200,1)</f>
        <v>13</v>
      </c>
    </row>
    <row r="206" spans="1:256" ht="15" customHeight="1">
      <c r="C206" s="38" t="s">
        <v>408</v>
      </c>
      <c r="D206" s="18">
        <f t="shared" si="220"/>
        <v>30</v>
      </c>
      <c r="E206" s="18">
        <f>COUNTIF($E$3:$E$200,F206)</f>
        <v>50</v>
      </c>
      <c r="F206" s="15" t="s">
        <v>20</v>
      </c>
      <c r="I206" s="14" t="s">
        <v>2489</v>
      </c>
      <c r="J206" s="43">
        <f>COUNTIF(J$3:J$200,3)</f>
        <v>19</v>
      </c>
      <c r="K206" s="14">
        <v>2</v>
      </c>
      <c r="L206" s="79">
        <f>COUNTIF(L$3:L$200,2)</f>
        <v>186</v>
      </c>
      <c r="N206" s="14"/>
      <c r="P206" s="14" t="s">
        <v>3405</v>
      </c>
      <c r="Q206" s="43">
        <f>COUNTIF(Q$3:Q$200,2)</f>
        <v>109</v>
      </c>
      <c r="S206" s="14">
        <v>2</v>
      </c>
      <c r="T206" s="79">
        <f>COUNTIF(T$3:T$200,2)</f>
        <v>19</v>
      </c>
      <c r="U206" s="79">
        <f>COUNTIF(U$3:U$200,2)</f>
        <v>152</v>
      </c>
      <c r="W206" s="14"/>
      <c r="AE206" s="14">
        <v>2</v>
      </c>
      <c r="AF206" s="43">
        <f>COUNTIF(AF$3:AF$200,2)</f>
        <v>100</v>
      </c>
      <c r="AG206" s="43">
        <f>COUNTIF(AG$3:AG$200,2)</f>
        <v>14</v>
      </c>
      <c r="AH206" s="15" t="s">
        <v>5173</v>
      </c>
      <c r="AI206" s="405">
        <f>SUM(AI204:AI205)</f>
        <v>148</v>
      </c>
      <c r="AJ206" s="405">
        <f>SUM(AJ204:AJ205)</f>
        <v>148</v>
      </c>
      <c r="AK206" s="741">
        <f>COUNTIF(AL$2:AL$200,12)</f>
        <v>2</v>
      </c>
      <c r="AL206" s="43">
        <f>COUNTIF(AL$3:AL$200,2)</f>
        <v>14</v>
      </c>
      <c r="AM206" s="799" t="s">
        <v>5437</v>
      </c>
      <c r="AN206" s="43">
        <f>COUNTIF(AN$3:AN$200,2)</f>
        <v>1</v>
      </c>
      <c r="AO206" s="799"/>
      <c r="AR206" s="14" t="s">
        <v>4895</v>
      </c>
      <c r="AS206" s="79">
        <f>COUNTIF(AS$3:AS$200,2)</f>
        <v>119</v>
      </c>
      <c r="AT206" s="43">
        <f>COUNTIF(AT$3:AT$200,3)</f>
        <v>66</v>
      </c>
      <c r="AU206" s="734" t="s">
        <v>5163</v>
      </c>
      <c r="AX206" s="405">
        <f>SUM(AX204:AX205)</f>
        <v>198</v>
      </c>
      <c r="BA206" s="16">
        <f>SUM(BA204:BA205)</f>
        <v>198</v>
      </c>
      <c r="BB206" s="79">
        <f>COUNTIF(BB$3:BB$200,2)</f>
        <v>53</v>
      </c>
      <c r="BC206" s="15">
        <v>2</v>
      </c>
      <c r="BD206" s="14">
        <v>2</v>
      </c>
      <c r="BE206" s="79">
        <f>COUNTIF(BE$3:BE$200,2)</f>
        <v>30</v>
      </c>
      <c r="BG206" s="16">
        <f>SUM(BG204:BG205)</f>
        <v>198</v>
      </c>
      <c r="BH206" s="109"/>
      <c r="BI206" s="797">
        <f>COUNTIF(BI$3:BI$200,2)</f>
        <v>19</v>
      </c>
      <c r="BJ206" s="16">
        <f>SUM(BJ204:BJ205)</f>
        <v>198</v>
      </c>
      <c r="CS206" s="1075">
        <v>15</v>
      </c>
      <c r="CT206" s="1077">
        <f>COUNTIF(CT$3:CT$200,$CS206)+COUNTIF(CT$3:CT$200,15.5)</f>
        <v>20</v>
      </c>
      <c r="CU206" s="1103">
        <f t="shared" si="221"/>
        <v>173</v>
      </c>
      <c r="CV206" s="498">
        <v>18</v>
      </c>
      <c r="CW206" s="1122"/>
      <c r="CX206" s="1122"/>
      <c r="CY206" s="1105">
        <v>3</v>
      </c>
      <c r="CZ206" s="1059">
        <f>COUNTIF(CZ$3:CZ$200,3)</f>
        <v>0</v>
      </c>
      <c r="DA206" s="1108">
        <f>COUNTIF(DA$3:DA$200,4)</f>
        <v>132</v>
      </c>
      <c r="DB206" s="1061">
        <v>4</v>
      </c>
      <c r="DC206" s="1165">
        <f>COUNTIF(DC$3:DC$200,"A")</f>
        <v>58</v>
      </c>
      <c r="DD206" s="354" t="s">
        <v>320</v>
      </c>
      <c r="DL206" s="356"/>
      <c r="DP206" s="356"/>
      <c r="DV206" s="971"/>
      <c r="EF206" s="434">
        <v>2</v>
      </c>
      <c r="EH206" s="354"/>
      <c r="EI206" s="18">
        <f>COUNTIF(EI$3:EI$200,2)</f>
        <v>14</v>
      </c>
      <c r="EJ206" s="79">
        <f>COUNTIF(EJ$3:EJ$200,3)</f>
        <v>31</v>
      </c>
      <c r="EK206" s="15">
        <v>3</v>
      </c>
      <c r="FH206" s="14">
        <v>2</v>
      </c>
      <c r="FI206" s="43">
        <f>COUNTIF(FI$3:FI$200,2)</f>
        <v>7</v>
      </c>
      <c r="FJ206" s="14"/>
      <c r="FK206" s="14"/>
      <c r="FL206" s="14"/>
      <c r="FM206" s="14"/>
      <c r="FN206" s="14"/>
      <c r="FP206" s="16">
        <f>SUM(FP204:FP205)</f>
        <v>59</v>
      </c>
      <c r="FQ206" s="47"/>
      <c r="FR206" s="16">
        <f>SUM(FR204:FR205)</f>
        <v>36</v>
      </c>
      <c r="FS206" s="47"/>
      <c r="FT206" s="16">
        <f>SUM(FT204:FT205)</f>
        <v>14</v>
      </c>
      <c r="FU206" s="47"/>
      <c r="FV206" s="16">
        <f>SUM(FV204:FV205)</f>
        <v>8</v>
      </c>
      <c r="FW206" s="47"/>
      <c r="FX206" s="16">
        <f>SUM(FX204:FX205)</f>
        <v>12</v>
      </c>
      <c r="FY206" s="47"/>
      <c r="FZ206" s="16">
        <f>SUM(FZ204:FZ205)</f>
        <v>9</v>
      </c>
      <c r="GA206" s="47"/>
      <c r="GB206" s="16">
        <f>SUM(GB204:GB205)</f>
        <v>12</v>
      </c>
      <c r="GD206" s="14" t="s">
        <v>4845</v>
      </c>
      <c r="GE206" s="18">
        <f>COUNTIF(GE$3:GE$200,"civil + common")</f>
        <v>15</v>
      </c>
      <c r="GF206" s="440">
        <f>COUNTIF(GF$3:GF$200,GG206)</f>
        <v>49</v>
      </c>
      <c r="GG206" s="15" t="s">
        <v>580</v>
      </c>
      <c r="GH206" s="14" t="s">
        <v>580</v>
      </c>
      <c r="GI206" s="19">
        <f>COUNTIF(GI$3:GI$200,GH206)</f>
        <v>15</v>
      </c>
      <c r="GM206" s="14" t="s">
        <v>580</v>
      </c>
      <c r="GN206" s="19">
        <f>COUNTIF(GN$3:GN$200,GM206)</f>
        <v>66</v>
      </c>
      <c r="GS206" s="18">
        <f t="shared" si="222"/>
        <v>25</v>
      </c>
      <c r="GT206" s="15">
        <v>8</v>
      </c>
      <c r="IH206" s="38" t="s">
        <v>4923</v>
      </c>
      <c r="II206" s="19">
        <f>COUNTIF(II$3:II$200,"Blend")</f>
        <v>18</v>
      </c>
      <c r="IJ206" s="4"/>
      <c r="IL206" s="753">
        <f>IN206/$IN$208</f>
        <v>0.21212121212121213</v>
      </c>
      <c r="IM206" s="754" t="s">
        <v>323</v>
      </c>
      <c r="IN206" s="756">
        <f>COUNTIF(IN$3:IN$200,IM206)</f>
        <v>42</v>
      </c>
      <c r="IP206" s="19">
        <f>COUNTIF($IP$3:$IP$200,3)</f>
        <v>45</v>
      </c>
      <c r="IQ206" s="19">
        <f>COUNTIF($IQ$3:$IQ$200,2)</f>
        <v>15</v>
      </c>
      <c r="IR206" s="47">
        <f>SUM(IR204:IR205)</f>
        <v>198</v>
      </c>
    </row>
    <row r="207" spans="1:256">
      <c r="C207" s="38" t="s">
        <v>409</v>
      </c>
      <c r="D207" s="18">
        <f t="shared" si="220"/>
        <v>32</v>
      </c>
      <c r="E207" s="19">
        <f>COUNTIF($E$3:$E$200,F207)</f>
        <v>34</v>
      </c>
      <c r="F207" s="416" t="s">
        <v>9</v>
      </c>
      <c r="I207" s="14" t="s">
        <v>5150</v>
      </c>
      <c r="J207" s="43">
        <f>COUNTIF(J$3:J$200,4)</f>
        <v>7</v>
      </c>
      <c r="L207" s="16">
        <f>SUM(L204:L206)</f>
        <v>198</v>
      </c>
      <c r="N207" s="14"/>
      <c r="P207" s="14" t="s">
        <v>2489</v>
      </c>
      <c r="Q207" s="43">
        <f>COUNTIF(Q$3:Q$200,3)</f>
        <v>0</v>
      </c>
      <c r="S207" s="14"/>
      <c r="T207" s="16">
        <f>SUM(T204:T206)</f>
        <v>198</v>
      </c>
      <c r="U207" s="16">
        <f>SUM(U204:U206)</f>
        <v>198</v>
      </c>
      <c r="W207" s="14"/>
      <c r="AD207" s="14"/>
      <c r="AE207" s="14">
        <v>3</v>
      </c>
      <c r="AF207" s="79">
        <f>COUNTIF(AF$3:AF$200,3)</f>
        <v>20</v>
      </c>
      <c r="AG207" s="43">
        <f>COUNTIF(AG$3:AG$200,"2B")</f>
        <v>22</v>
      </c>
      <c r="AH207" s="15" t="s">
        <v>4272</v>
      </c>
      <c r="AI207" s="45"/>
      <c r="AJ207" s="45"/>
      <c r="AK207" s="741">
        <f>COUNTIF(AL$2:AL$200,13)</f>
        <v>1</v>
      </c>
      <c r="AL207" s="43">
        <f>COUNTIF(AL$3:AL$200,3)</f>
        <v>2</v>
      </c>
      <c r="AM207" s="800" t="s">
        <v>5438</v>
      </c>
      <c r="AN207" s="43">
        <f>COUNTIF(AN$3:AN$200,3)+COUNTIF(AN$3:AN$200,"3, 4")</f>
        <v>22</v>
      </c>
      <c r="AO207" s="800"/>
      <c r="AS207" s="16">
        <f>SUM(AS204:AS206)</f>
        <v>198</v>
      </c>
      <c r="AT207" s="43">
        <f>COUNTIF(AT$3:AT$200,4)</f>
        <v>0</v>
      </c>
      <c r="AU207" s="15" t="s">
        <v>5164</v>
      </c>
      <c r="AX207" s="45"/>
      <c r="AY207" s="14"/>
      <c r="BB207" s="16">
        <f>SUM(BB204:BB206)</f>
        <v>198</v>
      </c>
      <c r="BC207" s="14"/>
      <c r="BE207" s="16">
        <f>SUM(BE204:BE206)</f>
        <v>198</v>
      </c>
      <c r="BF207" s="14"/>
      <c r="BH207" s="16"/>
      <c r="BI207" s="79">
        <f>COUNTIF(BI$3:BI$200,3)</f>
        <v>81</v>
      </c>
      <c r="CN207" s="498"/>
      <c r="CO207" s="498"/>
      <c r="CP207" s="1126"/>
      <c r="CQ207" s="1126"/>
      <c r="CS207" s="1075">
        <v>16</v>
      </c>
      <c r="CT207" s="1103">
        <f t="shared" ref="CT207:CT208" si="225">COUNTIF(CT$3:CT$200,$CS207)</f>
        <v>48</v>
      </c>
      <c r="CU207" s="1077">
        <f t="shared" si="221"/>
        <v>1</v>
      </c>
      <c r="CV207" s="498">
        <v>19</v>
      </c>
      <c r="CW207" s="1115"/>
      <c r="CX207" s="1115"/>
      <c r="CY207" s="1105">
        <v>10</v>
      </c>
      <c r="CZ207" s="1058">
        <f>COUNTIF(CZ$3:CZ$200,10)</f>
        <v>17</v>
      </c>
      <c r="DA207" s="1108">
        <f>COUNTIF(DA$3:DA$200,5)</f>
        <v>35</v>
      </c>
      <c r="DB207" s="1061">
        <v>5</v>
      </c>
      <c r="DC207" s="1166">
        <f>COUNTIF(DC$3:DC$200,"B")</f>
        <v>110</v>
      </c>
      <c r="DD207" s="354" t="s">
        <v>322</v>
      </c>
      <c r="DL207" s="356"/>
      <c r="DP207" s="356"/>
      <c r="DV207" s="971"/>
      <c r="EF207" s="434">
        <v>3</v>
      </c>
      <c r="EH207" s="354"/>
      <c r="EI207" s="19">
        <f>COUNTIF(EI$3:EI$200,3)</f>
        <v>36</v>
      </c>
      <c r="EJ207" s="16">
        <f>SUM(EJ204:EJ206)</f>
        <v>75</v>
      </c>
      <c r="FH207" s="14">
        <v>3</v>
      </c>
      <c r="FI207" s="43">
        <f>COUNTIF(FI$3:FI$200,3)</f>
        <v>4</v>
      </c>
      <c r="FJ207" s="14"/>
      <c r="FK207" s="14"/>
      <c r="FL207" s="14"/>
      <c r="FM207" s="14"/>
      <c r="FN207" s="14"/>
      <c r="GD207" s="671" t="s">
        <v>3427</v>
      </c>
      <c r="GE207" s="18">
        <f>COUNTIF(GE$3:GE$200,"customary")</f>
        <v>1</v>
      </c>
      <c r="GF207" s="16">
        <f>SUM(GF204:GF206)</f>
        <v>198</v>
      </c>
      <c r="GI207" s="16">
        <f>SUM(GI204:GI206)</f>
        <v>65</v>
      </c>
      <c r="GN207" s="16">
        <f>SUM(GN204:GN206)</f>
        <v>198</v>
      </c>
      <c r="GP207" s="443"/>
      <c r="GQ207" s="443"/>
      <c r="GR207" s="443"/>
      <c r="GS207" s="18">
        <f t="shared" si="222"/>
        <v>16</v>
      </c>
      <c r="GT207" s="416">
        <v>7</v>
      </c>
      <c r="II207" s="16">
        <f>SUM(II204:II206)</f>
        <v>144</v>
      </c>
      <c r="IJ207" s="4"/>
      <c r="IL207" s="753">
        <f>IN207/$IN$208</f>
        <v>5.0505050505050504E-2</v>
      </c>
      <c r="IM207" s="754" t="s">
        <v>326</v>
      </c>
      <c r="IN207" s="757">
        <f>COUNTIF(IN$3:IN$200,IM207)</f>
        <v>10</v>
      </c>
      <c r="IP207" s="741">
        <f>COUNTIF($IP$3:$IP$200,4)</f>
        <v>84</v>
      </c>
      <c r="IQ207" s="16">
        <f>SUM(IQ204:IQ206)</f>
        <v>198</v>
      </c>
    </row>
    <row r="208" spans="1:256">
      <c r="C208" s="38" t="s">
        <v>410</v>
      </c>
      <c r="D208" s="18">
        <f t="shared" si="220"/>
        <v>21</v>
      </c>
      <c r="E208" s="16">
        <f>SUM(E204:E207)</f>
        <v>198</v>
      </c>
      <c r="I208" s="14" t="s">
        <v>5151</v>
      </c>
      <c r="J208" s="43">
        <f>COUNTIF(J$3:J$200,5)</f>
        <v>33</v>
      </c>
      <c r="N208" s="14"/>
      <c r="P208" s="14" t="s">
        <v>5150</v>
      </c>
      <c r="Q208" s="43">
        <f>COUNTIF(Q$3:Q$200,4)</f>
        <v>12</v>
      </c>
      <c r="S208" s="14"/>
      <c r="W208" s="14"/>
      <c r="AD208" s="4"/>
      <c r="AF208" s="16">
        <f>SUM(AF204:AF207)</f>
        <v>198</v>
      </c>
      <c r="AG208" s="43">
        <f>COUNTIF(AG$3:AG$200,3)</f>
        <v>4</v>
      </c>
      <c r="AH208" s="15" t="s">
        <v>5174</v>
      </c>
      <c r="AI208" s="45"/>
      <c r="AJ208" s="45"/>
      <c r="AK208" s="741">
        <f>COUNTIF(AL$2:AL$200,14)</f>
        <v>1</v>
      </c>
      <c r="AL208" s="43">
        <f>COUNTIF(AL$3:AL$200,4)</f>
        <v>9</v>
      </c>
      <c r="AM208" s="798" t="s">
        <v>5439</v>
      </c>
      <c r="AN208" s="43">
        <f>COUNTIF(AN$3:AN$200,4)</f>
        <v>6</v>
      </c>
      <c r="AO208" s="798"/>
      <c r="AT208" s="43">
        <f>COUNTIF(AT$3:AT$200,5)</f>
        <v>13</v>
      </c>
      <c r="AU208" s="15" t="s">
        <v>5165</v>
      </c>
      <c r="AW208" s="45"/>
      <c r="AX208" s="45"/>
      <c r="AY208" s="4"/>
      <c r="BC208" s="4"/>
      <c r="BF208" s="4"/>
      <c r="BI208" s="16">
        <f>SUM(BI204:BI207)</f>
        <v>198</v>
      </c>
      <c r="BM208" s="57"/>
      <c r="BN208" s="57"/>
      <c r="BO208" s="57"/>
      <c r="BP208" s="57"/>
      <c r="BQ208" s="57"/>
      <c r="BR208" s="57"/>
      <c r="CN208" s="498"/>
      <c r="CO208" s="498"/>
      <c r="CP208" s="1060"/>
      <c r="CS208" s="1075">
        <v>17</v>
      </c>
      <c r="CT208" s="1107">
        <f t="shared" si="225"/>
        <v>2</v>
      </c>
      <c r="CU208" s="1077">
        <f t="shared" si="221"/>
        <v>3</v>
      </c>
      <c r="CV208" s="498">
        <v>20</v>
      </c>
      <c r="CW208" s="1115"/>
      <c r="CX208" s="1115"/>
      <c r="CY208" s="1105">
        <v>20</v>
      </c>
      <c r="CZ208" s="1059">
        <f>COUNTIF(CZ$3:CZ$200,20)</f>
        <v>23</v>
      </c>
      <c r="DA208" s="1059">
        <f>COUNTIF(DA$3:DA$200,6)</f>
        <v>20</v>
      </c>
      <c r="DB208" s="1061">
        <v>6</v>
      </c>
      <c r="DC208" s="1167">
        <f>COUNTIF(DC$3:DC$200,"C")</f>
        <v>30</v>
      </c>
      <c r="DD208" s="354" t="s">
        <v>323</v>
      </c>
      <c r="DL208" s="356"/>
      <c r="DP208" s="356"/>
      <c r="EH208" s="354"/>
      <c r="EI208" s="16">
        <f>SUM(EI204:EI207)</f>
        <v>198</v>
      </c>
      <c r="FH208" s="14">
        <v>4</v>
      </c>
      <c r="FI208" s="79">
        <f>COUNTIF(FI$3:FI$200,4)</f>
        <v>6</v>
      </c>
      <c r="FJ208" s="14"/>
      <c r="FK208" s="14"/>
      <c r="FL208" s="14"/>
      <c r="FM208" s="14"/>
      <c r="FN208" s="14"/>
      <c r="GD208" s="44" t="s">
        <v>4846</v>
      </c>
      <c r="GE208" s="18">
        <f>COUNTIF(GE$3:GE$200,"civil + customary")</f>
        <v>1</v>
      </c>
      <c r="GP208" s="443"/>
      <c r="GQ208" s="443"/>
      <c r="GR208" s="443"/>
      <c r="GS208" s="18">
        <f t="shared" si="222"/>
        <v>9</v>
      </c>
      <c r="GT208" s="416">
        <v>6</v>
      </c>
      <c r="IL208" s="499"/>
      <c r="IM208" s="2"/>
      <c r="IN208" s="758">
        <f>SUM(IN204:IN207)</f>
        <v>198</v>
      </c>
      <c r="IP208" s="741">
        <f>COUNTIF($IP$3:$IP$200,5)</f>
        <v>27</v>
      </c>
    </row>
    <row r="209" spans="3:278">
      <c r="C209" s="38" t="s">
        <v>411</v>
      </c>
      <c r="D209" s="19">
        <f t="shared" si="220"/>
        <v>8</v>
      </c>
      <c r="I209" s="14" t="s">
        <v>5152</v>
      </c>
      <c r="J209" s="79">
        <f>COUNTIF(J$3:J$200,6)</f>
        <v>40</v>
      </c>
      <c r="P209" s="14" t="s">
        <v>5151</v>
      </c>
      <c r="Q209" s="43">
        <f>COUNTIF(Q$3:Q$200,5)</f>
        <v>13</v>
      </c>
      <c r="AG209" s="43">
        <f>COUNTIF(AG$3:AG$200,"3B")</f>
        <v>2</v>
      </c>
      <c r="AH209" s="15" t="s">
        <v>4273</v>
      </c>
      <c r="AI209" s="45"/>
      <c r="AJ209" s="45"/>
      <c r="AK209" s="741">
        <f>COUNTIF(AL$2:AL$200,15)</f>
        <v>2</v>
      </c>
      <c r="AL209" s="43">
        <f>COUNTIF(AL$3:AL$200,5)</f>
        <v>9</v>
      </c>
      <c r="AM209" s="798" t="s">
        <v>5440</v>
      </c>
      <c r="AN209" s="43">
        <f>COUNTIF(AN$3:AN$200,5)</f>
        <v>1</v>
      </c>
      <c r="AO209" s="798"/>
      <c r="AT209" s="79">
        <f>COUNTIF(AT$3:AT$200,6)</f>
        <v>7</v>
      </c>
      <c r="AU209" s="15" t="s">
        <v>5166</v>
      </c>
      <c r="AW209" s="45"/>
      <c r="AX209" s="45"/>
      <c r="BJ209" s="14" t="s">
        <v>320</v>
      </c>
      <c r="BK209" s="1148">
        <f>SUMIF($DC$3:$DC$200,"A",BK3:BK200)</f>
        <v>3216447.97</v>
      </c>
      <c r="BM209" s="1147">
        <f>SUMIF($DC$3:$DC$200,"A",BM3:BM200)</f>
        <v>1636932.0639999998</v>
      </c>
      <c r="BN209" s="1147">
        <f>SUMIF($DC$3:$DC$200,"A",BN3:BN200)</f>
        <v>1579515.906</v>
      </c>
      <c r="BO209" s="1148">
        <f>SUMIF($DC$3:$DC$200,"A",BO3:BO200)</f>
        <v>385262.89499999996</v>
      </c>
      <c r="BP209" s="1147"/>
      <c r="BQ209" s="1147">
        <f>SUMIF($DC$3:$DC$200,"A",BQ3:BQ200)</f>
        <v>198309.94599999991</v>
      </c>
      <c r="BR209" s="1147">
        <f>SUMIF($DC$3:$DC$200,"A",BR3:BR200)</f>
        <v>186952.94899999994</v>
      </c>
      <c r="BS209" s="1148">
        <f>SUMIF($DC$3:$DC$200,"A",BS3:BS200)</f>
        <v>362005.87400000007</v>
      </c>
      <c r="BT209" s="1147"/>
      <c r="BU209" s="1147">
        <f>SUMIF($DC$3:$DC$200,"A",BU3:BU200)</f>
        <v>186566.04600000003</v>
      </c>
      <c r="BV209" s="1147">
        <f>SUMIF($DC$3:$DC$200,"A",BV3:BV200)</f>
        <v>175439.82799999998</v>
      </c>
      <c r="BW209" s="1148">
        <f>SUMIF($DC$3:$DC$200,"A",BW3:BW200)</f>
        <v>340478.22800000018</v>
      </c>
      <c r="BX209" s="1147"/>
      <c r="BY209" s="1147">
        <f>SUMIF($DC$3:$DC$200,"A",BY3:BY200)</f>
        <v>175755.85100000005</v>
      </c>
      <c r="BZ209" s="1147">
        <f>SUMIF($DC$3:$DC$200,"A",BZ3:BZ200)</f>
        <v>164722.37700000004</v>
      </c>
      <c r="CA209" s="1148">
        <f>SUMIF($DC$3:$DC$200,"A",CA3:CA200)</f>
        <v>2128700.9729999998</v>
      </c>
      <c r="CB209" s="1147"/>
      <c r="CC209" s="1147">
        <f>SUMIF($DC$3:$DC$200,"A",CC3:CC200)</f>
        <v>1076300.2210000004</v>
      </c>
      <c r="CD209" s="1147">
        <f>SUMIF($DC$3:$DC$200,"A",CD3:CD200)</f>
        <v>1052400.7519999999</v>
      </c>
      <c r="CN209" s="498"/>
      <c r="CO209" s="498"/>
      <c r="CQ209" s="1060"/>
      <c r="CR209" s="1062"/>
      <c r="CS209" s="1075">
        <v>18</v>
      </c>
      <c r="CT209" s="1103">
        <f>COUNTIF(CT$3:CT$200,$CS209)</f>
        <v>51</v>
      </c>
      <c r="CU209" s="1077">
        <f t="shared" si="221"/>
        <v>9</v>
      </c>
      <c r="CV209" s="498">
        <v>21</v>
      </c>
      <c r="CW209" s="1115"/>
      <c r="CX209" s="1115"/>
      <c r="CY209" s="1111"/>
      <c r="CZ209" s="1062">
        <f>SUM(CZ204:CZ208)</f>
        <v>198</v>
      </c>
      <c r="DA209" s="1062">
        <f>SUM(DA204:DA208)</f>
        <v>198</v>
      </c>
      <c r="DB209" s="928"/>
      <c r="DC209" s="1062">
        <f>SUM(DC206:DC208)</f>
        <v>198</v>
      </c>
      <c r="EH209" s="354"/>
      <c r="FH209" s="4"/>
      <c r="FI209" s="16">
        <f>SUM(FI204:FI208)</f>
        <v>26</v>
      </c>
      <c r="GD209" s="44" t="s">
        <v>4847</v>
      </c>
      <c r="GE209" s="19">
        <f>COUNTIF(GE$3:GE$200,"common + customary")</f>
        <v>8</v>
      </c>
      <c r="GP209" s="443"/>
      <c r="GQ209" s="443"/>
      <c r="GR209" s="443"/>
      <c r="GS209" s="18">
        <f t="shared" si="222"/>
        <v>8</v>
      </c>
      <c r="GT209" s="416">
        <v>5</v>
      </c>
      <c r="IL209" s="418"/>
      <c r="IM209" s="759">
        <f>AVERAGE(IM3:IM200)</f>
        <v>60.080808080808083</v>
      </c>
      <c r="IN209" s="760" t="s">
        <v>5198</v>
      </c>
      <c r="IP209" s="19">
        <f>COUNTIF($IP$3:$IP$200,6)</f>
        <v>18</v>
      </c>
    </row>
    <row r="210" spans="3:278">
      <c r="D210" s="16">
        <f>SUM(D204:D209)</f>
        <v>168</v>
      </c>
      <c r="J210" s="16">
        <f>SUM(J204:J209)</f>
        <v>198</v>
      </c>
      <c r="P210" s="14" t="s">
        <v>5152</v>
      </c>
      <c r="Q210" s="79">
        <f>COUNTIF(Q$3:Q$200,6)</f>
        <v>30</v>
      </c>
      <c r="AG210" s="43">
        <f>COUNTIF(AG$3:AG$200,4)</f>
        <v>19</v>
      </c>
      <c r="AH210" s="15" t="s">
        <v>5175</v>
      </c>
      <c r="AI210" s="45"/>
      <c r="AJ210" s="45"/>
      <c r="AK210" s="741">
        <f>COUNTIF(AL$2:AL$200,16)</f>
        <v>0</v>
      </c>
      <c r="AL210" s="43">
        <f>COUNTIF(AL$3:AL$200,6)</f>
        <v>3</v>
      </c>
      <c r="AM210" s="798" t="s">
        <v>5441</v>
      </c>
      <c r="AN210" s="43">
        <f>COUNTIF(AN$3:AN$200,6)</f>
        <v>3</v>
      </c>
      <c r="AO210" s="798"/>
      <c r="AS210" s="45"/>
      <c r="AT210" s="405">
        <f>SUM(AT204:AT209)</f>
        <v>198</v>
      </c>
      <c r="AU210" s="45"/>
      <c r="AW210" s="45"/>
      <c r="AX210" s="45"/>
      <c r="AZ210" s="45"/>
      <c r="BA210" s="45"/>
      <c r="BJ210" s="14" t="s">
        <v>322</v>
      </c>
      <c r="BK210" s="1149">
        <f>SUMIF($DC$3:$DC$200,"B",BK3:BK200)</f>
        <v>3291007.6720000012</v>
      </c>
      <c r="BM210" s="1147">
        <f>SUMIF($DC$3:$DC$200,"B",BM3:BM200)</f>
        <v>1655291.0149104476</v>
      </c>
      <c r="BN210" s="1147">
        <f>SUMIF($DC$3:$DC$200,"B",BN3:BN200)</f>
        <v>1635716.6570895521</v>
      </c>
      <c r="BO210" s="1149">
        <f>SUMIF($DC$3:$DC$200,"B",BO3:BO200)</f>
        <v>237937.61500000005</v>
      </c>
      <c r="BP210" s="1147"/>
      <c r="BQ210" s="1147">
        <f>SUMIF($DC$3:$DC$200,"B",BQ3:BQ200)</f>
        <v>123981.68000000001</v>
      </c>
      <c r="BR210" s="1147">
        <f>SUMIF($DC$3:$DC$200,"B",BR3:BR200)</f>
        <v>113955.94100000006</v>
      </c>
      <c r="BS210" s="1149">
        <f>SUMIF($DC$3:$DC$200,"B",BS3:BS200)</f>
        <v>226250.24300000002</v>
      </c>
      <c r="BT210" s="1147"/>
      <c r="BU210" s="1147">
        <f>SUMIF($DC$3:$DC$200,"B",BU3:BU200)</f>
        <v>117839.07799999998</v>
      </c>
      <c r="BV210" s="1147">
        <f>SUMIF($DC$3:$DC$200,"B",BV3:BV200)</f>
        <v>108411.16499999996</v>
      </c>
      <c r="BW210" s="1149">
        <f>SUMIF($DC$3:$DC$200,"B",BW3:BW200)</f>
        <v>218296.21100000004</v>
      </c>
      <c r="BX210" s="1147"/>
      <c r="BY210" s="1147">
        <f>SUMIF($DC$3:$DC$200,"B",BY3:BY200)</f>
        <v>113385.24900000001</v>
      </c>
      <c r="BZ210" s="1147">
        <f>SUMIF($DC$3:$DC$200,"B",BZ3:BZ200)</f>
        <v>104910.962</v>
      </c>
      <c r="CA210" s="1149">
        <f>SUMIF($DC$3:$DC$200,"B",CA3:CA200)</f>
        <v>2608523.6029999992</v>
      </c>
      <c r="CB210" s="1147"/>
      <c r="CC210" s="1147">
        <f>SUMIF($DC$3:$DC$200,"B",CC3:CC200)</f>
        <v>1300085.0079104474</v>
      </c>
      <c r="CD210" s="1147">
        <f>SUMIF($DC$3:$DC$200,"B",CD3:CD200)</f>
        <v>1308438.5890895519</v>
      </c>
      <c r="CN210" s="1060"/>
      <c r="CO210" s="1060"/>
      <c r="CQ210" s="1060"/>
      <c r="CR210" s="1062"/>
      <c r="CS210" s="1078">
        <v>19</v>
      </c>
      <c r="CT210" s="1081">
        <f>COUNTIF(CT$3:CT$200,$CS210)</f>
        <v>1</v>
      </c>
      <c r="CU210" s="1081">
        <f t="shared" si="221"/>
        <v>1</v>
      </c>
      <c r="CV210" s="498">
        <v>25</v>
      </c>
      <c r="CW210" s="1115"/>
      <c r="CX210" s="1115"/>
      <c r="CY210" s="1115"/>
      <c r="DB210" s="928"/>
      <c r="EH210" s="354"/>
      <c r="GD210" s="670" t="s">
        <v>3426</v>
      </c>
      <c r="GE210" s="18">
        <f>COUNTIF(GE$3:GE$200,"religious")</f>
        <v>4</v>
      </c>
      <c r="GS210" s="18">
        <f t="shared" si="222"/>
        <v>7</v>
      </c>
      <c r="GT210" s="15">
        <v>4</v>
      </c>
      <c r="IL210" s="418"/>
      <c r="IM210" s="2"/>
      <c r="IN210" s="418"/>
      <c r="IP210" s="16">
        <f>SUM(IP204:IP209)</f>
        <v>198</v>
      </c>
    </row>
    <row r="211" spans="3:278">
      <c r="C211" s="354"/>
      <c r="H211" s="37"/>
      <c r="I211" s="37"/>
      <c r="J211" s="45"/>
      <c r="K211" s="45"/>
      <c r="L211" s="45"/>
      <c r="M211" s="45"/>
      <c r="N211" s="45"/>
      <c r="O211" s="329"/>
      <c r="P211" s="329"/>
      <c r="Q211" s="405">
        <f>SUM(Q204:Q210)</f>
        <v>198</v>
      </c>
      <c r="R211" s="45"/>
      <c r="S211" s="45"/>
      <c r="T211" s="45"/>
      <c r="U211" s="45"/>
      <c r="V211" s="45"/>
      <c r="W211" s="45"/>
      <c r="X211" s="45"/>
      <c r="Y211" s="45"/>
      <c r="Z211" s="45"/>
      <c r="AA211" s="406"/>
      <c r="AB211" s="406"/>
      <c r="AC211" s="406"/>
      <c r="AD211" s="37"/>
      <c r="AG211" s="79">
        <f>COUNTIF(AG$3:AG$200,"4B")</f>
        <v>87</v>
      </c>
      <c r="AH211" s="329" t="s">
        <v>5171</v>
      </c>
      <c r="AI211" s="45"/>
      <c r="AJ211" s="45"/>
      <c r="AK211" s="741">
        <f>COUNTIF(AL$2:AL$200,17)</f>
        <v>0</v>
      </c>
      <c r="AL211" s="43">
        <f>COUNTIF(AL$3:AL$200,7)</f>
        <v>5</v>
      </c>
      <c r="AM211" s="798" t="s">
        <v>5442</v>
      </c>
      <c r="AN211" s="79">
        <f>COUNTIF(AN$3:AN$200,7)</f>
        <v>0</v>
      </c>
      <c r="AO211" s="798"/>
      <c r="AP211" s="45"/>
      <c r="AQ211" s="329"/>
      <c r="AR211" s="329"/>
      <c r="AS211" s="45"/>
      <c r="AU211" s="45"/>
      <c r="AV211" s="45"/>
      <c r="AW211" s="45"/>
      <c r="AX211" s="45"/>
      <c r="AY211" s="37"/>
      <c r="AZ211" s="45"/>
      <c r="BA211" s="45"/>
      <c r="BB211" s="45"/>
      <c r="BC211" s="37"/>
      <c r="BD211" s="45"/>
      <c r="BE211" s="45"/>
      <c r="BF211" s="37"/>
      <c r="BG211" s="45"/>
      <c r="BH211" s="45"/>
      <c r="BI211" s="45"/>
      <c r="BJ211" s="44" t="s">
        <v>323</v>
      </c>
      <c r="BK211" s="1150">
        <f>SUMIF($DC$3:$DC$200,"C",BK3:BK200)</f>
        <v>838369.91500000004</v>
      </c>
      <c r="BM211" s="1147">
        <f>SUMIF($DC$3:$DC$200,"C",BM3:BM200)</f>
        <v>413351.2844</v>
      </c>
      <c r="BN211" s="1147">
        <f>SUMIF($DC$3:$DC$200,"C",BN3:BN200)</f>
        <v>425018.63059999997</v>
      </c>
      <c r="BO211" s="1150">
        <f>SUMIF($DC$3:$DC$200,"C",BO3:BO200)</f>
        <v>47273.076000000001</v>
      </c>
      <c r="BP211" s="1147"/>
      <c r="BQ211" s="1147">
        <f>SUMIF($DC$3:$DC$200,"C",BQ3:BQ200)</f>
        <v>24222.917999999998</v>
      </c>
      <c r="BR211" s="1147">
        <f>SUMIF($DC$3:$DC$200,"C",BR3:BR200)</f>
        <v>23050.158000000003</v>
      </c>
      <c r="BS211" s="1150">
        <f>SUMIF($DC$3:$DC$200,"C",BS3:BS200)</f>
        <v>48794.489999999991</v>
      </c>
      <c r="BT211" s="1147"/>
      <c r="BU211" s="1147">
        <f>SUMIF($DC$3:$DC$200,"C",BU3:BU200)</f>
        <v>24965.874000000003</v>
      </c>
      <c r="BV211" s="1147">
        <f>SUMIF($DC$3:$DC$200,"C",BV3:BV200)</f>
        <v>23828.616000000002</v>
      </c>
      <c r="BW211" s="1150">
        <f>SUMIF($DC$3:$DC$200,"C",BW3:BW200)</f>
        <v>48279.820000000007</v>
      </c>
      <c r="BX211" s="1147"/>
      <c r="BY211" s="1147">
        <f>SUMIF($DC$3:$DC$200,"C",BY3:BY200)</f>
        <v>24701.410000000003</v>
      </c>
      <c r="BZ211" s="1147">
        <f>SUMIF($DC$3:$DC$200,"C",BZ3:BZ200)</f>
        <v>23578.410000000003</v>
      </c>
      <c r="CA211" s="1150">
        <f>SUMIF($DC$3:$DC$200,"C",CA3:CA200)</f>
        <v>694022.52899999998</v>
      </c>
      <c r="CB211" s="1147"/>
      <c r="CC211" s="1147">
        <f>SUMIF($DC$3:$DC$200,"C",CC3:CC200)</f>
        <v>339461.08239999996</v>
      </c>
      <c r="CD211" s="1147">
        <f>SUMIF($DC$3:$DC$200,"C",CD3:CD200)</f>
        <v>354561.44660000002</v>
      </c>
      <c r="CG211" s="406"/>
      <c r="CQ211" s="1060"/>
      <c r="CR211" s="1062"/>
      <c r="CS211" s="1080" t="s">
        <v>145</v>
      </c>
      <c r="CT211" s="1081">
        <f>COUNTIF(CT$3:CT$200,$CS211)</f>
        <v>29</v>
      </c>
      <c r="CU211" s="1083">
        <f>SUM(CU204:CU210)</f>
        <v>198</v>
      </c>
      <c r="CV211" s="1083"/>
      <c r="CW211" s="1123">
        <f>SUM(CW3:CW202)</f>
        <v>3588602.3699999996</v>
      </c>
      <c r="CX211" s="1123">
        <f>SUM(CX3:CX202)</f>
        <v>3772508.6919999998</v>
      </c>
      <c r="CY211" s="1123">
        <f>SUM(CY3:CY202)</f>
        <v>5729857.5760000022</v>
      </c>
      <c r="DB211" s="928"/>
      <c r="DC211" s="1164" t="s">
        <v>5564</v>
      </c>
      <c r="DD211" s="1169">
        <f>DD213+DD214</f>
        <v>1403828.485258</v>
      </c>
      <c r="DG211" s="356">
        <f>DG213+DG214</f>
        <v>696438.35071920161</v>
      </c>
      <c r="DH211" s="356">
        <f>DH213+DH214</f>
        <v>707295.16529079864</v>
      </c>
      <c r="DI211" s="356">
        <f>DI213+DI214</f>
        <v>42.467109515152302</v>
      </c>
      <c r="DJ211" s="356">
        <f>DJ213+DJ214</f>
        <v>44.506813826224338</v>
      </c>
      <c r="DK211" s="1170">
        <f>DK213+DK214</f>
        <v>927426.23738799989</v>
      </c>
      <c r="DM211" s="356">
        <f>DM213+DM214</f>
        <v>453445.81932920159</v>
      </c>
      <c r="DN211" s="356">
        <f>DN213+DN214</f>
        <v>473976.46178379841</v>
      </c>
      <c r="DO211" s="1170">
        <f>DO213+DO214</f>
        <v>303977.40995100013</v>
      </c>
      <c r="DQ211" s="356">
        <f>DQ213+DQ214</f>
        <v>155054.65060400008</v>
      </c>
      <c r="DR211" s="356">
        <f>DR213+DR214</f>
        <v>148864.813318</v>
      </c>
      <c r="DS211" s="1169">
        <f>DS213+DS214</f>
        <v>172424.83791899998</v>
      </c>
      <c r="DU211" s="356">
        <f>DU213+DU214</f>
        <v>87937.880786000023</v>
      </c>
      <c r="DV211" s="356">
        <f>DV213+DV214</f>
        <v>84453.890189000012</v>
      </c>
      <c r="DW211" s="356">
        <f>DW213+DW214</f>
        <v>4.0764840739483779</v>
      </c>
      <c r="DX211" s="356" t="e">
        <f>DX213+DX214</f>
        <v>#DIV/0!</v>
      </c>
      <c r="DY211" s="37"/>
      <c r="DZ211" s="37"/>
      <c r="EA211" s="407"/>
      <c r="EB211" s="37"/>
      <c r="EC211" s="37"/>
      <c r="ED211" s="407"/>
      <c r="EE211" s="37"/>
      <c r="EF211" s="37"/>
      <c r="EG211" s="37"/>
      <c r="EH211" s="37"/>
      <c r="EI211" s="37"/>
      <c r="EK211" s="45"/>
      <c r="EL211" s="37"/>
      <c r="EM211" s="37"/>
      <c r="EN211" s="37"/>
      <c r="EO211" s="37"/>
      <c r="EP211" s="37"/>
      <c r="EQ211" s="37"/>
      <c r="ER211" s="37"/>
      <c r="ES211" s="37"/>
      <c r="ET211" s="37"/>
      <c r="EU211" s="37"/>
      <c r="EV211" s="37"/>
      <c r="EW211" s="37"/>
      <c r="EX211" s="37"/>
      <c r="EZ211" s="37"/>
      <c r="FA211" s="37"/>
      <c r="FB211" s="37"/>
      <c r="FC211" s="37"/>
      <c r="FD211" s="408"/>
      <c r="FE211" s="37"/>
      <c r="FF211" s="37"/>
      <c r="FG211" s="37"/>
      <c r="FH211" s="37"/>
      <c r="FI211" s="45"/>
      <c r="FJ211" s="45"/>
      <c r="FK211" s="45"/>
      <c r="FL211" s="45"/>
      <c r="FM211" s="45"/>
      <c r="FN211" s="45"/>
      <c r="FO211" s="329"/>
      <c r="FP211" s="45"/>
      <c r="FQ211" s="37"/>
      <c r="FR211" s="45"/>
      <c r="FS211" s="37"/>
      <c r="FT211" s="45"/>
      <c r="FU211" s="37"/>
      <c r="FV211" s="45"/>
      <c r="FW211" s="37"/>
      <c r="FX211" s="45"/>
      <c r="FY211" s="37"/>
      <c r="FZ211" s="45"/>
      <c r="GA211" s="37"/>
      <c r="GB211" s="45"/>
      <c r="GC211" s="37"/>
      <c r="GD211" s="14" t="s">
        <v>4848</v>
      </c>
      <c r="GE211" s="18">
        <f>COUNTIF(GE$3:GE$200,"civil + religious")</f>
        <v>10</v>
      </c>
      <c r="GF211" s="37"/>
      <c r="GG211" s="37"/>
      <c r="GH211" s="37"/>
      <c r="GI211" s="37"/>
      <c r="GJ211" s="37"/>
      <c r="GK211" s="37"/>
      <c r="GL211" s="37"/>
      <c r="GM211" s="37"/>
      <c r="GN211" s="37"/>
      <c r="GS211" s="18">
        <f t="shared" si="222"/>
        <v>5</v>
      </c>
      <c r="GT211" s="15">
        <v>3</v>
      </c>
      <c r="GU211" s="37"/>
      <c r="GV211" s="37"/>
      <c r="GW211" s="37"/>
      <c r="GX211" s="37"/>
      <c r="GY211" s="37"/>
      <c r="HF211" s="37"/>
      <c r="HG211" s="37"/>
      <c r="HH211" s="37"/>
      <c r="HI211" s="37"/>
      <c r="HJ211" s="37"/>
      <c r="HL211" s="37"/>
      <c r="HM211" s="37"/>
      <c r="HN211" s="37"/>
      <c r="HO211" s="37"/>
      <c r="HP211" s="37"/>
      <c r="HQ211" s="37"/>
      <c r="HR211" s="37"/>
      <c r="HS211" s="37"/>
      <c r="HT211" s="37"/>
      <c r="HU211" s="37"/>
      <c r="HV211" s="37"/>
      <c r="HW211" s="37"/>
      <c r="HX211" s="37"/>
      <c r="HY211" s="37"/>
      <c r="HZ211" s="37"/>
      <c r="IA211" s="37"/>
      <c r="IB211" s="37"/>
      <c r="IC211" s="37"/>
      <c r="ID211" s="37"/>
      <c r="IE211" s="37"/>
      <c r="IF211" s="37"/>
      <c r="IG211" s="37"/>
      <c r="IH211" s="37"/>
      <c r="II211" s="37"/>
      <c r="IJ211" s="37"/>
      <c r="IK211" s="37"/>
      <c r="IL211" s="418"/>
      <c r="IM211" s="2"/>
      <c r="IN211" s="418"/>
      <c r="IO211" s="45"/>
      <c r="IP211" s="45"/>
      <c r="IQ211" s="45"/>
      <c r="IR211" s="37"/>
      <c r="JR211" s="37"/>
    </row>
    <row r="212" spans="3:278">
      <c r="C212" s="354"/>
      <c r="I212" s="37"/>
      <c r="J212" s="45"/>
      <c r="K212" s="45"/>
      <c r="L212" s="45"/>
      <c r="M212" s="45"/>
      <c r="N212" s="45"/>
      <c r="O212" s="329"/>
      <c r="P212" s="329"/>
      <c r="Q212" s="45"/>
      <c r="R212" s="45"/>
      <c r="S212" s="45"/>
      <c r="T212" s="45"/>
      <c r="U212" s="45"/>
      <c r="V212" s="45"/>
      <c r="W212" s="45"/>
      <c r="X212" s="45"/>
      <c r="Y212" s="45"/>
      <c r="Z212" s="45"/>
      <c r="AA212" s="406"/>
      <c r="AB212" s="406"/>
      <c r="AC212" s="406"/>
      <c r="AD212" s="37"/>
      <c r="AG212" s="405">
        <f>SUM(AG204:AG211)</f>
        <v>198</v>
      </c>
      <c r="AH212" s="45"/>
      <c r="AK212" s="741">
        <f>COUNTIF(AL$2:AL$200,18)</f>
        <v>1</v>
      </c>
      <c r="AL212" s="43">
        <f>COUNTIF(AL$3:AL$200,8)</f>
        <v>3</v>
      </c>
      <c r="AM212" s="798" t="s">
        <v>5443</v>
      </c>
      <c r="AN212" s="405">
        <f>SUM(AN205:AN211)</f>
        <v>34</v>
      </c>
      <c r="AP212" s="45"/>
      <c r="AQ212" s="329"/>
      <c r="AV212" s="45"/>
      <c r="AY212" s="37"/>
      <c r="BB212" s="45"/>
      <c r="BC212" s="37"/>
      <c r="BD212" s="45"/>
      <c r="BE212" s="45"/>
      <c r="BF212" s="37"/>
      <c r="BG212" s="45"/>
      <c r="BH212" s="45"/>
      <c r="BI212" s="45"/>
      <c r="BJ212" s="45"/>
      <c r="BM212" s="57"/>
      <c r="BN212" s="57"/>
      <c r="BO212" s="57"/>
      <c r="BP212" s="57"/>
      <c r="BQ212" s="57"/>
      <c r="BR212" s="57"/>
      <c r="CG212" s="406"/>
      <c r="CN212" s="1063"/>
      <c r="CO212" s="1063"/>
      <c r="CQ212" s="1060"/>
      <c r="CR212" s="1062"/>
      <c r="CS212" s="1082"/>
      <c r="CT212" s="1083">
        <f>SUM(CT204:CT211)</f>
        <v>198</v>
      </c>
      <c r="CU212" s="1074"/>
      <c r="CV212" s="1074"/>
      <c r="CW212" s="594"/>
      <c r="CX212" s="594"/>
      <c r="CY212" s="594"/>
      <c r="DA212" s="1063"/>
      <c r="DB212" s="928"/>
      <c r="DY212" s="37"/>
      <c r="DZ212" s="37"/>
      <c r="EA212" s="407"/>
      <c r="EB212" s="37"/>
      <c r="EC212" s="37"/>
      <c r="ED212" s="407"/>
      <c r="EE212" s="37"/>
      <c r="EF212" s="37"/>
      <c r="EG212" s="37"/>
      <c r="EH212" s="407"/>
      <c r="EI212" s="37"/>
      <c r="EK212" s="45"/>
      <c r="EL212" s="37"/>
      <c r="EM212" s="37"/>
      <c r="EN212" s="37"/>
      <c r="EO212" s="37"/>
      <c r="EP212" s="37"/>
      <c r="EQ212" s="37"/>
      <c r="ER212" s="37"/>
      <c r="ES212" s="37"/>
      <c r="ET212" s="37"/>
      <c r="EU212" s="37"/>
      <c r="EV212" s="37"/>
      <c r="EW212" s="37"/>
      <c r="EX212" s="37"/>
      <c r="EZ212" s="37"/>
      <c r="FA212" s="37"/>
      <c r="FB212" s="37"/>
      <c r="FC212" s="37"/>
      <c r="FD212" s="408"/>
      <c r="FE212" s="37"/>
      <c r="FF212" s="37"/>
      <c r="FG212" s="37"/>
      <c r="FH212" s="37"/>
      <c r="FI212" s="45"/>
      <c r="FJ212" s="45"/>
      <c r="FK212" s="45"/>
      <c r="FL212" s="45"/>
      <c r="FM212" s="45"/>
      <c r="FN212" s="45"/>
      <c r="FO212" s="329"/>
      <c r="FP212" s="45"/>
      <c r="FQ212" s="37"/>
      <c r="FR212" s="45"/>
      <c r="FS212" s="37"/>
      <c r="FT212" s="45"/>
      <c r="FU212" s="37"/>
      <c r="FV212" s="45"/>
      <c r="FW212" s="37"/>
      <c r="FX212" s="45"/>
      <c r="FY212" s="37"/>
      <c r="FZ212" s="45"/>
      <c r="GA212" s="37"/>
      <c r="GB212" s="45"/>
      <c r="GC212" s="37"/>
      <c r="GD212" s="14" t="s">
        <v>4849</v>
      </c>
      <c r="GE212" s="18">
        <f>COUNTIF(GE$3:GE$200,"common + religious")</f>
        <v>3</v>
      </c>
      <c r="GF212" s="37"/>
      <c r="GG212" s="37"/>
      <c r="GH212" s="37"/>
      <c r="GI212" s="37"/>
      <c r="GJ212" s="37"/>
      <c r="GK212" s="37"/>
      <c r="GL212" s="37"/>
      <c r="GM212" s="37"/>
      <c r="GN212" s="37"/>
      <c r="GP212" s="443"/>
      <c r="GQ212" s="443"/>
      <c r="GR212" s="443"/>
      <c r="GS212" s="18">
        <f t="shared" si="222"/>
        <v>4</v>
      </c>
      <c r="GT212" s="416">
        <v>2</v>
      </c>
      <c r="GU212" s="37"/>
      <c r="GV212" s="37"/>
      <c r="GW212" s="37"/>
      <c r="GX212" s="37"/>
      <c r="GY212" s="37"/>
      <c r="HF212" s="37"/>
      <c r="HG212" s="37"/>
      <c r="HH212" s="37"/>
      <c r="HI212" s="37"/>
      <c r="HJ212" s="37"/>
      <c r="HL212" s="37"/>
      <c r="HM212" s="37"/>
      <c r="HN212" s="37"/>
      <c r="HO212" s="37"/>
      <c r="HP212" s="37"/>
      <c r="HQ212" s="37"/>
      <c r="HR212" s="37"/>
      <c r="HS212" s="37"/>
      <c r="HT212" s="37"/>
      <c r="HU212" s="37"/>
      <c r="HV212" s="37"/>
      <c r="HW212" s="37"/>
      <c r="HX212" s="37"/>
      <c r="HY212" s="37"/>
      <c r="HZ212" s="37"/>
      <c r="IA212" s="37"/>
      <c r="IB212" s="37"/>
      <c r="IC212" s="37"/>
      <c r="ID212" s="37"/>
      <c r="IE212" s="37"/>
      <c r="IF212" s="37"/>
      <c r="IG212" s="37"/>
      <c r="IH212" s="37"/>
      <c r="II212" s="37"/>
      <c r="IJ212" s="37"/>
      <c r="IK212" s="37"/>
      <c r="IL212" s="37"/>
      <c r="IM212" s="37"/>
      <c r="IN212" s="37"/>
      <c r="IO212" s="45"/>
      <c r="IP212" s="45"/>
      <c r="IQ212" s="45"/>
      <c r="IR212" s="37"/>
      <c r="JR212" s="37"/>
    </row>
    <row r="213" spans="3:278" ht="15" customHeight="1">
      <c r="C213" s="354"/>
      <c r="I213" s="37"/>
      <c r="J213" s="45"/>
      <c r="K213" s="45"/>
      <c r="L213" s="45"/>
      <c r="M213" s="45"/>
      <c r="AH213" s="45"/>
      <c r="AI213" s="45"/>
      <c r="AJ213" s="45"/>
      <c r="AK213" s="19">
        <f>COUNTIF(AL$2:AL$200,10)</f>
        <v>29</v>
      </c>
      <c r="AL213" s="79">
        <f>COUNTIF(AL$3:AL$200,9)+COUNTIF(AL$3:AL$200,"1, 2")+COUNTIF(AL$3:AL$200,"1, 5")+COUNTIF(AL$3:AL$200,"4, 5")</f>
        <v>48</v>
      </c>
      <c r="AM213" s="798" t="s">
        <v>5444</v>
      </c>
      <c r="AN213" s="45"/>
      <c r="AP213" s="45"/>
      <c r="AS213" s="45"/>
      <c r="AW213" s="45"/>
      <c r="AX213" s="45"/>
      <c r="AZ213" s="45"/>
      <c r="BA213" s="45"/>
      <c r="BK213" s="1160">
        <f>SUM(BK209:BK212)</f>
        <v>7345825.557000001</v>
      </c>
      <c r="BL213" s="1161"/>
      <c r="BM213" s="1160">
        <f t="shared" ref="BM213:CA213" si="226">SUM(BM209:BM212)</f>
        <v>3705574.3633104479</v>
      </c>
      <c r="BN213" s="1160">
        <f t="shared" si="226"/>
        <v>3640251.1936895521</v>
      </c>
      <c r="BO213" s="1160">
        <f t="shared" si="226"/>
        <v>670473.58600000001</v>
      </c>
      <c r="BP213" s="1160"/>
      <c r="BQ213" s="1160">
        <f t="shared" si="226"/>
        <v>346514.54399999994</v>
      </c>
      <c r="BR213" s="1160">
        <f t="shared" si="226"/>
        <v>323959.04800000001</v>
      </c>
      <c r="BS213" s="1160">
        <f t="shared" si="226"/>
        <v>637050.60700000008</v>
      </c>
      <c r="BT213" s="1160"/>
      <c r="BU213" s="1160">
        <f t="shared" si="226"/>
        <v>329370.99800000002</v>
      </c>
      <c r="BV213" s="1160">
        <f t="shared" si="226"/>
        <v>307679.60899999994</v>
      </c>
      <c r="BW213" s="1160">
        <f t="shared" si="226"/>
        <v>607054.25900000031</v>
      </c>
      <c r="BX213" s="1160"/>
      <c r="BY213" s="1160">
        <f t="shared" si="226"/>
        <v>313842.51000000013</v>
      </c>
      <c r="BZ213" s="1160">
        <f t="shared" si="226"/>
        <v>293211.74900000007</v>
      </c>
      <c r="CA213" s="1160">
        <f t="shared" si="226"/>
        <v>5431247.1049999995</v>
      </c>
      <c r="CB213" s="1160"/>
      <c r="CC213" s="1160">
        <f t="shared" ref="CC213:CD213" si="227">SUM(CC209:CC212)</f>
        <v>2715846.3113104478</v>
      </c>
      <c r="CD213" s="1160">
        <f t="shared" si="227"/>
        <v>2715400.7876895517</v>
      </c>
      <c r="CN213" s="1063"/>
      <c r="CO213" s="1063"/>
      <c r="CQ213" s="1060"/>
      <c r="CR213" s="1062"/>
      <c r="CS213" s="1061"/>
      <c r="CT213" s="1061"/>
      <c r="DA213" s="1063"/>
      <c r="DB213" s="928"/>
      <c r="DC213" s="1152" t="s">
        <v>320</v>
      </c>
      <c r="DD213" s="1148">
        <f>SUMIF($DC$3:$DC$200,"A",DD3:DD200)</f>
        <v>1163097.679674</v>
      </c>
      <c r="DF213" s="407"/>
      <c r="DG213" s="1147">
        <f>SUMIF($DC$3:$DC$200,"A",DG3:DG200)</f>
        <v>580974.44645142916</v>
      </c>
      <c r="DH213" s="1147">
        <f>SUMIF($DC$3:$DC$200,"A",DH3:DH200)</f>
        <v>582057.94137157092</v>
      </c>
      <c r="DI213" s="1153">
        <f t="shared" ref="DI213:DJ215" si="228">DG213/BM209*100</f>
        <v>35.491665123338265</v>
      </c>
      <c r="DJ213" s="1153">
        <f t="shared" si="228"/>
        <v>36.850400756367627</v>
      </c>
      <c r="DK213" s="1148">
        <f>SUMIF($DC$3:$DC$200,"A",DK3:DK200)</f>
        <v>722390.29321999988</v>
      </c>
      <c r="DL213" s="407"/>
      <c r="DM213" s="1147">
        <f>SUMIF($DC$3:$DC$200,"A",DM3:DM200)</f>
        <v>356296.50361242914</v>
      </c>
      <c r="DN213" s="1147">
        <f>SUMIF($DC$3:$DC$200,"A",DN3:DN200)</f>
        <v>366093.7896075708</v>
      </c>
      <c r="DO213" s="1148">
        <f>SUMIF($DC$3:$DC$200,"A",DO3:DO200)</f>
        <v>280575.72380600008</v>
      </c>
      <c r="DP213" s="407"/>
      <c r="DQ213" s="1147">
        <f>SUMIF($DC$3:$DC$200,"A",DQ3:DQ200)</f>
        <v>143055.70027700008</v>
      </c>
      <c r="DR213" s="1147">
        <f>SUMIF($DC$3:$DC$200,"A",DR3:DR200)</f>
        <v>137479.179489</v>
      </c>
      <c r="DS213" s="1148">
        <f>SUMIF($DC$3:$DC$200,"A",DS3:DS200)</f>
        <v>160131.66264799997</v>
      </c>
      <c r="DT213" s="45"/>
      <c r="DU213" s="1147">
        <f>SUMIF($DC$3:$DC$200,"A",DU3:DU200)</f>
        <v>81622.242562000029</v>
      </c>
      <c r="DV213" s="1147">
        <f>SUMIF($DC$3:$DC$200,"A",DV3:DV200)</f>
        <v>78484.972275000007</v>
      </c>
      <c r="DW213" s="1153">
        <f t="shared" ref="DW213:DW215" si="229">DU213/CA209*100</f>
        <v>3.8343686406535995</v>
      </c>
      <c r="DX213" s="1153" t="e">
        <f t="shared" ref="DX213:DX215" si="230">DV213/CB209*100</f>
        <v>#DIV/0!</v>
      </c>
      <c r="EY213" s="408"/>
      <c r="GD213" s="14" t="s">
        <v>4850</v>
      </c>
      <c r="GE213" s="18">
        <f>COUNTIF(GE$3:GE$200,"civil + customary + religious")</f>
        <v>7</v>
      </c>
      <c r="GP213" s="443"/>
      <c r="GQ213" s="443"/>
      <c r="GR213" s="443"/>
      <c r="GS213" s="18">
        <f t="shared" si="222"/>
        <v>1</v>
      </c>
      <c r="GT213" s="416">
        <v>1</v>
      </c>
      <c r="JR213" s="37"/>
    </row>
    <row r="214" spans="3:278" ht="15" customHeight="1">
      <c r="C214" s="354"/>
      <c r="I214" s="37"/>
      <c r="J214" s="45"/>
      <c r="K214" s="45"/>
      <c r="L214" s="45"/>
      <c r="M214" s="45"/>
      <c r="N214" s="45"/>
      <c r="P214" s="93"/>
      <c r="Q214" s="45"/>
      <c r="R214" s="45"/>
      <c r="S214" s="45"/>
      <c r="T214" s="45"/>
      <c r="U214" s="45"/>
      <c r="V214" s="45"/>
      <c r="W214" s="45"/>
      <c r="X214" s="45"/>
      <c r="Y214" s="45"/>
      <c r="Z214" s="45"/>
      <c r="AA214" s="406"/>
      <c r="AB214" s="406"/>
      <c r="AC214" s="406"/>
      <c r="AE214" s="634"/>
      <c r="AF214" s="683" t="s">
        <v>4679</v>
      </c>
      <c r="AG214" s="634" t="s">
        <v>4268</v>
      </c>
      <c r="AH214" s="45"/>
      <c r="AJ214" s="45"/>
      <c r="AK214" s="699">
        <f>SUM(AK205:AK213)</f>
        <v>36</v>
      </c>
      <c r="AL214" s="79">
        <f>COUNTIF(AL$3:AL$200,"&gt;=10")</f>
        <v>36</v>
      </c>
      <c r="AM214" s="801" t="s">
        <v>5445</v>
      </c>
      <c r="AN214" s="45"/>
      <c r="AP214" s="45"/>
      <c r="AS214" s="45"/>
      <c r="AW214" s="45"/>
      <c r="AX214" s="45"/>
      <c r="AZ214" s="45"/>
      <c r="BA214" s="45"/>
      <c r="BB214" s="45"/>
      <c r="BC214" s="69"/>
      <c r="BD214" s="45"/>
      <c r="BE214" s="45"/>
      <c r="BF214" s="69"/>
      <c r="BG214" s="409"/>
      <c r="BH214" s="45"/>
      <c r="BI214" s="409"/>
      <c r="BJ214" s="409"/>
      <c r="CG214" s="406"/>
      <c r="CN214" s="1063"/>
      <c r="CO214" s="1063"/>
      <c r="CQ214" s="1060"/>
      <c r="CR214" s="1062"/>
      <c r="CS214" s="1061"/>
      <c r="CT214" s="1061"/>
      <c r="CU214" s="1061"/>
      <c r="CV214" s="1061"/>
      <c r="CW214" s="1111"/>
      <c r="CX214" s="1111"/>
      <c r="DC214" s="1152" t="s">
        <v>322</v>
      </c>
      <c r="DD214" s="1149">
        <f>SUMIF($DC$3:$DC$200,"B",DD3:DD200)</f>
        <v>240730.80558399999</v>
      </c>
      <c r="DG214" s="356">
        <f>SUMIF($DC$3:$DC$200,"B",DG3:DG200)</f>
        <v>115463.90426777242</v>
      </c>
      <c r="DH214" s="356">
        <f>SUMIF($DC$3:$DC$200,"B",DH3:DH200)</f>
        <v>125237.2239192277</v>
      </c>
      <c r="DI214" s="1153">
        <f t="shared" si="228"/>
        <v>6.9754443918140341</v>
      </c>
      <c r="DJ214" s="1153">
        <f t="shared" si="228"/>
        <v>7.6564130698567086</v>
      </c>
      <c r="DK214" s="1151">
        <f>SUMIF($DC$3:$DC$200,"B",DK3:DK200)</f>
        <v>205035.94416800005</v>
      </c>
      <c r="DL214" s="356"/>
      <c r="DM214" s="356">
        <f>SUMIF($DC$3:$DC$200,"B",DM3:DM200)</f>
        <v>97149.315716772457</v>
      </c>
      <c r="DN214" s="356">
        <f>SUMIF($DC$3:$DC$200,"B",DN3:DN200)</f>
        <v>107882.67217622764</v>
      </c>
      <c r="DO214" s="1151">
        <f>SUMIF($DC$3:$DC$200,"B",DO3:DO200)</f>
        <v>23401.686145000014</v>
      </c>
      <c r="DP214" s="356"/>
      <c r="DQ214" s="356">
        <f>SUMIF($DC$3:$DC$200,"B",DQ3:DQ200)</f>
        <v>11998.950327</v>
      </c>
      <c r="DR214" s="356">
        <f>SUMIF($DC$3:$DC$200,"B",DR3:DR200)</f>
        <v>11385.633829000004</v>
      </c>
      <c r="DS214" s="1151">
        <f>SUMIF($DC$3:$DC$200,"B",DS3:DS200)</f>
        <v>12293.175271000002</v>
      </c>
      <c r="DU214" s="356">
        <f>SUMIF($DC$3:$DC$200,"B",DU3:DU200)</f>
        <v>6315.6382240000012</v>
      </c>
      <c r="DV214" s="356">
        <f>SUMIF($DC$3:$DC$200,"B",DV3:DV200)</f>
        <v>5968.9179140000033</v>
      </c>
      <c r="DW214" s="1153">
        <f t="shared" si="229"/>
        <v>0.24211543329477797</v>
      </c>
      <c r="DX214" s="1153" t="e">
        <f t="shared" si="230"/>
        <v>#DIV/0!</v>
      </c>
      <c r="DY214" s="37"/>
      <c r="DZ214" s="37"/>
      <c r="EA214" s="407"/>
      <c r="EB214" s="37"/>
      <c r="EC214" s="37"/>
      <c r="ED214" s="407"/>
      <c r="EE214" s="37"/>
      <c r="EF214" s="37"/>
      <c r="EG214" s="37"/>
      <c r="EH214" s="45"/>
      <c r="EI214" s="37"/>
      <c r="EK214" s="45"/>
      <c r="EL214" s="37"/>
      <c r="EM214" s="37"/>
      <c r="EN214" s="37"/>
      <c r="EO214" s="37"/>
      <c r="EP214" s="37"/>
      <c r="EQ214" s="37"/>
      <c r="ER214" s="37"/>
      <c r="ES214" s="37"/>
      <c r="ET214" s="37"/>
      <c r="EU214" s="37"/>
      <c r="EV214" s="37"/>
      <c r="EW214" s="37"/>
      <c r="EX214" s="37"/>
      <c r="EZ214" s="37"/>
      <c r="FA214" s="37"/>
      <c r="FB214" s="37"/>
      <c r="FC214" s="37"/>
      <c r="FD214" s="408"/>
      <c r="FE214" s="37"/>
      <c r="FF214" s="37"/>
      <c r="FG214" s="37"/>
      <c r="FH214" s="37"/>
      <c r="FI214" s="45"/>
      <c r="FJ214" s="45"/>
      <c r="FK214" s="45"/>
      <c r="FL214" s="45"/>
      <c r="FM214" s="45"/>
      <c r="FN214" s="45"/>
      <c r="FO214" s="329"/>
      <c r="FP214" s="45"/>
      <c r="FQ214" s="37"/>
      <c r="FR214" s="45"/>
      <c r="FS214" s="37"/>
      <c r="FT214" s="45"/>
      <c r="FU214" s="37"/>
      <c r="FV214" s="45"/>
      <c r="FW214" s="37"/>
      <c r="FX214" s="45"/>
      <c r="FY214" s="37"/>
      <c r="FZ214" s="45"/>
      <c r="GA214" s="37"/>
      <c r="GB214" s="45"/>
      <c r="GC214" s="37"/>
      <c r="GD214" s="44" t="s">
        <v>4851</v>
      </c>
      <c r="GE214" s="18">
        <f>COUNTIF(GE$3:GE$200,"common + customary + religious")</f>
        <v>4</v>
      </c>
      <c r="GF214" s="37"/>
      <c r="GG214" s="37"/>
      <c r="GH214" s="37"/>
      <c r="GI214" s="37"/>
      <c r="GJ214" s="37"/>
      <c r="GK214" s="37"/>
      <c r="GL214" s="37"/>
      <c r="GM214" s="37"/>
      <c r="GN214" s="37"/>
      <c r="GP214" s="443"/>
      <c r="GQ214" s="443"/>
      <c r="GR214" s="443"/>
      <c r="GS214" s="18">
        <f t="shared" si="222"/>
        <v>2</v>
      </c>
      <c r="GT214" s="416">
        <v>0</v>
      </c>
      <c r="GU214" s="37"/>
      <c r="GV214" s="37"/>
      <c r="GW214" s="37"/>
      <c r="GX214" s="37"/>
      <c r="GY214" s="37"/>
      <c r="HF214" s="37"/>
      <c r="HG214" s="37"/>
      <c r="HH214" s="37"/>
      <c r="HI214" s="37"/>
      <c r="HJ214" s="37"/>
      <c r="HK214" s="37"/>
      <c r="HL214" s="37"/>
      <c r="HM214" s="37"/>
      <c r="HN214" s="37"/>
      <c r="HO214" s="37"/>
      <c r="HP214" s="37"/>
      <c r="HQ214" s="37"/>
      <c r="HR214" s="37"/>
      <c r="HS214" s="37"/>
      <c r="HT214" s="37"/>
      <c r="HU214" s="37"/>
      <c r="HV214" s="37"/>
      <c r="HW214" s="37"/>
      <c r="HX214" s="37"/>
      <c r="HY214" s="37"/>
      <c r="HZ214" s="37"/>
      <c r="IA214" s="37"/>
      <c r="IB214" s="37"/>
      <c r="IC214" s="37"/>
      <c r="ID214" s="37"/>
      <c r="IE214" s="37"/>
      <c r="IF214" s="37"/>
      <c r="IG214" s="37"/>
      <c r="IH214" s="37"/>
      <c r="II214" s="37"/>
      <c r="IJ214" s="37"/>
      <c r="IK214" s="37"/>
      <c r="IL214" s="37"/>
      <c r="IM214" s="37"/>
      <c r="IN214" s="37"/>
      <c r="IO214" s="45"/>
      <c r="IP214" s="45"/>
      <c r="IQ214" s="45"/>
      <c r="IR214" s="37"/>
      <c r="JR214" s="37"/>
    </row>
    <row r="215" spans="3:278" ht="15" customHeight="1">
      <c r="C215" s="354"/>
      <c r="I215" s="37"/>
      <c r="J215" s="45"/>
      <c r="K215" s="45"/>
      <c r="L215" s="45"/>
      <c r="M215" s="45"/>
      <c r="N215" s="45"/>
      <c r="P215" s="329"/>
      <c r="Q215" s="45"/>
      <c r="R215" s="45"/>
      <c r="S215" s="45"/>
      <c r="T215" s="45"/>
      <c r="U215" s="45"/>
      <c r="V215" s="45"/>
      <c r="W215" s="45"/>
      <c r="X215" s="45"/>
      <c r="Y215" s="45"/>
      <c r="Z215" s="45"/>
      <c r="AA215" s="406"/>
      <c r="AB215" s="406"/>
      <c r="AC215" s="406"/>
      <c r="AE215" s="4" t="s">
        <v>5446</v>
      </c>
      <c r="AF215" s="637">
        <f>COUNTIFS($AF$3:$AF$200,1,$AL$3:$AL$200,"&gt;0",$AL$3:$AL$200,"&lt;=9")+COUNTIFS($AF$3:$AF$200,1,$AL$3:$AL$200,"1, 2")+COUNTIFS($AF$3:$AF$200,1,$AL$3:$AL$200,"1, 5")+COUNTIFS($AF$3:$AF$200,1,$AL$3:$AL$200,"4, 5")</f>
        <v>20</v>
      </c>
      <c r="AG215" s="806">
        <f>AG207+AG209+AG211</f>
        <v>111</v>
      </c>
      <c r="AH215" s="329" t="s">
        <v>4638</v>
      </c>
      <c r="AJ215" s="45"/>
      <c r="AL215" s="405">
        <f>SUM(AL204:AL214)</f>
        <v>198</v>
      </c>
      <c r="AN215" s="45"/>
      <c r="AP215" s="45"/>
      <c r="AS215" s="45"/>
      <c r="AW215" s="45"/>
      <c r="AX215" s="45"/>
      <c r="AZ215" s="45"/>
      <c r="BA215" s="45"/>
      <c r="BB215" s="45"/>
      <c r="BC215" s="69"/>
      <c r="BD215" s="45"/>
      <c r="BE215" s="45"/>
      <c r="BF215" s="69"/>
      <c r="BG215" s="409"/>
      <c r="BH215" s="45"/>
      <c r="BI215" s="409"/>
      <c r="BJ215" s="409"/>
      <c r="CG215" s="406"/>
      <c r="CN215" s="1063"/>
      <c r="CO215" s="1063"/>
      <c r="CQ215" s="1060"/>
      <c r="CR215" s="1062"/>
      <c r="CS215" s="1061"/>
      <c r="CT215" s="1061"/>
      <c r="CV215" s="1105"/>
      <c r="CW215" s="1111"/>
      <c r="CX215" s="1111"/>
      <c r="DC215" s="1152" t="s">
        <v>323</v>
      </c>
      <c r="DD215" s="1150">
        <f>SUMIF($DC$3:$DC$200,"C",DD3:DD200)</f>
        <v>90533.402000000002</v>
      </c>
      <c r="DG215" s="356">
        <f>SUMIF($DC$3:$DC$200,"C",DG3:DG200)</f>
        <v>46822.066441396659</v>
      </c>
      <c r="DH215" s="356">
        <f>SUMIF($DC$3:$DC$200,"C",DH3:DH200)</f>
        <v>43711.335558603343</v>
      </c>
      <c r="DI215" s="1153">
        <f t="shared" si="228"/>
        <v>11.327427350168083</v>
      </c>
      <c r="DJ215" s="1153">
        <f t="shared" si="228"/>
        <v>10.284569289796998</v>
      </c>
      <c r="DK215" s="819">
        <f>SUMIF($DC$3:$DC$200,"C",DK3:DK200)</f>
        <v>90523.622899999988</v>
      </c>
      <c r="DL215" s="356"/>
      <c r="DM215" s="356">
        <f>SUMIF($DC$3:$DC$200,"C",DM3:DM200)</f>
        <v>46817.037441396649</v>
      </c>
      <c r="DN215" s="356">
        <f>SUMIF($DC$3:$DC$200,"C",DN3:DN200)</f>
        <v>43706.585458603338</v>
      </c>
      <c r="DO215" s="819">
        <f>SUMIF($DC$3:$DC$200,"C",DO3:DO200)</f>
        <v>6.4007999999999985</v>
      </c>
      <c r="DP215" s="356"/>
      <c r="DQ215" s="356">
        <f>SUMIF($DC$3:$DC$200,"C",DQ3:DQ200)</f>
        <v>3.2957999999999994</v>
      </c>
      <c r="DR215" s="356">
        <f>SUMIF($DC$3:$DC$200,"C",DR3:DR200)</f>
        <v>3.1049999999999995</v>
      </c>
      <c r="DS215" s="819">
        <f>SUMIF($DC$3:$DC$200,"C",DS3:DS200)</f>
        <v>3.3782999999999994</v>
      </c>
      <c r="DU215" s="356">
        <f>SUMIF($DC$3:$DC$200,"C",DU3:DU200)</f>
        <v>1.7331999999999996</v>
      </c>
      <c r="DV215" s="356">
        <f>SUMIF($DC$3:$DC$200,"C",DV3:DV200)</f>
        <v>1.6450999999999998</v>
      </c>
      <c r="DW215" s="1153">
        <f t="shared" si="229"/>
        <v>2.4973252705460803E-4</v>
      </c>
      <c r="DX215" s="1153" t="e">
        <f t="shared" si="230"/>
        <v>#DIV/0!</v>
      </c>
      <c r="DY215" s="37"/>
      <c r="DZ215" s="37"/>
      <c r="EA215" s="407"/>
      <c r="EB215" s="37"/>
      <c r="EC215" s="37"/>
      <c r="ED215" s="407"/>
      <c r="EE215" s="37"/>
      <c r="EF215" s="37"/>
      <c r="EH215" s="37"/>
      <c r="EI215" s="37"/>
      <c r="EK215" s="45"/>
      <c r="EL215" s="37"/>
      <c r="EM215" s="37"/>
      <c r="EN215" s="37"/>
      <c r="EO215" s="37"/>
      <c r="EP215" s="37"/>
      <c r="EQ215" s="37"/>
      <c r="ER215" s="37"/>
      <c r="ES215" s="37"/>
      <c r="ET215" s="37"/>
      <c r="EU215" s="37"/>
      <c r="EV215" s="37"/>
      <c r="EW215" s="37"/>
      <c r="EX215" s="37"/>
      <c r="EZ215" s="37"/>
      <c r="FA215" s="37"/>
      <c r="FB215" s="37"/>
      <c r="FC215" s="37"/>
      <c r="FD215" s="408"/>
      <c r="FE215" s="37"/>
      <c r="FF215" s="37"/>
      <c r="FG215" s="37"/>
      <c r="FH215" s="37"/>
      <c r="FI215" s="45"/>
      <c r="FJ215" s="45"/>
      <c r="FK215" s="45"/>
      <c r="FL215" s="45"/>
      <c r="FM215" s="45"/>
      <c r="FN215" s="45"/>
      <c r="FO215" s="329"/>
      <c r="FP215" s="45"/>
      <c r="FQ215" s="37"/>
      <c r="FR215" s="45"/>
      <c r="FS215" s="37"/>
      <c r="FT215" s="45"/>
      <c r="FU215" s="37"/>
      <c r="FV215" s="45"/>
      <c r="FW215" s="37"/>
      <c r="FX215" s="45"/>
      <c r="FY215" s="37"/>
      <c r="FZ215" s="45"/>
      <c r="GA215" s="37"/>
      <c r="GB215" s="45"/>
      <c r="GC215" s="37"/>
      <c r="GD215" s="44" t="s">
        <v>4852</v>
      </c>
      <c r="GE215" s="19">
        <f>COUNTIF(GE$3:GE$200,"common + civil + religious")</f>
        <v>1</v>
      </c>
      <c r="GF215" s="37"/>
      <c r="GG215" s="37"/>
      <c r="GH215" s="37"/>
      <c r="GI215" s="37"/>
      <c r="GJ215" s="37"/>
      <c r="GK215" s="37"/>
      <c r="GL215" s="37"/>
      <c r="GM215" s="37"/>
      <c r="GN215" s="37"/>
      <c r="GS215" s="18">
        <f t="shared" si="222"/>
        <v>3</v>
      </c>
      <c r="GT215" s="15">
        <v>-1</v>
      </c>
      <c r="GU215" s="37"/>
      <c r="GV215" s="37"/>
      <c r="GW215" s="37"/>
      <c r="GX215" s="37"/>
      <c r="GY215" s="37"/>
      <c r="HF215" s="37"/>
      <c r="HG215" s="37"/>
      <c r="HH215" s="37"/>
      <c r="HI215" s="37"/>
      <c r="HJ215" s="37"/>
      <c r="HK215" s="37"/>
      <c r="HL215" s="37"/>
      <c r="HM215" s="37"/>
      <c r="HN215" s="37"/>
      <c r="HO215" s="37"/>
      <c r="HP215" s="37"/>
      <c r="HQ215" s="37"/>
      <c r="HR215" s="37"/>
      <c r="HS215" s="37"/>
      <c r="HT215" s="37"/>
      <c r="HU215" s="37"/>
      <c r="HV215" s="37"/>
      <c r="HW215" s="37"/>
      <c r="HX215" s="37"/>
      <c r="HY215" s="37"/>
      <c r="HZ215" s="37"/>
      <c r="IA215" s="37"/>
      <c r="IB215" s="37"/>
      <c r="IC215" s="37"/>
      <c r="ID215" s="37"/>
      <c r="IE215" s="37"/>
      <c r="IF215" s="37"/>
      <c r="IG215" s="37"/>
      <c r="IH215" s="37"/>
      <c r="II215" s="37"/>
      <c r="IJ215" s="37"/>
      <c r="IK215" s="37"/>
      <c r="IL215" s="37"/>
      <c r="IM215" s="37"/>
      <c r="IN215" s="37"/>
      <c r="IO215" s="45"/>
      <c r="IP215" s="45"/>
      <c r="IQ215" s="45"/>
      <c r="IR215" s="37"/>
      <c r="JR215" s="37"/>
    </row>
    <row r="216" spans="3:278" ht="15" customHeight="1">
      <c r="C216" s="354"/>
      <c r="E216" s="26"/>
      <c r="I216" s="37"/>
      <c r="J216" s="45"/>
      <c r="K216" s="45"/>
      <c r="L216" s="45"/>
      <c r="M216" s="45"/>
      <c r="N216" s="45"/>
      <c r="P216" s="329"/>
      <c r="Q216" s="45"/>
      <c r="R216" s="45"/>
      <c r="S216" s="45"/>
      <c r="T216" s="45"/>
      <c r="U216" s="45"/>
      <c r="V216" s="45"/>
      <c r="W216" s="45"/>
      <c r="X216" s="45"/>
      <c r="Y216" s="45"/>
      <c r="Z216" s="45"/>
      <c r="AA216" s="406"/>
      <c r="AB216" s="406"/>
      <c r="AC216" s="406"/>
      <c r="AE216" s="44" t="s">
        <v>4677</v>
      </c>
      <c r="AF216" s="808">
        <f>COUNTIFS($AF$3:$AF$200,2,$AL$3:$AL$200,"&gt;0",$AL$3:$AL$200,"&lt;=9")+COUNTIFS($AF$3:$AF$200,2,$AL$3:$AL$200,"1, 2")+COUNTIFS($AF$3:$AF$200,2,$AL$3:$AL$200,"1, 5")+COUNTIFS($AF$3:$AF$200,2,$AL$3:$AL$200,"4, 5")</f>
        <v>72</v>
      </c>
      <c r="AG216" s="807">
        <f>AG206+AG208+AG210</f>
        <v>37</v>
      </c>
      <c r="AH216" s="329" t="s">
        <v>1614</v>
      </c>
      <c r="AI216" s="45"/>
      <c r="AJ216" s="45"/>
      <c r="AL216" s="45"/>
      <c r="AM216" s="45"/>
      <c r="AN216" s="45"/>
      <c r="AO216" s="45"/>
      <c r="AP216" s="45"/>
      <c r="AS216" s="45"/>
      <c r="AW216" s="45"/>
      <c r="AX216" s="45"/>
      <c r="AZ216" s="45"/>
      <c r="BA216" s="45"/>
      <c r="BB216" s="45"/>
      <c r="BC216" s="37"/>
      <c r="BD216" s="45"/>
      <c r="BE216" s="45"/>
      <c r="BF216" s="37"/>
      <c r="BG216" s="45"/>
      <c r="BH216" s="45"/>
      <c r="BI216" s="45"/>
      <c r="BJ216" s="45"/>
      <c r="CG216" s="406"/>
      <c r="CN216" s="1063"/>
      <c r="CO216" s="1063"/>
      <c r="CQ216" s="1060"/>
      <c r="CR216" s="1062"/>
      <c r="CS216" s="1061"/>
      <c r="CT216" s="1061"/>
      <c r="CV216" s="1105"/>
      <c r="CW216" s="1111"/>
      <c r="CX216" s="1111"/>
      <c r="DC216" s="928"/>
      <c r="DY216" s="37"/>
      <c r="DZ216" s="37"/>
      <c r="EA216" s="407"/>
      <c r="EB216" s="37"/>
      <c r="EC216" s="37"/>
      <c r="ED216" s="407"/>
      <c r="EE216" s="37"/>
      <c r="EF216" s="37"/>
      <c r="EH216" s="45"/>
      <c r="EI216" s="37"/>
      <c r="EK216" s="45"/>
      <c r="EL216" s="37"/>
      <c r="EM216" s="37"/>
      <c r="EN216" s="37"/>
      <c r="EO216" s="37"/>
      <c r="EP216" s="37"/>
      <c r="EQ216" s="37"/>
      <c r="ER216" s="37"/>
      <c r="ES216" s="37"/>
      <c r="ET216" s="37"/>
      <c r="EU216" s="37"/>
      <c r="EV216" s="37"/>
      <c r="EW216" s="37"/>
      <c r="EX216" s="37"/>
      <c r="EZ216" s="37"/>
      <c r="FA216" s="37"/>
      <c r="FB216" s="37"/>
      <c r="FC216" s="37"/>
      <c r="FD216" s="408"/>
      <c r="FE216" s="37"/>
      <c r="FF216" s="37"/>
      <c r="FG216" s="37"/>
      <c r="FH216" s="37"/>
      <c r="FI216" s="45"/>
      <c r="FJ216" s="45"/>
      <c r="FK216" s="45"/>
      <c r="FL216" s="45"/>
      <c r="FM216" s="45"/>
      <c r="FN216" s="45"/>
      <c r="FO216" s="329"/>
      <c r="FP216" s="45"/>
      <c r="FQ216" s="37"/>
      <c r="FR216" s="45"/>
      <c r="FS216" s="37"/>
      <c r="FT216" s="45"/>
      <c r="FU216" s="37"/>
      <c r="FV216" s="45"/>
      <c r="FW216" s="37"/>
      <c r="FX216" s="45"/>
      <c r="FY216" s="37"/>
      <c r="FZ216" s="45"/>
      <c r="GA216" s="37"/>
      <c r="GB216" s="45"/>
      <c r="GC216" s="37"/>
      <c r="GD216" s="44" t="s">
        <v>145</v>
      </c>
      <c r="GE216" s="441">
        <f>COUNTIF(GE$3:GE$200,"-")</f>
        <v>3</v>
      </c>
      <c r="GF216" s="37"/>
      <c r="GG216" s="37"/>
      <c r="GH216" s="37"/>
      <c r="GI216" s="37"/>
      <c r="GJ216" s="37"/>
      <c r="GK216" s="37"/>
      <c r="GL216" s="37"/>
      <c r="GM216" s="37"/>
      <c r="GN216" s="37"/>
      <c r="GS216" s="18">
        <f t="shared" si="222"/>
        <v>3</v>
      </c>
      <c r="GT216" s="15">
        <v>-2</v>
      </c>
      <c r="GU216" s="37"/>
      <c r="GV216" s="37"/>
      <c r="GW216" s="37"/>
      <c r="GX216" s="37"/>
      <c r="GY216" s="37"/>
      <c r="HF216" s="37"/>
      <c r="HG216" s="37"/>
      <c r="HH216" s="37"/>
      <c r="HI216" s="37"/>
      <c r="HJ216" s="37"/>
      <c r="HK216" s="37"/>
      <c r="HL216" s="37"/>
      <c r="HM216" s="37"/>
      <c r="HN216" s="37"/>
      <c r="HO216" s="37"/>
      <c r="HP216" s="37"/>
      <c r="HQ216" s="37"/>
      <c r="HR216" s="37"/>
      <c r="HS216" s="37"/>
      <c r="HT216" s="37"/>
      <c r="HU216" s="37"/>
      <c r="HV216" s="37"/>
      <c r="HW216" s="37"/>
      <c r="HX216" s="37"/>
      <c r="HY216" s="37"/>
      <c r="HZ216" s="37"/>
      <c r="IA216" s="37"/>
      <c r="IB216" s="37"/>
      <c r="IC216" s="37"/>
      <c r="ID216" s="37"/>
      <c r="IE216" s="37"/>
      <c r="IF216" s="37"/>
      <c r="IG216" s="37"/>
      <c r="IH216" s="37"/>
      <c r="II216" s="37"/>
      <c r="IJ216" s="37"/>
      <c r="IK216" s="37"/>
      <c r="IL216" s="37"/>
      <c r="IM216" s="37"/>
      <c r="IN216" s="37"/>
      <c r="IO216" s="45"/>
      <c r="IP216" s="45"/>
      <c r="IQ216" s="45"/>
      <c r="IR216" s="37"/>
      <c r="JR216" s="37"/>
    </row>
    <row r="217" spans="3:278" ht="15" customHeight="1">
      <c r="C217" s="354"/>
      <c r="E217" s="15"/>
      <c r="I217" s="37"/>
      <c r="J217" s="45"/>
      <c r="K217" s="45"/>
      <c r="L217" s="45"/>
      <c r="M217" s="45"/>
      <c r="N217" s="45"/>
      <c r="P217" s="329"/>
      <c r="Q217" s="45"/>
      <c r="R217" s="45"/>
      <c r="S217" s="45"/>
      <c r="T217" s="45"/>
      <c r="U217" s="45"/>
      <c r="V217" s="45"/>
      <c r="W217" s="45"/>
      <c r="X217" s="45"/>
      <c r="Y217" s="45"/>
      <c r="Z217" s="45"/>
      <c r="AA217" s="406"/>
      <c r="AB217" s="406"/>
      <c r="AC217" s="406"/>
      <c r="AE217" s="44" t="s">
        <v>4678</v>
      </c>
      <c r="AF217" s="638">
        <f>COUNTIFS($AF$3:$AF$200,3,$AL$3:$AL$200,"&gt;0",$AL$3:$AL$200,"&lt;=9")+COUNTIFS($AF$3:$AF$200,3,$AL$3:$AL$200,"1, 2")+COUNTIFS($AF$3:$AF$200,3,$AL$3:$AL$200,"1, 5")+COUNTIFS($AF$3:$AF$200,3,$AL$3:$AL$200,"4, 5")</f>
        <v>20</v>
      </c>
      <c r="AG217" s="405">
        <f>SUM(AG215:AG216)</f>
        <v>148</v>
      </c>
      <c r="AH217" s="45"/>
      <c r="AI217" s="45"/>
      <c r="AJ217" s="45"/>
      <c r="AL217" s="634" t="s">
        <v>4631</v>
      </c>
      <c r="AM217" s="45"/>
      <c r="AN217" s="45"/>
      <c r="AO217" s="45"/>
      <c r="AP217" s="45"/>
      <c r="AS217" s="45"/>
      <c r="AW217" s="45"/>
      <c r="AX217" s="45"/>
      <c r="AZ217" s="45"/>
      <c r="BA217" s="45"/>
      <c r="BB217" s="45"/>
      <c r="BC217" s="69"/>
      <c r="BD217" s="45"/>
      <c r="BE217" s="45"/>
      <c r="BF217" s="69"/>
      <c r="BG217" s="409"/>
      <c r="BH217" s="45"/>
      <c r="BI217" s="409"/>
      <c r="BJ217" s="409"/>
      <c r="CG217" s="406"/>
      <c r="CN217" s="1063"/>
      <c r="CO217" s="1063"/>
      <c r="CQ217" s="1060"/>
      <c r="CR217" s="1062"/>
      <c r="CS217" s="1061"/>
      <c r="CT217" s="1061"/>
      <c r="CV217" s="1105"/>
      <c r="CW217" s="1111"/>
      <c r="CX217" s="1111"/>
      <c r="DC217" s="928"/>
      <c r="DD217" s="1217">
        <f>SUM(DD213:DD215)</f>
        <v>1494361.887258</v>
      </c>
      <c r="DE217" s="1160"/>
      <c r="DF217" s="1160"/>
      <c r="DG217" s="1217">
        <f>SUM(DG213:DG215)</f>
        <v>743260.41716059833</v>
      </c>
      <c r="DH217" s="1217">
        <f>SUM(DH213:DH215)</f>
        <v>751006.50084940204</v>
      </c>
      <c r="DI217" s="1160"/>
      <c r="DJ217" s="1160"/>
      <c r="DK217" s="1217">
        <f>SUM(DK213:DK215)</f>
        <v>1017949.8602879999</v>
      </c>
      <c r="DL217" s="1216"/>
      <c r="DM217" s="1217">
        <f>SUM(DM213:DM215)</f>
        <v>500262.85677059821</v>
      </c>
      <c r="DN217" s="1217">
        <f>SUM(DN213:DN215)</f>
        <v>517683.04724240175</v>
      </c>
      <c r="DO217" s="1217">
        <f>SUM(DO213:DO215)</f>
        <v>303983.81075100013</v>
      </c>
      <c r="DP217" s="1216"/>
      <c r="DQ217" s="1217">
        <f>SUM(DQ213:DQ215)</f>
        <v>155057.94640400007</v>
      </c>
      <c r="DR217" s="1217">
        <f>SUM(DR213:DR215)</f>
        <v>148867.91831800001</v>
      </c>
      <c r="DS217" s="1217">
        <f>SUM(DS213:DS215)</f>
        <v>172428.21621899999</v>
      </c>
      <c r="DT217" s="1161"/>
      <c r="DU217" s="1217">
        <f>SUM(DU213:DU215)</f>
        <v>87939.613986000026</v>
      </c>
      <c r="DV217" s="1217">
        <f>SUM(DV213:DV215)</f>
        <v>84455.535289000007</v>
      </c>
      <c r="DW217" s="1160"/>
      <c r="DX217" s="1160"/>
      <c r="DY217" s="37"/>
      <c r="DZ217" s="37"/>
      <c r="EA217" s="407"/>
      <c r="EB217" s="37"/>
      <c r="EC217" s="37"/>
      <c r="ED217" s="407"/>
      <c r="EE217" s="37"/>
      <c r="EF217" s="37"/>
      <c r="EH217" s="45"/>
      <c r="EI217" s="37"/>
      <c r="EK217" s="45"/>
      <c r="EL217" s="37"/>
      <c r="EM217" s="37"/>
      <c r="EN217" s="37"/>
      <c r="EO217" s="37"/>
      <c r="EP217" s="37"/>
      <c r="EQ217" s="37"/>
      <c r="ER217" s="37"/>
      <c r="ES217" s="37"/>
      <c r="ET217" s="37"/>
      <c r="EU217" s="37"/>
      <c r="EV217" s="37"/>
      <c r="EW217" s="37"/>
      <c r="EX217" s="37"/>
      <c r="EZ217" s="37"/>
      <c r="FA217" s="37"/>
      <c r="FB217" s="37"/>
      <c r="FC217" s="37"/>
      <c r="FD217" s="408"/>
      <c r="FE217" s="37"/>
      <c r="FF217" s="37"/>
      <c r="FG217" s="37"/>
      <c r="FH217" s="37"/>
      <c r="FI217" s="45"/>
      <c r="FJ217" s="45"/>
      <c r="FK217" s="45"/>
      <c r="FL217" s="45"/>
      <c r="FM217" s="45"/>
      <c r="FN217" s="45"/>
      <c r="FO217" s="329"/>
      <c r="FP217" s="45"/>
      <c r="FQ217" s="37"/>
      <c r="FR217" s="45"/>
      <c r="FS217" s="37"/>
      <c r="FT217" s="45"/>
      <c r="FU217" s="37"/>
      <c r="FV217" s="45"/>
      <c r="FW217" s="37"/>
      <c r="FX217" s="45"/>
      <c r="FY217" s="37"/>
      <c r="FZ217" s="45"/>
      <c r="GA217" s="37"/>
      <c r="GB217" s="45"/>
      <c r="GC217" s="37"/>
      <c r="GE217" s="405">
        <f>SUM(GE204:GE216)</f>
        <v>198</v>
      </c>
      <c r="GG217" s="37"/>
      <c r="GH217" s="37"/>
      <c r="GI217" s="37"/>
      <c r="GJ217" s="37"/>
      <c r="GK217" s="37"/>
      <c r="GL217" s="37"/>
      <c r="GM217" s="37"/>
      <c r="GN217" s="37"/>
      <c r="GP217" s="443"/>
      <c r="GQ217" s="443"/>
      <c r="GR217" s="443"/>
      <c r="GS217" s="18">
        <f t="shared" si="222"/>
        <v>4</v>
      </c>
      <c r="GT217" s="416">
        <v>-3</v>
      </c>
      <c r="GU217" s="37"/>
      <c r="GV217" s="37"/>
      <c r="GW217" s="37"/>
      <c r="GX217" s="37"/>
      <c r="GY217" s="37"/>
      <c r="HF217" s="37"/>
      <c r="HG217" s="37"/>
      <c r="HH217" s="37"/>
      <c r="HI217" s="37"/>
      <c r="HJ217" s="37"/>
      <c r="HK217" s="37"/>
      <c r="HL217" s="37"/>
      <c r="HM217" s="37"/>
      <c r="HN217" s="37"/>
      <c r="HO217" s="37"/>
      <c r="HP217" s="37"/>
      <c r="HQ217" s="37"/>
      <c r="HR217" s="37"/>
      <c r="HS217" s="37"/>
      <c r="HT217" s="37"/>
      <c r="HU217" s="37"/>
      <c r="HV217" s="37"/>
      <c r="HW217" s="37"/>
      <c r="HX217" s="37"/>
      <c r="HY217" s="37"/>
      <c r="HZ217" s="37"/>
      <c r="IA217" s="37"/>
      <c r="IB217" s="37"/>
      <c r="IC217" s="37"/>
      <c r="ID217" s="37"/>
      <c r="IE217" s="37"/>
      <c r="IF217" s="37"/>
      <c r="IG217" s="37"/>
      <c r="IH217" s="37"/>
      <c r="II217" s="37"/>
      <c r="IJ217" s="37"/>
      <c r="IK217" s="37"/>
      <c r="IL217" s="37"/>
      <c r="IM217" s="37"/>
      <c r="IN217" s="37"/>
      <c r="IO217" s="45"/>
      <c r="IP217" s="45"/>
      <c r="IQ217" s="45"/>
      <c r="IR217" s="37"/>
      <c r="JR217" s="37"/>
    </row>
    <row r="218" spans="3:278" ht="15" customHeight="1">
      <c r="C218" s="354"/>
      <c r="E218" s="15"/>
      <c r="H218" s="410"/>
      <c r="I218" s="37"/>
      <c r="J218" s="45"/>
      <c r="K218" s="45"/>
      <c r="L218" s="45"/>
      <c r="M218" s="45"/>
      <c r="N218" s="45"/>
      <c r="P218" s="329"/>
      <c r="Q218" s="45"/>
      <c r="R218" s="45"/>
      <c r="S218" s="45"/>
      <c r="T218" s="45"/>
      <c r="U218" s="45"/>
      <c r="V218" s="45"/>
      <c r="W218" s="45"/>
      <c r="X218" s="45"/>
      <c r="Y218" s="45"/>
      <c r="Z218" s="45"/>
      <c r="AA218" s="406"/>
      <c r="AB218" s="406"/>
      <c r="AC218" s="406"/>
      <c r="AE218" s="653">
        <f>AF218/AG217</f>
        <v>0.7567567567567568</v>
      </c>
      <c r="AF218" s="405">
        <f>SUM(AF215:AF217)</f>
        <v>112</v>
      </c>
      <c r="AG218" s="45"/>
      <c r="AH218" s="45"/>
      <c r="AI218" s="45"/>
      <c r="AJ218" s="45"/>
      <c r="AK218" s="14" t="s">
        <v>4639</v>
      </c>
      <c r="AL218" s="437">
        <f>SUM(AL205:AL213)</f>
        <v>112</v>
      </c>
      <c r="AM218" s="45"/>
      <c r="AN218" s="45"/>
      <c r="AO218" s="45"/>
      <c r="AP218" s="45"/>
      <c r="AS218" s="45"/>
      <c r="AW218" s="45"/>
      <c r="AX218" s="45"/>
      <c r="AZ218" s="45"/>
      <c r="BA218" s="45"/>
      <c r="BB218" s="45"/>
      <c r="BC218" s="37"/>
      <c r="BD218" s="45"/>
      <c r="BE218" s="45"/>
      <c r="BF218" s="37"/>
      <c r="BG218" s="45"/>
      <c r="BH218" s="45"/>
      <c r="BI218" s="45"/>
      <c r="BJ218" s="45"/>
      <c r="CG218" s="406"/>
      <c r="CN218" s="1063"/>
      <c r="CO218" s="1063"/>
      <c r="CQ218" s="1060"/>
      <c r="CR218" s="1062"/>
      <c r="CS218" s="1061"/>
      <c r="CT218" s="1061"/>
      <c r="CV218" s="1105"/>
      <c r="CW218" s="1111"/>
      <c r="CX218" s="1111"/>
      <c r="DZ218" s="37"/>
      <c r="EA218" s="407"/>
      <c r="EB218" s="37"/>
      <c r="EC218" s="37"/>
      <c r="ED218" s="407"/>
      <c r="EE218" s="37"/>
      <c r="EF218" s="37"/>
      <c r="EH218" s="45"/>
      <c r="EI218" s="37"/>
      <c r="EK218" s="45"/>
      <c r="EL218" s="37"/>
      <c r="EM218" s="37"/>
      <c r="EN218" s="37"/>
      <c r="EO218" s="37"/>
      <c r="EP218" s="37"/>
      <c r="EQ218" s="37"/>
      <c r="ER218" s="37"/>
      <c r="ES218" s="37"/>
      <c r="ET218" s="37"/>
      <c r="EU218" s="37"/>
      <c r="EV218" s="37"/>
      <c r="EW218" s="37"/>
      <c r="EX218" s="37"/>
      <c r="EZ218" s="37"/>
      <c r="FA218" s="37"/>
      <c r="FB218" s="37"/>
      <c r="FC218" s="37"/>
      <c r="FD218" s="408"/>
      <c r="FE218" s="37"/>
      <c r="FF218" s="37"/>
      <c r="FG218" s="37"/>
      <c r="FH218" s="37"/>
      <c r="FI218" s="45"/>
      <c r="FJ218" s="45"/>
      <c r="FK218" s="45"/>
      <c r="FL218" s="45"/>
      <c r="FM218" s="45"/>
      <c r="FN218" s="45"/>
      <c r="FO218" s="329"/>
      <c r="FP218" s="45"/>
      <c r="FQ218" s="37"/>
      <c r="FR218" s="45"/>
      <c r="FS218" s="37"/>
      <c r="FT218" s="45"/>
      <c r="FU218" s="37"/>
      <c r="FV218" s="45"/>
      <c r="FW218" s="37"/>
      <c r="FX218" s="45"/>
      <c r="FY218" s="37"/>
      <c r="FZ218" s="45"/>
      <c r="GA218" s="37"/>
      <c r="GB218" s="45"/>
      <c r="GC218" s="37"/>
      <c r="GD218" s="792" t="s">
        <v>5188</v>
      </c>
      <c r="GE218" s="37"/>
      <c r="GF218" s="37"/>
      <c r="GG218" s="37"/>
      <c r="GH218" s="37"/>
      <c r="GI218" s="37"/>
      <c r="GJ218" s="37"/>
      <c r="GK218" s="37"/>
      <c r="GL218" s="37"/>
      <c r="GM218" s="37"/>
      <c r="GN218" s="37"/>
      <c r="GP218" s="443"/>
      <c r="GQ218" s="443"/>
      <c r="GR218" s="443"/>
      <c r="GS218" s="18">
        <f t="shared" si="222"/>
        <v>1</v>
      </c>
      <c r="GT218" s="416">
        <v>-4</v>
      </c>
      <c r="GU218" s="37"/>
      <c r="GV218" s="37"/>
      <c r="GW218" s="37"/>
      <c r="GX218" s="37"/>
      <c r="GY218" s="37"/>
      <c r="HF218" s="37"/>
      <c r="HG218" s="37"/>
      <c r="HH218" s="37"/>
      <c r="HI218" s="37"/>
      <c r="HJ218" s="37"/>
      <c r="HK218" s="37"/>
      <c r="HL218" s="37"/>
      <c r="HM218" s="37"/>
      <c r="HN218" s="37"/>
      <c r="HO218" s="37"/>
      <c r="HP218" s="37"/>
      <c r="HQ218" s="37"/>
      <c r="HR218" s="37"/>
      <c r="HS218" s="37"/>
      <c r="HT218" s="37"/>
      <c r="HU218" s="37"/>
      <c r="HV218" s="37"/>
      <c r="HW218" s="37"/>
      <c r="HX218" s="37"/>
      <c r="HY218" s="37"/>
      <c r="HZ218" s="37"/>
      <c r="IA218" s="37"/>
      <c r="IB218" s="37"/>
      <c r="IC218" s="37"/>
      <c r="ID218" s="37"/>
      <c r="IE218" s="37"/>
      <c r="IF218" s="37"/>
      <c r="IG218" s="37"/>
      <c r="IH218" s="37"/>
      <c r="II218" s="37"/>
      <c r="IJ218" s="37"/>
      <c r="IK218" s="37"/>
      <c r="IL218" s="37"/>
      <c r="IM218" s="37"/>
      <c r="IN218" s="37"/>
      <c r="IO218" s="45"/>
      <c r="IP218" s="45"/>
      <c r="IQ218" s="45"/>
      <c r="IR218" s="37"/>
      <c r="JR218" s="37"/>
    </row>
    <row r="219" spans="3:278" ht="15" customHeight="1">
      <c r="C219" s="354"/>
      <c r="E219" s="15"/>
      <c r="H219" s="410"/>
      <c r="I219" s="37"/>
      <c r="J219" s="45"/>
      <c r="K219" s="45"/>
      <c r="L219" s="45"/>
      <c r="M219" s="45"/>
      <c r="N219" s="45"/>
      <c r="O219" s="839"/>
      <c r="P219" s="329"/>
      <c r="Q219" s="45"/>
      <c r="R219" s="45"/>
      <c r="S219" s="45"/>
      <c r="T219" s="45"/>
      <c r="U219" s="45"/>
      <c r="V219" s="45"/>
      <c r="W219" s="45"/>
      <c r="X219" s="45"/>
      <c r="Y219" s="45"/>
      <c r="Z219" s="45"/>
      <c r="AA219" s="406"/>
      <c r="AB219" s="406"/>
      <c r="AC219" s="406"/>
      <c r="AK219" s="14" t="s">
        <v>4640</v>
      </c>
      <c r="AL219" s="19">
        <f>AL214</f>
        <v>36</v>
      </c>
      <c r="AM219" s="45"/>
      <c r="AN219" s="45"/>
      <c r="AO219" s="45"/>
      <c r="AP219" s="45"/>
      <c r="AS219" s="45"/>
      <c r="AW219" s="45"/>
      <c r="AX219" s="45"/>
      <c r="AZ219" s="45"/>
      <c r="BA219" s="45"/>
      <c r="BB219" s="45"/>
      <c r="BC219" s="37"/>
      <c r="BD219" s="45"/>
      <c r="BE219" s="45"/>
      <c r="BF219" s="37"/>
      <c r="BG219" s="45"/>
      <c r="BH219" s="45"/>
      <c r="BI219" s="45"/>
      <c r="BJ219" s="45"/>
      <c r="CG219" s="406"/>
      <c r="CN219" s="1063"/>
      <c r="CO219" s="1063"/>
      <c r="CQ219" s="1060"/>
      <c r="CR219" s="1062"/>
      <c r="CS219" s="1061"/>
      <c r="CT219" s="1061"/>
      <c r="CU219" s="1061"/>
      <c r="CV219" s="1061"/>
      <c r="CW219" s="1111"/>
      <c r="CX219" s="1111"/>
      <c r="DD219" s="1127" t="s">
        <v>5565</v>
      </c>
      <c r="DG219" s="37"/>
      <c r="DH219" s="37"/>
      <c r="DM219" s="37"/>
      <c r="DN219" s="37"/>
      <c r="DQ219" s="37"/>
      <c r="DR219" s="37"/>
      <c r="DT219" s="37"/>
      <c r="DU219" s="37"/>
      <c r="DV219" s="37"/>
      <c r="DZ219" s="37"/>
      <c r="EA219" s="407"/>
      <c r="EB219" s="37"/>
      <c r="EC219" s="37"/>
      <c r="ED219" s="407"/>
      <c r="EE219" s="37"/>
      <c r="EF219" s="37"/>
      <c r="EG219" s="37"/>
      <c r="EH219" s="45"/>
      <c r="EI219" s="37"/>
      <c r="EK219" s="45"/>
      <c r="EL219" s="37"/>
      <c r="EM219" s="37"/>
      <c r="EN219" s="37"/>
      <c r="EO219" s="37"/>
      <c r="EP219" s="37"/>
      <c r="EQ219" s="37"/>
      <c r="ER219" s="37"/>
      <c r="ES219" s="37"/>
      <c r="ET219" s="37"/>
      <c r="EU219" s="37"/>
      <c r="EV219" s="37"/>
      <c r="EW219" s="37"/>
      <c r="EX219" s="37"/>
      <c r="EZ219" s="37"/>
      <c r="FA219" s="37"/>
      <c r="FB219" s="37"/>
      <c r="FC219" s="37"/>
      <c r="FD219" s="408"/>
      <c r="FE219" s="37"/>
      <c r="FF219" s="37"/>
      <c r="FG219" s="37"/>
      <c r="FH219" s="37"/>
      <c r="FI219" s="45"/>
      <c r="FJ219" s="45"/>
      <c r="FK219" s="45"/>
      <c r="FL219" s="45"/>
      <c r="FM219" s="45"/>
      <c r="FN219" s="45"/>
      <c r="FO219" s="329"/>
      <c r="FP219" s="45"/>
      <c r="FQ219" s="37"/>
      <c r="FR219" s="45"/>
      <c r="FS219" s="37"/>
      <c r="FT219" s="45"/>
      <c r="FU219" s="37"/>
      <c r="FV219" s="45"/>
      <c r="FW219" s="37"/>
      <c r="FX219" s="45"/>
      <c r="FY219" s="37"/>
      <c r="FZ219" s="45"/>
      <c r="GA219" s="37"/>
      <c r="GB219" s="45"/>
      <c r="GC219" s="37" t="s">
        <v>3424</v>
      </c>
      <c r="GD219" s="698">
        <f>COUNTIF($GD$3:$GD$200,1)</f>
        <v>116</v>
      </c>
      <c r="GE219" s="37"/>
      <c r="GG219" s="37"/>
      <c r="GH219" s="37"/>
      <c r="GI219" s="37"/>
      <c r="GJ219" s="37"/>
      <c r="GK219" s="37"/>
      <c r="GL219" s="37"/>
      <c r="GM219" s="37"/>
      <c r="GN219" s="37"/>
      <c r="GP219" s="443"/>
      <c r="GQ219" s="443"/>
      <c r="GR219" s="443"/>
      <c r="GS219" s="18">
        <f t="shared" si="222"/>
        <v>1</v>
      </c>
      <c r="GT219" s="416">
        <v>-5</v>
      </c>
      <c r="GU219" s="37"/>
      <c r="GV219" s="37"/>
      <c r="GW219" s="37"/>
      <c r="GX219" s="37"/>
      <c r="GY219" s="37"/>
      <c r="HF219" s="37"/>
      <c r="HG219" s="37"/>
      <c r="HH219" s="37"/>
      <c r="HI219" s="37"/>
      <c r="HJ219" s="37"/>
      <c r="HK219" s="37"/>
      <c r="HL219" s="37"/>
      <c r="HM219" s="37"/>
      <c r="HN219" s="37"/>
      <c r="HO219" s="37"/>
      <c r="HP219" s="37"/>
      <c r="HQ219" s="37"/>
      <c r="HR219" s="37"/>
      <c r="HS219" s="37"/>
      <c r="HT219" s="37"/>
      <c r="HU219" s="37"/>
      <c r="HV219" s="37"/>
      <c r="HW219" s="37"/>
      <c r="HX219" s="37"/>
      <c r="HY219" s="37"/>
      <c r="HZ219" s="37"/>
      <c r="IA219" s="37"/>
      <c r="IB219" s="37"/>
      <c r="IC219" s="37"/>
      <c r="ID219" s="37"/>
      <c r="IE219" s="37"/>
      <c r="IF219" s="37"/>
      <c r="IG219" s="37"/>
      <c r="IH219" s="37"/>
      <c r="II219" s="37"/>
      <c r="IJ219" s="37"/>
      <c r="IK219" s="37"/>
      <c r="IL219" s="37"/>
      <c r="IM219" s="37"/>
      <c r="IN219" s="37"/>
      <c r="IO219" s="45"/>
      <c r="IP219" s="45"/>
      <c r="IQ219" s="45"/>
      <c r="IR219" s="37"/>
      <c r="JR219" s="37"/>
    </row>
    <row r="220" spans="3:278" ht="15" customHeight="1">
      <c r="C220" s="354"/>
      <c r="E220" s="15"/>
      <c r="Q220" s="45"/>
      <c r="R220" s="45"/>
      <c r="S220" s="45"/>
      <c r="T220" s="45"/>
      <c r="U220" s="45"/>
      <c r="V220" s="45"/>
      <c r="W220" s="45"/>
      <c r="X220" s="45"/>
      <c r="Y220" s="45"/>
      <c r="Z220" s="45"/>
      <c r="AA220" s="406"/>
      <c r="AB220" s="406"/>
      <c r="AC220" s="406"/>
      <c r="AL220" s="405">
        <f>AL218+AL219</f>
        <v>148</v>
      </c>
      <c r="AM220" s="45"/>
      <c r="AN220" s="45"/>
      <c r="AO220" s="45"/>
      <c r="AP220" s="45"/>
      <c r="AS220" s="45"/>
      <c r="AW220" s="45"/>
      <c r="AX220" s="45"/>
      <c r="AZ220" s="45"/>
      <c r="BA220" s="45"/>
      <c r="BB220" s="45"/>
      <c r="BC220" s="69"/>
      <c r="BD220" s="45"/>
      <c r="BE220" s="45"/>
      <c r="BF220" s="69"/>
      <c r="BG220" s="409"/>
      <c r="BH220" s="45"/>
      <c r="BI220" s="409"/>
      <c r="BJ220" s="409"/>
      <c r="CG220" s="406"/>
      <c r="CN220" s="1063"/>
      <c r="CO220" s="1063"/>
      <c r="CQ220" s="1060"/>
      <c r="CR220" s="1062"/>
      <c r="CT220" s="1061"/>
      <c r="CU220" s="1061"/>
      <c r="CV220" s="1061"/>
      <c r="CW220" s="1111"/>
      <c r="CX220" s="1111"/>
      <c r="DD220" s="37" t="s">
        <v>5566</v>
      </c>
      <c r="DG220" s="37"/>
      <c r="DH220" s="37"/>
      <c r="DM220" s="37"/>
      <c r="DN220" s="37"/>
      <c r="DQ220" s="37"/>
      <c r="DR220" s="37"/>
      <c r="DU220" s="37"/>
      <c r="DV220" s="37"/>
      <c r="DZ220" s="37"/>
      <c r="EA220" s="407"/>
      <c r="EB220" s="37"/>
      <c r="EC220" s="37"/>
      <c r="ED220" s="407"/>
      <c r="EE220" s="37"/>
      <c r="EF220" s="37"/>
      <c r="EG220" s="37"/>
      <c r="EI220" s="37"/>
      <c r="EJ220" s="45"/>
      <c r="EK220" s="45"/>
      <c r="EL220" s="37"/>
      <c r="EM220" s="37"/>
      <c r="EN220" s="37"/>
      <c r="EO220" s="37"/>
      <c r="EP220" s="37"/>
      <c r="EQ220" s="37"/>
      <c r="ER220" s="37"/>
      <c r="ES220" s="37"/>
      <c r="ET220" s="37"/>
      <c r="EU220" s="37"/>
      <c r="EV220" s="37"/>
      <c r="EW220" s="37"/>
      <c r="EX220" s="37"/>
      <c r="EZ220" s="37"/>
      <c r="FA220" s="37"/>
      <c r="FB220" s="37"/>
      <c r="FC220" s="37"/>
      <c r="FD220" s="408"/>
      <c r="FE220" s="37"/>
      <c r="FF220" s="37"/>
      <c r="FG220" s="37"/>
      <c r="FH220" s="37"/>
      <c r="FI220" s="45"/>
      <c r="FJ220" s="45"/>
      <c r="FK220" s="45"/>
      <c r="FL220" s="45"/>
      <c r="FM220" s="45"/>
      <c r="FN220" s="45"/>
      <c r="FO220" s="329"/>
      <c r="FP220" s="45"/>
      <c r="FQ220" s="37"/>
      <c r="FR220" s="45"/>
      <c r="FS220" s="37"/>
      <c r="FT220" s="45"/>
      <c r="FU220" s="37"/>
      <c r="FV220" s="45"/>
      <c r="FW220" s="37"/>
      <c r="FX220" s="45"/>
      <c r="FY220" s="37"/>
      <c r="FZ220" s="45"/>
      <c r="GA220" s="37"/>
      <c r="GB220" s="45"/>
      <c r="GC220" s="37" t="s">
        <v>3425</v>
      </c>
      <c r="GD220" s="741">
        <f>COUNTIF($GD$3:$GD$200,2)</f>
        <v>55</v>
      </c>
      <c r="GE220" s="37"/>
      <c r="GG220" s="37"/>
      <c r="GH220" s="37"/>
      <c r="GI220" s="37"/>
      <c r="GJ220" s="37"/>
      <c r="GK220" s="37"/>
      <c r="GL220" s="37"/>
      <c r="GM220" s="37"/>
      <c r="GN220" s="37"/>
      <c r="GS220" s="18">
        <f t="shared" si="222"/>
        <v>4</v>
      </c>
      <c r="GT220" s="15">
        <v>-6</v>
      </c>
      <c r="GU220" s="37"/>
      <c r="GV220" s="37"/>
      <c r="GX220" s="37"/>
      <c r="GY220" s="37"/>
      <c r="HF220" s="37"/>
      <c r="HG220" s="37"/>
      <c r="HH220" s="37"/>
      <c r="HI220" s="37"/>
      <c r="HJ220" s="37"/>
      <c r="HK220" s="37"/>
      <c r="HL220" s="37"/>
      <c r="HM220" s="37"/>
      <c r="HN220" s="37"/>
      <c r="HO220" s="37"/>
      <c r="HP220" s="37"/>
      <c r="HQ220" s="37"/>
      <c r="HR220" s="37"/>
      <c r="HS220" s="37"/>
      <c r="HT220" s="37"/>
      <c r="HU220" s="37"/>
      <c r="HV220" s="37"/>
      <c r="HW220" s="37"/>
      <c r="HX220" s="37"/>
      <c r="HY220" s="37"/>
      <c r="HZ220" s="37"/>
      <c r="IA220" s="37"/>
      <c r="IB220" s="37"/>
      <c r="IC220" s="37"/>
      <c r="ID220" s="37"/>
      <c r="IE220" s="37"/>
      <c r="IF220" s="37"/>
      <c r="IG220" s="37"/>
      <c r="IH220" s="37"/>
      <c r="II220" s="37"/>
      <c r="IJ220" s="37"/>
      <c r="IK220" s="37"/>
      <c r="IL220" s="37"/>
      <c r="IM220" s="37"/>
      <c r="IN220" s="37"/>
      <c r="IO220" s="45"/>
      <c r="IP220" s="45"/>
      <c r="IQ220" s="45"/>
      <c r="IR220" s="37"/>
      <c r="JR220" s="37"/>
    </row>
    <row r="221" spans="3:278" ht="15" customHeight="1">
      <c r="C221" s="354"/>
      <c r="E221" s="15"/>
      <c r="Q221" s="45"/>
      <c r="R221" s="45"/>
      <c r="S221" s="45"/>
      <c r="T221" s="45"/>
      <c r="U221" s="45"/>
      <c r="V221" s="45"/>
      <c r="W221" s="45"/>
      <c r="X221" s="45"/>
      <c r="Y221" s="45"/>
      <c r="Z221" s="45"/>
      <c r="AA221" s="406"/>
      <c r="AB221" s="406"/>
      <c r="AC221" s="406"/>
      <c r="AD221" s="596"/>
      <c r="AF221" s="45"/>
      <c r="AG221" s="45"/>
      <c r="AH221" s="45"/>
      <c r="AI221" s="45"/>
      <c r="AJ221" s="45"/>
      <c r="AK221" s="45"/>
      <c r="AL221" s="45"/>
      <c r="AM221" s="45"/>
      <c r="AN221" s="45"/>
      <c r="AO221" s="45"/>
      <c r="AP221" s="45"/>
      <c r="AS221" s="45"/>
      <c r="AW221" s="45"/>
      <c r="AX221" s="45"/>
      <c r="AZ221" s="45"/>
      <c r="BA221" s="45"/>
      <c r="BB221" s="45"/>
      <c r="BC221" s="37"/>
      <c r="BD221" s="45"/>
      <c r="BE221" s="45"/>
      <c r="BF221" s="37"/>
      <c r="BG221" s="45"/>
      <c r="BH221" s="45"/>
      <c r="BI221" s="45"/>
      <c r="BJ221" s="45"/>
      <c r="CG221" s="406"/>
      <c r="CN221" s="1063"/>
      <c r="CO221" s="1063"/>
      <c r="CQ221" s="1060"/>
      <c r="CR221" s="1062"/>
      <c r="CS221" s="1061"/>
      <c r="CT221" s="1061"/>
      <c r="CU221" s="1061"/>
      <c r="CV221" s="1061"/>
      <c r="CW221" s="1111"/>
      <c r="CX221" s="1111"/>
      <c r="CY221" s="1111"/>
      <c r="CZ221" s="1063"/>
      <c r="DA221" s="1063"/>
      <c r="DD221" s="37" t="s">
        <v>5567</v>
      </c>
      <c r="DE221" s="407"/>
      <c r="DF221" s="407"/>
      <c r="DG221" s="37"/>
      <c r="DH221" s="37"/>
      <c r="DI221" s="407"/>
      <c r="DJ221" s="407"/>
      <c r="DK221" s="37"/>
      <c r="DL221" s="37"/>
      <c r="DM221" s="37"/>
      <c r="DN221" s="37"/>
      <c r="DO221" s="37"/>
      <c r="DP221" s="37"/>
      <c r="DQ221" s="37"/>
      <c r="DR221" s="37"/>
      <c r="DU221" s="37"/>
      <c r="DV221" s="37"/>
      <c r="DW221" s="407"/>
      <c r="DX221" s="407"/>
      <c r="DZ221" s="37"/>
      <c r="EA221" s="407"/>
      <c r="EB221" s="37"/>
      <c r="EC221" s="37"/>
      <c r="ED221" s="407"/>
      <c r="EE221" s="37"/>
      <c r="EF221" s="37"/>
      <c r="EG221" s="838"/>
      <c r="EH221" s="843"/>
      <c r="EI221" s="838"/>
      <c r="EJ221" s="742"/>
      <c r="EK221" s="45"/>
      <c r="EL221" s="37"/>
      <c r="EM221" s="37"/>
      <c r="EN221" s="37"/>
      <c r="EO221" s="37"/>
      <c r="EP221" s="37"/>
      <c r="EQ221" s="37"/>
      <c r="ER221" s="37"/>
      <c r="ES221" s="37"/>
      <c r="ET221" s="37"/>
      <c r="EU221" s="37"/>
      <c r="EV221" s="37"/>
      <c r="EW221" s="37"/>
      <c r="EX221" s="37"/>
      <c r="EZ221" s="37"/>
      <c r="FA221" s="37"/>
      <c r="FB221" s="37"/>
      <c r="FC221" s="37"/>
      <c r="FD221" s="408"/>
      <c r="FE221" s="37"/>
      <c r="FF221" s="37"/>
      <c r="FG221" s="37"/>
      <c r="FH221" s="37"/>
      <c r="FI221" s="45"/>
      <c r="FJ221" s="45"/>
      <c r="FK221" s="45"/>
      <c r="FL221" s="45"/>
      <c r="FM221" s="45"/>
      <c r="FN221" s="45"/>
      <c r="FO221" s="329"/>
      <c r="FP221" s="45"/>
      <c r="FQ221" s="37"/>
      <c r="FR221" s="45"/>
      <c r="FS221" s="37"/>
      <c r="FT221" s="45"/>
      <c r="FU221" s="37"/>
      <c r="FV221" s="45"/>
      <c r="FW221" s="37"/>
      <c r="FX221" s="45"/>
      <c r="FY221" s="37"/>
      <c r="FZ221" s="45"/>
      <c r="GA221" s="37"/>
      <c r="GB221" s="45"/>
      <c r="GC221" s="37" t="s">
        <v>3426</v>
      </c>
      <c r="GD221" s="19">
        <f>COUNTIF($GD$3:$GD$200,3)</f>
        <v>27</v>
      </c>
      <c r="GE221" s="37"/>
      <c r="GG221" s="37"/>
      <c r="GH221" s="37"/>
      <c r="GI221" s="37"/>
      <c r="GJ221" s="37"/>
      <c r="GK221" s="37"/>
      <c r="GL221" s="37"/>
      <c r="GM221" s="37"/>
      <c r="GN221" s="37"/>
      <c r="GS221" s="18">
        <f t="shared" si="222"/>
        <v>4</v>
      </c>
      <c r="GT221" s="15">
        <v>-7</v>
      </c>
      <c r="GU221" s="37"/>
      <c r="GV221" s="37"/>
      <c r="GW221" s="37"/>
      <c r="GX221" s="37"/>
      <c r="GY221" s="37"/>
      <c r="HF221" s="37"/>
      <c r="HG221" s="37"/>
      <c r="HH221" s="37"/>
      <c r="HI221" s="37"/>
      <c r="HJ221" s="37"/>
      <c r="HK221" s="37"/>
      <c r="HL221" s="37"/>
      <c r="HM221" s="37"/>
      <c r="HN221" s="37"/>
      <c r="HO221" s="37"/>
      <c r="HP221" s="37"/>
      <c r="HQ221" s="37"/>
      <c r="HR221" s="37"/>
      <c r="HS221" s="37"/>
      <c r="HT221" s="37"/>
      <c r="HU221" s="37"/>
      <c r="HV221" s="37"/>
      <c r="HW221" s="37"/>
      <c r="HX221" s="37"/>
      <c r="HY221" s="37"/>
      <c r="HZ221" s="37"/>
      <c r="IA221" s="37"/>
      <c r="IB221" s="37"/>
      <c r="IC221" s="37"/>
      <c r="ID221" s="37"/>
      <c r="IE221" s="37"/>
      <c r="IF221" s="37"/>
      <c r="IG221" s="37"/>
      <c r="IH221" s="37"/>
      <c r="II221" s="37"/>
      <c r="IJ221" s="37"/>
      <c r="IK221" s="37"/>
      <c r="IL221" s="37"/>
      <c r="IM221" s="37"/>
      <c r="IN221" s="37"/>
      <c r="IO221" s="45"/>
      <c r="IP221" s="45"/>
      <c r="IQ221" s="45"/>
      <c r="IR221" s="37"/>
      <c r="JR221" s="37"/>
    </row>
    <row r="222" spans="3:278" ht="15" customHeight="1">
      <c r="C222" s="354"/>
      <c r="E222" s="15"/>
      <c r="H222" s="837" t="s">
        <v>2134</v>
      </c>
      <c r="I222" s="37"/>
      <c r="J222" s="45"/>
      <c r="K222" s="45"/>
      <c r="L222" s="45"/>
      <c r="M222" s="45"/>
      <c r="N222" s="45"/>
      <c r="O222" s="840" t="s">
        <v>1729</v>
      </c>
      <c r="P222" s="329"/>
      <c r="Q222" s="45"/>
      <c r="R222" s="45"/>
      <c r="S222" s="45"/>
      <c r="T222" s="45"/>
      <c r="U222" s="45"/>
      <c r="V222" s="45"/>
      <c r="W222" s="45"/>
      <c r="X222" s="45"/>
      <c r="Y222" s="45"/>
      <c r="Z222" s="45"/>
      <c r="AA222" s="406"/>
      <c r="AB222" s="406"/>
      <c r="AC222" s="406"/>
      <c r="AD222" s="837" t="s">
        <v>961</v>
      </c>
      <c r="AE222" s="45"/>
      <c r="AF222" s="45"/>
      <c r="AG222" s="45"/>
      <c r="AH222" s="45"/>
      <c r="AI222" s="45"/>
      <c r="AJ222" s="45"/>
      <c r="AK222" s="45"/>
      <c r="AL222" s="45"/>
      <c r="AM222" s="45"/>
      <c r="AN222" s="45"/>
      <c r="AO222" s="45"/>
      <c r="AP222" s="45"/>
      <c r="AQ222" s="839" t="s">
        <v>5306</v>
      </c>
      <c r="AS222" s="45"/>
      <c r="AW222" s="45"/>
      <c r="AX222" s="45"/>
      <c r="AY222" s="837" t="s">
        <v>1733</v>
      </c>
      <c r="AZ222" s="45"/>
      <c r="BA222" s="45"/>
      <c r="BB222" s="45"/>
      <c r="BC222" s="37"/>
      <c r="BD222" s="45"/>
      <c r="BE222" s="45"/>
      <c r="BF222" s="37"/>
      <c r="BG222" s="45"/>
      <c r="BH222" s="45"/>
      <c r="BI222" s="45"/>
      <c r="BJ222" s="45"/>
      <c r="CG222" s="845" t="s">
        <v>3408</v>
      </c>
      <c r="CN222" s="1063"/>
      <c r="CO222" s="1063"/>
      <c r="CQ222" s="1060"/>
      <c r="CR222" s="1062"/>
      <c r="CS222" s="596" t="s">
        <v>5682</v>
      </c>
      <c r="CT222" s="1061"/>
      <c r="CU222" s="1061"/>
      <c r="CV222" s="1061"/>
      <c r="CW222" s="1111"/>
      <c r="CX222" s="1111"/>
      <c r="CY222" s="1111"/>
      <c r="CZ222" s="1063"/>
      <c r="DA222" s="1063"/>
      <c r="DD222" s="37" t="s">
        <v>5568</v>
      </c>
      <c r="DE222" s="407"/>
      <c r="DF222" s="407"/>
      <c r="DG222" s="37"/>
      <c r="DH222" s="37"/>
      <c r="DI222" s="407"/>
      <c r="DJ222" s="407"/>
      <c r="DK222" s="37"/>
      <c r="DL222" s="37"/>
      <c r="DM222" s="37"/>
      <c r="DN222" s="37"/>
      <c r="DO222" s="37"/>
      <c r="DP222" s="37"/>
      <c r="DQ222" s="37"/>
      <c r="DR222" s="37"/>
      <c r="DU222" s="37"/>
      <c r="DV222" s="37"/>
      <c r="DW222" s="407"/>
      <c r="DX222" s="407"/>
      <c r="DY222" s="837" t="s">
        <v>3415</v>
      </c>
      <c r="DZ222" s="37"/>
      <c r="EA222" s="407"/>
      <c r="EB222" s="37"/>
      <c r="EC222" s="37"/>
      <c r="ED222" s="407"/>
      <c r="EE222" s="37"/>
      <c r="EF222" s="37"/>
      <c r="EG222" s="837" t="s">
        <v>3065</v>
      </c>
      <c r="EH222" s="843"/>
      <c r="EI222" s="838"/>
      <c r="EJ222" s="742"/>
      <c r="EK222" s="45"/>
      <c r="EL222" s="37"/>
      <c r="EM222" s="37"/>
      <c r="EN222" s="37"/>
      <c r="EO222" s="37"/>
      <c r="EP222" s="37"/>
      <c r="EQ222" s="37"/>
      <c r="ER222" s="37"/>
      <c r="ES222" s="37"/>
      <c r="ET222" s="37"/>
      <c r="EU222" s="37"/>
      <c r="EV222" s="37"/>
      <c r="EW222" s="37"/>
      <c r="EX222" s="37"/>
      <c r="EY222" s="849" t="s">
        <v>2366</v>
      </c>
      <c r="EZ222" s="37"/>
      <c r="FA222" s="37"/>
      <c r="FB222" s="37"/>
      <c r="FC222" s="37"/>
      <c r="FD222" s="408"/>
      <c r="FE222" s="37"/>
      <c r="FF222" s="37"/>
      <c r="FG222" s="37"/>
      <c r="FH222" s="37"/>
      <c r="FI222" s="45"/>
      <c r="FJ222" s="45"/>
      <c r="FK222" s="45"/>
      <c r="FL222" s="45"/>
      <c r="FM222" s="45"/>
      <c r="FN222" s="45"/>
      <c r="FO222" s="329"/>
      <c r="FP222" s="45"/>
      <c r="FQ222" s="37"/>
      <c r="FR222" s="45"/>
      <c r="FS222" s="37"/>
      <c r="FT222" s="45"/>
      <c r="FU222" s="37"/>
      <c r="FV222" s="45"/>
      <c r="FW222" s="37"/>
      <c r="FX222" s="45"/>
      <c r="FY222" s="37"/>
      <c r="FZ222" s="45"/>
      <c r="GA222" s="37"/>
      <c r="GB222" s="45"/>
      <c r="GC222" s="37"/>
      <c r="GD222" s="16">
        <f>SUM(GD219:GD221)</f>
        <v>198</v>
      </c>
      <c r="GE222" s="37"/>
      <c r="GF222" s="837" t="s">
        <v>3444</v>
      </c>
      <c r="GG222" s="37"/>
      <c r="GH222" s="37"/>
      <c r="GI222" s="37"/>
      <c r="GJ222" s="37"/>
      <c r="GK222" s="37"/>
      <c r="GL222" s="37"/>
      <c r="GM222" s="37"/>
      <c r="GN222" s="37"/>
      <c r="GP222" s="443"/>
      <c r="GQ222" s="443"/>
      <c r="GR222" s="443"/>
      <c r="GS222" s="18">
        <f t="shared" si="222"/>
        <v>2</v>
      </c>
      <c r="GT222" s="416">
        <v>-8</v>
      </c>
      <c r="GU222" s="37"/>
      <c r="GV222" s="37"/>
      <c r="GW222" s="37"/>
      <c r="GX222" s="37"/>
      <c r="GY222" s="37"/>
      <c r="HF222" s="37"/>
      <c r="HG222" s="37"/>
      <c r="HH222" s="37"/>
      <c r="HI222" s="37"/>
      <c r="HJ222" s="37"/>
      <c r="HK222" s="852" t="s">
        <v>4262</v>
      </c>
      <c r="HL222" s="37"/>
      <c r="HM222" s="37"/>
      <c r="HN222" s="37"/>
      <c r="HO222" s="37"/>
      <c r="HP222" s="37"/>
      <c r="HQ222" s="37"/>
      <c r="HR222" s="37"/>
      <c r="HS222" s="596" t="s">
        <v>4259</v>
      </c>
      <c r="HT222" s="37"/>
      <c r="HU222" s="37"/>
      <c r="HV222" s="37"/>
      <c r="HW222" s="37"/>
      <c r="HX222" s="37"/>
      <c r="HY222" s="37"/>
      <c r="HZ222" s="37"/>
      <c r="IA222" s="37"/>
      <c r="IB222" s="37"/>
      <c r="IC222" s="37"/>
      <c r="ID222" s="37"/>
      <c r="IE222" s="37"/>
      <c r="IF222" s="37"/>
      <c r="IG222" s="37"/>
      <c r="IH222" s="37"/>
      <c r="II222" s="37"/>
      <c r="IJ222" s="37"/>
      <c r="IK222" s="37"/>
      <c r="IL222" s="37"/>
      <c r="IM222" s="37"/>
      <c r="IN222" s="37"/>
      <c r="IO222" s="45"/>
      <c r="IP222" s="45"/>
      <c r="IQ222" s="45"/>
      <c r="IR222" s="37"/>
      <c r="JR222" s="37"/>
    </row>
    <row r="223" spans="3:278" ht="15" customHeight="1">
      <c r="C223" s="354"/>
      <c r="E223" s="15"/>
      <c r="H223" s="837" t="s">
        <v>1684</v>
      </c>
      <c r="I223" s="37"/>
      <c r="J223" s="45"/>
      <c r="K223" s="45"/>
      <c r="L223" s="45"/>
      <c r="M223" s="45"/>
      <c r="N223" s="45"/>
      <c r="O223" s="841" t="s">
        <v>1978</v>
      </c>
      <c r="P223" s="329"/>
      <c r="Q223" s="45"/>
      <c r="R223" s="45"/>
      <c r="S223" s="45"/>
      <c r="T223" s="45"/>
      <c r="U223" s="45"/>
      <c r="V223" s="45"/>
      <c r="W223" s="45"/>
      <c r="X223" s="45"/>
      <c r="Y223" s="45"/>
      <c r="Z223" s="45"/>
      <c r="AA223" s="406"/>
      <c r="AB223" s="406"/>
      <c r="AC223" s="406"/>
      <c r="AD223" s="837" t="s">
        <v>960</v>
      </c>
      <c r="AE223" s="45"/>
      <c r="AF223" s="45"/>
      <c r="AG223" s="45"/>
      <c r="AH223" s="45"/>
      <c r="AI223" s="45"/>
      <c r="AJ223" s="45"/>
      <c r="AK223" s="45"/>
      <c r="AL223" s="45"/>
      <c r="AM223" s="45"/>
      <c r="AN223" s="45"/>
      <c r="AO223" s="45"/>
      <c r="AP223" s="45"/>
      <c r="AQ223" s="839" t="s">
        <v>5307</v>
      </c>
      <c r="AS223" s="45"/>
      <c r="AW223" s="45"/>
      <c r="AX223" s="45"/>
      <c r="AY223" s="837" t="s">
        <v>1734</v>
      </c>
      <c r="AZ223" s="45"/>
      <c r="BA223" s="45"/>
      <c r="BB223" s="45"/>
      <c r="BC223" s="37"/>
      <c r="BD223" s="45"/>
      <c r="BE223" s="45"/>
      <c r="BF223" s="37"/>
      <c r="BG223" s="45"/>
      <c r="BH223" s="45"/>
      <c r="BI223" s="45"/>
      <c r="BJ223" s="45"/>
      <c r="CG223" s="846" t="s">
        <v>3407</v>
      </c>
      <c r="CN223" s="1063"/>
      <c r="CO223" s="1063"/>
      <c r="CQ223" s="1060"/>
      <c r="CR223" s="1062"/>
      <c r="CS223" s="596" t="s">
        <v>5729</v>
      </c>
      <c r="CT223" s="1061"/>
      <c r="CU223" s="1061"/>
      <c r="CV223" s="1061"/>
      <c r="CW223" s="1111"/>
      <c r="CX223" s="1111"/>
      <c r="CY223" s="1111"/>
      <c r="CZ223" s="1063"/>
      <c r="DA223" s="1063"/>
      <c r="DD223" s="37" t="s">
        <v>5569</v>
      </c>
      <c r="DG223" s="37"/>
      <c r="DH223" s="37"/>
      <c r="DM223" s="37"/>
      <c r="DN223" s="37"/>
      <c r="DQ223" s="37"/>
      <c r="DR223" s="37"/>
      <c r="DU223" s="37"/>
      <c r="DV223" s="37"/>
      <c r="DY223" s="838"/>
      <c r="DZ223" s="37"/>
      <c r="EA223" s="407"/>
      <c r="EB223" s="37"/>
      <c r="EC223" s="37"/>
      <c r="ED223" s="407"/>
      <c r="EE223" s="37"/>
      <c r="EF223" s="37"/>
      <c r="EG223" s="837" t="s">
        <v>3066</v>
      </c>
      <c r="EH223" s="843"/>
      <c r="EI223" s="838"/>
      <c r="EJ223" s="742"/>
      <c r="EK223" s="45"/>
      <c r="EL223" s="37"/>
      <c r="EM223" s="37"/>
      <c r="EN223" s="37"/>
      <c r="EO223" s="37"/>
      <c r="EP223" s="37"/>
      <c r="EQ223" s="37"/>
      <c r="ER223" s="37"/>
      <c r="ES223" s="37"/>
      <c r="ET223" s="37"/>
      <c r="EU223" s="37"/>
      <c r="EV223" s="37"/>
      <c r="EW223" s="37"/>
      <c r="EX223" s="37"/>
      <c r="EY223" s="850"/>
      <c r="EZ223" s="37"/>
      <c r="FA223" s="37"/>
      <c r="FB223" s="37"/>
      <c r="FC223" s="37"/>
      <c r="FD223" s="408"/>
      <c r="FE223" s="37"/>
      <c r="FF223" s="37"/>
      <c r="FG223" s="37"/>
      <c r="FH223" s="37"/>
      <c r="FI223" s="45"/>
      <c r="FJ223" s="45"/>
      <c r="FK223" s="45"/>
      <c r="FL223" s="45"/>
      <c r="FM223" s="45"/>
      <c r="FN223" s="45"/>
      <c r="FO223" s="329"/>
      <c r="FP223" s="45"/>
      <c r="FQ223" s="37"/>
      <c r="FR223" s="45"/>
      <c r="FS223" s="37"/>
      <c r="FT223" s="45"/>
      <c r="FU223" s="37"/>
      <c r="FV223" s="45"/>
      <c r="FW223" s="37"/>
      <c r="FX223" s="45"/>
      <c r="FY223" s="37"/>
      <c r="FZ223" s="45"/>
      <c r="GA223" s="37"/>
      <c r="GB223" s="45"/>
      <c r="GC223" s="37"/>
      <c r="GE223" s="37"/>
      <c r="GF223" s="838" t="s">
        <v>3448</v>
      </c>
      <c r="GG223" s="37"/>
      <c r="GH223" s="37"/>
      <c r="GI223" s="37"/>
      <c r="GJ223" s="37"/>
      <c r="GK223" s="37"/>
      <c r="GL223" s="37"/>
      <c r="GM223" s="37"/>
      <c r="GN223" s="37"/>
      <c r="GP223" s="443"/>
      <c r="GQ223" s="443"/>
      <c r="GR223" s="443"/>
      <c r="GS223" s="18">
        <f t="shared" si="222"/>
        <v>1</v>
      </c>
      <c r="GT223" s="416">
        <v>-9</v>
      </c>
      <c r="GU223" s="37"/>
      <c r="GV223" s="37"/>
      <c r="GW223" s="37"/>
      <c r="GX223" s="37"/>
      <c r="GY223" s="37"/>
      <c r="HF223" s="37"/>
      <c r="HG223" s="37"/>
      <c r="HH223" s="37"/>
      <c r="HI223" s="37"/>
      <c r="HJ223" s="37"/>
      <c r="HK223" s="596"/>
      <c r="HL223" s="37"/>
      <c r="HM223" s="37"/>
      <c r="HN223" s="37"/>
      <c r="HO223" s="37"/>
      <c r="HP223" s="37"/>
      <c r="HQ223" s="37"/>
      <c r="HR223" s="37"/>
      <c r="HS223" s="596"/>
      <c r="HT223" s="37"/>
      <c r="HU223" s="37"/>
      <c r="HV223" s="37"/>
      <c r="HW223" s="37"/>
      <c r="HX223" s="37"/>
      <c r="HY223" s="37"/>
      <c r="HZ223" s="37"/>
      <c r="IA223" s="37"/>
      <c r="IB223" s="37"/>
      <c r="IC223" s="37"/>
      <c r="ID223" s="37"/>
      <c r="IE223" s="37"/>
      <c r="IF223" s="37"/>
      <c r="IG223" s="37"/>
      <c r="IH223" s="37"/>
      <c r="II223" s="37"/>
      <c r="IJ223" s="37"/>
      <c r="IK223" s="37"/>
      <c r="IL223" s="37"/>
      <c r="IM223" s="37"/>
      <c r="IN223" s="37"/>
      <c r="IO223" s="45"/>
      <c r="IP223" s="45"/>
      <c r="IQ223" s="45"/>
      <c r="IR223" s="37"/>
      <c r="JR223" s="37"/>
    </row>
    <row r="224" spans="3:278" ht="15" customHeight="1">
      <c r="C224" s="354"/>
      <c r="H224" s="838"/>
      <c r="I224" s="37"/>
      <c r="J224" s="45"/>
      <c r="K224" s="45"/>
      <c r="L224" s="45"/>
      <c r="M224" s="45"/>
      <c r="N224" s="45"/>
      <c r="O224" s="841" t="s">
        <v>1985</v>
      </c>
      <c r="P224" s="329"/>
      <c r="Q224" s="45"/>
      <c r="R224" s="45"/>
      <c r="S224" s="45"/>
      <c r="T224" s="45"/>
      <c r="U224" s="45"/>
      <c r="V224" s="45"/>
      <c r="W224" s="45"/>
      <c r="X224" s="45"/>
      <c r="Y224" s="45"/>
      <c r="Z224" s="45"/>
      <c r="AA224" s="406"/>
      <c r="AB224" s="406"/>
      <c r="AC224" s="406"/>
      <c r="AD224" s="838"/>
      <c r="AF224" s="45"/>
      <c r="AG224" s="45"/>
      <c r="AH224" s="45"/>
      <c r="AI224" s="45"/>
      <c r="AJ224" s="45"/>
      <c r="AK224" s="45"/>
      <c r="AL224" s="45"/>
      <c r="AM224" s="45"/>
      <c r="AN224" s="45"/>
      <c r="AO224" s="45"/>
      <c r="AP224" s="45"/>
      <c r="AQ224" s="839"/>
      <c r="AS224" s="45"/>
      <c r="AW224" s="45"/>
      <c r="AX224" s="45"/>
      <c r="AY224" s="838"/>
      <c r="AZ224" s="45"/>
      <c r="BA224" s="45"/>
      <c r="BB224" s="45"/>
      <c r="BC224" s="37"/>
      <c r="BD224" s="45"/>
      <c r="BE224" s="45"/>
      <c r="BF224" s="37"/>
      <c r="BG224" s="45"/>
      <c r="BH224" s="45"/>
      <c r="BI224" s="45"/>
      <c r="BJ224" s="45"/>
      <c r="CG224" s="846"/>
      <c r="CN224" s="1063"/>
      <c r="CO224" s="1063"/>
      <c r="CQ224" s="1060"/>
      <c r="CR224" s="1062"/>
      <c r="CS224" s="596" t="s">
        <v>5730</v>
      </c>
      <c r="CT224" s="1061"/>
      <c r="CU224" s="1061"/>
      <c r="CV224" s="1061"/>
      <c r="CW224" s="1111"/>
      <c r="CX224" s="1111"/>
      <c r="CY224" s="1111"/>
      <c r="CZ224" s="1063"/>
      <c r="DA224" s="1063"/>
      <c r="DD224" s="37" t="s">
        <v>5570</v>
      </c>
      <c r="DE224" s="407"/>
      <c r="DF224" s="407"/>
      <c r="DG224" s="37"/>
      <c r="DH224" s="37"/>
      <c r="DI224" s="407"/>
      <c r="DJ224" s="407"/>
      <c r="DK224" s="37"/>
      <c r="DL224" s="37"/>
      <c r="DM224" s="37"/>
      <c r="DN224" s="37"/>
      <c r="DO224" s="37"/>
      <c r="DP224" s="37"/>
      <c r="DQ224" s="37"/>
      <c r="DR224" s="37"/>
      <c r="DU224" s="37"/>
      <c r="DV224" s="37"/>
      <c r="DW224" s="407"/>
      <c r="DX224" s="407"/>
      <c r="DY224" s="837" t="s">
        <v>3416</v>
      </c>
      <c r="DZ224" s="37"/>
      <c r="EA224" s="407"/>
      <c r="EB224" s="37"/>
      <c r="EC224" s="37"/>
      <c r="ED224" s="407"/>
      <c r="EE224" s="37"/>
      <c r="EF224" s="37"/>
      <c r="EG224" s="838"/>
      <c r="EH224" s="843"/>
      <c r="EI224" s="838"/>
      <c r="EJ224" s="840" t="s">
        <v>2720</v>
      </c>
      <c r="EK224" s="45"/>
      <c r="EL224" s="37"/>
      <c r="EM224" s="37"/>
      <c r="EN224" s="37"/>
      <c r="EO224" s="37"/>
      <c r="EP224" s="37"/>
      <c r="EQ224" s="37"/>
      <c r="ER224" s="37"/>
      <c r="ES224" s="37"/>
      <c r="ET224" s="37"/>
      <c r="EU224" s="37"/>
      <c r="EV224" s="37"/>
      <c r="EW224" s="37"/>
      <c r="EX224" s="37"/>
      <c r="EY224" s="849" t="s">
        <v>1682</v>
      </c>
      <c r="EZ224" s="37"/>
      <c r="FA224" s="37"/>
      <c r="FB224" s="37"/>
      <c r="FC224" s="37"/>
      <c r="FD224" s="408"/>
      <c r="FE224" s="37"/>
      <c r="FF224" s="37"/>
      <c r="FG224" s="37"/>
      <c r="FH224" s="37"/>
      <c r="FI224" s="45"/>
      <c r="FJ224" s="45"/>
      <c r="FK224" s="45"/>
      <c r="FL224" s="45"/>
      <c r="FM224" s="45"/>
      <c r="FN224" s="45"/>
      <c r="FO224" s="329"/>
      <c r="FP224" s="45"/>
      <c r="FQ224" s="37"/>
      <c r="FR224" s="45"/>
      <c r="FS224" s="37"/>
      <c r="FT224" s="45"/>
      <c r="FU224" s="37"/>
      <c r="FV224" s="45"/>
      <c r="FW224" s="37"/>
      <c r="FX224" s="45"/>
      <c r="FY224" s="37"/>
      <c r="FZ224" s="45"/>
      <c r="GA224" s="37"/>
      <c r="GB224" s="45"/>
      <c r="GC224" s="37"/>
      <c r="GE224" s="37"/>
      <c r="GF224" s="596"/>
      <c r="GG224" s="37"/>
      <c r="GH224" s="37"/>
      <c r="GI224" s="37"/>
      <c r="GJ224" s="37"/>
      <c r="GK224" s="37"/>
      <c r="GL224" s="37"/>
      <c r="GM224" s="37"/>
      <c r="GN224" s="37"/>
      <c r="GP224" s="443"/>
      <c r="GQ224" s="443"/>
      <c r="GR224" s="443"/>
      <c r="GS224" s="18">
        <f t="shared" si="222"/>
        <v>2</v>
      </c>
      <c r="GT224" s="416">
        <v>-10</v>
      </c>
      <c r="GU224" s="37"/>
      <c r="GV224" s="37"/>
      <c r="GW224" s="37"/>
      <c r="GX224" s="37"/>
      <c r="GY224" s="37"/>
      <c r="HF224" s="37"/>
      <c r="HG224" s="37"/>
      <c r="HH224" s="37"/>
      <c r="HI224" s="37"/>
      <c r="HJ224" s="37"/>
      <c r="HK224" s="596" t="s">
        <v>4269</v>
      </c>
      <c r="HL224" s="37"/>
      <c r="HM224" s="37"/>
      <c r="HN224" s="37"/>
      <c r="HO224" s="37"/>
      <c r="HP224" s="37"/>
      <c r="HQ224" s="37"/>
      <c r="HR224" s="37"/>
      <c r="HS224" s="596"/>
      <c r="HT224" s="37"/>
      <c r="HU224" s="37"/>
      <c r="HV224" s="37"/>
      <c r="HW224" s="37"/>
      <c r="HX224" s="37"/>
      <c r="HY224" s="37"/>
      <c r="HZ224" s="37"/>
      <c r="IA224" s="37"/>
      <c r="IB224" s="37"/>
      <c r="IC224" s="37"/>
      <c r="ID224" s="37"/>
      <c r="IE224" s="37"/>
      <c r="IF224" s="37"/>
      <c r="IG224" s="37"/>
      <c r="IH224" s="37"/>
      <c r="II224" s="37"/>
      <c r="IJ224" s="37"/>
      <c r="IK224" s="37"/>
      <c r="IL224" s="37"/>
      <c r="IM224" s="37"/>
      <c r="IN224" s="37"/>
      <c r="IO224" s="45"/>
      <c r="IP224" s="45"/>
      <c r="IQ224" s="45"/>
      <c r="IR224" s="37"/>
      <c r="JR224" s="37"/>
    </row>
    <row r="225" spans="3:278" ht="15" customHeight="1">
      <c r="C225" s="354"/>
      <c r="H225" s="596"/>
      <c r="I225" s="37"/>
      <c r="J225" s="45"/>
      <c r="K225" s="45"/>
      <c r="L225" s="45"/>
      <c r="M225" s="45"/>
      <c r="N225" s="45"/>
      <c r="O225" s="841" t="s">
        <v>2090</v>
      </c>
      <c r="P225" s="329"/>
      <c r="Q225" s="45"/>
      <c r="R225" s="45"/>
      <c r="S225" s="45"/>
      <c r="T225" s="45"/>
      <c r="U225" s="45"/>
      <c r="V225" s="45"/>
      <c r="W225" s="45"/>
      <c r="X225" s="45"/>
      <c r="Y225" s="45"/>
      <c r="Z225" s="45"/>
      <c r="AA225" s="406"/>
      <c r="AB225" s="406"/>
      <c r="AC225" s="406"/>
      <c r="AD225" s="841" t="s">
        <v>1948</v>
      </c>
      <c r="AE225" s="841" t="s">
        <v>1951</v>
      </c>
      <c r="AF225" s="843"/>
      <c r="AG225" s="843"/>
      <c r="AH225" s="843"/>
      <c r="AI225" s="45"/>
      <c r="AJ225" s="45"/>
      <c r="AK225" s="45"/>
      <c r="AL225" s="45"/>
      <c r="AM225" s="45"/>
      <c r="AN225" s="45"/>
      <c r="AO225" s="45"/>
      <c r="AP225" s="45"/>
      <c r="AQ225" s="839" t="s">
        <v>5430</v>
      </c>
      <c r="AS225" s="45"/>
      <c r="AW225" s="45"/>
      <c r="AX225" s="45"/>
      <c r="AY225" s="837" t="s">
        <v>2115</v>
      </c>
      <c r="AZ225" s="45"/>
      <c r="BA225" s="45"/>
      <c r="BB225" s="45"/>
      <c r="BC225" s="37"/>
      <c r="BD225" s="45"/>
      <c r="BE225" s="45"/>
      <c r="BF225" s="37"/>
      <c r="BG225" s="45"/>
      <c r="BH225" s="45"/>
      <c r="BI225" s="45"/>
      <c r="BJ225" s="45"/>
      <c r="CG225" s="847"/>
      <c r="CN225" s="1063"/>
      <c r="CO225" s="1063"/>
      <c r="CQ225" s="1060"/>
      <c r="CR225" s="1062"/>
      <c r="CS225" s="596" t="s">
        <v>5731</v>
      </c>
      <c r="CT225" s="1061"/>
      <c r="CU225" s="1061"/>
      <c r="CV225" s="1061"/>
      <c r="CW225" s="1111"/>
      <c r="CX225" s="1111"/>
      <c r="CY225" s="1111"/>
      <c r="CZ225" s="1063"/>
      <c r="DA225" s="1063"/>
      <c r="DD225" s="37"/>
      <c r="DE225" s="407"/>
      <c r="DF225" s="407"/>
      <c r="DG225" s="37"/>
      <c r="DH225" s="37"/>
      <c r="DI225" s="407"/>
      <c r="DJ225" s="407"/>
      <c r="DK225" s="37"/>
      <c r="DL225" s="37"/>
      <c r="DM225" s="37"/>
      <c r="DN225" s="37"/>
      <c r="DO225" s="37"/>
      <c r="DP225" s="37"/>
      <c r="DQ225" s="37"/>
      <c r="DR225" s="37"/>
      <c r="DU225" s="37"/>
      <c r="DV225" s="37"/>
      <c r="DW225" s="407"/>
      <c r="DX225" s="407"/>
      <c r="DY225" s="838"/>
      <c r="DZ225" s="37"/>
      <c r="EA225" s="407"/>
      <c r="EB225" s="37"/>
      <c r="EC225" s="37"/>
      <c r="ED225" s="407"/>
      <c r="EE225" s="37"/>
      <c r="EF225" s="37"/>
      <c r="EG225" s="838"/>
      <c r="EH225" s="843"/>
      <c r="EI225" s="838"/>
      <c r="EJ225" s="840" t="s">
        <v>2721</v>
      </c>
      <c r="EK225" s="45"/>
      <c r="EL225" s="37"/>
      <c r="EM225" s="37"/>
      <c r="EN225" s="37"/>
      <c r="EO225" s="37"/>
      <c r="EP225" s="37"/>
      <c r="EQ225" s="37"/>
      <c r="ER225" s="37"/>
      <c r="ES225" s="37"/>
      <c r="ET225" s="37"/>
      <c r="EU225" s="37"/>
      <c r="EV225" s="37"/>
      <c r="EW225" s="37"/>
      <c r="EX225" s="37"/>
      <c r="EY225" s="851"/>
      <c r="EZ225" s="37"/>
      <c r="FA225" s="37"/>
      <c r="FB225" s="37"/>
      <c r="FC225" s="37"/>
      <c r="FD225" s="408"/>
      <c r="FE225" s="37"/>
      <c r="FF225" s="37"/>
      <c r="FG225" s="37"/>
      <c r="FH225" s="37"/>
      <c r="FI225" s="45"/>
      <c r="FJ225" s="45"/>
      <c r="FK225" s="45"/>
      <c r="FL225" s="45"/>
      <c r="FM225" s="45"/>
      <c r="FN225" s="45"/>
      <c r="FO225" s="329"/>
      <c r="FP225" s="45"/>
      <c r="FQ225" s="37"/>
      <c r="FR225" s="45"/>
      <c r="FS225" s="37"/>
      <c r="FT225" s="45"/>
      <c r="FU225" s="37"/>
      <c r="FV225" s="45"/>
      <c r="FW225" s="37"/>
      <c r="FX225" s="45"/>
      <c r="FY225" s="37"/>
      <c r="FZ225" s="45"/>
      <c r="GA225" s="37"/>
      <c r="GB225" s="45"/>
      <c r="GC225" s="37"/>
      <c r="GE225" s="37"/>
      <c r="GF225" s="838" t="s">
        <v>3931</v>
      </c>
      <c r="GG225" s="37"/>
      <c r="GH225" s="37"/>
      <c r="GI225" s="37"/>
      <c r="GJ225" s="37"/>
      <c r="GK225" s="37"/>
      <c r="GL225" s="37"/>
      <c r="GM225" s="37"/>
      <c r="GN225" s="37"/>
      <c r="GP225" s="44"/>
      <c r="GQ225" s="44"/>
      <c r="GR225" s="44"/>
      <c r="GS225" s="19">
        <f>COUNTIF(GS$3:GS$200,"")</f>
        <v>31</v>
      </c>
      <c r="GT225" s="329" t="s">
        <v>145</v>
      </c>
      <c r="GU225" s="37"/>
      <c r="GV225" s="37"/>
      <c r="GW225" s="37"/>
      <c r="GX225" s="37"/>
      <c r="GY225" s="37"/>
      <c r="HF225" s="37"/>
      <c r="HG225" s="37"/>
      <c r="HH225" s="37"/>
      <c r="HI225" s="37"/>
      <c r="HJ225" s="37"/>
      <c r="HK225" s="596" t="s">
        <v>4270</v>
      </c>
      <c r="HL225" s="37"/>
      <c r="HM225" s="37"/>
      <c r="HN225" s="37"/>
      <c r="HO225" s="37"/>
      <c r="HP225" s="37"/>
      <c r="HQ225" s="37"/>
      <c r="HR225" s="37"/>
      <c r="HS225" s="596"/>
      <c r="HT225" s="37"/>
      <c r="HU225" s="37"/>
      <c r="HV225" s="37"/>
      <c r="HW225" s="37"/>
      <c r="HX225" s="37"/>
      <c r="HY225" s="37"/>
      <c r="HZ225" s="37"/>
      <c r="IA225" s="37"/>
      <c r="IB225" s="37"/>
      <c r="IC225" s="37"/>
      <c r="ID225" s="37"/>
      <c r="IE225" s="37"/>
      <c r="IF225" s="37"/>
      <c r="IG225" s="37"/>
      <c r="IH225" s="37"/>
      <c r="II225" s="37"/>
      <c r="IJ225" s="37"/>
      <c r="IK225" s="37"/>
      <c r="IL225" s="37"/>
      <c r="IM225" s="37"/>
      <c r="IN225" s="37"/>
      <c r="IO225" s="45"/>
      <c r="IP225" s="45"/>
      <c r="IQ225" s="45"/>
      <c r="IR225" s="37"/>
      <c r="JR225" s="37"/>
    </row>
    <row r="226" spans="3:278" ht="15" customHeight="1">
      <c r="C226" s="354"/>
      <c r="H226" s="410"/>
      <c r="I226" s="37"/>
      <c r="J226" s="45"/>
      <c r="K226" s="45"/>
      <c r="L226" s="45"/>
      <c r="M226" s="45"/>
      <c r="N226" s="45"/>
      <c r="O226" s="841" t="s">
        <v>2091</v>
      </c>
      <c r="P226" s="329"/>
      <c r="Q226" s="45"/>
      <c r="R226" s="45"/>
      <c r="S226" s="45"/>
      <c r="T226" s="45"/>
      <c r="U226" s="45"/>
      <c r="V226" s="45"/>
      <c r="W226" s="45"/>
      <c r="X226" s="45"/>
      <c r="Y226" s="45"/>
      <c r="Z226" s="45"/>
      <c r="AA226" s="406"/>
      <c r="AB226" s="406"/>
      <c r="AC226" s="406"/>
      <c r="AD226" s="841" t="s">
        <v>1949</v>
      </c>
      <c r="AE226" s="841" t="s">
        <v>1950</v>
      </c>
      <c r="AF226" s="742"/>
      <c r="AG226" s="843"/>
      <c r="AH226" s="843"/>
      <c r="AI226" s="45"/>
      <c r="AJ226" s="45"/>
      <c r="AK226" s="45"/>
      <c r="AL226" s="45"/>
      <c r="AM226" s="45"/>
      <c r="AN226" s="45"/>
      <c r="AO226" s="45"/>
      <c r="AP226" s="45"/>
      <c r="AS226" s="45"/>
      <c r="AW226" s="45"/>
      <c r="AX226" s="45"/>
      <c r="AY226" s="838"/>
      <c r="AZ226" s="45"/>
      <c r="BA226" s="45"/>
      <c r="BB226" s="45"/>
      <c r="BC226" s="37"/>
      <c r="BD226" s="45"/>
      <c r="BE226" s="45"/>
      <c r="BF226" s="37"/>
      <c r="BG226" s="45"/>
      <c r="BH226" s="45"/>
      <c r="BI226" s="45"/>
      <c r="BJ226" s="45"/>
      <c r="CG226" s="848" t="s">
        <v>3411</v>
      </c>
      <c r="CN226" s="1063"/>
      <c r="CO226" s="1063"/>
      <c r="CQ226" s="1060"/>
      <c r="CR226" s="1062"/>
      <c r="CS226" s="1072" t="s">
        <v>5735</v>
      </c>
      <c r="CT226" s="1061"/>
      <c r="CU226" s="1061"/>
      <c r="CV226" s="1061"/>
      <c r="CW226" s="1111"/>
      <c r="CX226" s="1111"/>
      <c r="CY226" s="1111"/>
      <c r="CZ226" s="1063"/>
      <c r="DA226" s="1063"/>
      <c r="DD226" s="37"/>
      <c r="DE226" s="407"/>
      <c r="DF226" s="407"/>
      <c r="DG226" s="37"/>
      <c r="DH226" s="37"/>
      <c r="DI226" s="407"/>
      <c r="DJ226" s="407"/>
      <c r="DK226" s="37"/>
      <c r="DL226" s="37"/>
      <c r="DM226" s="37"/>
      <c r="DN226" s="37"/>
      <c r="DO226" s="37"/>
      <c r="DP226" s="37"/>
      <c r="DQ226" s="37"/>
      <c r="DR226" s="37"/>
      <c r="DT226" s="843"/>
      <c r="DU226" s="37"/>
      <c r="DV226" s="37"/>
      <c r="DW226" s="407"/>
      <c r="DX226" s="407"/>
      <c r="DY226" s="838"/>
      <c r="DZ226" s="37"/>
      <c r="EA226" s="407"/>
      <c r="EB226" s="37"/>
      <c r="EC226" s="37"/>
      <c r="ED226" s="407"/>
      <c r="EE226" s="37"/>
      <c r="EF226" s="37"/>
      <c r="EG226" s="838"/>
      <c r="EH226" s="843"/>
      <c r="EI226" s="838"/>
      <c r="EJ226" s="840" t="s">
        <v>2722</v>
      </c>
      <c r="EK226" s="45"/>
      <c r="EL226" s="37"/>
      <c r="EM226" s="37"/>
      <c r="EN226" s="37"/>
      <c r="EO226" s="37"/>
      <c r="EP226" s="37"/>
      <c r="EQ226" s="37"/>
      <c r="ER226" s="37"/>
      <c r="ES226" s="37"/>
      <c r="ET226" s="37"/>
      <c r="EU226" s="37"/>
      <c r="EV226" s="37"/>
      <c r="EW226" s="37"/>
      <c r="EX226" s="37"/>
      <c r="EY226" s="851"/>
      <c r="EZ226" s="37"/>
      <c r="FA226" s="37"/>
      <c r="FB226" s="37"/>
      <c r="FC226" s="37"/>
      <c r="FD226" s="408"/>
      <c r="FE226" s="37"/>
      <c r="FF226" s="37"/>
      <c r="FG226" s="37"/>
      <c r="FH226" s="37"/>
      <c r="FI226" s="45"/>
      <c r="FJ226" s="45"/>
      <c r="FK226" s="45"/>
      <c r="FL226" s="45"/>
      <c r="FM226" s="45"/>
      <c r="FN226" s="45"/>
      <c r="FO226" s="329"/>
      <c r="FP226" s="45"/>
      <c r="FQ226" s="37"/>
      <c r="FR226" s="45"/>
      <c r="FS226" s="37"/>
      <c r="FT226" s="45"/>
      <c r="FU226" s="37"/>
      <c r="FV226" s="45"/>
      <c r="FW226" s="37"/>
      <c r="FX226" s="45"/>
      <c r="FY226" s="37"/>
      <c r="FZ226" s="45"/>
      <c r="GA226" s="37"/>
      <c r="GB226" s="45"/>
      <c r="GC226" s="37"/>
      <c r="GE226" s="37"/>
      <c r="GF226" s="838" t="s">
        <v>3930</v>
      </c>
      <c r="GG226" s="37"/>
      <c r="GH226" s="37"/>
      <c r="GI226" s="37"/>
      <c r="GJ226" s="37"/>
      <c r="GK226" s="37"/>
      <c r="GL226" s="37"/>
      <c r="GM226" s="37"/>
      <c r="GN226" s="37"/>
      <c r="GO226" s="37"/>
      <c r="GP226" s="37"/>
      <c r="GQ226" s="37"/>
      <c r="GR226" s="37"/>
      <c r="GS226" s="405">
        <f>SUM(GS204:GS225)</f>
        <v>198</v>
      </c>
      <c r="GT226" s="37"/>
      <c r="GU226" s="37"/>
      <c r="GV226" s="37"/>
      <c r="GW226" s="37"/>
      <c r="GX226" s="37"/>
      <c r="GY226" s="37"/>
      <c r="HF226" s="37"/>
      <c r="HG226" s="37"/>
      <c r="HH226" s="37"/>
      <c r="HI226" s="37"/>
      <c r="HJ226" s="37"/>
      <c r="HK226" s="838" t="s">
        <v>4271</v>
      </c>
      <c r="HL226" s="37"/>
      <c r="HM226" s="37"/>
      <c r="HN226" s="37"/>
      <c r="HO226" s="37"/>
      <c r="HP226" s="37"/>
      <c r="HQ226" s="37"/>
      <c r="HR226" s="37"/>
      <c r="HS226" s="37"/>
      <c r="HT226" s="37"/>
      <c r="HU226" s="37"/>
      <c r="HV226" s="37"/>
      <c r="HW226" s="37"/>
      <c r="HX226" s="37"/>
      <c r="HY226" s="37"/>
      <c r="HZ226" s="37"/>
      <c r="IA226" s="37"/>
      <c r="IB226" s="37"/>
      <c r="IC226" s="37"/>
      <c r="ID226" s="37"/>
      <c r="IE226" s="37"/>
      <c r="IF226" s="37"/>
      <c r="IG226" s="37"/>
      <c r="IH226" s="37"/>
      <c r="II226" s="37"/>
      <c r="IJ226" s="37"/>
      <c r="IK226" s="37"/>
      <c r="IL226" s="37"/>
      <c r="IM226" s="37"/>
      <c r="IN226" s="37"/>
      <c r="IO226" s="45"/>
      <c r="IP226" s="45"/>
      <c r="IQ226" s="45"/>
      <c r="IR226" s="37"/>
      <c r="JR226" s="37"/>
    </row>
    <row r="227" spans="3:278" ht="15" customHeight="1">
      <c r="H227" s="411"/>
      <c r="I227" s="37"/>
      <c r="J227" s="45"/>
      <c r="K227" s="45"/>
      <c r="L227" s="45"/>
      <c r="M227" s="45"/>
      <c r="N227" s="45"/>
      <c r="O227" s="841"/>
      <c r="P227" s="329"/>
      <c r="Q227" s="45"/>
      <c r="R227" s="45"/>
      <c r="S227" s="45"/>
      <c r="T227" s="45"/>
      <c r="U227" s="45"/>
      <c r="V227" s="45"/>
      <c r="W227" s="45"/>
      <c r="X227" s="45"/>
      <c r="Y227" s="45"/>
      <c r="Z227" s="45"/>
      <c r="AA227" s="406"/>
      <c r="AB227" s="406"/>
      <c r="AC227" s="406"/>
      <c r="AD227" s="838"/>
      <c r="AE227" s="843"/>
      <c r="AF227" s="837" t="s">
        <v>2000</v>
      </c>
      <c r="AG227" s="843"/>
      <c r="AH227" s="843"/>
      <c r="AI227" s="45"/>
      <c r="AJ227" s="45"/>
      <c r="AK227" s="45"/>
      <c r="AL227" s="45"/>
      <c r="AM227" s="45"/>
      <c r="AN227" s="45"/>
      <c r="AO227" s="45"/>
      <c r="AP227" s="45"/>
      <c r="AS227" s="45"/>
      <c r="AW227" s="45"/>
      <c r="AX227" s="45"/>
      <c r="AY227" s="837" t="s">
        <v>2184</v>
      </c>
      <c r="AZ227" s="45"/>
      <c r="BA227" s="45"/>
      <c r="BB227" s="45"/>
      <c r="BC227" s="37"/>
      <c r="BD227" s="45"/>
      <c r="BE227" s="45"/>
      <c r="BF227" s="37"/>
      <c r="BG227" s="45"/>
      <c r="BH227" s="45"/>
      <c r="BI227" s="45"/>
      <c r="BJ227" s="45"/>
      <c r="CG227" s="846" t="s">
        <v>3410</v>
      </c>
      <c r="CN227" s="1063"/>
      <c r="CO227" s="1063"/>
      <c r="CQ227" s="1060"/>
      <c r="CR227" s="1062"/>
      <c r="CS227" s="1061"/>
      <c r="CT227" s="1061"/>
      <c r="CU227" s="1061"/>
      <c r="CV227" s="1061"/>
      <c r="CW227" s="1111"/>
      <c r="CX227" s="1111"/>
      <c r="CY227" s="1111"/>
      <c r="CZ227" s="1063"/>
      <c r="DA227" s="1063"/>
      <c r="DD227" s="37"/>
      <c r="DE227" s="407"/>
      <c r="DF227" s="407"/>
      <c r="DG227" s="37"/>
      <c r="DH227" s="37"/>
      <c r="DI227" s="407"/>
      <c r="DJ227" s="407"/>
      <c r="DK227" s="37"/>
      <c r="DL227" s="37"/>
      <c r="DM227" s="37"/>
      <c r="DN227" s="37"/>
      <c r="DO227" s="37"/>
      <c r="DP227" s="37"/>
      <c r="DQ227" s="37"/>
      <c r="DR227" s="37"/>
      <c r="DT227" s="843"/>
      <c r="DU227" s="37"/>
      <c r="DV227" s="37"/>
      <c r="DW227" s="407"/>
      <c r="DX227" s="407"/>
      <c r="DY227" s="37"/>
      <c r="DZ227" s="37"/>
      <c r="EA227" s="407"/>
      <c r="EB227" s="37"/>
      <c r="EC227" s="37"/>
      <c r="ED227" s="407"/>
      <c r="EE227" s="37"/>
      <c r="EF227" s="37"/>
      <c r="EG227" s="838"/>
      <c r="EH227" s="843"/>
      <c r="EI227" s="838"/>
      <c r="EJ227" s="843"/>
      <c r="EK227" s="45"/>
      <c r="EL227" s="37"/>
      <c r="EM227" s="37"/>
      <c r="EN227" s="37"/>
      <c r="EO227" s="37"/>
      <c r="EP227" s="37"/>
      <c r="EQ227" s="37"/>
      <c r="ER227" s="37"/>
      <c r="ES227" s="37"/>
      <c r="ET227" s="37"/>
      <c r="EU227" s="37"/>
      <c r="EV227" s="37"/>
      <c r="EW227" s="37"/>
      <c r="EX227" s="37"/>
      <c r="EZ227" s="37"/>
      <c r="FA227" s="37"/>
      <c r="FB227" s="37"/>
      <c r="FC227" s="37"/>
      <c r="FD227" s="408"/>
      <c r="FE227" s="37"/>
      <c r="FF227" s="37"/>
      <c r="FG227" s="37"/>
      <c r="FH227" s="37"/>
      <c r="FI227" s="45"/>
      <c r="FJ227" s="45"/>
      <c r="FK227" s="45"/>
      <c r="FL227" s="45"/>
      <c r="FM227" s="45"/>
      <c r="FN227" s="45"/>
      <c r="FO227" s="329"/>
      <c r="FP227" s="45"/>
      <c r="FQ227" s="37"/>
      <c r="FR227" s="45"/>
      <c r="FS227" s="37"/>
      <c r="FT227" s="45"/>
      <c r="FU227" s="37"/>
      <c r="FV227" s="45"/>
      <c r="FW227" s="37"/>
      <c r="FX227" s="45"/>
      <c r="FY227" s="37"/>
      <c r="FZ227" s="45"/>
      <c r="GA227" s="37"/>
      <c r="GB227" s="45"/>
      <c r="GC227" s="37"/>
      <c r="GE227" s="37"/>
      <c r="GF227" s="838"/>
      <c r="GG227" s="37"/>
      <c r="GH227" s="37"/>
      <c r="GI227" s="37"/>
      <c r="GJ227" s="37"/>
      <c r="GK227" s="37"/>
      <c r="GL227" s="37"/>
      <c r="GM227" s="37"/>
      <c r="GN227" s="37"/>
      <c r="GO227" s="37"/>
      <c r="GP227" s="37"/>
      <c r="GQ227" s="37"/>
      <c r="GR227" s="37"/>
      <c r="GT227" s="37"/>
      <c r="GU227" s="37"/>
      <c r="GV227" s="37"/>
      <c r="GW227" s="37"/>
      <c r="GX227" s="37"/>
      <c r="GY227" s="37"/>
      <c r="HF227" s="37"/>
      <c r="HG227" s="37"/>
      <c r="HH227" s="37"/>
      <c r="HI227" s="37"/>
      <c r="HJ227" s="37"/>
      <c r="HK227" s="838"/>
      <c r="HL227" s="37"/>
      <c r="HM227" s="37"/>
      <c r="HN227" s="37"/>
      <c r="HO227" s="37"/>
      <c r="HP227" s="37"/>
      <c r="HQ227" s="37"/>
      <c r="HR227" s="37"/>
      <c r="HS227" s="37"/>
      <c r="HT227" s="37"/>
      <c r="HU227" s="37"/>
      <c r="HV227" s="37"/>
      <c r="HW227" s="37"/>
      <c r="HX227" s="37"/>
      <c r="HY227" s="37"/>
      <c r="HZ227" s="37"/>
      <c r="IA227" s="37"/>
      <c r="IB227" s="37"/>
      <c r="IC227" s="37"/>
      <c r="ID227" s="37"/>
      <c r="IE227" s="37"/>
      <c r="IF227" s="37"/>
      <c r="IG227" s="37"/>
      <c r="IH227" s="37"/>
      <c r="II227" s="37"/>
      <c r="IJ227" s="37"/>
      <c r="IK227" s="37"/>
      <c r="IL227" s="37"/>
      <c r="IM227" s="37"/>
      <c r="IN227" s="37"/>
      <c r="IO227" s="45"/>
      <c r="IP227" s="45"/>
      <c r="IQ227" s="45"/>
      <c r="IR227" s="37"/>
      <c r="JR227" s="37"/>
    </row>
    <row r="228" spans="3:278">
      <c r="H228" s="410"/>
      <c r="I228" s="37"/>
      <c r="J228" s="45"/>
      <c r="K228" s="45"/>
      <c r="L228" s="45"/>
      <c r="M228" s="45"/>
      <c r="N228" s="45"/>
      <c r="O228" s="841" t="s">
        <v>1986</v>
      </c>
      <c r="P228" s="329"/>
      <c r="Q228" s="45"/>
      <c r="R228" s="45"/>
      <c r="S228" s="45"/>
      <c r="T228" s="45"/>
      <c r="U228" s="45"/>
      <c r="V228" s="45"/>
      <c r="W228" s="45"/>
      <c r="X228" s="45"/>
      <c r="Y228" s="45"/>
      <c r="Z228" s="45"/>
      <c r="AA228" s="406"/>
      <c r="AB228" s="406"/>
      <c r="AC228" s="406"/>
      <c r="AD228" s="837" t="s">
        <v>2880</v>
      </c>
      <c r="AE228" s="45"/>
      <c r="AF228" s="45"/>
      <c r="AG228" s="45"/>
      <c r="AH228" s="45"/>
      <c r="AI228" s="45"/>
      <c r="AJ228" s="45"/>
      <c r="AK228" s="45"/>
      <c r="AL228" s="45"/>
      <c r="AM228" s="45"/>
      <c r="AN228" s="45"/>
      <c r="AO228" s="45"/>
      <c r="AP228" s="45"/>
      <c r="AS228" s="45"/>
      <c r="AW228" s="45"/>
      <c r="AX228" s="45"/>
      <c r="AY228" s="838"/>
      <c r="AZ228" s="45"/>
      <c r="BA228" s="45"/>
      <c r="BB228" s="45"/>
      <c r="BC228" s="37"/>
      <c r="BD228" s="45"/>
      <c r="BE228" s="45"/>
      <c r="BF228" s="37"/>
      <c r="BG228" s="45"/>
      <c r="BH228" s="45"/>
      <c r="BI228" s="45"/>
      <c r="BJ228" s="45"/>
      <c r="CG228" s="846" t="s">
        <v>3409</v>
      </c>
      <c r="CN228" s="1063"/>
      <c r="CO228" s="1063"/>
      <c r="CQ228" s="1060"/>
      <c r="CR228" s="1062"/>
      <c r="CS228" s="1061"/>
      <c r="CT228" s="1061"/>
      <c r="CU228" s="1061"/>
      <c r="CV228" s="1061"/>
      <c r="CW228" s="1111"/>
      <c r="CX228" s="1111"/>
      <c r="CY228" s="1111"/>
      <c r="CZ228" s="1063"/>
      <c r="DA228" s="1063"/>
      <c r="DB228" s="928"/>
      <c r="DC228" s="928"/>
      <c r="DD228" s="37"/>
      <c r="DE228" s="407"/>
      <c r="DF228" s="407"/>
      <c r="DG228" s="37"/>
      <c r="DH228" s="37"/>
      <c r="DI228" s="407"/>
      <c r="DJ228" s="407"/>
      <c r="DK228" s="37"/>
      <c r="DL228" s="37"/>
      <c r="DM228" s="37"/>
      <c r="DN228" s="37"/>
      <c r="DO228" s="37"/>
      <c r="DP228" s="37"/>
      <c r="DQ228" s="37"/>
      <c r="DR228" s="37"/>
      <c r="DT228" s="843"/>
      <c r="DU228" s="37"/>
      <c r="DV228" s="37"/>
      <c r="DW228" s="407"/>
      <c r="DX228" s="407"/>
      <c r="DY228" s="37"/>
      <c r="DZ228" s="37"/>
      <c r="EA228" s="407"/>
      <c r="EB228" s="37"/>
      <c r="EC228" s="37"/>
      <c r="ED228" s="407"/>
      <c r="EE228" s="37"/>
      <c r="EF228" s="37"/>
      <c r="EG228" s="838"/>
      <c r="EH228" s="843"/>
      <c r="EI228" s="838"/>
      <c r="EJ228" s="742"/>
      <c r="EK228" s="45"/>
      <c r="EL228" s="37"/>
      <c r="EM228" s="37"/>
      <c r="EN228" s="37"/>
      <c r="EO228" s="37"/>
      <c r="EP228" s="37"/>
      <c r="EQ228" s="37"/>
      <c r="ER228" s="37"/>
      <c r="ES228" s="37"/>
      <c r="ET228" s="37"/>
      <c r="EU228" s="37"/>
      <c r="EV228" s="37"/>
      <c r="EW228" s="37"/>
      <c r="EX228" s="37"/>
      <c r="EY228" s="851"/>
      <c r="EZ228" s="37"/>
      <c r="FA228" s="37"/>
      <c r="FB228" s="37"/>
      <c r="FC228" s="37"/>
      <c r="FD228" s="408"/>
      <c r="FE228" s="37"/>
      <c r="FF228" s="37"/>
      <c r="FG228" s="37"/>
      <c r="FH228" s="37"/>
      <c r="FI228" s="45"/>
      <c r="FJ228" s="45"/>
      <c r="FK228" s="45"/>
      <c r="FL228" s="45"/>
      <c r="FM228" s="45"/>
      <c r="FN228" s="45"/>
      <c r="FO228" s="329"/>
      <c r="FP228" s="45"/>
      <c r="FQ228" s="37"/>
      <c r="FR228" s="45"/>
      <c r="FS228" s="37"/>
      <c r="FT228" s="45"/>
      <c r="FU228" s="37"/>
      <c r="FV228" s="45"/>
      <c r="FW228" s="37"/>
      <c r="FX228" s="45"/>
      <c r="FY228" s="37"/>
      <c r="FZ228" s="45"/>
      <c r="GA228" s="37"/>
      <c r="GB228" s="45"/>
      <c r="GC228" s="37"/>
      <c r="GE228" s="37"/>
      <c r="GF228" s="838"/>
      <c r="GG228" s="37"/>
      <c r="GH228" s="37"/>
      <c r="GI228" s="37"/>
      <c r="GJ228" s="37"/>
      <c r="GK228" s="37"/>
      <c r="GL228" s="37"/>
      <c r="GM228" s="37"/>
      <c r="GN228" s="37"/>
      <c r="GO228" s="37"/>
      <c r="GP228" s="37"/>
      <c r="GQ228" s="37"/>
      <c r="GR228" s="37"/>
      <c r="GS228" s="37"/>
      <c r="GT228" s="37"/>
      <c r="GU228" s="37"/>
      <c r="GV228" s="37"/>
      <c r="GW228" s="37"/>
      <c r="GX228" s="37"/>
      <c r="GY228" s="37"/>
      <c r="HF228" s="37"/>
      <c r="HG228" s="37"/>
      <c r="HH228" s="37"/>
      <c r="HI228" s="37"/>
      <c r="HJ228" s="37"/>
      <c r="HK228" s="596"/>
      <c r="HL228" s="37"/>
      <c r="HM228" s="37"/>
      <c r="HN228" s="37"/>
      <c r="HO228" s="37"/>
      <c r="HP228" s="37"/>
      <c r="HQ228" s="37"/>
      <c r="HR228" s="37"/>
      <c r="HS228" s="37"/>
      <c r="HT228" s="37"/>
      <c r="HU228" s="37"/>
      <c r="HV228" s="37"/>
      <c r="HW228" s="37"/>
      <c r="HX228" s="37"/>
      <c r="HY228" s="37"/>
      <c r="HZ228" s="37"/>
      <c r="IA228" s="37"/>
      <c r="IB228" s="37"/>
      <c r="IC228" s="37"/>
      <c r="ID228" s="37"/>
      <c r="IE228" s="37"/>
      <c r="IF228" s="37"/>
      <c r="IG228" s="37"/>
      <c r="IH228" s="37"/>
      <c r="II228" s="37"/>
      <c r="IJ228" s="37"/>
      <c r="IK228" s="37"/>
      <c r="IL228" s="37"/>
      <c r="IM228" s="37"/>
      <c r="IN228" s="37"/>
      <c r="IO228" s="45"/>
      <c r="IP228" s="45"/>
      <c r="IQ228" s="45"/>
      <c r="IR228" s="37"/>
      <c r="JR228" s="37"/>
    </row>
    <row r="229" spans="3:278">
      <c r="H229" s="410"/>
      <c r="I229" s="37"/>
      <c r="J229" s="45"/>
      <c r="K229" s="45"/>
      <c r="L229" s="45"/>
      <c r="M229" s="45"/>
      <c r="N229" s="45"/>
      <c r="O229" s="841" t="s">
        <v>1987</v>
      </c>
      <c r="P229" s="329"/>
      <c r="Q229" s="45"/>
      <c r="R229" s="45"/>
      <c r="S229" s="45"/>
      <c r="T229" s="45"/>
      <c r="U229" s="45"/>
      <c r="V229" s="45"/>
      <c r="W229" s="45"/>
      <c r="X229" s="45"/>
      <c r="Y229" s="45"/>
      <c r="Z229" s="45"/>
      <c r="AA229" s="406"/>
      <c r="AB229" s="406"/>
      <c r="AC229" s="406"/>
      <c r="AD229" s="838"/>
      <c r="AE229" s="45"/>
      <c r="AF229" s="45"/>
      <c r="AG229" s="45"/>
      <c r="AH229" s="45"/>
      <c r="AI229" s="45"/>
      <c r="AJ229" s="45"/>
      <c r="AK229" s="45"/>
      <c r="AL229" s="45"/>
      <c r="AM229" s="45"/>
      <c r="AN229" s="45"/>
      <c r="AO229" s="45"/>
      <c r="AP229" s="45"/>
      <c r="AS229" s="45"/>
      <c r="AW229" s="45"/>
      <c r="AX229" s="45"/>
      <c r="AZ229" s="45"/>
      <c r="BA229" s="45"/>
      <c r="BB229" s="45"/>
      <c r="BC229" s="37"/>
      <c r="BD229" s="45"/>
      <c r="BE229" s="45"/>
      <c r="BF229" s="37"/>
      <c r="BG229" s="45"/>
      <c r="BH229" s="45"/>
      <c r="BI229" s="45"/>
      <c r="BJ229" s="45"/>
      <c r="CG229" s="406"/>
      <c r="CN229" s="1063"/>
      <c r="CO229" s="1063"/>
      <c r="CQ229" s="1060"/>
      <c r="CR229" s="1062"/>
      <c r="CT229" s="1061"/>
      <c r="CU229" s="1061"/>
      <c r="CV229" s="1061"/>
      <c r="CW229" s="1111"/>
      <c r="CX229" s="1111"/>
      <c r="CY229" s="1116"/>
      <c r="CZ229" s="1063"/>
      <c r="DA229" s="1063"/>
      <c r="DB229" s="928"/>
      <c r="DC229" s="928"/>
      <c r="DD229" s="37"/>
      <c r="DE229" s="407"/>
      <c r="DF229" s="407"/>
      <c r="DG229" s="37"/>
      <c r="DH229" s="37"/>
      <c r="DI229" s="407"/>
      <c r="DJ229" s="407"/>
      <c r="DK229" s="37"/>
      <c r="DL229" s="37"/>
      <c r="DM229" s="37"/>
      <c r="DN229" s="37"/>
      <c r="DO229" s="37"/>
      <c r="DP229" s="37"/>
      <c r="DQ229" s="37"/>
      <c r="DR229" s="37"/>
      <c r="DS229" s="846"/>
      <c r="DT229" s="843"/>
      <c r="DU229" s="37"/>
      <c r="DV229" s="37"/>
      <c r="DW229" s="407"/>
      <c r="DX229" s="407"/>
      <c r="DY229" s="37"/>
      <c r="DZ229" s="37"/>
      <c r="EA229" s="407"/>
      <c r="EB229" s="37"/>
      <c r="EC229" s="37"/>
      <c r="ED229" s="407"/>
      <c r="EE229" s="37"/>
      <c r="EF229" s="37"/>
      <c r="EG229" s="838"/>
      <c r="EH229" s="843"/>
      <c r="EI229" s="838"/>
      <c r="EJ229" s="843"/>
      <c r="EK229" s="45"/>
      <c r="EL229" s="37"/>
      <c r="EM229" s="37"/>
      <c r="EN229" s="37"/>
      <c r="EO229" s="37"/>
      <c r="EP229" s="37"/>
      <c r="EQ229" s="37"/>
      <c r="ER229" s="37"/>
      <c r="ES229" s="37"/>
      <c r="ET229" s="37"/>
      <c r="EU229" s="37"/>
      <c r="EV229" s="37"/>
      <c r="EW229" s="37"/>
      <c r="EX229" s="37"/>
      <c r="EY229" s="851"/>
      <c r="EZ229" s="37"/>
      <c r="FA229" s="37"/>
      <c r="FB229" s="37"/>
      <c r="FC229" s="37"/>
      <c r="FD229" s="408"/>
      <c r="FE229" s="37"/>
      <c r="FF229" s="37"/>
      <c r="FG229" s="37"/>
      <c r="FH229" s="37"/>
      <c r="FI229" s="45"/>
      <c r="FJ229" s="45"/>
      <c r="FK229" s="45"/>
      <c r="FL229" s="45"/>
      <c r="FM229" s="45"/>
      <c r="FN229" s="45"/>
      <c r="FO229" s="329"/>
      <c r="FP229" s="45"/>
      <c r="FQ229" s="37"/>
      <c r="FR229" s="45"/>
      <c r="FS229" s="37"/>
      <c r="FT229" s="45"/>
      <c r="FU229" s="37"/>
      <c r="FV229" s="45"/>
      <c r="FW229" s="37"/>
      <c r="FX229" s="45"/>
      <c r="FY229" s="37"/>
      <c r="FZ229" s="45"/>
      <c r="GA229" s="37"/>
      <c r="GB229" s="45"/>
      <c r="GC229" s="37"/>
      <c r="GE229" s="37"/>
      <c r="GF229" s="37"/>
      <c r="GG229" s="37"/>
      <c r="GH229" s="37"/>
      <c r="GI229" s="37"/>
      <c r="GJ229" s="37"/>
      <c r="GK229" s="37"/>
      <c r="GL229" s="37"/>
      <c r="GM229" s="37"/>
      <c r="GN229" s="37"/>
      <c r="GO229" s="37"/>
      <c r="GP229" s="37"/>
      <c r="GQ229" s="37"/>
      <c r="GR229" s="37"/>
      <c r="GS229" s="37"/>
      <c r="GT229" s="37"/>
      <c r="GU229" s="37"/>
      <c r="GV229" s="37"/>
      <c r="GW229" s="37"/>
      <c r="GX229" s="37"/>
      <c r="GY229" s="37"/>
      <c r="HF229" s="37"/>
      <c r="HG229" s="37"/>
      <c r="HH229" s="37"/>
      <c r="HI229" s="37"/>
      <c r="HJ229" s="37"/>
      <c r="HK229" s="37"/>
      <c r="HL229" s="37"/>
      <c r="HM229" s="37"/>
      <c r="HN229" s="37"/>
      <c r="HO229" s="37"/>
      <c r="HP229" s="37"/>
      <c r="HQ229" s="37"/>
      <c r="HR229" s="37"/>
      <c r="HS229" s="37"/>
      <c r="HT229" s="37"/>
      <c r="HU229" s="37"/>
      <c r="HV229" s="37"/>
      <c r="HW229" s="37"/>
      <c r="HX229" s="37"/>
      <c r="HY229" s="37"/>
      <c r="HZ229" s="37"/>
      <c r="IA229" s="37"/>
      <c r="IB229" s="37"/>
      <c r="IC229" s="37"/>
      <c r="ID229" s="37"/>
      <c r="IE229" s="37"/>
      <c r="IF229" s="37"/>
      <c r="IG229" s="37"/>
      <c r="IH229" s="37"/>
      <c r="II229" s="37"/>
      <c r="IJ229" s="37"/>
      <c r="IK229" s="37"/>
      <c r="IL229" s="37"/>
      <c r="IM229" s="37"/>
      <c r="IN229" s="37"/>
      <c r="IO229" s="45"/>
      <c r="IP229" s="45"/>
      <c r="IQ229" s="45"/>
      <c r="IR229" s="37"/>
      <c r="JR229" s="37"/>
    </row>
    <row r="230" spans="3:278">
      <c r="H230" s="37"/>
      <c r="I230" s="37"/>
      <c r="J230" s="45"/>
      <c r="K230" s="45"/>
      <c r="L230" s="45"/>
      <c r="M230" s="45"/>
      <c r="N230" s="45"/>
      <c r="O230" s="841"/>
      <c r="P230" s="329"/>
      <c r="Q230" s="45"/>
      <c r="R230" s="45"/>
      <c r="S230" s="45"/>
      <c r="T230" s="45"/>
      <c r="U230" s="45"/>
      <c r="V230" s="45"/>
      <c r="W230" s="45"/>
      <c r="X230" s="45"/>
      <c r="Y230" s="45"/>
      <c r="Z230" s="45"/>
      <c r="AA230" s="406"/>
      <c r="AB230" s="406"/>
      <c r="AC230" s="406"/>
      <c r="AD230" s="837" t="s">
        <v>2751</v>
      </c>
      <c r="AE230" s="45"/>
      <c r="AF230" s="45"/>
      <c r="AG230" s="45"/>
      <c r="AH230" s="45"/>
      <c r="AI230" s="45"/>
      <c r="AJ230" s="45"/>
      <c r="AK230" s="45"/>
      <c r="AL230" s="45"/>
      <c r="AM230" s="45"/>
      <c r="AN230" s="45"/>
      <c r="AO230" s="45"/>
      <c r="AP230" s="45"/>
      <c r="AS230" s="45"/>
      <c r="AW230" s="45"/>
      <c r="AX230" s="45"/>
      <c r="AY230" s="37"/>
      <c r="AZ230" s="45"/>
      <c r="BA230" s="45"/>
      <c r="BB230" s="45"/>
      <c r="BC230" s="37"/>
      <c r="BD230" s="45"/>
      <c r="BE230" s="45"/>
      <c r="BF230" s="37"/>
      <c r="BG230" s="45"/>
      <c r="BH230" s="45"/>
      <c r="BI230" s="45"/>
      <c r="BJ230" s="45"/>
      <c r="CG230" s="406"/>
      <c r="CO230" s="1064"/>
      <c r="CQ230" s="1060"/>
      <c r="CR230" s="1062"/>
      <c r="CT230" s="1072"/>
      <c r="CV230" s="1072"/>
      <c r="CW230" s="1116"/>
      <c r="CX230" s="1116"/>
      <c r="CY230" s="1111"/>
      <c r="CZ230" s="1063"/>
      <c r="DA230" s="1063"/>
      <c r="DB230" s="928"/>
      <c r="DC230" s="928"/>
      <c r="DD230" s="37"/>
      <c r="DE230" s="407"/>
      <c r="DF230" s="407"/>
      <c r="DG230" s="37"/>
      <c r="DH230" s="37"/>
      <c r="DI230" s="407"/>
      <c r="DJ230" s="407"/>
      <c r="DK230" s="37"/>
      <c r="DL230" s="37"/>
      <c r="DM230" s="37"/>
      <c r="DN230" s="37"/>
      <c r="DO230" s="37"/>
      <c r="DP230" s="37"/>
      <c r="DQ230" s="37"/>
      <c r="DR230" s="37"/>
      <c r="DS230" s="846"/>
      <c r="DT230" s="843"/>
      <c r="DU230" s="37"/>
      <c r="DV230" s="37"/>
      <c r="DW230" s="407"/>
      <c r="DX230" s="407"/>
      <c r="DY230" s="37"/>
      <c r="DZ230" s="37"/>
      <c r="EA230" s="407"/>
      <c r="EB230" s="37"/>
      <c r="EC230" s="37"/>
      <c r="ED230" s="407"/>
      <c r="EE230" s="37"/>
      <c r="EF230" s="37"/>
      <c r="EG230" s="37"/>
      <c r="EH230" s="45"/>
      <c r="EI230" s="37"/>
      <c r="EK230" s="45"/>
      <c r="EL230" s="37"/>
      <c r="EM230" s="37"/>
      <c r="EN230" s="37"/>
      <c r="EO230" s="37"/>
      <c r="EP230" s="37"/>
      <c r="EQ230" s="37"/>
      <c r="ER230" s="37"/>
      <c r="ES230" s="37"/>
      <c r="ET230" s="37"/>
      <c r="EU230" s="37"/>
      <c r="EV230" s="37"/>
      <c r="EW230" s="37"/>
      <c r="EX230" s="37"/>
      <c r="EY230" s="408"/>
      <c r="EZ230" s="37"/>
      <c r="FA230" s="37"/>
      <c r="FB230" s="37"/>
      <c r="FC230" s="37"/>
      <c r="FD230" s="408"/>
      <c r="FE230" s="37"/>
      <c r="FF230" s="37"/>
      <c r="FG230" s="37"/>
      <c r="FH230" s="37"/>
      <c r="FI230" s="45"/>
      <c r="FJ230" s="45"/>
      <c r="FK230" s="45"/>
      <c r="FL230" s="45"/>
      <c r="FM230" s="45"/>
      <c r="FN230" s="45"/>
      <c r="FO230" s="329"/>
      <c r="FP230" s="45"/>
      <c r="FQ230" s="37"/>
      <c r="FR230" s="45"/>
      <c r="FS230" s="37"/>
      <c r="FT230" s="45"/>
      <c r="FU230" s="37"/>
      <c r="FV230" s="45"/>
      <c r="FW230" s="37"/>
      <c r="FX230" s="45"/>
      <c r="FY230" s="37"/>
      <c r="FZ230" s="45"/>
      <c r="GA230" s="37"/>
      <c r="GB230" s="45"/>
      <c r="GC230" s="37"/>
      <c r="GE230" s="37"/>
      <c r="GF230" s="37"/>
      <c r="GG230" s="37"/>
      <c r="GH230" s="37"/>
      <c r="GI230" s="37"/>
      <c r="GJ230" s="37"/>
      <c r="GK230" s="37"/>
      <c r="GL230" s="37"/>
      <c r="GM230" s="37"/>
      <c r="GN230" s="37"/>
      <c r="GO230" s="37"/>
      <c r="GP230" s="37"/>
      <c r="GQ230" s="37"/>
      <c r="GR230" s="37"/>
      <c r="GS230" s="37"/>
      <c r="GT230" s="37"/>
      <c r="GU230" s="37"/>
      <c r="GV230" s="37"/>
      <c r="GW230" s="37"/>
      <c r="GX230" s="37"/>
      <c r="GY230" s="37"/>
      <c r="HF230" s="37"/>
      <c r="HG230" s="37"/>
      <c r="HH230" s="37"/>
      <c r="HI230" s="37"/>
      <c r="HJ230" s="37"/>
      <c r="HK230" s="37"/>
      <c r="HL230" s="37"/>
      <c r="HM230" s="37"/>
      <c r="HN230" s="37"/>
      <c r="HO230" s="37"/>
      <c r="HP230" s="37"/>
      <c r="HQ230" s="37"/>
      <c r="HR230" s="37"/>
      <c r="HS230" s="37"/>
      <c r="HT230" s="37"/>
      <c r="HU230" s="37"/>
      <c r="HV230" s="37"/>
      <c r="HW230" s="37"/>
      <c r="HX230" s="37"/>
      <c r="HY230" s="37"/>
      <c r="HZ230" s="37"/>
      <c r="IA230" s="37"/>
      <c r="IB230" s="37"/>
      <c r="IC230" s="37"/>
      <c r="ID230" s="37"/>
      <c r="IE230" s="37"/>
      <c r="IF230" s="37"/>
      <c r="IG230" s="37"/>
      <c r="IH230" s="37"/>
      <c r="II230" s="37"/>
      <c r="IJ230" s="37"/>
      <c r="IK230" s="37"/>
      <c r="IL230" s="37"/>
      <c r="IM230" s="37"/>
      <c r="IN230" s="37"/>
      <c r="IO230" s="45"/>
      <c r="IP230" s="45"/>
      <c r="IQ230" s="45"/>
      <c r="IR230" s="37"/>
      <c r="JR230" s="37"/>
    </row>
    <row r="231" spans="3:278">
      <c r="H231" s="37"/>
      <c r="I231" s="37"/>
      <c r="J231" s="45"/>
      <c r="K231" s="45"/>
      <c r="L231" s="45"/>
      <c r="M231" s="45"/>
      <c r="N231" s="45"/>
      <c r="O231" s="841" t="s">
        <v>1977</v>
      </c>
      <c r="P231" s="329"/>
      <c r="Q231" s="45"/>
      <c r="R231" s="45"/>
      <c r="S231" s="45"/>
      <c r="T231" s="45"/>
      <c r="U231" s="45"/>
      <c r="V231" s="45"/>
      <c r="W231" s="45"/>
      <c r="X231" s="45"/>
      <c r="Y231" s="45"/>
      <c r="Z231" s="45"/>
      <c r="AA231" s="406"/>
      <c r="AB231" s="406"/>
      <c r="AC231" s="406"/>
      <c r="AD231" s="837" t="s">
        <v>2754</v>
      </c>
      <c r="AE231" s="45"/>
      <c r="AF231" s="45"/>
      <c r="AG231" s="45"/>
      <c r="AH231" s="45"/>
      <c r="AI231" s="45"/>
      <c r="AJ231" s="45"/>
      <c r="AK231" s="45"/>
      <c r="AL231" s="45"/>
      <c r="AM231" s="45"/>
      <c r="AN231" s="45"/>
      <c r="AO231" s="45"/>
      <c r="AP231" s="45"/>
      <c r="AS231" s="45"/>
      <c r="AW231" s="45"/>
      <c r="AX231" s="45"/>
      <c r="AY231" s="37"/>
      <c r="AZ231" s="45"/>
      <c r="BA231" s="45"/>
      <c r="BB231" s="45"/>
      <c r="BC231" s="37"/>
      <c r="BD231" s="45"/>
      <c r="BE231" s="45"/>
      <c r="BF231" s="37"/>
      <c r="BG231" s="45"/>
      <c r="BH231" s="45"/>
      <c r="BI231" s="45"/>
      <c r="BJ231" s="45"/>
      <c r="CG231" s="1003"/>
      <c r="CO231" s="1063"/>
      <c r="CQ231" s="1060"/>
      <c r="CR231" s="1062"/>
      <c r="CT231" s="1061"/>
      <c r="CU231" s="1061"/>
      <c r="CV231" s="1061"/>
      <c r="CW231" s="1111"/>
      <c r="CX231" s="1111"/>
      <c r="CY231" s="1111"/>
      <c r="CZ231" s="1063"/>
      <c r="DA231" s="1063"/>
      <c r="DB231" s="928"/>
      <c r="DC231" s="928"/>
      <c r="DD231" s="37"/>
      <c r="DE231" s="407"/>
      <c r="DF231" s="407"/>
      <c r="DG231" s="37"/>
      <c r="DH231" s="37"/>
      <c r="DI231" s="407"/>
      <c r="DJ231" s="407"/>
      <c r="DK231" s="37"/>
      <c r="DL231" s="37"/>
      <c r="DM231" s="37"/>
      <c r="DN231" s="37"/>
      <c r="DO231" s="37"/>
      <c r="DP231" s="37"/>
      <c r="DQ231" s="37"/>
      <c r="DR231" s="37"/>
      <c r="DS231" s="846"/>
      <c r="DT231" s="843"/>
      <c r="DU231" s="37"/>
      <c r="DV231" s="37"/>
      <c r="DW231" s="407"/>
      <c r="DX231" s="407"/>
      <c r="DY231" s="37"/>
      <c r="DZ231" s="37"/>
      <c r="EA231" s="407"/>
      <c r="EB231" s="37"/>
      <c r="EC231" s="37"/>
      <c r="ED231" s="407"/>
      <c r="EE231" s="37"/>
      <c r="EF231" s="37"/>
      <c r="EG231" s="37"/>
      <c r="EH231" s="45"/>
      <c r="EI231" s="37"/>
      <c r="EJ231" s="45"/>
      <c r="EK231" s="45"/>
      <c r="EL231" s="37"/>
      <c r="EM231" s="37"/>
      <c r="EN231" s="37"/>
      <c r="EO231" s="37"/>
      <c r="EP231" s="37"/>
      <c r="EQ231" s="37"/>
      <c r="ER231" s="37"/>
      <c r="ES231" s="37"/>
      <c r="ET231" s="37"/>
      <c r="EU231" s="37"/>
      <c r="EV231" s="37"/>
      <c r="EW231" s="37"/>
      <c r="EX231" s="37"/>
      <c r="EY231" s="408"/>
      <c r="EZ231" s="37"/>
      <c r="FA231" s="37"/>
      <c r="FB231" s="37"/>
      <c r="FC231" s="37"/>
      <c r="FD231" s="408"/>
      <c r="FE231" s="37"/>
      <c r="FF231" s="37"/>
      <c r="FG231" s="37"/>
      <c r="FH231" s="37"/>
      <c r="FI231" s="45"/>
      <c r="FJ231" s="45"/>
      <c r="FK231" s="45"/>
      <c r="FL231" s="45"/>
      <c r="FM231" s="45"/>
      <c r="FN231" s="45"/>
      <c r="FO231" s="329"/>
      <c r="FP231" s="45"/>
      <c r="FQ231" s="37"/>
      <c r="FR231" s="45"/>
      <c r="FS231" s="37"/>
      <c r="FT231" s="45"/>
      <c r="FU231" s="37"/>
      <c r="FV231" s="45"/>
      <c r="FW231" s="37"/>
      <c r="FX231" s="45"/>
      <c r="FY231" s="37"/>
      <c r="FZ231" s="45"/>
      <c r="GA231" s="37"/>
      <c r="GB231" s="45"/>
      <c r="GC231" s="37"/>
      <c r="GE231" s="37"/>
      <c r="GF231" s="37"/>
      <c r="GG231" s="37"/>
      <c r="GH231" s="37"/>
      <c r="GI231" s="37"/>
      <c r="GJ231" s="37"/>
      <c r="GK231" s="37"/>
      <c r="GL231" s="37"/>
      <c r="GM231" s="37"/>
      <c r="GN231" s="37"/>
      <c r="GO231" s="37"/>
      <c r="GP231" s="37"/>
      <c r="GQ231" s="37"/>
      <c r="GR231" s="37"/>
      <c r="GS231" s="37"/>
      <c r="GT231" s="37"/>
      <c r="GU231" s="37"/>
      <c r="GV231" s="37"/>
      <c r="GW231" s="37"/>
      <c r="GX231" s="37"/>
      <c r="GY231" s="37"/>
      <c r="HF231" s="37"/>
      <c r="HG231" s="37"/>
      <c r="HH231" s="37"/>
      <c r="HI231" s="37"/>
      <c r="HJ231" s="37"/>
      <c r="HK231" s="37"/>
      <c r="HL231" s="37"/>
      <c r="HM231" s="37"/>
      <c r="HN231" s="37"/>
      <c r="HO231" s="37"/>
      <c r="HP231" s="37"/>
      <c r="HQ231" s="37"/>
      <c r="HR231" s="37"/>
      <c r="HS231" s="37"/>
      <c r="HT231" s="37"/>
      <c r="HU231" s="37"/>
      <c r="HV231" s="37"/>
      <c r="HW231" s="37"/>
      <c r="HX231" s="37"/>
      <c r="HY231" s="37"/>
      <c r="HZ231" s="37"/>
      <c r="IA231" s="37"/>
      <c r="IB231" s="37"/>
      <c r="IC231" s="37"/>
      <c r="ID231" s="37"/>
      <c r="IE231" s="37"/>
      <c r="IF231" s="37"/>
      <c r="IG231" s="37"/>
      <c r="IH231" s="37"/>
      <c r="II231" s="37"/>
      <c r="IJ231" s="37"/>
      <c r="IK231" s="37"/>
      <c r="IL231" s="37"/>
      <c r="IM231" s="37"/>
      <c r="IN231" s="37"/>
      <c r="IO231" s="45"/>
      <c r="IP231" s="45"/>
      <c r="IQ231" s="45"/>
      <c r="IR231" s="37"/>
      <c r="JR231" s="37"/>
    </row>
    <row r="232" spans="3:278">
      <c r="H232" s="411"/>
      <c r="I232" s="37"/>
      <c r="J232" s="45"/>
      <c r="K232" s="45"/>
      <c r="L232" s="45"/>
      <c r="M232" s="45"/>
      <c r="N232" s="45"/>
      <c r="O232" s="841"/>
      <c r="P232" s="329"/>
      <c r="Q232" s="45"/>
      <c r="R232" s="45"/>
      <c r="S232" s="45"/>
      <c r="T232" s="45"/>
      <c r="U232" s="45"/>
      <c r="V232" s="45"/>
      <c r="W232" s="45"/>
      <c r="X232" s="45"/>
      <c r="Y232" s="45"/>
      <c r="Z232" s="45"/>
      <c r="AA232" s="406"/>
      <c r="AB232" s="406"/>
      <c r="AC232" s="406"/>
      <c r="AD232" s="837" t="s">
        <v>2750</v>
      </c>
      <c r="AE232" s="45"/>
      <c r="AF232" s="45"/>
      <c r="AG232" s="45"/>
      <c r="AH232" s="45"/>
      <c r="AI232" s="45"/>
      <c r="AJ232" s="45"/>
      <c r="AK232" s="45"/>
      <c r="AL232" s="45"/>
      <c r="AM232" s="45"/>
      <c r="AN232" s="45"/>
      <c r="AO232" s="45"/>
      <c r="AP232" s="45"/>
      <c r="AS232" s="45"/>
      <c r="AW232" s="45"/>
      <c r="AX232" s="45"/>
      <c r="AY232" s="37"/>
      <c r="AZ232" s="45"/>
      <c r="BA232" s="45"/>
      <c r="BB232" s="45"/>
      <c r="BC232" s="37"/>
      <c r="BD232" s="45"/>
      <c r="BE232" s="45"/>
      <c r="BF232" s="37"/>
      <c r="BG232" s="45"/>
      <c r="BH232" s="45"/>
      <c r="BI232" s="45"/>
      <c r="BJ232" s="45"/>
      <c r="CG232" s="406"/>
      <c r="CO232" s="1063"/>
      <c r="CQ232" s="1060"/>
      <c r="CR232" s="1062"/>
      <c r="CT232" s="1061"/>
      <c r="CU232" s="1061"/>
      <c r="CV232" s="1061"/>
      <c r="CW232" s="1111"/>
      <c r="CX232" s="1111"/>
      <c r="CY232" s="1111"/>
      <c r="CZ232" s="1063"/>
      <c r="DA232" s="1063"/>
      <c r="DB232" s="928"/>
      <c r="DC232" s="928"/>
      <c r="DD232" s="37"/>
      <c r="DE232" s="407"/>
      <c r="DF232" s="407"/>
      <c r="DG232" s="37"/>
      <c r="DH232" s="37"/>
      <c r="DI232" s="407"/>
      <c r="DJ232" s="407"/>
      <c r="DK232" s="37"/>
      <c r="DL232" s="37"/>
      <c r="DM232" s="37"/>
      <c r="DN232" s="37"/>
      <c r="DO232" s="37"/>
      <c r="DP232" s="37"/>
      <c r="DQ232" s="37"/>
      <c r="DR232" s="37"/>
      <c r="DS232" s="846"/>
      <c r="DT232" s="843"/>
      <c r="DU232" s="37"/>
      <c r="DV232" s="37"/>
      <c r="DW232" s="407"/>
      <c r="DX232" s="407"/>
      <c r="DY232" s="37"/>
      <c r="DZ232" s="37"/>
      <c r="EA232" s="407"/>
      <c r="EB232" s="37"/>
      <c r="EC232" s="37"/>
      <c r="ED232" s="407"/>
      <c r="EE232" s="37"/>
      <c r="EF232" s="37"/>
      <c r="EG232" s="37"/>
      <c r="EH232" s="45"/>
      <c r="EI232" s="37"/>
      <c r="EJ232" s="45"/>
      <c r="EK232" s="45"/>
      <c r="EL232" s="37"/>
      <c r="EM232" s="37"/>
      <c r="EN232" s="37"/>
      <c r="EO232" s="37"/>
      <c r="EP232" s="37"/>
      <c r="EQ232" s="37"/>
      <c r="ER232" s="37"/>
      <c r="ES232" s="37"/>
      <c r="ET232" s="37"/>
      <c r="EU232" s="37"/>
      <c r="EV232" s="37"/>
      <c r="EW232" s="37"/>
      <c r="EX232" s="37"/>
      <c r="EY232" s="408"/>
      <c r="EZ232" s="37"/>
      <c r="FA232" s="37"/>
      <c r="FB232" s="37"/>
      <c r="FC232" s="37"/>
      <c r="FD232" s="408"/>
      <c r="FE232" s="37"/>
      <c r="FF232" s="37"/>
      <c r="FG232" s="37"/>
      <c r="FH232" s="37"/>
      <c r="FI232" s="45"/>
      <c r="FJ232" s="45"/>
      <c r="FK232" s="45"/>
      <c r="FL232" s="45"/>
      <c r="FM232" s="45"/>
      <c r="FN232" s="45"/>
      <c r="FO232" s="329"/>
      <c r="FP232" s="45"/>
      <c r="FQ232" s="37"/>
      <c r="FR232" s="45"/>
      <c r="FS232" s="37"/>
      <c r="FT232" s="45"/>
      <c r="FU232" s="37"/>
      <c r="FV232" s="45"/>
      <c r="FW232" s="37"/>
      <c r="FX232" s="45"/>
      <c r="FY232" s="37"/>
      <c r="FZ232" s="45"/>
      <c r="GA232" s="37"/>
      <c r="GB232" s="45"/>
      <c r="GC232" s="37"/>
      <c r="GE232" s="37"/>
      <c r="GF232" s="37"/>
      <c r="GG232" s="37"/>
      <c r="GH232" s="37"/>
      <c r="GI232" s="37"/>
      <c r="GJ232" s="37"/>
      <c r="GK232" s="37"/>
      <c r="GL232" s="37"/>
      <c r="GM232" s="37"/>
      <c r="GN232" s="37"/>
      <c r="GO232" s="37"/>
      <c r="GP232" s="37"/>
      <c r="GQ232" s="37"/>
      <c r="GR232" s="37"/>
      <c r="GS232" s="37"/>
      <c r="GT232" s="37"/>
      <c r="GU232" s="37"/>
      <c r="GV232" s="37"/>
      <c r="GW232" s="37"/>
      <c r="GX232" s="37"/>
      <c r="GY232" s="37"/>
      <c r="HF232" s="37"/>
      <c r="HG232" s="37"/>
      <c r="HH232" s="37"/>
      <c r="HI232" s="37"/>
      <c r="HJ232" s="37"/>
      <c r="HK232" s="37"/>
      <c r="HL232" s="37"/>
      <c r="HM232" s="37"/>
      <c r="HN232" s="37"/>
      <c r="HO232" s="37"/>
      <c r="HP232" s="37"/>
      <c r="HQ232" s="37"/>
      <c r="HR232" s="37"/>
      <c r="HS232" s="37"/>
      <c r="HT232" s="37"/>
      <c r="HU232" s="37"/>
      <c r="HV232" s="37"/>
      <c r="HW232" s="37"/>
      <c r="HX232" s="37"/>
      <c r="HY232" s="37"/>
      <c r="HZ232" s="37"/>
      <c r="IA232" s="37"/>
      <c r="IB232" s="37"/>
      <c r="IC232" s="37"/>
      <c r="ID232" s="37"/>
      <c r="IE232" s="37"/>
      <c r="IF232" s="37"/>
      <c r="IG232" s="37"/>
      <c r="IH232" s="37"/>
      <c r="II232" s="37"/>
      <c r="IJ232" s="37"/>
      <c r="IK232" s="37"/>
      <c r="IL232" s="37"/>
      <c r="IM232" s="37"/>
      <c r="IN232" s="37"/>
      <c r="IO232" s="45"/>
      <c r="IP232" s="45"/>
      <c r="IQ232" s="45"/>
      <c r="IR232" s="37"/>
      <c r="JR232" s="37"/>
    </row>
    <row r="233" spans="3:278">
      <c r="H233" s="37"/>
      <c r="I233" s="37"/>
      <c r="J233" s="45"/>
      <c r="K233" s="45"/>
      <c r="L233" s="45"/>
      <c r="M233" s="45"/>
      <c r="N233" s="45"/>
      <c r="O233" s="841" t="s">
        <v>3302</v>
      </c>
      <c r="P233" s="329"/>
      <c r="Q233" s="45"/>
      <c r="R233" s="45"/>
      <c r="S233" s="45"/>
      <c r="T233" s="45"/>
      <c r="U233" s="45"/>
      <c r="V233" s="45"/>
      <c r="W233" s="45"/>
      <c r="X233" s="45"/>
      <c r="Y233" s="45"/>
      <c r="Z233" s="45"/>
      <c r="AA233" s="406"/>
      <c r="AB233" s="406"/>
      <c r="AC233" s="406"/>
      <c r="AD233" s="837" t="s">
        <v>2758</v>
      </c>
      <c r="AE233" s="45"/>
      <c r="AF233" s="45"/>
      <c r="AG233" s="45"/>
      <c r="AH233" s="45"/>
      <c r="AI233" s="45"/>
      <c r="AJ233" s="45"/>
      <c r="AK233" s="45"/>
      <c r="AL233" s="45"/>
      <c r="AM233" s="45"/>
      <c r="AN233" s="45"/>
      <c r="AO233" s="45"/>
      <c r="AP233" s="45"/>
      <c r="AS233" s="45"/>
      <c r="AW233" s="45"/>
      <c r="AX233" s="45"/>
      <c r="AY233" s="37"/>
      <c r="AZ233" s="45"/>
      <c r="BA233" s="45"/>
      <c r="BB233" s="45"/>
      <c r="BC233" s="37"/>
      <c r="BD233" s="45"/>
      <c r="BE233" s="45"/>
      <c r="BF233" s="37"/>
      <c r="BG233" s="45"/>
      <c r="BH233" s="45"/>
      <c r="BI233" s="45"/>
      <c r="BJ233" s="45"/>
      <c r="CG233" s="406"/>
      <c r="CO233" s="1063"/>
      <c r="CQ233" s="1060"/>
      <c r="CR233" s="1062"/>
      <c r="CT233" s="1061"/>
      <c r="CU233" s="1061"/>
      <c r="CV233" s="1061"/>
      <c r="CW233" s="1111"/>
      <c r="CX233" s="1111"/>
      <c r="CY233" s="1111"/>
      <c r="CZ233" s="1063"/>
      <c r="DA233" s="1063"/>
      <c r="DB233" s="928"/>
      <c r="DC233" s="928"/>
      <c r="DD233" s="37"/>
      <c r="DE233" s="407"/>
      <c r="DF233" s="407"/>
      <c r="DG233" s="37"/>
      <c r="DH233" s="37"/>
      <c r="DI233" s="407"/>
      <c r="DJ233" s="407"/>
      <c r="DK233" s="37"/>
      <c r="DL233" s="37"/>
      <c r="DM233" s="37"/>
      <c r="DN233" s="37"/>
      <c r="DO233" s="37"/>
      <c r="DP233" s="37"/>
      <c r="DQ233" s="37"/>
      <c r="DR233" s="37"/>
      <c r="DS233" s="846"/>
      <c r="DT233" s="843"/>
      <c r="DU233" s="37"/>
      <c r="DV233" s="37"/>
      <c r="DW233" s="407"/>
      <c r="DX233" s="407"/>
      <c r="DY233" s="37"/>
      <c r="DZ233" s="37"/>
      <c r="EA233" s="407"/>
      <c r="EB233" s="37"/>
      <c r="EC233" s="37"/>
      <c r="ED233" s="407"/>
      <c r="EE233" s="37"/>
      <c r="EF233" s="37"/>
      <c r="EG233" s="37"/>
      <c r="EH233" s="45"/>
      <c r="EI233" s="37"/>
      <c r="EJ233" s="45"/>
      <c r="EK233" s="45"/>
      <c r="EL233" s="37"/>
      <c r="EM233" s="37"/>
      <c r="EN233" s="37"/>
      <c r="EO233" s="37"/>
      <c r="EP233" s="37"/>
      <c r="EQ233" s="37"/>
      <c r="ER233" s="37"/>
      <c r="ES233" s="37"/>
      <c r="ET233" s="37"/>
      <c r="EU233" s="37"/>
      <c r="EV233" s="37"/>
      <c r="EW233" s="37"/>
      <c r="EX233" s="37"/>
      <c r="EY233" s="408"/>
      <c r="EZ233" s="37"/>
      <c r="FA233" s="37"/>
      <c r="FB233" s="37"/>
      <c r="FC233" s="37"/>
      <c r="FD233" s="408"/>
      <c r="FE233" s="37"/>
      <c r="FF233" s="37"/>
      <c r="FG233" s="37"/>
      <c r="FH233" s="37"/>
      <c r="FI233" s="45"/>
      <c r="FJ233" s="45"/>
      <c r="FK233" s="45"/>
      <c r="FL233" s="45"/>
      <c r="FM233" s="45"/>
      <c r="FN233" s="45"/>
      <c r="FO233" s="329"/>
      <c r="FP233" s="45"/>
      <c r="FQ233" s="37"/>
      <c r="FR233" s="45"/>
      <c r="FS233" s="37"/>
      <c r="FT233" s="45"/>
      <c r="FU233" s="37"/>
      <c r="FV233" s="45"/>
      <c r="FW233" s="37"/>
      <c r="FX233" s="45"/>
      <c r="FY233" s="37"/>
      <c r="FZ233" s="45"/>
      <c r="GA233" s="37"/>
      <c r="GB233" s="45"/>
      <c r="GC233" s="37"/>
      <c r="GE233" s="37"/>
      <c r="GF233" s="37"/>
      <c r="GG233" s="37"/>
      <c r="GH233" s="37"/>
      <c r="GI233" s="37"/>
      <c r="GJ233" s="37"/>
      <c r="GK233" s="37"/>
      <c r="GL233" s="37"/>
      <c r="GM233" s="37"/>
      <c r="GN233" s="37"/>
      <c r="GO233" s="37"/>
      <c r="GP233" s="37"/>
      <c r="GQ233" s="37"/>
      <c r="GR233" s="37"/>
      <c r="GS233" s="37"/>
      <c r="GT233" s="37"/>
      <c r="GU233" s="37"/>
      <c r="GV233" s="37"/>
      <c r="GW233" s="37"/>
      <c r="GX233" s="37"/>
      <c r="GY233" s="37"/>
      <c r="HF233" s="37"/>
      <c r="HG233" s="37"/>
      <c r="HH233" s="37"/>
      <c r="HI233" s="37"/>
      <c r="HJ233" s="37"/>
      <c r="HK233" s="37"/>
      <c r="HL233" s="37"/>
      <c r="HM233" s="37"/>
      <c r="HN233" s="37"/>
      <c r="HO233" s="37"/>
      <c r="HP233" s="37"/>
      <c r="HQ233" s="37"/>
      <c r="HR233" s="37"/>
      <c r="HS233" s="37"/>
      <c r="HT233" s="37"/>
      <c r="HU233" s="37"/>
      <c r="HV233" s="37"/>
      <c r="HW233" s="37"/>
      <c r="HX233" s="37"/>
      <c r="HY233" s="37"/>
      <c r="HZ233" s="37"/>
      <c r="IA233" s="37"/>
      <c r="IB233" s="37"/>
      <c r="IC233" s="37"/>
      <c r="ID233" s="37"/>
      <c r="IE233" s="37"/>
      <c r="IF233" s="37"/>
      <c r="IG233" s="37"/>
      <c r="IH233" s="37"/>
      <c r="II233" s="37"/>
      <c r="IJ233" s="37"/>
      <c r="IK233" s="37"/>
      <c r="IL233" s="37"/>
      <c r="IM233" s="37"/>
      <c r="IN233" s="37"/>
      <c r="IO233" s="45"/>
      <c r="IP233" s="45"/>
      <c r="IQ233" s="45"/>
      <c r="IR233" s="37"/>
      <c r="JR233" s="37"/>
    </row>
    <row r="234" spans="3:278">
      <c r="H234" s="37"/>
      <c r="I234" s="37"/>
      <c r="J234" s="45"/>
      <c r="K234" s="45"/>
      <c r="L234" s="45"/>
      <c r="M234" s="45"/>
      <c r="N234" s="45"/>
      <c r="O234" s="837" t="s">
        <v>3292</v>
      </c>
      <c r="P234" s="329"/>
      <c r="Q234" s="45"/>
      <c r="R234" s="45"/>
      <c r="S234" s="45"/>
      <c r="T234" s="45"/>
      <c r="U234" s="45"/>
      <c r="V234" s="45"/>
      <c r="W234" s="45"/>
      <c r="X234" s="45"/>
      <c r="Y234" s="45"/>
      <c r="Z234" s="45"/>
      <c r="AA234" s="406"/>
      <c r="AB234" s="406"/>
      <c r="AC234" s="406"/>
      <c r="AD234" s="838"/>
      <c r="AE234" s="45"/>
      <c r="AF234" s="45"/>
      <c r="AG234" s="45"/>
      <c r="AH234" s="45"/>
      <c r="AI234" s="45"/>
      <c r="AJ234" s="45"/>
      <c r="AK234" s="45"/>
      <c r="AL234" s="45"/>
      <c r="AM234" s="45"/>
      <c r="AN234" s="45"/>
      <c r="AO234" s="45"/>
      <c r="AP234" s="45"/>
      <c r="AS234" s="45"/>
      <c r="AW234" s="45"/>
      <c r="AX234" s="45"/>
      <c r="AY234" s="37"/>
      <c r="AZ234" s="45"/>
      <c r="BA234" s="45"/>
      <c r="BB234" s="45"/>
      <c r="BC234" s="37"/>
      <c r="BD234" s="45"/>
      <c r="BE234" s="45"/>
      <c r="BF234" s="37"/>
      <c r="BG234" s="45"/>
      <c r="BH234" s="45"/>
      <c r="BI234" s="45"/>
      <c r="BJ234" s="45"/>
      <c r="CG234" s="406"/>
      <c r="CO234" s="1063"/>
      <c r="CQ234" s="1060"/>
      <c r="CR234" s="1062"/>
      <c r="CT234" s="1061"/>
      <c r="CU234" s="1061"/>
      <c r="CV234" s="1061"/>
      <c r="CW234" s="1111"/>
      <c r="CX234" s="1111"/>
      <c r="CY234" s="1111"/>
      <c r="CZ234" s="1063"/>
      <c r="DA234" s="1063"/>
      <c r="DB234" s="928"/>
      <c r="DC234" s="928"/>
      <c r="DD234" s="37"/>
      <c r="DE234" s="407"/>
      <c r="DF234" s="407"/>
      <c r="DG234" s="37"/>
      <c r="DH234" s="37"/>
      <c r="DI234" s="407"/>
      <c r="DJ234" s="407"/>
      <c r="DK234" s="37"/>
      <c r="DL234" s="37"/>
      <c r="DM234" s="37"/>
      <c r="DN234" s="37"/>
      <c r="DO234" s="37"/>
      <c r="DP234" s="37"/>
      <c r="DQ234" s="37"/>
      <c r="DR234" s="37"/>
      <c r="DS234" s="407"/>
      <c r="DT234" s="45"/>
      <c r="DU234" s="37"/>
      <c r="DV234" s="37"/>
      <c r="DW234" s="407"/>
      <c r="DX234" s="407"/>
      <c r="DY234" s="37"/>
      <c r="DZ234" s="37"/>
      <c r="EA234" s="407"/>
      <c r="EB234" s="37"/>
      <c r="EC234" s="37"/>
      <c r="ED234" s="407"/>
      <c r="EE234" s="37"/>
      <c r="EF234" s="37"/>
      <c r="EG234" s="37"/>
      <c r="EH234" s="45"/>
      <c r="EI234" s="37"/>
      <c r="EJ234" s="45"/>
      <c r="EK234" s="45"/>
      <c r="EL234" s="37"/>
      <c r="EM234" s="37"/>
      <c r="EN234" s="37"/>
      <c r="EO234" s="37"/>
      <c r="EP234" s="37"/>
      <c r="EQ234" s="37"/>
      <c r="ER234" s="37"/>
      <c r="ES234" s="37"/>
      <c r="ET234" s="37"/>
      <c r="EU234" s="37"/>
      <c r="EV234" s="37"/>
      <c r="EW234" s="37"/>
      <c r="EX234" s="37"/>
      <c r="EY234" s="408"/>
      <c r="EZ234" s="37"/>
      <c r="FA234" s="37"/>
      <c r="FB234" s="37"/>
      <c r="FC234" s="37"/>
      <c r="FD234" s="408"/>
      <c r="FE234" s="37"/>
      <c r="FF234" s="37"/>
      <c r="FG234" s="37"/>
      <c r="FH234" s="37"/>
      <c r="FI234" s="45"/>
      <c r="FJ234" s="45"/>
      <c r="FK234" s="45"/>
      <c r="FL234" s="45"/>
      <c r="FM234" s="45"/>
      <c r="FN234" s="45"/>
      <c r="FO234" s="329"/>
      <c r="FP234" s="45"/>
      <c r="FQ234" s="37"/>
      <c r="FR234" s="45"/>
      <c r="FS234" s="37"/>
      <c r="FT234" s="45"/>
      <c r="FU234" s="37"/>
      <c r="FV234" s="45"/>
      <c r="FW234" s="37"/>
      <c r="FX234" s="45"/>
      <c r="FY234" s="37"/>
      <c r="FZ234" s="45"/>
      <c r="GA234" s="37"/>
      <c r="GB234" s="45"/>
      <c r="GC234" s="37"/>
      <c r="GE234" s="37"/>
      <c r="GF234" s="37"/>
      <c r="GG234" s="37"/>
      <c r="GH234" s="37"/>
      <c r="GI234" s="37"/>
      <c r="GJ234" s="37"/>
      <c r="GK234" s="37"/>
      <c r="GL234" s="37"/>
      <c r="GM234" s="37"/>
      <c r="GN234" s="37"/>
      <c r="GO234" s="37"/>
      <c r="GP234" s="37"/>
      <c r="GQ234" s="37"/>
      <c r="GR234" s="37"/>
      <c r="GS234" s="37"/>
      <c r="GT234" s="37"/>
      <c r="GU234" s="37"/>
      <c r="GV234" s="37"/>
      <c r="GW234" s="37"/>
      <c r="GX234" s="37"/>
      <c r="GY234" s="37"/>
      <c r="HF234" s="37"/>
      <c r="HG234" s="37"/>
      <c r="HH234" s="37"/>
      <c r="HI234" s="37"/>
      <c r="HJ234" s="37"/>
      <c r="HK234" s="37"/>
      <c r="HL234" s="37"/>
      <c r="HM234" s="37"/>
      <c r="HN234" s="37"/>
      <c r="HO234" s="37"/>
      <c r="HP234" s="37"/>
      <c r="HQ234" s="37"/>
      <c r="HR234" s="37"/>
      <c r="HS234" s="37"/>
      <c r="HT234" s="37"/>
      <c r="HU234" s="37"/>
      <c r="HV234" s="37"/>
      <c r="HW234" s="37"/>
      <c r="HX234" s="37"/>
      <c r="HY234" s="37"/>
      <c r="HZ234" s="37"/>
      <c r="IA234" s="37"/>
      <c r="IB234" s="37"/>
      <c r="IC234" s="37"/>
      <c r="ID234" s="37"/>
      <c r="IE234" s="37"/>
      <c r="IF234" s="37"/>
      <c r="IG234" s="37"/>
      <c r="IH234" s="37"/>
      <c r="II234" s="37"/>
      <c r="IJ234" s="37"/>
      <c r="IK234" s="37"/>
      <c r="IL234" s="37"/>
      <c r="IM234" s="37"/>
      <c r="IN234" s="37"/>
      <c r="IO234" s="45"/>
      <c r="IP234" s="45"/>
      <c r="IQ234" s="45"/>
      <c r="IR234" s="37"/>
      <c r="JR234" s="37"/>
    </row>
    <row r="235" spans="3:278">
      <c r="H235" s="37"/>
      <c r="I235" s="37"/>
      <c r="J235" s="45"/>
      <c r="K235" s="45"/>
      <c r="L235" s="45"/>
      <c r="M235" s="45"/>
      <c r="N235" s="45"/>
      <c r="O235" s="838"/>
      <c r="P235" s="329"/>
      <c r="Q235" s="45"/>
      <c r="R235" s="45"/>
      <c r="S235" s="45"/>
      <c r="T235" s="45"/>
      <c r="U235" s="45"/>
      <c r="V235" s="45"/>
      <c r="W235" s="45"/>
      <c r="X235" s="45"/>
      <c r="Y235" s="45"/>
      <c r="Z235" s="45"/>
      <c r="AA235" s="406"/>
      <c r="AB235" s="406"/>
      <c r="AC235" s="406"/>
      <c r="AD235" s="837" t="s">
        <v>2753</v>
      </c>
      <c r="AE235" s="45"/>
      <c r="AF235" s="45"/>
      <c r="AG235" s="45"/>
      <c r="AH235" s="45"/>
      <c r="AI235" s="45"/>
      <c r="AJ235" s="45"/>
      <c r="AK235" s="45"/>
      <c r="AL235" s="45"/>
      <c r="AM235" s="45"/>
      <c r="AN235" s="45"/>
      <c r="AO235" s="45"/>
      <c r="AP235" s="45"/>
      <c r="AS235" s="45"/>
      <c r="AT235" s="45"/>
      <c r="AU235" s="45"/>
      <c r="AW235" s="45"/>
      <c r="AX235" s="45"/>
      <c r="AY235" s="37"/>
      <c r="AZ235" s="45"/>
      <c r="BA235" s="45"/>
      <c r="BB235" s="45"/>
      <c r="BC235" s="37"/>
      <c r="BD235" s="45"/>
      <c r="BE235" s="45"/>
      <c r="BF235" s="37"/>
      <c r="BG235" s="45"/>
      <c r="BH235" s="45"/>
      <c r="BI235" s="45"/>
      <c r="BJ235" s="45"/>
      <c r="CG235" s="406"/>
      <c r="CN235" s="1063"/>
      <c r="CO235" s="1063"/>
      <c r="CQ235" s="1060"/>
      <c r="CR235" s="1062"/>
      <c r="CS235" s="1061"/>
      <c r="CT235" s="1061"/>
      <c r="CU235" s="1061"/>
      <c r="CV235" s="1061"/>
      <c r="CW235" s="1111"/>
      <c r="CX235" s="1111"/>
      <c r="CY235" s="1111"/>
      <c r="CZ235" s="1063"/>
      <c r="DA235" s="1063"/>
      <c r="DB235" s="928"/>
      <c r="DC235" s="928"/>
      <c r="DD235" s="37"/>
      <c r="DE235" s="407"/>
      <c r="DF235" s="407"/>
      <c r="DG235" s="37"/>
      <c r="DH235" s="37"/>
      <c r="DI235" s="407"/>
      <c r="DJ235" s="407"/>
      <c r="DK235" s="37"/>
      <c r="DL235" s="37"/>
      <c r="DM235" s="37"/>
      <c r="DN235" s="37"/>
      <c r="DO235" s="37"/>
      <c r="DP235" s="37"/>
      <c r="DQ235" s="37"/>
      <c r="DR235" s="37"/>
      <c r="DS235" s="407"/>
      <c r="DT235" s="45"/>
      <c r="DU235" s="37"/>
      <c r="DV235" s="37"/>
      <c r="DW235" s="407"/>
      <c r="DX235" s="407"/>
      <c r="DY235" s="37"/>
      <c r="DZ235" s="37"/>
      <c r="EA235" s="407"/>
      <c r="EB235" s="37"/>
      <c r="EC235" s="37"/>
      <c r="ED235" s="407"/>
      <c r="EE235" s="37"/>
      <c r="EF235" s="37"/>
      <c r="EG235" s="37"/>
      <c r="EH235" s="45"/>
      <c r="EI235" s="37"/>
      <c r="EJ235" s="45"/>
      <c r="EK235" s="45"/>
      <c r="EL235" s="37"/>
      <c r="EM235" s="37"/>
      <c r="EN235" s="37"/>
      <c r="EO235" s="37"/>
      <c r="EP235" s="37"/>
      <c r="EQ235" s="37"/>
      <c r="ER235" s="37"/>
      <c r="ES235" s="37"/>
      <c r="ET235" s="37"/>
      <c r="EU235" s="37"/>
      <c r="EV235" s="37"/>
      <c r="EW235" s="37"/>
      <c r="EX235" s="37"/>
      <c r="EY235" s="408"/>
      <c r="EZ235" s="37"/>
      <c r="FA235" s="37"/>
      <c r="FB235" s="37"/>
      <c r="FC235" s="37"/>
      <c r="FD235" s="408"/>
      <c r="FE235" s="37"/>
      <c r="FF235" s="37"/>
      <c r="FG235" s="37"/>
      <c r="FH235" s="37"/>
      <c r="FI235" s="45"/>
      <c r="FJ235" s="45"/>
      <c r="FK235" s="45"/>
      <c r="FL235" s="45"/>
      <c r="FM235" s="45"/>
      <c r="FN235" s="45"/>
      <c r="FO235" s="329"/>
      <c r="FP235" s="45"/>
      <c r="FQ235" s="37"/>
      <c r="FR235" s="45"/>
      <c r="FS235" s="37"/>
      <c r="FT235" s="45"/>
      <c r="FU235" s="37"/>
      <c r="FV235" s="45"/>
      <c r="FW235" s="37"/>
      <c r="FX235" s="45"/>
      <c r="FY235" s="37"/>
      <c r="FZ235" s="45"/>
      <c r="GA235" s="37"/>
      <c r="GB235" s="45"/>
      <c r="GC235" s="37"/>
      <c r="GE235" s="37"/>
      <c r="GF235" s="37"/>
      <c r="GG235" s="37"/>
      <c r="GH235" s="37"/>
      <c r="GI235" s="37"/>
      <c r="GJ235" s="37"/>
      <c r="GK235" s="37"/>
      <c r="GL235" s="37"/>
      <c r="GM235" s="37"/>
      <c r="GN235" s="37"/>
      <c r="GO235" s="37"/>
      <c r="GP235" s="37"/>
      <c r="GQ235" s="37"/>
      <c r="GR235" s="37"/>
      <c r="GS235" s="37"/>
      <c r="GT235" s="37"/>
      <c r="GU235" s="37"/>
      <c r="GV235" s="37"/>
      <c r="GW235" s="37"/>
      <c r="GX235" s="37"/>
      <c r="GY235" s="37"/>
      <c r="HF235" s="37"/>
      <c r="HG235" s="37"/>
      <c r="HH235" s="37"/>
      <c r="HI235" s="37"/>
      <c r="HJ235" s="37"/>
      <c r="HK235" s="37"/>
      <c r="HL235" s="37"/>
      <c r="HM235" s="37"/>
      <c r="HN235" s="37"/>
      <c r="HO235" s="37"/>
      <c r="HP235" s="37"/>
      <c r="HQ235" s="37"/>
      <c r="HR235" s="37"/>
      <c r="HS235" s="37"/>
      <c r="HT235" s="37"/>
      <c r="HU235" s="37"/>
      <c r="HV235" s="37"/>
      <c r="HW235" s="37"/>
      <c r="HX235" s="37"/>
      <c r="HY235" s="37"/>
      <c r="HZ235" s="37"/>
      <c r="IA235" s="37"/>
      <c r="IB235" s="37"/>
      <c r="IC235" s="37"/>
      <c r="ID235" s="37"/>
      <c r="IE235" s="37"/>
      <c r="IF235" s="37"/>
      <c r="IG235" s="37"/>
      <c r="IH235" s="37"/>
      <c r="II235" s="37"/>
      <c r="IJ235" s="37"/>
      <c r="IK235" s="37"/>
      <c r="IL235" s="37"/>
      <c r="IM235" s="37"/>
      <c r="IN235" s="37"/>
      <c r="IO235" s="45"/>
      <c r="IP235" s="45"/>
      <c r="IQ235" s="45"/>
      <c r="IR235" s="37"/>
      <c r="JR235" s="37"/>
    </row>
    <row r="236" spans="3:278">
      <c r="H236" s="37"/>
      <c r="I236" s="37"/>
      <c r="J236" s="45"/>
      <c r="K236" s="45"/>
      <c r="L236" s="45"/>
      <c r="M236" s="45"/>
      <c r="N236" s="45"/>
      <c r="O236" s="842" t="s">
        <v>3003</v>
      </c>
      <c r="P236" s="329"/>
      <c r="Q236" s="45"/>
      <c r="R236" s="45"/>
      <c r="S236" s="45"/>
      <c r="T236" s="45"/>
      <c r="U236" s="45"/>
      <c r="V236" s="45"/>
      <c r="W236" s="45"/>
      <c r="X236" s="45"/>
      <c r="Y236" s="45"/>
      <c r="Z236" s="45"/>
      <c r="AA236" s="406"/>
      <c r="AB236" s="406"/>
      <c r="AC236" s="406"/>
      <c r="AD236" s="837" t="s">
        <v>2755</v>
      </c>
      <c r="AE236" s="45"/>
      <c r="AF236" s="45"/>
      <c r="AG236" s="45"/>
      <c r="AH236" s="45"/>
      <c r="AI236" s="45"/>
      <c r="AJ236" s="45"/>
      <c r="AK236" s="45"/>
      <c r="AL236" s="45"/>
      <c r="AM236" s="45"/>
      <c r="AN236" s="45"/>
      <c r="AO236" s="45"/>
      <c r="AP236" s="45"/>
      <c r="AQ236" s="329"/>
      <c r="AR236" s="329"/>
      <c r="AS236" s="45"/>
      <c r="AT236" s="45"/>
      <c r="AU236" s="45"/>
      <c r="AV236" s="45"/>
      <c r="AW236" s="45"/>
      <c r="AX236" s="45"/>
      <c r="AY236" s="37"/>
      <c r="AZ236" s="45"/>
      <c r="BA236" s="45"/>
      <c r="BB236" s="45"/>
      <c r="BC236" s="37"/>
      <c r="BD236" s="45"/>
      <c r="BE236" s="45"/>
      <c r="BF236" s="37"/>
      <c r="BG236" s="45"/>
      <c r="BH236" s="45"/>
      <c r="BI236" s="45"/>
      <c r="BJ236" s="45"/>
      <c r="CG236" s="406"/>
      <c r="CN236" s="1063"/>
      <c r="CO236" s="1063"/>
      <c r="CQ236" s="1060"/>
      <c r="CR236" s="1062"/>
      <c r="CS236" s="1061"/>
      <c r="CT236" s="1061"/>
      <c r="CU236" s="1061"/>
      <c r="CV236" s="1061"/>
      <c r="CW236" s="1111"/>
      <c r="CX236" s="1111"/>
      <c r="CY236" s="1111"/>
      <c r="CZ236" s="1063"/>
      <c r="DA236" s="1063"/>
      <c r="DB236" s="928"/>
      <c r="DC236" s="928"/>
      <c r="DD236" s="37"/>
      <c r="DE236" s="407"/>
      <c r="DF236" s="407"/>
      <c r="DG236" s="37"/>
      <c r="DH236" s="37"/>
      <c r="DI236" s="407"/>
      <c r="DJ236" s="407"/>
      <c r="DK236" s="37"/>
      <c r="DL236" s="37"/>
      <c r="DM236" s="37"/>
      <c r="DN236" s="37"/>
      <c r="DO236" s="37"/>
      <c r="DP236" s="37"/>
      <c r="DQ236" s="37"/>
      <c r="DR236" s="37"/>
      <c r="DS236" s="407"/>
      <c r="DT236" s="45"/>
      <c r="DU236" s="37"/>
      <c r="DV236" s="37"/>
      <c r="DW236" s="407"/>
      <c r="DX236" s="407"/>
      <c r="DY236" s="37"/>
      <c r="DZ236" s="37"/>
      <c r="EA236" s="407"/>
      <c r="EB236" s="37"/>
      <c r="EC236" s="37"/>
      <c r="ED236" s="407"/>
      <c r="EE236" s="37"/>
      <c r="EF236" s="37"/>
      <c r="EG236" s="37"/>
      <c r="EH236" s="45"/>
      <c r="EI236" s="37"/>
      <c r="EJ236" s="45"/>
      <c r="EK236" s="45"/>
      <c r="EL236" s="37"/>
      <c r="EM236" s="37"/>
      <c r="EN236" s="37"/>
      <c r="EO236" s="37"/>
      <c r="EP236" s="37"/>
      <c r="EQ236" s="37"/>
      <c r="ER236" s="37"/>
      <c r="ES236" s="37"/>
      <c r="ET236" s="37"/>
      <c r="EU236" s="37"/>
      <c r="EV236" s="37"/>
      <c r="EW236" s="37"/>
      <c r="EX236" s="37"/>
      <c r="EY236" s="408"/>
      <c r="EZ236" s="37"/>
      <c r="FA236" s="37"/>
      <c r="FB236" s="37"/>
      <c r="FC236" s="37"/>
      <c r="FD236" s="408"/>
      <c r="FE236" s="37"/>
      <c r="FF236" s="37"/>
      <c r="FG236" s="37"/>
      <c r="FH236" s="37"/>
      <c r="FI236" s="45"/>
      <c r="FJ236" s="45"/>
      <c r="FK236" s="45"/>
      <c r="FL236" s="45"/>
      <c r="FM236" s="45"/>
      <c r="FN236" s="45"/>
      <c r="FO236" s="329"/>
      <c r="FP236" s="45"/>
      <c r="FQ236" s="37"/>
      <c r="FR236" s="45"/>
      <c r="FS236" s="37"/>
      <c r="FT236" s="45"/>
      <c r="FU236" s="37"/>
      <c r="FV236" s="45"/>
      <c r="FW236" s="37"/>
      <c r="FX236" s="45"/>
      <c r="FY236" s="37"/>
      <c r="FZ236" s="45"/>
      <c r="GA236" s="37"/>
      <c r="GB236" s="45"/>
      <c r="GC236" s="37"/>
      <c r="GE236" s="37"/>
      <c r="GF236" s="37"/>
      <c r="GG236" s="37"/>
      <c r="GH236" s="37"/>
      <c r="GI236" s="37"/>
      <c r="GJ236" s="37"/>
      <c r="GK236" s="37"/>
      <c r="GL236" s="37"/>
      <c r="GM236" s="37"/>
      <c r="GN236" s="37"/>
      <c r="GO236" s="37"/>
      <c r="GP236" s="37"/>
      <c r="GQ236" s="37"/>
      <c r="GR236" s="37"/>
      <c r="GS236" s="37"/>
      <c r="GT236" s="37"/>
      <c r="GU236" s="37"/>
      <c r="GV236" s="37"/>
      <c r="GW236" s="37"/>
      <c r="GX236" s="37"/>
      <c r="GY236" s="37"/>
      <c r="HF236" s="37"/>
      <c r="HG236" s="37"/>
      <c r="HH236" s="37"/>
      <c r="HI236" s="37"/>
      <c r="HJ236" s="37"/>
      <c r="HK236" s="37"/>
      <c r="HL236" s="37"/>
      <c r="HM236" s="37"/>
      <c r="HN236" s="37"/>
      <c r="HO236" s="37"/>
      <c r="HP236" s="37"/>
      <c r="HQ236" s="37"/>
      <c r="HR236" s="37"/>
      <c r="HS236" s="37"/>
      <c r="HT236" s="37"/>
      <c r="HU236" s="37"/>
      <c r="HV236" s="37"/>
      <c r="HW236" s="37"/>
      <c r="HX236" s="37"/>
      <c r="HY236" s="37"/>
      <c r="HZ236" s="37"/>
      <c r="IA236" s="37"/>
      <c r="IB236" s="37"/>
      <c r="IC236" s="37"/>
      <c r="ID236" s="37"/>
      <c r="IE236" s="37"/>
      <c r="IF236" s="37"/>
      <c r="IG236" s="37"/>
      <c r="IH236" s="37"/>
      <c r="II236" s="37"/>
      <c r="IJ236" s="37"/>
      <c r="IK236" s="37"/>
      <c r="IL236" s="37"/>
      <c r="IM236" s="37"/>
      <c r="IN236" s="37"/>
      <c r="IO236" s="45"/>
      <c r="IP236" s="45"/>
      <c r="IQ236" s="45"/>
      <c r="IR236" s="37"/>
      <c r="JR236" s="37"/>
    </row>
    <row r="237" spans="3:278">
      <c r="H237" s="37"/>
      <c r="I237" s="37"/>
      <c r="J237" s="45"/>
      <c r="K237" s="45"/>
      <c r="L237" s="45"/>
      <c r="M237" s="45"/>
      <c r="N237" s="45"/>
      <c r="O237" s="840" t="s">
        <v>3093</v>
      </c>
      <c r="P237" s="329"/>
      <c r="Q237" s="45"/>
      <c r="R237" s="45"/>
      <c r="S237" s="45"/>
      <c r="T237" s="45"/>
      <c r="U237" s="45"/>
      <c r="V237" s="45"/>
      <c r="W237" s="45"/>
      <c r="X237" s="45"/>
      <c r="Y237" s="45"/>
      <c r="Z237" s="45"/>
      <c r="AA237" s="406"/>
      <c r="AB237" s="406"/>
      <c r="AC237" s="406"/>
      <c r="AD237" s="837" t="s">
        <v>2804</v>
      </c>
      <c r="AE237" s="45"/>
      <c r="AF237" s="45"/>
      <c r="AG237" s="45"/>
      <c r="AH237" s="45"/>
      <c r="AI237" s="45"/>
      <c r="AJ237" s="45"/>
      <c r="AL237" s="45"/>
      <c r="AM237" s="45"/>
      <c r="AN237" s="45"/>
      <c r="AO237" s="45"/>
      <c r="AP237" s="45"/>
      <c r="AQ237" s="329"/>
      <c r="AR237" s="329"/>
      <c r="AS237" s="45"/>
      <c r="AT237" s="45"/>
      <c r="AU237" s="45"/>
      <c r="AV237" s="45"/>
      <c r="AY237" s="37"/>
      <c r="AZ237" s="45"/>
      <c r="BA237" s="45"/>
      <c r="BB237" s="45"/>
      <c r="BC237" s="37"/>
      <c r="BD237" s="45"/>
      <c r="BE237" s="45"/>
      <c r="BF237" s="37"/>
      <c r="BG237" s="45"/>
      <c r="BH237" s="45"/>
      <c r="BI237" s="45"/>
      <c r="BJ237" s="45"/>
      <c r="CG237" s="406"/>
      <c r="CN237" s="1063"/>
      <c r="CO237" s="1063"/>
      <c r="CQ237" s="1060"/>
      <c r="CR237" s="1062"/>
      <c r="CS237" s="1061"/>
      <c r="CT237" s="1061"/>
      <c r="CU237" s="1061"/>
      <c r="CV237" s="1061"/>
      <c r="CW237" s="1111"/>
      <c r="CX237" s="1111"/>
      <c r="CY237" s="1111"/>
      <c r="CZ237" s="1063"/>
      <c r="DA237" s="1063"/>
      <c r="DB237" s="928"/>
      <c r="DC237" s="928"/>
      <c r="DD237" s="37"/>
      <c r="DE237" s="407"/>
      <c r="DF237" s="407"/>
      <c r="DG237" s="37"/>
      <c r="DH237" s="37"/>
      <c r="DI237" s="407"/>
      <c r="DJ237" s="407"/>
      <c r="DK237" s="37"/>
      <c r="DL237" s="37"/>
      <c r="DM237" s="37"/>
      <c r="DN237" s="37"/>
      <c r="DO237" s="37"/>
      <c r="DP237" s="37"/>
      <c r="DQ237" s="37"/>
      <c r="DR237" s="37"/>
      <c r="DS237" s="407"/>
      <c r="DT237" s="45"/>
      <c r="DU237" s="37"/>
      <c r="DV237" s="37"/>
      <c r="DW237" s="407"/>
      <c r="DX237" s="407"/>
      <c r="DY237" s="37"/>
      <c r="DZ237" s="37"/>
      <c r="EA237" s="407"/>
      <c r="EB237" s="37"/>
      <c r="EC237" s="37"/>
      <c r="ED237" s="407"/>
      <c r="EE237" s="37"/>
      <c r="EF237" s="37"/>
      <c r="EG237" s="37"/>
      <c r="EH237" s="45"/>
      <c r="EI237" s="37"/>
      <c r="EJ237" s="45"/>
      <c r="EK237" s="45"/>
      <c r="EL237" s="37"/>
      <c r="EM237" s="37"/>
      <c r="EN237" s="37"/>
      <c r="EO237" s="37"/>
      <c r="EP237" s="37"/>
      <c r="EQ237" s="37"/>
      <c r="ER237" s="37"/>
      <c r="ES237" s="37"/>
      <c r="ET237" s="37"/>
      <c r="EU237" s="37"/>
      <c r="EV237" s="37"/>
      <c r="EW237" s="37"/>
      <c r="EX237" s="37"/>
      <c r="EY237" s="408"/>
      <c r="EZ237" s="37"/>
      <c r="FA237" s="37"/>
      <c r="FB237" s="37"/>
      <c r="FC237" s="37"/>
      <c r="FD237" s="408"/>
      <c r="FE237" s="37"/>
      <c r="FF237" s="37"/>
      <c r="FG237" s="37"/>
      <c r="FH237" s="37"/>
      <c r="FI237" s="45"/>
      <c r="FJ237" s="45"/>
      <c r="FK237" s="45"/>
      <c r="FL237" s="45"/>
      <c r="FM237" s="45"/>
      <c r="FN237" s="45"/>
      <c r="FO237" s="329"/>
      <c r="FP237" s="45"/>
      <c r="FQ237" s="37"/>
      <c r="FR237" s="45"/>
      <c r="FS237" s="37"/>
      <c r="FT237" s="45"/>
      <c r="FU237" s="37"/>
      <c r="FV237" s="45"/>
      <c r="FW237" s="37"/>
      <c r="FX237" s="45"/>
      <c r="FY237" s="37"/>
      <c r="FZ237" s="45"/>
      <c r="GA237" s="37"/>
      <c r="GB237" s="45"/>
      <c r="GC237" s="37"/>
      <c r="GE237" s="37"/>
      <c r="GF237" s="37"/>
      <c r="GG237" s="37"/>
      <c r="GH237" s="37"/>
      <c r="GI237" s="37"/>
      <c r="GJ237" s="37"/>
      <c r="GK237" s="37"/>
      <c r="GL237" s="37"/>
      <c r="GM237" s="37"/>
      <c r="GN237" s="37"/>
      <c r="GO237" s="37"/>
      <c r="GP237" s="37"/>
      <c r="GQ237" s="37"/>
      <c r="GR237" s="37"/>
      <c r="GS237" s="37"/>
      <c r="GT237" s="37"/>
      <c r="GU237" s="37"/>
      <c r="GV237" s="37"/>
      <c r="GW237" s="37"/>
      <c r="GX237" s="37"/>
      <c r="GY237" s="37"/>
      <c r="HF237" s="37"/>
      <c r="HG237" s="37"/>
      <c r="HH237" s="37"/>
      <c r="HI237" s="37"/>
      <c r="HJ237" s="37"/>
      <c r="HK237" s="37"/>
      <c r="HL237" s="37"/>
      <c r="HM237" s="37"/>
      <c r="HN237" s="37"/>
      <c r="HO237" s="37"/>
      <c r="HP237" s="37"/>
      <c r="HQ237" s="37"/>
      <c r="HR237" s="37"/>
      <c r="HS237" s="37"/>
      <c r="HT237" s="37"/>
      <c r="HU237" s="37"/>
      <c r="HV237" s="37"/>
      <c r="HW237" s="37"/>
      <c r="HX237" s="37"/>
      <c r="HY237" s="37"/>
      <c r="HZ237" s="37"/>
      <c r="IA237" s="37"/>
      <c r="IB237" s="37"/>
      <c r="IC237" s="37"/>
      <c r="ID237" s="37"/>
      <c r="IE237" s="37"/>
      <c r="IF237" s="37"/>
      <c r="IG237" s="37"/>
      <c r="IH237" s="37"/>
      <c r="II237" s="37"/>
      <c r="IJ237" s="37"/>
      <c r="IK237" s="37"/>
      <c r="IL237" s="37"/>
      <c r="IM237" s="37"/>
      <c r="IN237" s="37"/>
      <c r="IO237" s="45"/>
      <c r="IP237" s="45"/>
      <c r="IQ237" s="45"/>
      <c r="IR237" s="37"/>
      <c r="JR237" s="37"/>
    </row>
    <row r="238" spans="3:278">
      <c r="H238" s="37"/>
      <c r="I238" s="37"/>
      <c r="J238" s="45"/>
      <c r="K238" s="45"/>
      <c r="L238" s="45"/>
      <c r="M238" s="45"/>
      <c r="N238" s="45"/>
      <c r="O238" s="841"/>
      <c r="P238" s="329"/>
      <c r="Q238" s="45"/>
      <c r="R238" s="45"/>
      <c r="S238" s="45"/>
      <c r="T238" s="45"/>
      <c r="U238" s="45"/>
      <c r="V238" s="45"/>
      <c r="W238" s="45"/>
      <c r="X238" s="45"/>
      <c r="Y238" s="45"/>
      <c r="Z238" s="45"/>
      <c r="AA238" s="406"/>
      <c r="AB238" s="406"/>
      <c r="AC238" s="406"/>
      <c r="AD238" s="837" t="s">
        <v>2812</v>
      </c>
      <c r="AE238" s="45"/>
      <c r="AF238" s="45"/>
      <c r="AG238" s="45"/>
      <c r="AH238" s="45"/>
      <c r="AI238" s="45"/>
      <c r="AJ238" s="45"/>
      <c r="AL238" s="45"/>
      <c r="AM238" s="45"/>
      <c r="AN238" s="45"/>
      <c r="AO238" s="45"/>
      <c r="AP238" s="45"/>
      <c r="AQ238" s="329"/>
      <c r="AR238" s="329"/>
      <c r="AS238" s="45"/>
      <c r="AT238" s="45"/>
      <c r="AU238" s="45"/>
      <c r="AV238" s="45"/>
      <c r="AY238" s="37"/>
      <c r="AZ238" s="45"/>
      <c r="BA238" s="45"/>
      <c r="BB238" s="45"/>
      <c r="BC238" s="37"/>
      <c r="BD238" s="45"/>
      <c r="BE238" s="45"/>
      <c r="BF238" s="37"/>
      <c r="BG238" s="45"/>
      <c r="BH238" s="45"/>
      <c r="BI238" s="45"/>
      <c r="BJ238" s="45"/>
      <c r="CG238" s="406"/>
      <c r="CN238" s="1063"/>
      <c r="CO238" s="1063"/>
      <c r="CQ238" s="1060"/>
      <c r="CR238" s="1062"/>
      <c r="CS238" s="1061"/>
      <c r="CT238" s="1061"/>
      <c r="CU238" s="1061"/>
      <c r="CV238" s="1061"/>
      <c r="CW238" s="1111"/>
      <c r="CX238" s="1111"/>
      <c r="CY238" s="1111"/>
      <c r="CZ238" s="1063"/>
      <c r="DA238" s="1063"/>
      <c r="DB238" s="928"/>
      <c r="DC238" s="928"/>
      <c r="DD238" s="37"/>
      <c r="DE238" s="407"/>
      <c r="DF238" s="407"/>
      <c r="DG238" s="37"/>
      <c r="DH238" s="37"/>
      <c r="DI238" s="407"/>
      <c r="DJ238" s="407"/>
      <c r="DK238" s="37"/>
      <c r="DL238" s="37"/>
      <c r="DM238" s="37"/>
      <c r="DN238" s="37"/>
      <c r="DO238" s="37"/>
      <c r="DP238" s="37"/>
      <c r="DQ238" s="37"/>
      <c r="DR238" s="37"/>
      <c r="DS238" s="407"/>
      <c r="DT238" s="45"/>
      <c r="DU238" s="37"/>
      <c r="DV238" s="37"/>
      <c r="DW238" s="407"/>
      <c r="DX238" s="407"/>
      <c r="DY238" s="37"/>
      <c r="DZ238" s="37"/>
      <c r="EA238" s="407"/>
      <c r="EB238" s="37"/>
      <c r="EC238" s="37"/>
      <c r="ED238" s="407"/>
      <c r="EE238" s="37"/>
      <c r="EF238" s="37"/>
      <c r="EG238" s="37"/>
      <c r="EH238" s="45"/>
      <c r="EI238" s="37"/>
      <c r="EJ238" s="45"/>
      <c r="EK238" s="45"/>
      <c r="EL238" s="37"/>
      <c r="EM238" s="37"/>
      <c r="EN238" s="37"/>
      <c r="EO238" s="37"/>
      <c r="EP238" s="37"/>
      <c r="EQ238" s="37"/>
      <c r="ER238" s="37"/>
      <c r="ES238" s="37"/>
      <c r="ET238" s="37"/>
      <c r="EU238" s="37"/>
      <c r="EV238" s="37"/>
      <c r="EW238" s="37"/>
      <c r="EX238" s="37"/>
      <c r="EY238" s="408"/>
      <c r="EZ238" s="37"/>
      <c r="FA238" s="37"/>
      <c r="FB238" s="37"/>
      <c r="FC238" s="37"/>
      <c r="FD238" s="408"/>
      <c r="FE238" s="37"/>
      <c r="FF238" s="37"/>
      <c r="FG238" s="37"/>
      <c r="FH238" s="37"/>
      <c r="FI238" s="45"/>
      <c r="FJ238" s="45"/>
      <c r="FK238" s="45"/>
      <c r="FL238" s="45"/>
      <c r="FM238" s="45"/>
      <c r="FN238" s="45"/>
      <c r="FO238" s="329"/>
      <c r="FP238" s="45"/>
      <c r="FQ238" s="37"/>
      <c r="FR238" s="45"/>
      <c r="FS238" s="37"/>
      <c r="FT238" s="45"/>
      <c r="FU238" s="37"/>
      <c r="FV238" s="45"/>
      <c r="FW238" s="37"/>
      <c r="FX238" s="45"/>
      <c r="FY238" s="37"/>
      <c r="FZ238" s="45"/>
      <c r="GA238" s="37"/>
      <c r="GB238" s="45"/>
      <c r="GC238" s="37"/>
      <c r="GE238" s="37"/>
      <c r="GF238" s="37"/>
      <c r="GG238" s="37"/>
      <c r="GH238" s="37"/>
      <c r="GI238" s="37"/>
      <c r="GJ238" s="37"/>
      <c r="GK238" s="37"/>
      <c r="GL238" s="37"/>
      <c r="GM238" s="37"/>
      <c r="GN238" s="37"/>
      <c r="GO238" s="37"/>
      <c r="GP238" s="37"/>
      <c r="GQ238" s="37"/>
      <c r="GR238" s="37"/>
      <c r="GS238" s="37"/>
      <c r="GT238" s="37"/>
      <c r="GU238" s="37"/>
      <c r="GV238" s="37"/>
      <c r="GW238" s="37"/>
      <c r="GX238" s="37"/>
      <c r="GY238" s="37"/>
      <c r="HF238" s="37"/>
      <c r="HG238" s="37"/>
      <c r="HH238" s="37"/>
      <c r="HI238" s="37"/>
      <c r="HJ238" s="37"/>
      <c r="HK238" s="37"/>
      <c r="HL238" s="37"/>
      <c r="HM238" s="37"/>
      <c r="HN238" s="37"/>
      <c r="HO238" s="37"/>
      <c r="HP238" s="37"/>
      <c r="HQ238" s="37"/>
      <c r="HR238" s="37"/>
      <c r="HS238" s="37"/>
      <c r="HT238" s="37"/>
      <c r="HU238" s="37"/>
      <c r="HV238" s="37"/>
      <c r="HW238" s="37"/>
      <c r="HX238" s="37"/>
      <c r="HY238" s="37"/>
      <c r="HZ238" s="37"/>
      <c r="IA238" s="37"/>
      <c r="IB238" s="37"/>
      <c r="IC238" s="37"/>
      <c r="ID238" s="37"/>
      <c r="IE238" s="37"/>
      <c r="IF238" s="37"/>
      <c r="IG238" s="37"/>
      <c r="IH238" s="37"/>
      <c r="II238" s="37"/>
      <c r="IJ238" s="37"/>
      <c r="IK238" s="37"/>
      <c r="IL238" s="37"/>
      <c r="IM238" s="37"/>
      <c r="IN238" s="37"/>
      <c r="IO238" s="45"/>
      <c r="IP238" s="45"/>
      <c r="IQ238" s="45"/>
      <c r="IR238" s="37"/>
      <c r="JR238" s="37"/>
    </row>
    <row r="239" spans="3:278">
      <c r="H239" s="37"/>
      <c r="I239" s="37"/>
      <c r="J239" s="45"/>
      <c r="K239" s="45"/>
      <c r="L239" s="45"/>
      <c r="M239" s="45"/>
      <c r="N239" s="45"/>
      <c r="O239" s="329"/>
      <c r="P239" s="329"/>
      <c r="Q239" s="45"/>
      <c r="R239" s="45"/>
      <c r="S239" s="45"/>
      <c r="T239" s="45"/>
      <c r="U239" s="45"/>
      <c r="V239" s="45"/>
      <c r="W239" s="45"/>
      <c r="X239" s="45"/>
      <c r="Y239" s="45"/>
      <c r="Z239" s="45"/>
      <c r="AA239" s="406"/>
      <c r="AB239" s="406"/>
      <c r="AC239" s="406"/>
      <c r="AD239" s="837" t="s">
        <v>2814</v>
      </c>
      <c r="AE239" s="45"/>
      <c r="AF239" s="45"/>
      <c r="AG239" s="45"/>
      <c r="AH239" s="45"/>
      <c r="AL239" s="45"/>
      <c r="AM239" s="45"/>
      <c r="AN239" s="45"/>
      <c r="AO239" s="45"/>
      <c r="AP239" s="45"/>
      <c r="AQ239" s="329"/>
      <c r="AR239" s="329"/>
      <c r="AS239" s="45"/>
      <c r="AT239" s="45"/>
      <c r="AU239" s="45"/>
      <c r="AV239" s="45"/>
      <c r="AY239" s="37"/>
      <c r="AZ239" s="45"/>
      <c r="BA239" s="45"/>
      <c r="BB239" s="45"/>
      <c r="BC239" s="37"/>
      <c r="BD239" s="45"/>
      <c r="BE239" s="45"/>
      <c r="BF239" s="37"/>
      <c r="BG239" s="45"/>
      <c r="BH239" s="45"/>
      <c r="BI239" s="45"/>
      <c r="BJ239" s="45"/>
      <c r="CG239" s="406"/>
      <c r="CN239" s="1063"/>
      <c r="CO239" s="1063"/>
      <c r="CQ239" s="1060"/>
      <c r="CR239" s="1062"/>
      <c r="CS239" s="1061"/>
      <c r="CT239" s="1061"/>
      <c r="CU239" s="1061"/>
      <c r="CV239" s="1061"/>
      <c r="CW239" s="1111"/>
      <c r="CX239" s="1111"/>
      <c r="CY239" s="1111"/>
      <c r="CZ239" s="1063"/>
      <c r="DA239" s="1063"/>
      <c r="DB239" s="928"/>
      <c r="DC239" s="928"/>
      <c r="DD239" s="37"/>
      <c r="DE239" s="407"/>
      <c r="DF239" s="407"/>
      <c r="DG239" s="37"/>
      <c r="DH239" s="37"/>
      <c r="DI239" s="407"/>
      <c r="DJ239" s="407"/>
      <c r="DK239" s="37"/>
      <c r="DL239" s="37"/>
      <c r="DM239" s="37"/>
      <c r="DN239" s="37"/>
      <c r="DO239" s="37"/>
      <c r="DP239" s="37"/>
      <c r="DQ239" s="37"/>
      <c r="DR239" s="37"/>
      <c r="DS239" s="407"/>
      <c r="DT239" s="45"/>
      <c r="DU239" s="37"/>
      <c r="DV239" s="37"/>
      <c r="DW239" s="407"/>
      <c r="DX239" s="407"/>
      <c r="DY239" s="37"/>
      <c r="DZ239" s="37"/>
      <c r="EA239" s="407"/>
      <c r="EB239" s="37"/>
      <c r="EC239" s="37"/>
      <c r="ED239" s="407"/>
      <c r="EE239" s="37"/>
      <c r="EF239" s="37"/>
      <c r="EG239" s="37"/>
      <c r="EH239" s="45"/>
      <c r="EI239" s="37"/>
      <c r="EJ239" s="45"/>
      <c r="EK239" s="45"/>
      <c r="EL239" s="37"/>
      <c r="EM239" s="37"/>
      <c r="EN239" s="37"/>
      <c r="EO239" s="37"/>
      <c r="EP239" s="37"/>
      <c r="EQ239" s="37"/>
      <c r="ER239" s="37"/>
      <c r="ES239" s="37"/>
      <c r="ET239" s="37"/>
      <c r="EU239" s="37"/>
      <c r="EV239" s="37"/>
      <c r="EW239" s="37"/>
      <c r="EX239" s="37"/>
      <c r="EY239" s="408"/>
      <c r="EZ239" s="37"/>
      <c r="FA239" s="37"/>
      <c r="FB239" s="37"/>
      <c r="FC239" s="37"/>
      <c r="FD239" s="408"/>
      <c r="FE239" s="37"/>
      <c r="FF239" s="37"/>
      <c r="FG239" s="37"/>
      <c r="FH239" s="37"/>
      <c r="FI239" s="45"/>
      <c r="FJ239" s="45"/>
      <c r="FK239" s="45"/>
      <c r="FL239" s="45"/>
      <c r="FM239" s="45"/>
      <c r="FN239" s="45"/>
      <c r="FO239" s="329"/>
      <c r="FP239" s="45"/>
      <c r="FQ239" s="37"/>
      <c r="FR239" s="45"/>
      <c r="FS239" s="37"/>
      <c r="FT239" s="45"/>
      <c r="FU239" s="37"/>
      <c r="FV239" s="45"/>
      <c r="FW239" s="37"/>
      <c r="FX239" s="45"/>
      <c r="FY239" s="37"/>
      <c r="FZ239" s="45"/>
      <c r="GA239" s="37"/>
      <c r="GB239" s="45"/>
      <c r="GC239" s="37"/>
      <c r="GE239" s="37"/>
      <c r="GF239" s="37"/>
      <c r="GG239" s="37"/>
      <c r="GH239" s="37"/>
      <c r="GI239" s="37"/>
      <c r="GJ239" s="37"/>
      <c r="GK239" s="37"/>
      <c r="GL239" s="37"/>
      <c r="GM239" s="37"/>
      <c r="GN239" s="37"/>
      <c r="GO239" s="37"/>
      <c r="GP239" s="37"/>
      <c r="GQ239" s="37"/>
      <c r="GR239" s="37"/>
      <c r="GS239" s="37"/>
      <c r="GT239" s="37"/>
      <c r="GU239" s="37"/>
      <c r="GV239" s="37"/>
      <c r="GW239" s="37"/>
      <c r="GX239" s="37"/>
      <c r="GY239" s="37"/>
      <c r="HF239" s="37"/>
      <c r="HG239" s="37"/>
      <c r="HH239" s="37"/>
      <c r="HI239" s="37"/>
      <c r="HJ239" s="37"/>
      <c r="HK239" s="37"/>
      <c r="HL239" s="37"/>
      <c r="HM239" s="37"/>
      <c r="HN239" s="37"/>
      <c r="HO239" s="37"/>
      <c r="HP239" s="37"/>
      <c r="HQ239" s="37"/>
      <c r="HR239" s="37"/>
      <c r="HS239" s="37"/>
      <c r="HT239" s="37"/>
      <c r="HU239" s="37"/>
      <c r="HV239" s="37"/>
      <c r="HW239" s="37"/>
      <c r="HX239" s="37"/>
      <c r="HY239" s="37"/>
      <c r="HZ239" s="37"/>
      <c r="IA239" s="37"/>
      <c r="IB239" s="37"/>
      <c r="IC239" s="37"/>
      <c r="ID239" s="37"/>
      <c r="IE239" s="37"/>
      <c r="IF239" s="37"/>
      <c r="IG239" s="37"/>
      <c r="IH239" s="37"/>
      <c r="II239" s="37"/>
      <c r="IJ239" s="37"/>
      <c r="IK239" s="37"/>
      <c r="IL239" s="37"/>
      <c r="IM239" s="37"/>
      <c r="IN239" s="37"/>
      <c r="IO239" s="45"/>
      <c r="IP239" s="45"/>
      <c r="IQ239" s="45"/>
      <c r="IR239" s="37"/>
      <c r="JR239" s="37"/>
    </row>
    <row r="240" spans="3:278">
      <c r="H240" s="37"/>
      <c r="I240" s="37"/>
      <c r="J240" s="45"/>
      <c r="K240" s="45"/>
      <c r="L240" s="45"/>
      <c r="M240" s="45"/>
      <c r="N240" s="45"/>
      <c r="O240" s="329"/>
      <c r="P240" s="329"/>
      <c r="Q240" s="45"/>
      <c r="R240" s="45"/>
      <c r="S240" s="45"/>
      <c r="T240" s="45"/>
      <c r="U240" s="45"/>
      <c r="V240" s="45"/>
      <c r="W240" s="45"/>
      <c r="X240" s="45"/>
      <c r="Y240" s="45"/>
      <c r="Z240" s="45"/>
      <c r="AA240" s="406"/>
      <c r="AB240" s="406"/>
      <c r="AC240" s="406"/>
      <c r="AD240" s="838"/>
      <c r="AE240" s="45"/>
      <c r="AF240" s="45"/>
      <c r="AG240" s="45"/>
      <c r="AH240" s="45"/>
      <c r="AL240" s="45"/>
      <c r="AM240" s="45"/>
      <c r="AN240" s="45"/>
      <c r="AO240" s="45"/>
      <c r="AP240" s="45"/>
      <c r="AQ240" s="329"/>
      <c r="AR240" s="329"/>
      <c r="AS240" s="45"/>
      <c r="AT240" s="45"/>
      <c r="AU240" s="45"/>
      <c r="AV240" s="45"/>
      <c r="AY240" s="37"/>
      <c r="AZ240" s="45"/>
      <c r="BA240" s="45"/>
      <c r="BB240" s="45"/>
      <c r="BC240" s="37"/>
      <c r="BD240" s="45"/>
      <c r="BE240" s="45"/>
      <c r="BF240" s="37"/>
      <c r="BG240" s="45"/>
      <c r="BH240" s="45"/>
      <c r="BI240" s="45"/>
      <c r="BJ240" s="45"/>
      <c r="CG240" s="406"/>
      <c r="CN240" s="1063"/>
      <c r="CO240" s="1063"/>
      <c r="CQ240" s="1060"/>
      <c r="CR240" s="1062"/>
      <c r="CS240" s="1061"/>
      <c r="CT240" s="1061"/>
      <c r="CU240" s="1061"/>
      <c r="CV240" s="1061"/>
      <c r="CW240" s="1111"/>
      <c r="CX240" s="1111"/>
      <c r="CY240" s="1111"/>
      <c r="CZ240" s="1063"/>
      <c r="DA240" s="1063"/>
      <c r="DB240" s="928"/>
      <c r="DC240" s="928"/>
      <c r="DD240" s="37"/>
      <c r="DE240" s="407"/>
      <c r="DF240" s="407"/>
      <c r="DG240" s="37"/>
      <c r="DH240" s="37"/>
      <c r="DI240" s="407"/>
      <c r="DJ240" s="407"/>
      <c r="DK240" s="37"/>
      <c r="DL240" s="37"/>
      <c r="DM240" s="37"/>
      <c r="DN240" s="37"/>
      <c r="DO240" s="37"/>
      <c r="DP240" s="37"/>
      <c r="DQ240" s="37"/>
      <c r="DR240" s="37"/>
      <c r="DS240" s="407"/>
      <c r="DT240" s="45"/>
      <c r="DU240" s="37"/>
      <c r="DV240" s="37"/>
      <c r="DW240" s="407"/>
      <c r="DX240" s="407"/>
      <c r="DY240" s="37"/>
      <c r="DZ240" s="37"/>
      <c r="EA240" s="407"/>
      <c r="EB240" s="37"/>
      <c r="EC240" s="37"/>
      <c r="ED240" s="407"/>
      <c r="EE240" s="37"/>
      <c r="EF240" s="37"/>
      <c r="EG240" s="37"/>
      <c r="EH240" s="45"/>
      <c r="EI240" s="37"/>
      <c r="EJ240" s="45"/>
      <c r="EK240" s="45"/>
      <c r="EL240" s="37"/>
      <c r="EM240" s="37"/>
      <c r="EN240" s="37"/>
      <c r="EO240" s="37"/>
      <c r="EP240" s="37"/>
      <c r="EQ240" s="37"/>
      <c r="ER240" s="37"/>
      <c r="ES240" s="37"/>
      <c r="ET240" s="37"/>
      <c r="EU240" s="37"/>
      <c r="EV240" s="37"/>
      <c r="EW240" s="37"/>
      <c r="EX240" s="37"/>
      <c r="EY240" s="408"/>
      <c r="EZ240" s="37"/>
      <c r="FA240" s="37"/>
      <c r="FB240" s="37"/>
      <c r="FC240" s="37"/>
      <c r="FD240" s="408"/>
      <c r="FE240" s="37"/>
      <c r="FF240" s="37"/>
      <c r="FG240" s="37"/>
      <c r="FH240" s="37"/>
      <c r="FI240" s="45"/>
      <c r="FJ240" s="45"/>
      <c r="FK240" s="45"/>
      <c r="FL240" s="45"/>
      <c r="FM240" s="45"/>
      <c r="FN240" s="45"/>
      <c r="FO240" s="329"/>
      <c r="FP240" s="45"/>
      <c r="FQ240" s="37"/>
      <c r="FR240" s="45"/>
      <c r="FS240" s="37"/>
      <c r="FT240" s="45"/>
      <c r="FU240" s="37"/>
      <c r="FV240" s="45"/>
      <c r="FW240" s="37"/>
      <c r="FX240" s="45"/>
      <c r="FY240" s="37"/>
      <c r="FZ240" s="45"/>
      <c r="GA240" s="37"/>
      <c r="GB240" s="45"/>
      <c r="GC240" s="37"/>
      <c r="GE240" s="37"/>
      <c r="GF240" s="37"/>
      <c r="GG240" s="37"/>
      <c r="GH240" s="37"/>
      <c r="GI240" s="37"/>
      <c r="GJ240" s="37"/>
      <c r="GK240" s="37"/>
      <c r="GL240" s="37"/>
      <c r="GM240" s="37"/>
      <c r="GN240" s="37"/>
      <c r="GO240" s="37"/>
      <c r="GP240" s="37"/>
      <c r="GQ240" s="37"/>
      <c r="GR240" s="37"/>
      <c r="GS240" s="37"/>
      <c r="GT240" s="37"/>
      <c r="GU240" s="37"/>
      <c r="GV240" s="37"/>
      <c r="GW240" s="37"/>
      <c r="GX240" s="37"/>
      <c r="GY240" s="37"/>
      <c r="HF240" s="37"/>
      <c r="HG240" s="37"/>
      <c r="HH240" s="37"/>
      <c r="HI240" s="37"/>
      <c r="HJ240" s="37"/>
      <c r="HK240" s="37"/>
      <c r="HL240" s="37"/>
      <c r="HM240" s="37"/>
      <c r="HN240" s="37"/>
      <c r="HO240" s="37"/>
      <c r="HP240" s="37"/>
      <c r="HQ240" s="37"/>
      <c r="HR240" s="37"/>
      <c r="HS240" s="37"/>
      <c r="HT240" s="37"/>
      <c r="HU240" s="37"/>
      <c r="HV240" s="37"/>
      <c r="HW240" s="37"/>
      <c r="HX240" s="37"/>
      <c r="HY240" s="37"/>
      <c r="HZ240" s="37"/>
      <c r="IA240" s="37"/>
      <c r="IB240" s="37"/>
      <c r="IC240" s="37"/>
      <c r="ID240" s="37"/>
      <c r="IE240" s="37"/>
      <c r="IF240" s="37"/>
      <c r="IG240" s="37"/>
      <c r="IH240" s="37"/>
      <c r="II240" s="37"/>
      <c r="IJ240" s="37"/>
      <c r="IK240" s="37"/>
      <c r="IL240" s="37"/>
      <c r="IM240" s="37"/>
      <c r="IN240" s="37"/>
      <c r="IO240" s="45"/>
      <c r="IP240" s="45"/>
      <c r="IQ240" s="45"/>
      <c r="IR240" s="37"/>
      <c r="JR240" s="37"/>
    </row>
    <row r="241" spans="8:278">
      <c r="H241" s="37"/>
      <c r="I241" s="37"/>
      <c r="J241" s="45"/>
      <c r="K241" s="45"/>
      <c r="L241" s="45"/>
      <c r="M241" s="45"/>
      <c r="N241" s="45"/>
      <c r="O241" s="329"/>
      <c r="P241" s="329"/>
      <c r="Q241" s="45"/>
      <c r="R241" s="45"/>
      <c r="S241" s="45"/>
      <c r="T241" s="45"/>
      <c r="U241" s="45"/>
      <c r="V241" s="45"/>
      <c r="W241" s="45"/>
      <c r="X241" s="45"/>
      <c r="Y241" s="45"/>
      <c r="Z241" s="45"/>
      <c r="AA241" s="406"/>
      <c r="AB241" s="406"/>
      <c r="AC241" s="406"/>
      <c r="AD241" s="837" t="s">
        <v>2811</v>
      </c>
      <c r="AE241" s="45"/>
      <c r="AF241" s="45"/>
      <c r="AG241" s="45"/>
      <c r="AH241" s="45"/>
      <c r="AL241" s="45"/>
      <c r="AM241" s="45"/>
      <c r="AN241" s="45"/>
      <c r="AO241" s="45"/>
      <c r="AP241" s="45"/>
      <c r="AQ241" s="329"/>
      <c r="AR241" s="329"/>
      <c r="AS241" s="45"/>
      <c r="AT241" s="45"/>
      <c r="AU241" s="45"/>
      <c r="AV241" s="45"/>
      <c r="AY241" s="37"/>
      <c r="AZ241" s="45"/>
      <c r="BA241" s="45"/>
      <c r="BB241" s="45"/>
      <c r="BC241" s="37"/>
      <c r="BD241" s="45"/>
      <c r="BE241" s="45"/>
      <c r="BF241" s="37"/>
      <c r="BG241" s="45"/>
      <c r="BH241" s="45"/>
      <c r="BI241" s="45"/>
      <c r="BJ241" s="45"/>
      <c r="CG241" s="406"/>
      <c r="CN241" s="1063"/>
      <c r="CO241" s="1063"/>
      <c r="CQ241" s="1060"/>
      <c r="CR241" s="1062"/>
      <c r="CS241" s="1061"/>
      <c r="CT241" s="1061"/>
      <c r="CU241" s="1061"/>
      <c r="CV241" s="1061"/>
      <c r="CW241" s="1111"/>
      <c r="CX241" s="1111"/>
      <c r="CY241" s="1111"/>
      <c r="CZ241" s="1063"/>
      <c r="DA241" s="1063"/>
      <c r="DB241" s="928"/>
      <c r="DC241" s="928"/>
      <c r="DD241" s="37"/>
      <c r="DE241" s="407"/>
      <c r="DF241" s="407"/>
      <c r="DG241" s="37"/>
      <c r="DH241" s="37"/>
      <c r="DI241" s="407"/>
      <c r="DJ241" s="407"/>
      <c r="DK241" s="37"/>
      <c r="DL241" s="37"/>
      <c r="DM241" s="37"/>
      <c r="DN241" s="37"/>
      <c r="DO241" s="37"/>
      <c r="DP241" s="37"/>
      <c r="DQ241" s="37"/>
      <c r="DR241" s="37"/>
      <c r="DS241" s="407"/>
      <c r="DT241" s="45"/>
      <c r="DU241" s="37"/>
      <c r="DV241" s="37"/>
      <c r="DW241" s="407"/>
      <c r="DX241" s="407"/>
      <c r="DY241" s="37"/>
      <c r="DZ241" s="37"/>
      <c r="EA241" s="407"/>
      <c r="EB241" s="37"/>
      <c r="EC241" s="37"/>
      <c r="ED241" s="407"/>
      <c r="EE241" s="37"/>
      <c r="EF241" s="37"/>
      <c r="EG241" s="37"/>
      <c r="EH241" s="45"/>
      <c r="EI241" s="37"/>
      <c r="EJ241" s="45"/>
      <c r="EK241" s="45"/>
      <c r="EL241" s="37"/>
      <c r="EM241" s="37"/>
      <c r="EN241" s="37"/>
      <c r="EO241" s="37"/>
      <c r="EP241" s="37"/>
      <c r="EQ241" s="37"/>
      <c r="ER241" s="37"/>
      <c r="ES241" s="37"/>
      <c r="ET241" s="37"/>
      <c r="EU241" s="37"/>
      <c r="EV241" s="37"/>
      <c r="EW241" s="37"/>
      <c r="EX241" s="37"/>
      <c r="EY241" s="408"/>
      <c r="EZ241" s="37"/>
      <c r="FA241" s="37"/>
      <c r="FB241" s="37"/>
      <c r="FC241" s="37"/>
      <c r="FD241" s="408"/>
      <c r="FE241" s="37"/>
      <c r="FF241" s="37"/>
      <c r="FG241" s="37"/>
      <c r="FH241" s="37"/>
      <c r="FI241" s="45"/>
      <c r="FJ241" s="45"/>
      <c r="FK241" s="45"/>
      <c r="FL241" s="45"/>
      <c r="FM241" s="45"/>
      <c r="FN241" s="45"/>
      <c r="FO241" s="329"/>
      <c r="FP241" s="45"/>
      <c r="FQ241" s="37"/>
      <c r="FR241" s="45"/>
      <c r="FS241" s="37"/>
      <c r="FT241" s="45"/>
      <c r="FU241" s="37"/>
      <c r="FV241" s="45"/>
      <c r="FW241" s="37"/>
      <c r="FX241" s="45"/>
      <c r="FY241" s="37"/>
      <c r="FZ241" s="45"/>
      <c r="GA241" s="37"/>
      <c r="GB241" s="45"/>
      <c r="GC241" s="37"/>
      <c r="GE241" s="37"/>
      <c r="GF241" s="37"/>
      <c r="GG241" s="37"/>
      <c r="GH241" s="37"/>
      <c r="GI241" s="37"/>
      <c r="GJ241" s="37"/>
      <c r="GK241" s="37"/>
      <c r="GL241" s="37"/>
      <c r="GM241" s="37"/>
      <c r="GN241" s="37"/>
      <c r="GO241" s="37"/>
      <c r="GP241" s="37"/>
      <c r="GQ241" s="37"/>
      <c r="GR241" s="37"/>
      <c r="GS241" s="37"/>
      <c r="GT241" s="37"/>
      <c r="GU241" s="37"/>
      <c r="GV241" s="37"/>
      <c r="GW241" s="37"/>
      <c r="GX241" s="37"/>
      <c r="GY241" s="37"/>
      <c r="HF241" s="37"/>
      <c r="HG241" s="37"/>
      <c r="HH241" s="37"/>
      <c r="HI241" s="37"/>
      <c r="HJ241" s="37"/>
      <c r="HK241" s="37"/>
      <c r="HL241" s="37"/>
      <c r="HM241" s="37"/>
      <c r="HN241" s="37"/>
      <c r="HO241" s="37"/>
      <c r="HP241" s="37"/>
      <c r="HQ241" s="37"/>
      <c r="HR241" s="37"/>
      <c r="HS241" s="37"/>
      <c r="HT241" s="37"/>
      <c r="HU241" s="37"/>
      <c r="HV241" s="37"/>
      <c r="HW241" s="37"/>
      <c r="HX241" s="37"/>
      <c r="HY241" s="37"/>
      <c r="HZ241" s="37"/>
      <c r="IA241" s="37"/>
      <c r="IB241" s="37"/>
      <c r="IC241" s="37"/>
      <c r="ID241" s="37"/>
      <c r="IE241" s="37"/>
      <c r="IF241" s="37"/>
      <c r="IG241" s="37"/>
      <c r="IH241" s="37"/>
      <c r="II241" s="37"/>
      <c r="IJ241" s="37"/>
      <c r="IK241" s="37"/>
      <c r="IL241" s="37"/>
      <c r="IM241" s="37"/>
      <c r="IN241" s="37"/>
      <c r="IO241" s="45"/>
      <c r="IP241" s="45"/>
      <c r="IQ241" s="45"/>
      <c r="IR241" s="37"/>
      <c r="JR241" s="37"/>
    </row>
    <row r="242" spans="8:278">
      <c r="H242" s="37"/>
      <c r="I242" s="37"/>
      <c r="J242" s="45"/>
      <c r="K242" s="45"/>
      <c r="L242" s="45"/>
      <c r="M242" s="45"/>
      <c r="N242" s="45"/>
      <c r="O242" s="329"/>
      <c r="P242" s="329"/>
      <c r="Q242" s="45"/>
      <c r="R242" s="45"/>
      <c r="S242" s="45"/>
      <c r="T242" s="45"/>
      <c r="U242" s="45"/>
      <c r="V242" s="45"/>
      <c r="W242" s="45"/>
      <c r="X242" s="45"/>
      <c r="Y242" s="45"/>
      <c r="Z242" s="45"/>
      <c r="AA242" s="406"/>
      <c r="AB242" s="406"/>
      <c r="AC242" s="406"/>
      <c r="AD242" s="838"/>
      <c r="AE242" s="45"/>
      <c r="AF242" s="45"/>
      <c r="AG242" s="45"/>
      <c r="AH242" s="45"/>
      <c r="AL242" s="45"/>
      <c r="AM242" s="45"/>
      <c r="AN242" s="45"/>
      <c r="AO242" s="45"/>
      <c r="AP242" s="45"/>
      <c r="AQ242" s="329"/>
      <c r="AR242" s="329"/>
      <c r="AS242" s="45"/>
      <c r="AT242" s="45"/>
      <c r="AU242" s="45"/>
      <c r="AV242" s="45"/>
      <c r="AY242" s="37"/>
      <c r="AZ242" s="45"/>
      <c r="BA242" s="45"/>
      <c r="BB242" s="45"/>
      <c r="BC242" s="37"/>
      <c r="BD242" s="45"/>
      <c r="BE242" s="45"/>
      <c r="BF242" s="37"/>
      <c r="BG242" s="45"/>
      <c r="BH242" s="45"/>
      <c r="BI242" s="45"/>
      <c r="BJ242" s="45"/>
      <c r="CG242" s="406"/>
      <c r="CN242" s="1063"/>
      <c r="CO242" s="1063"/>
      <c r="CQ242" s="1060"/>
      <c r="CR242" s="1062"/>
      <c r="CS242" s="1061"/>
      <c r="CT242" s="1061"/>
      <c r="CU242" s="1061"/>
      <c r="CV242" s="1061"/>
      <c r="CW242" s="1111"/>
      <c r="CX242" s="1111"/>
      <c r="CY242" s="1111"/>
      <c r="CZ242" s="1063"/>
      <c r="DA242" s="1063"/>
      <c r="DB242" s="928"/>
      <c r="DC242" s="928"/>
      <c r="DD242" s="37"/>
      <c r="DE242" s="407"/>
      <c r="DF242" s="407"/>
      <c r="DG242" s="37"/>
      <c r="DH242" s="37"/>
      <c r="DI242" s="407"/>
      <c r="DJ242" s="407"/>
      <c r="DK242" s="37"/>
      <c r="DL242" s="37"/>
      <c r="DM242" s="37"/>
      <c r="DN242" s="37"/>
      <c r="DO242" s="37"/>
      <c r="DP242" s="37"/>
      <c r="DQ242" s="37"/>
      <c r="DR242" s="37"/>
      <c r="DS242" s="407"/>
      <c r="DT242" s="45"/>
      <c r="DU242" s="37"/>
      <c r="DV242" s="37"/>
      <c r="DW242" s="407"/>
      <c r="DX242" s="407"/>
      <c r="DY242" s="37"/>
      <c r="DZ242" s="37"/>
      <c r="EA242" s="407"/>
      <c r="EB242" s="37"/>
      <c r="EC242" s="37"/>
      <c r="ED242" s="407"/>
      <c r="EE242" s="37"/>
      <c r="EF242" s="37"/>
      <c r="EG242" s="37"/>
      <c r="EH242" s="45"/>
      <c r="EI242" s="37"/>
      <c r="EJ242" s="45"/>
      <c r="EK242" s="45"/>
      <c r="EL242" s="37"/>
      <c r="EM242" s="37"/>
      <c r="EN242" s="37"/>
      <c r="EO242" s="37"/>
      <c r="EP242" s="37"/>
      <c r="EQ242" s="37"/>
      <c r="ER242" s="37"/>
      <c r="ES242" s="37"/>
      <c r="ET242" s="37"/>
      <c r="EU242" s="37"/>
      <c r="EV242" s="37"/>
      <c r="EW242" s="37"/>
      <c r="EX242" s="37"/>
      <c r="EY242" s="408"/>
      <c r="EZ242" s="37"/>
      <c r="FA242" s="37"/>
      <c r="FB242" s="37"/>
      <c r="FC242" s="37"/>
      <c r="FD242" s="408"/>
      <c r="FE242" s="37"/>
      <c r="FF242" s="37"/>
      <c r="FG242" s="37"/>
      <c r="FH242" s="37"/>
      <c r="FI242" s="45"/>
      <c r="FJ242" s="45"/>
      <c r="FK242" s="45"/>
      <c r="FL242" s="45"/>
      <c r="FM242" s="45"/>
      <c r="FN242" s="45"/>
      <c r="FO242" s="329"/>
      <c r="FP242" s="45"/>
      <c r="FQ242" s="37"/>
      <c r="FR242" s="45"/>
      <c r="FS242" s="37"/>
      <c r="FT242" s="45"/>
      <c r="FU242" s="37"/>
      <c r="FV242" s="45"/>
      <c r="FW242" s="37"/>
      <c r="FX242" s="45"/>
      <c r="FY242" s="37"/>
      <c r="FZ242" s="45"/>
      <c r="GA242" s="37"/>
      <c r="GB242" s="45"/>
      <c r="GC242" s="37"/>
      <c r="GE242" s="37"/>
      <c r="GF242" s="37"/>
      <c r="GG242" s="37"/>
      <c r="GH242" s="37"/>
      <c r="GI242" s="37"/>
      <c r="GJ242" s="37"/>
      <c r="GK242" s="37"/>
      <c r="GL242" s="37"/>
      <c r="GM242" s="37"/>
      <c r="GN242" s="37"/>
      <c r="GO242" s="37"/>
      <c r="GP242" s="37"/>
      <c r="GQ242" s="37"/>
      <c r="GR242" s="37"/>
      <c r="GS242" s="37"/>
      <c r="GT242" s="37"/>
      <c r="GU242" s="37"/>
      <c r="GV242" s="37"/>
      <c r="GW242" s="37"/>
      <c r="GX242" s="37"/>
      <c r="GY242" s="37"/>
      <c r="HF242" s="37"/>
      <c r="HG242" s="37"/>
      <c r="HH242" s="37"/>
      <c r="HI242" s="37"/>
      <c r="HJ242" s="37"/>
      <c r="HK242" s="37"/>
      <c r="HL242" s="37"/>
      <c r="HM242" s="37"/>
      <c r="HN242" s="37"/>
      <c r="HO242" s="37"/>
      <c r="HP242" s="37"/>
      <c r="HQ242" s="37"/>
      <c r="HR242" s="37"/>
      <c r="HS242" s="37"/>
      <c r="HT242" s="37"/>
      <c r="HU242" s="37"/>
      <c r="HV242" s="37"/>
      <c r="HW242" s="37"/>
      <c r="HX242" s="37"/>
      <c r="HY242" s="37"/>
      <c r="HZ242" s="37"/>
      <c r="IA242" s="37"/>
      <c r="IB242" s="37"/>
      <c r="IC242" s="37"/>
      <c r="ID242" s="37"/>
      <c r="IE242" s="37"/>
      <c r="IF242" s="37"/>
      <c r="IG242" s="37"/>
      <c r="IH242" s="37"/>
      <c r="II242" s="37"/>
      <c r="IJ242" s="37"/>
      <c r="IK242" s="37"/>
      <c r="IL242" s="37"/>
      <c r="IM242" s="37"/>
      <c r="IN242" s="37"/>
      <c r="IO242" s="45"/>
      <c r="IP242" s="45"/>
      <c r="IQ242" s="45"/>
      <c r="IR242" s="37"/>
      <c r="JR242" s="37"/>
    </row>
    <row r="243" spans="8:278">
      <c r="H243" s="37"/>
      <c r="I243" s="37"/>
      <c r="J243" s="45"/>
      <c r="K243" s="45"/>
      <c r="L243" s="45"/>
      <c r="M243" s="45"/>
      <c r="N243" s="45"/>
      <c r="O243" s="329"/>
      <c r="P243" s="329"/>
      <c r="Q243" s="45"/>
      <c r="R243" s="45"/>
      <c r="S243" s="45"/>
      <c r="T243" s="45"/>
      <c r="U243" s="45"/>
      <c r="V243" s="45"/>
      <c r="W243" s="45"/>
      <c r="X243" s="45"/>
      <c r="Y243" s="45"/>
      <c r="Z243" s="45"/>
      <c r="AA243" s="406"/>
      <c r="AB243" s="406"/>
      <c r="AC243" s="406"/>
      <c r="AD243" s="837" t="s">
        <v>2815</v>
      </c>
      <c r="AE243" s="45"/>
      <c r="AF243" s="45"/>
      <c r="AG243" s="45"/>
      <c r="AH243" s="45"/>
      <c r="AL243" s="45"/>
      <c r="AM243" s="45"/>
      <c r="AN243" s="45"/>
      <c r="AO243" s="45"/>
      <c r="AP243" s="45"/>
      <c r="AQ243" s="329"/>
      <c r="AR243" s="329"/>
      <c r="AS243" s="45"/>
      <c r="AT243" s="45"/>
      <c r="AU243" s="45"/>
      <c r="AV243" s="45"/>
      <c r="AY243" s="37"/>
      <c r="AZ243" s="45"/>
      <c r="BA243" s="45"/>
      <c r="BB243" s="45"/>
      <c r="BC243" s="37"/>
      <c r="BD243" s="45"/>
      <c r="BE243" s="45"/>
      <c r="BF243" s="37"/>
      <c r="BG243" s="45"/>
      <c r="BH243" s="45"/>
      <c r="BI243" s="45"/>
      <c r="BJ243" s="45"/>
      <c r="CG243" s="406"/>
      <c r="CN243" s="1063"/>
      <c r="CO243" s="1063"/>
      <c r="CQ243" s="1060"/>
      <c r="CR243" s="1062"/>
      <c r="CS243" s="1061"/>
      <c r="CT243" s="1061"/>
      <c r="CU243" s="1061"/>
      <c r="CV243" s="1061"/>
      <c r="CW243" s="1111"/>
      <c r="CX243" s="1111"/>
      <c r="CY243" s="1111"/>
      <c r="CZ243" s="1063"/>
      <c r="DA243" s="1063"/>
      <c r="DB243" s="928"/>
      <c r="DC243" s="928"/>
      <c r="DD243" s="37"/>
      <c r="DE243" s="407"/>
      <c r="DF243" s="407"/>
      <c r="DG243" s="37"/>
      <c r="DH243" s="37"/>
      <c r="DI243" s="407"/>
      <c r="DJ243" s="407"/>
      <c r="DK243" s="37"/>
      <c r="DL243" s="37"/>
      <c r="DM243" s="37"/>
      <c r="DN243" s="37"/>
      <c r="DO243" s="37"/>
      <c r="DP243" s="37"/>
      <c r="DQ243" s="37"/>
      <c r="DR243" s="37"/>
      <c r="DS243" s="407"/>
      <c r="DT243" s="45"/>
      <c r="DU243" s="37"/>
      <c r="DV243" s="37"/>
      <c r="DW243" s="407"/>
      <c r="DX243" s="407"/>
      <c r="DY243" s="37"/>
      <c r="DZ243" s="37"/>
      <c r="EA243" s="407"/>
      <c r="EB243" s="37"/>
      <c r="EC243" s="37"/>
      <c r="ED243" s="407"/>
      <c r="EE243" s="37"/>
      <c r="EF243" s="37"/>
      <c r="EG243" s="37"/>
      <c r="EH243" s="45"/>
      <c r="EI243" s="37"/>
      <c r="EJ243" s="45"/>
      <c r="EK243" s="45"/>
      <c r="EL243" s="37"/>
      <c r="EM243" s="37"/>
      <c r="EN243" s="37"/>
      <c r="EO243" s="37"/>
      <c r="EP243" s="37"/>
      <c r="EQ243" s="37"/>
      <c r="ER243" s="37"/>
      <c r="ES243" s="37"/>
      <c r="ET243" s="37"/>
      <c r="EU243" s="37"/>
      <c r="EV243" s="37"/>
      <c r="EW243" s="37"/>
      <c r="EX243" s="37"/>
      <c r="EY243" s="408"/>
      <c r="EZ243" s="37"/>
      <c r="FA243" s="37"/>
      <c r="FB243" s="37"/>
      <c r="FC243" s="37"/>
      <c r="FD243" s="408"/>
      <c r="FE243" s="37"/>
      <c r="FF243" s="37"/>
      <c r="FG243" s="37"/>
      <c r="FH243" s="37"/>
      <c r="FI243" s="45"/>
      <c r="FJ243" s="45"/>
      <c r="FK243" s="45"/>
      <c r="FL243" s="45"/>
      <c r="FM243" s="45"/>
      <c r="FN243" s="45"/>
      <c r="FO243" s="329"/>
      <c r="FP243" s="45"/>
      <c r="FQ243" s="37"/>
      <c r="FR243" s="45"/>
      <c r="FS243" s="37"/>
      <c r="FT243" s="45"/>
      <c r="FU243" s="37"/>
      <c r="FV243" s="45"/>
      <c r="FW243" s="37"/>
      <c r="FX243" s="45"/>
      <c r="FY243" s="37"/>
      <c r="FZ243" s="45"/>
      <c r="GA243" s="37"/>
      <c r="GB243" s="45"/>
      <c r="GC243" s="37"/>
      <c r="GE243" s="37"/>
      <c r="GF243" s="37"/>
      <c r="GG243" s="37"/>
      <c r="GH243" s="37"/>
      <c r="GI243" s="37"/>
      <c r="GJ243" s="37"/>
      <c r="GK243" s="37"/>
      <c r="GL243" s="37"/>
      <c r="GM243" s="37"/>
      <c r="GN243" s="37"/>
      <c r="GO243" s="37"/>
      <c r="GP243" s="37"/>
      <c r="GQ243" s="37"/>
      <c r="GR243" s="37"/>
      <c r="GS243" s="37"/>
      <c r="GT243" s="37"/>
      <c r="GU243" s="37"/>
      <c r="GV243" s="37"/>
      <c r="GW243" s="37"/>
      <c r="GX243" s="37"/>
      <c r="GY243" s="37"/>
      <c r="HF243" s="37"/>
      <c r="HG243" s="37"/>
      <c r="HH243" s="37"/>
      <c r="HI243" s="37"/>
      <c r="HJ243" s="37"/>
      <c r="HK243" s="37"/>
      <c r="HL243" s="37"/>
      <c r="HM243" s="37"/>
      <c r="HN243" s="37"/>
      <c r="HO243" s="37"/>
      <c r="HP243" s="37"/>
      <c r="HQ243" s="37"/>
      <c r="HR243" s="37"/>
      <c r="HS243" s="37"/>
      <c r="HT243" s="37"/>
      <c r="HU243" s="37"/>
      <c r="HV243" s="37"/>
      <c r="HW243" s="37"/>
      <c r="HX243" s="37"/>
      <c r="HY243" s="37"/>
      <c r="HZ243" s="37"/>
      <c r="IA243" s="37"/>
      <c r="IB243" s="37"/>
      <c r="IC243" s="37"/>
      <c r="ID243" s="37"/>
      <c r="IE243" s="37"/>
      <c r="IF243" s="37"/>
      <c r="IG243" s="37"/>
      <c r="IH243" s="37"/>
      <c r="II243" s="37"/>
      <c r="IJ243" s="37"/>
      <c r="IK243" s="37"/>
      <c r="IL243" s="37"/>
      <c r="IM243" s="37"/>
      <c r="IN243" s="37"/>
      <c r="IO243" s="45"/>
      <c r="IP243" s="45"/>
      <c r="IQ243" s="45"/>
      <c r="IR243" s="37"/>
      <c r="JR243" s="37"/>
    </row>
    <row r="244" spans="8:278">
      <c r="H244" s="37"/>
      <c r="I244" s="37"/>
      <c r="J244" s="45"/>
      <c r="K244" s="45"/>
      <c r="L244" s="45"/>
      <c r="M244" s="45"/>
      <c r="N244" s="45"/>
      <c r="O244" s="329"/>
      <c r="P244" s="329"/>
      <c r="Q244" s="45"/>
      <c r="R244" s="45"/>
      <c r="S244" s="45"/>
      <c r="T244" s="45"/>
      <c r="U244" s="45"/>
      <c r="V244" s="45"/>
      <c r="W244" s="45"/>
      <c r="X244" s="45"/>
      <c r="Y244" s="45"/>
      <c r="Z244" s="45"/>
      <c r="AA244" s="406"/>
      <c r="AB244" s="406"/>
      <c r="AC244" s="406"/>
      <c r="AD244" s="837" t="s">
        <v>2816</v>
      </c>
      <c r="AE244" s="45"/>
      <c r="AF244" s="45"/>
      <c r="AH244" s="45"/>
      <c r="AL244" s="45"/>
      <c r="AM244" s="45"/>
      <c r="AO244" s="45"/>
      <c r="AP244" s="45"/>
      <c r="AQ244" s="329"/>
      <c r="AR244" s="329"/>
      <c r="AS244" s="45"/>
      <c r="AT244" s="45"/>
      <c r="AU244" s="45"/>
      <c r="AV244" s="45"/>
      <c r="AY244" s="37"/>
      <c r="AZ244" s="45"/>
      <c r="BA244" s="45"/>
      <c r="BB244" s="45"/>
      <c r="BC244" s="37"/>
      <c r="BD244" s="45"/>
      <c r="BE244" s="45"/>
      <c r="BF244" s="37"/>
      <c r="BG244" s="45"/>
      <c r="BH244" s="45"/>
      <c r="BI244" s="45"/>
      <c r="BJ244" s="45"/>
      <c r="CG244" s="406"/>
      <c r="CN244" s="1063"/>
      <c r="CO244" s="1063"/>
      <c r="CQ244" s="1060"/>
      <c r="CR244" s="1062"/>
      <c r="CS244" s="1061"/>
      <c r="CT244" s="1061"/>
      <c r="CU244" s="1061"/>
      <c r="CV244" s="1061"/>
      <c r="CW244" s="1111"/>
      <c r="CX244" s="1111"/>
      <c r="CY244" s="1111"/>
      <c r="CZ244" s="1063"/>
      <c r="DA244" s="1063"/>
      <c r="DB244" s="928"/>
      <c r="DC244" s="928"/>
      <c r="DD244" s="37"/>
      <c r="DE244" s="407"/>
      <c r="DF244" s="407"/>
      <c r="DG244" s="37"/>
      <c r="DH244" s="37"/>
      <c r="DI244" s="407"/>
      <c r="DJ244" s="407"/>
      <c r="DK244" s="37"/>
      <c r="DL244" s="37"/>
      <c r="DM244" s="37"/>
      <c r="DN244" s="37"/>
      <c r="DO244" s="37"/>
      <c r="DP244" s="37"/>
      <c r="DQ244" s="37"/>
      <c r="DR244" s="37"/>
      <c r="DS244" s="407"/>
      <c r="DT244" s="45"/>
      <c r="DU244" s="37"/>
      <c r="DV244" s="37"/>
      <c r="DW244" s="407"/>
      <c r="DX244" s="407"/>
      <c r="DY244" s="37"/>
      <c r="DZ244" s="37"/>
      <c r="EA244" s="407"/>
      <c r="EB244" s="37"/>
      <c r="EC244" s="37"/>
      <c r="ED244" s="407"/>
      <c r="EE244" s="37"/>
      <c r="EF244" s="37"/>
      <c r="EG244" s="37"/>
      <c r="EH244" s="45"/>
      <c r="EI244" s="37"/>
      <c r="EJ244" s="45"/>
      <c r="EK244" s="45"/>
      <c r="EL244" s="37"/>
      <c r="EM244" s="37"/>
      <c r="EN244" s="37"/>
      <c r="EO244" s="37"/>
      <c r="EP244" s="37"/>
      <c r="EQ244" s="37"/>
      <c r="ER244" s="37"/>
      <c r="ES244" s="37"/>
      <c r="ET244" s="37"/>
      <c r="EU244" s="37"/>
      <c r="EV244" s="37"/>
      <c r="EW244" s="37"/>
      <c r="EX244" s="37"/>
      <c r="EY244" s="408"/>
      <c r="EZ244" s="37"/>
      <c r="FA244" s="37"/>
      <c r="FB244" s="37"/>
      <c r="FC244" s="37"/>
      <c r="FD244" s="408"/>
      <c r="FE244" s="37"/>
      <c r="FF244" s="37"/>
      <c r="FG244" s="37"/>
      <c r="FH244" s="37"/>
      <c r="FI244" s="45"/>
      <c r="FJ244" s="45"/>
      <c r="FK244" s="45"/>
      <c r="FL244" s="45"/>
      <c r="FM244" s="45"/>
      <c r="FN244" s="45"/>
      <c r="FO244" s="329"/>
      <c r="FP244" s="45"/>
      <c r="FQ244" s="37"/>
      <c r="FR244" s="45"/>
      <c r="FS244" s="37"/>
      <c r="FT244" s="45"/>
      <c r="FU244" s="37"/>
      <c r="FV244" s="45"/>
      <c r="FW244" s="37"/>
      <c r="FX244" s="45"/>
      <c r="FY244" s="37"/>
      <c r="FZ244" s="45"/>
      <c r="GA244" s="37"/>
      <c r="GB244" s="45"/>
      <c r="GC244" s="37"/>
      <c r="GE244" s="37"/>
      <c r="GF244" s="37"/>
      <c r="GG244" s="37"/>
      <c r="GH244" s="37"/>
      <c r="GI244" s="37"/>
      <c r="GJ244" s="37"/>
      <c r="GK244" s="37"/>
      <c r="GL244" s="37"/>
      <c r="GM244" s="37"/>
      <c r="GN244" s="37"/>
      <c r="GO244" s="37"/>
      <c r="GP244" s="37"/>
      <c r="GQ244" s="37"/>
      <c r="GR244" s="37"/>
      <c r="GS244" s="37"/>
      <c r="GT244" s="37"/>
      <c r="GU244" s="37"/>
      <c r="GV244" s="37"/>
      <c r="GW244" s="37"/>
      <c r="GX244" s="37"/>
      <c r="GY244" s="37"/>
      <c r="HF244" s="37"/>
      <c r="HG244" s="37"/>
      <c r="HH244" s="37"/>
      <c r="HI244" s="37"/>
      <c r="HJ244" s="37"/>
      <c r="HK244" s="37"/>
      <c r="HL244" s="37"/>
      <c r="HM244" s="37"/>
      <c r="HN244" s="37"/>
      <c r="HO244" s="37"/>
      <c r="HP244" s="37"/>
      <c r="HQ244" s="37"/>
      <c r="HR244" s="37"/>
      <c r="HS244" s="37"/>
      <c r="HT244" s="37"/>
      <c r="HU244" s="37"/>
      <c r="HV244" s="37"/>
      <c r="HW244" s="37"/>
      <c r="HX244" s="37"/>
      <c r="HY244" s="37"/>
      <c r="HZ244" s="37"/>
      <c r="IA244" s="37"/>
      <c r="IB244" s="37"/>
      <c r="IC244" s="37"/>
      <c r="ID244" s="37"/>
      <c r="IE244" s="37"/>
      <c r="IF244" s="37"/>
      <c r="IG244" s="37"/>
      <c r="IH244" s="37"/>
      <c r="II244" s="37"/>
      <c r="IJ244" s="37"/>
      <c r="IK244" s="37"/>
      <c r="IL244" s="37"/>
      <c r="IM244" s="37"/>
      <c r="IN244" s="37"/>
      <c r="IO244" s="45"/>
      <c r="IP244" s="45"/>
      <c r="IQ244" s="45"/>
      <c r="IR244" s="37"/>
      <c r="JR244" s="37"/>
    </row>
    <row r="245" spans="8:278">
      <c r="H245" s="37"/>
      <c r="I245" s="37"/>
      <c r="J245" s="45"/>
      <c r="K245" s="45"/>
      <c r="L245" s="45"/>
      <c r="M245" s="45"/>
      <c r="N245" s="45"/>
      <c r="O245" s="329"/>
      <c r="P245" s="329"/>
      <c r="Q245" s="45"/>
      <c r="R245" s="45"/>
      <c r="S245" s="45"/>
      <c r="T245" s="45"/>
      <c r="U245" s="45"/>
      <c r="V245" s="45"/>
      <c r="W245" s="45"/>
      <c r="X245" s="45"/>
      <c r="Y245" s="45"/>
      <c r="Z245" s="45"/>
      <c r="AA245" s="406"/>
      <c r="AB245" s="406"/>
      <c r="AC245" s="406"/>
      <c r="AD245" s="838"/>
      <c r="AE245" s="45"/>
      <c r="AF245" s="45"/>
      <c r="AH245" s="45"/>
      <c r="AL245" s="45"/>
      <c r="AM245" s="45"/>
      <c r="AO245" s="45"/>
      <c r="AP245" s="45"/>
      <c r="AQ245" s="329"/>
      <c r="AR245" s="329"/>
      <c r="AS245" s="45"/>
      <c r="AT245" s="45"/>
      <c r="AU245" s="45"/>
      <c r="AV245" s="45"/>
      <c r="AY245" s="37"/>
      <c r="AZ245" s="45"/>
      <c r="BA245" s="45"/>
      <c r="BB245" s="45"/>
      <c r="BC245" s="37"/>
      <c r="BD245" s="45"/>
      <c r="BE245" s="45"/>
      <c r="BF245" s="37"/>
      <c r="BG245" s="45"/>
      <c r="BH245" s="45"/>
      <c r="BI245" s="45"/>
      <c r="BJ245" s="45"/>
      <c r="CG245" s="406"/>
      <c r="CN245" s="1063"/>
      <c r="CO245" s="1063"/>
      <c r="CQ245" s="1060"/>
      <c r="CR245" s="1062"/>
      <c r="CS245" s="1061"/>
      <c r="CT245" s="1061"/>
      <c r="CU245" s="1061"/>
      <c r="CV245" s="1061"/>
      <c r="CW245" s="1111"/>
      <c r="CX245" s="1111"/>
      <c r="CY245" s="1111"/>
      <c r="CZ245" s="1063"/>
      <c r="DA245" s="1063"/>
      <c r="DB245" s="928"/>
      <c r="DC245" s="928"/>
      <c r="DD245" s="37"/>
      <c r="DE245" s="407"/>
      <c r="DF245" s="407"/>
      <c r="DG245" s="37"/>
      <c r="DH245" s="37"/>
      <c r="DI245" s="407"/>
      <c r="DJ245" s="407"/>
      <c r="DK245" s="37"/>
      <c r="DL245" s="37"/>
      <c r="DM245" s="37"/>
      <c r="DN245" s="37"/>
      <c r="DO245" s="37"/>
      <c r="DP245" s="37"/>
      <c r="DQ245" s="37"/>
      <c r="DR245" s="37"/>
      <c r="DS245" s="407"/>
      <c r="DT245" s="45"/>
      <c r="DU245" s="37"/>
      <c r="DV245" s="37"/>
      <c r="DW245" s="407"/>
      <c r="DX245" s="407"/>
      <c r="DY245" s="37"/>
      <c r="DZ245" s="37"/>
      <c r="EA245" s="407"/>
      <c r="EB245" s="37"/>
      <c r="EC245" s="37"/>
      <c r="ED245" s="407"/>
      <c r="EE245" s="37"/>
      <c r="EF245" s="37"/>
      <c r="EG245" s="37"/>
      <c r="EH245" s="45"/>
      <c r="EI245" s="37"/>
      <c r="EJ245" s="45"/>
      <c r="EK245" s="45"/>
      <c r="EL245" s="37"/>
      <c r="EM245" s="37"/>
      <c r="EN245" s="37"/>
      <c r="EO245" s="37"/>
      <c r="EP245" s="37"/>
      <c r="EQ245" s="37"/>
      <c r="ER245" s="37"/>
      <c r="ES245" s="37"/>
      <c r="ET245" s="37"/>
      <c r="EU245" s="37"/>
      <c r="EV245" s="37"/>
      <c r="EW245" s="37"/>
      <c r="EX245" s="37"/>
      <c r="EY245" s="408"/>
      <c r="EZ245" s="37"/>
      <c r="FA245" s="37"/>
      <c r="FB245" s="37"/>
      <c r="FC245" s="37"/>
      <c r="FD245" s="408"/>
      <c r="FE245" s="37"/>
      <c r="FF245" s="37"/>
      <c r="FG245" s="37"/>
      <c r="FH245" s="37"/>
      <c r="FI245" s="45"/>
      <c r="FJ245" s="45"/>
      <c r="FK245" s="45"/>
      <c r="FL245" s="45"/>
      <c r="FM245" s="45"/>
      <c r="FN245" s="45"/>
      <c r="FO245" s="329"/>
      <c r="FP245" s="45"/>
      <c r="FQ245" s="37"/>
      <c r="FR245" s="45"/>
      <c r="FS245" s="37"/>
      <c r="FT245" s="45"/>
      <c r="FU245" s="37"/>
      <c r="FV245" s="45"/>
      <c r="FW245" s="37"/>
      <c r="FX245" s="45"/>
      <c r="FY245" s="37"/>
      <c r="FZ245" s="45"/>
      <c r="GA245" s="37"/>
      <c r="GB245" s="45"/>
      <c r="GC245" s="37"/>
      <c r="GE245" s="37"/>
      <c r="GF245" s="37"/>
      <c r="GG245" s="37"/>
      <c r="GH245" s="37"/>
      <c r="GI245" s="37"/>
      <c r="GJ245" s="37"/>
      <c r="GK245" s="37"/>
      <c r="GL245" s="37"/>
      <c r="GM245" s="37"/>
      <c r="GN245" s="37"/>
      <c r="GO245" s="37"/>
      <c r="GP245" s="37"/>
      <c r="GQ245" s="37"/>
      <c r="GR245" s="37"/>
      <c r="GS245" s="37"/>
      <c r="GT245" s="37"/>
      <c r="GU245" s="37"/>
      <c r="GV245" s="37"/>
      <c r="GW245" s="37"/>
      <c r="GX245" s="37"/>
      <c r="GY245" s="37"/>
      <c r="HF245" s="37"/>
      <c r="HG245" s="37"/>
      <c r="HH245" s="37"/>
      <c r="HI245" s="37"/>
      <c r="HJ245" s="37"/>
      <c r="HK245" s="37"/>
      <c r="HL245" s="37"/>
      <c r="HM245" s="37"/>
      <c r="HN245" s="37"/>
      <c r="HO245" s="37"/>
      <c r="HP245" s="37"/>
      <c r="HQ245" s="37"/>
      <c r="HR245" s="37"/>
      <c r="HS245" s="37"/>
      <c r="HT245" s="37"/>
      <c r="HU245" s="37"/>
      <c r="HV245" s="37"/>
      <c r="HW245" s="37"/>
      <c r="HX245" s="37"/>
      <c r="HY245" s="37"/>
      <c r="HZ245" s="37"/>
      <c r="IA245" s="37"/>
      <c r="IB245" s="37"/>
      <c r="IC245" s="37"/>
      <c r="ID245" s="37"/>
      <c r="IE245" s="37"/>
      <c r="IF245" s="37"/>
      <c r="IG245" s="37"/>
      <c r="IH245" s="37"/>
      <c r="II245" s="37"/>
      <c r="IJ245" s="37"/>
      <c r="IK245" s="37"/>
      <c r="IL245" s="37"/>
      <c r="IM245" s="37"/>
      <c r="IN245" s="37"/>
      <c r="IO245" s="45"/>
      <c r="IP245" s="45"/>
      <c r="IQ245" s="45"/>
      <c r="IR245" s="37"/>
      <c r="JR245" s="37"/>
    </row>
    <row r="246" spans="8:278">
      <c r="H246" s="37"/>
      <c r="I246" s="37"/>
      <c r="J246" s="45"/>
      <c r="K246" s="45"/>
      <c r="L246" s="45"/>
      <c r="M246" s="45"/>
      <c r="N246" s="45"/>
      <c r="O246" s="329"/>
      <c r="P246" s="329"/>
      <c r="Q246" s="45"/>
      <c r="R246" s="45"/>
      <c r="S246" s="45"/>
      <c r="T246" s="45"/>
      <c r="U246" s="45"/>
      <c r="V246" s="45"/>
      <c r="W246" s="45"/>
      <c r="X246" s="45"/>
      <c r="Y246" s="45"/>
      <c r="Z246" s="45"/>
      <c r="AA246" s="406"/>
      <c r="AB246" s="406"/>
      <c r="AC246" s="406"/>
      <c r="AD246" s="837" t="s">
        <v>2824</v>
      </c>
      <c r="AE246" s="45"/>
      <c r="AF246" s="45"/>
      <c r="AM246" s="45"/>
      <c r="AO246" s="45"/>
      <c r="AP246" s="45"/>
      <c r="AQ246" s="329"/>
      <c r="AR246" s="329"/>
      <c r="AS246" s="45"/>
      <c r="AT246" s="45"/>
      <c r="AU246" s="45"/>
      <c r="AV246" s="45"/>
      <c r="AY246" s="37"/>
      <c r="AZ246" s="45"/>
      <c r="BA246" s="45"/>
      <c r="BB246" s="45"/>
      <c r="BC246" s="37"/>
      <c r="BD246" s="45"/>
      <c r="BE246" s="45"/>
      <c r="BF246" s="37"/>
      <c r="BG246" s="45"/>
      <c r="BH246" s="45"/>
      <c r="BI246" s="45"/>
      <c r="BJ246" s="45"/>
      <c r="CG246" s="406"/>
      <c r="CN246" s="1063"/>
      <c r="CO246" s="1063"/>
      <c r="CQ246" s="1060"/>
      <c r="CR246" s="1062"/>
      <c r="CS246" s="1061"/>
      <c r="CT246" s="1061"/>
      <c r="CU246" s="1061"/>
      <c r="CV246" s="1061"/>
      <c r="CW246" s="1111"/>
      <c r="CX246" s="1111"/>
      <c r="CY246" s="1111"/>
      <c r="CZ246" s="1063"/>
      <c r="DA246" s="1063"/>
      <c r="DB246" s="928"/>
      <c r="DC246" s="928"/>
      <c r="DD246" s="37"/>
      <c r="DE246" s="407"/>
      <c r="DF246" s="407"/>
      <c r="DG246" s="37"/>
      <c r="DH246" s="37"/>
      <c r="DI246" s="407"/>
      <c r="DJ246" s="407"/>
      <c r="DK246" s="37"/>
      <c r="DL246" s="37"/>
      <c r="DM246" s="37"/>
      <c r="DN246" s="37"/>
      <c r="DO246" s="37"/>
      <c r="DP246" s="37"/>
      <c r="DQ246" s="37"/>
      <c r="DR246" s="37"/>
      <c r="DS246" s="407"/>
      <c r="DT246" s="45"/>
      <c r="DU246" s="37"/>
      <c r="DV246" s="37"/>
      <c r="DW246" s="407"/>
      <c r="DX246" s="407"/>
      <c r="DY246" s="37"/>
      <c r="DZ246" s="37"/>
      <c r="EA246" s="407"/>
      <c r="EB246" s="37"/>
      <c r="EC246" s="37"/>
      <c r="ED246" s="407"/>
      <c r="EE246" s="37"/>
      <c r="EF246" s="37"/>
      <c r="EG246" s="37"/>
      <c r="EH246" s="45"/>
      <c r="EI246" s="37"/>
      <c r="EJ246" s="45"/>
      <c r="EK246" s="45"/>
      <c r="EL246" s="37"/>
      <c r="EM246" s="37"/>
      <c r="EN246" s="37"/>
      <c r="EO246" s="37"/>
      <c r="EP246" s="37"/>
      <c r="EQ246" s="37"/>
      <c r="ER246" s="37"/>
      <c r="ES246" s="37"/>
      <c r="ET246" s="37"/>
      <c r="EU246" s="37"/>
      <c r="EV246" s="37"/>
      <c r="EW246" s="37"/>
      <c r="EX246" s="37"/>
      <c r="EY246" s="408"/>
      <c r="EZ246" s="37"/>
      <c r="FA246" s="37"/>
      <c r="FB246" s="37"/>
      <c r="FC246" s="37"/>
      <c r="FD246" s="408"/>
      <c r="FE246" s="37"/>
      <c r="FF246" s="37"/>
      <c r="FG246" s="37"/>
      <c r="FH246" s="37"/>
      <c r="FI246" s="45"/>
      <c r="FJ246" s="45"/>
      <c r="FK246" s="45"/>
      <c r="FL246" s="45"/>
      <c r="FM246" s="45"/>
      <c r="FN246" s="45"/>
      <c r="FO246" s="329"/>
      <c r="FP246" s="45"/>
      <c r="FQ246" s="37"/>
      <c r="FR246" s="45"/>
      <c r="FS246" s="37"/>
      <c r="FT246" s="45"/>
      <c r="FU246" s="37"/>
      <c r="FV246" s="45"/>
      <c r="FW246" s="37"/>
      <c r="FX246" s="45"/>
      <c r="FY246" s="37"/>
      <c r="FZ246" s="45"/>
      <c r="GA246" s="37"/>
      <c r="GB246" s="45"/>
      <c r="GC246" s="37"/>
      <c r="GE246" s="37"/>
      <c r="GF246" s="37"/>
      <c r="GG246" s="37"/>
      <c r="GH246" s="37"/>
      <c r="GI246" s="37"/>
      <c r="GJ246" s="37"/>
      <c r="GK246" s="37"/>
      <c r="GL246" s="37"/>
      <c r="GM246" s="37"/>
      <c r="GN246" s="37"/>
      <c r="GO246" s="37"/>
      <c r="GP246" s="37"/>
      <c r="GQ246" s="37"/>
      <c r="GR246" s="37"/>
      <c r="GS246" s="37"/>
      <c r="GT246" s="37"/>
      <c r="GU246" s="37"/>
      <c r="GV246" s="37"/>
      <c r="GW246" s="37"/>
      <c r="GX246" s="37"/>
      <c r="GY246" s="37"/>
      <c r="HF246" s="37"/>
      <c r="HG246" s="37"/>
      <c r="HH246" s="37"/>
      <c r="HI246" s="37"/>
      <c r="HJ246" s="37"/>
      <c r="HK246" s="37"/>
      <c r="HL246" s="37"/>
      <c r="HM246" s="37"/>
      <c r="HN246" s="37"/>
      <c r="HO246" s="37"/>
      <c r="HP246" s="37"/>
      <c r="HQ246" s="37"/>
      <c r="HR246" s="37"/>
      <c r="HS246" s="37"/>
      <c r="HT246" s="37"/>
      <c r="HU246" s="37"/>
      <c r="HV246" s="37"/>
      <c r="HW246" s="37"/>
      <c r="HX246" s="37"/>
      <c r="HY246" s="37"/>
      <c r="HZ246" s="37"/>
      <c r="IA246" s="37"/>
      <c r="IB246" s="37"/>
      <c r="IC246" s="37"/>
      <c r="ID246" s="37"/>
      <c r="IE246" s="37"/>
      <c r="IF246" s="37"/>
      <c r="IG246" s="37"/>
      <c r="IH246" s="37"/>
      <c r="II246" s="37"/>
      <c r="IJ246" s="37"/>
      <c r="IK246" s="37"/>
      <c r="IL246" s="37"/>
      <c r="IM246" s="37"/>
      <c r="IN246" s="37"/>
      <c r="IO246" s="45"/>
      <c r="IP246" s="45"/>
      <c r="IQ246" s="45"/>
      <c r="IR246" s="37"/>
      <c r="JR246" s="37"/>
    </row>
    <row r="247" spans="8:278">
      <c r="N247" s="45"/>
      <c r="O247" s="329"/>
      <c r="P247" s="329"/>
      <c r="Q247" s="45"/>
      <c r="R247" s="45"/>
      <c r="S247" s="45"/>
      <c r="T247" s="45"/>
      <c r="U247" s="45"/>
      <c r="V247" s="45"/>
      <c r="W247" s="45"/>
      <c r="X247" s="45"/>
      <c r="Y247" s="45"/>
      <c r="Z247" s="45"/>
      <c r="AA247" s="406"/>
      <c r="AB247" s="406"/>
      <c r="AC247" s="406"/>
      <c r="AD247" s="837" t="s">
        <v>2825</v>
      </c>
      <c r="AE247" s="45"/>
      <c r="AF247" s="45"/>
      <c r="AQ247" s="329"/>
      <c r="AR247" s="329"/>
      <c r="AV247" s="45"/>
      <c r="AY247" s="37"/>
      <c r="BB247" s="45"/>
      <c r="BC247" s="37"/>
      <c r="BD247" s="45"/>
      <c r="BE247" s="45"/>
      <c r="BF247" s="37"/>
      <c r="BG247" s="45"/>
      <c r="BH247" s="45"/>
      <c r="BI247" s="45"/>
      <c r="BJ247" s="45"/>
      <c r="CG247" s="406"/>
      <c r="CN247" s="1063"/>
      <c r="CO247" s="1063"/>
      <c r="CQ247" s="1060"/>
      <c r="CR247" s="1062"/>
      <c r="CS247" s="1061"/>
      <c r="CT247" s="1061"/>
      <c r="CU247" s="1061"/>
      <c r="CV247" s="1061"/>
      <c r="CW247" s="1111"/>
      <c r="CX247" s="1111"/>
      <c r="CY247" s="1111"/>
      <c r="CZ247" s="1063"/>
      <c r="DA247" s="1063"/>
      <c r="DB247" s="928"/>
      <c r="DC247" s="928"/>
      <c r="DD247" s="37"/>
      <c r="DE247" s="407"/>
      <c r="DF247" s="407"/>
      <c r="DG247" s="37"/>
      <c r="DH247" s="37"/>
      <c r="DI247" s="407"/>
      <c r="DJ247" s="407"/>
      <c r="DK247" s="37"/>
      <c r="DL247" s="37"/>
      <c r="DM247" s="37"/>
      <c r="DN247" s="37"/>
      <c r="DO247" s="37"/>
      <c r="DP247" s="37"/>
      <c r="DQ247" s="37"/>
      <c r="DR247" s="37"/>
      <c r="DS247" s="407"/>
      <c r="DT247" s="45"/>
      <c r="DU247" s="37"/>
      <c r="DV247" s="37"/>
      <c r="DW247" s="407"/>
      <c r="DX247" s="407"/>
      <c r="DY247" s="37"/>
      <c r="DZ247" s="37"/>
      <c r="EA247" s="407"/>
      <c r="EB247" s="37"/>
      <c r="EC247" s="37"/>
      <c r="ED247" s="407"/>
      <c r="EE247" s="37"/>
      <c r="EF247" s="37"/>
      <c r="EG247" s="37"/>
      <c r="EH247" s="45"/>
      <c r="EI247" s="37"/>
      <c r="EJ247" s="45"/>
      <c r="EK247" s="45"/>
      <c r="EL247" s="37"/>
      <c r="EM247" s="37"/>
      <c r="EN247" s="37"/>
      <c r="EO247" s="37"/>
      <c r="EP247" s="37"/>
      <c r="EQ247" s="37"/>
      <c r="ER247" s="37"/>
      <c r="ES247" s="37"/>
      <c r="ET247" s="37"/>
      <c r="EU247" s="37"/>
      <c r="EV247" s="37"/>
      <c r="EW247" s="37"/>
      <c r="EX247" s="37"/>
      <c r="EY247" s="408"/>
      <c r="EZ247" s="37"/>
      <c r="FA247" s="37"/>
      <c r="FB247" s="37"/>
      <c r="FC247" s="37"/>
      <c r="FD247" s="408"/>
      <c r="FE247" s="37"/>
      <c r="FF247" s="37"/>
      <c r="FG247" s="37"/>
      <c r="FH247" s="37"/>
      <c r="FI247" s="45"/>
      <c r="FJ247" s="45"/>
      <c r="FK247" s="45"/>
      <c r="FL247" s="45"/>
      <c r="FM247" s="45"/>
      <c r="FN247" s="45"/>
      <c r="FO247" s="329"/>
      <c r="FP247" s="45"/>
      <c r="FQ247" s="37"/>
      <c r="FR247" s="45"/>
      <c r="FS247" s="37"/>
      <c r="FT247" s="45"/>
      <c r="FU247" s="37"/>
      <c r="FV247" s="45"/>
      <c r="FW247" s="37"/>
      <c r="FX247" s="45"/>
      <c r="FY247" s="37"/>
      <c r="FZ247" s="45"/>
      <c r="GA247" s="37"/>
      <c r="GB247" s="45"/>
      <c r="GC247" s="37"/>
      <c r="GE247" s="37"/>
      <c r="GF247" s="37"/>
      <c r="GG247" s="37"/>
      <c r="GH247" s="37"/>
      <c r="GI247" s="37"/>
      <c r="GJ247" s="37"/>
      <c r="GK247" s="37"/>
      <c r="GL247" s="37"/>
      <c r="GM247" s="37"/>
      <c r="GN247" s="37"/>
      <c r="GO247" s="37"/>
      <c r="GP247" s="37"/>
      <c r="GQ247" s="37"/>
      <c r="GR247" s="37"/>
      <c r="GS247" s="37"/>
      <c r="GT247" s="37"/>
      <c r="GU247" s="37"/>
      <c r="GV247" s="37"/>
      <c r="GW247" s="37"/>
      <c r="GX247" s="37"/>
      <c r="GY247" s="37"/>
      <c r="HF247" s="37"/>
      <c r="HG247" s="37"/>
      <c r="HH247" s="37"/>
      <c r="HI247" s="37"/>
      <c r="HJ247" s="37"/>
      <c r="HK247" s="37"/>
      <c r="HL247" s="37"/>
      <c r="HM247" s="37"/>
      <c r="HN247" s="37"/>
      <c r="HO247" s="37"/>
      <c r="HP247" s="37"/>
      <c r="HQ247" s="37"/>
      <c r="HR247" s="37"/>
      <c r="HS247" s="37"/>
      <c r="HT247" s="37"/>
      <c r="HU247" s="37"/>
      <c r="HV247" s="37"/>
      <c r="HW247" s="37"/>
      <c r="HX247" s="37"/>
      <c r="HY247" s="37"/>
      <c r="HZ247" s="37"/>
      <c r="IA247" s="37"/>
      <c r="IB247" s="37"/>
      <c r="IC247" s="37"/>
      <c r="ID247" s="37"/>
      <c r="IE247" s="37"/>
      <c r="IF247" s="37"/>
      <c r="IG247" s="37"/>
      <c r="IH247" s="37"/>
      <c r="II247" s="37"/>
      <c r="IJ247" s="37"/>
      <c r="IK247" s="37"/>
      <c r="IL247" s="37"/>
      <c r="IM247" s="37"/>
      <c r="IN247" s="37"/>
      <c r="IO247" s="45"/>
      <c r="IP247" s="45"/>
      <c r="IQ247" s="45"/>
      <c r="IR247" s="37"/>
    </row>
    <row r="248" spans="8:278">
      <c r="AD248" s="838"/>
      <c r="AE248" s="45"/>
      <c r="CN248" s="1063"/>
      <c r="CO248" s="1063"/>
      <c r="CQ248" s="1060"/>
      <c r="CR248" s="1062"/>
      <c r="CS248" s="1061"/>
      <c r="CT248" s="1061"/>
      <c r="CU248" s="1061"/>
      <c r="CV248" s="1061"/>
      <c r="CW248" s="1111"/>
      <c r="CX248" s="1111"/>
      <c r="CY248" s="1111"/>
      <c r="CZ248" s="1063"/>
      <c r="DA248" s="1063"/>
      <c r="DB248" s="928"/>
      <c r="DC248" s="928"/>
    </row>
    <row r="249" spans="8:278">
      <c r="AD249" s="837" t="s">
        <v>2833</v>
      </c>
      <c r="AE249" s="45"/>
      <c r="CN249" s="1063"/>
      <c r="CO249" s="1063"/>
      <c r="CQ249" s="1060"/>
      <c r="CR249" s="1062"/>
      <c r="CS249" s="1061"/>
      <c r="CT249" s="1061"/>
      <c r="CU249" s="1061"/>
      <c r="CV249" s="1061"/>
      <c r="CW249" s="1111"/>
      <c r="CX249" s="1111"/>
      <c r="CY249" s="1111"/>
      <c r="CZ249" s="1063"/>
      <c r="DA249" s="1063"/>
      <c r="DB249" s="928"/>
      <c r="DC249" s="928"/>
    </row>
    <row r="250" spans="8:278">
      <c r="AD250" s="838"/>
      <c r="AE250" s="45"/>
      <c r="CN250" s="1063"/>
      <c r="CO250" s="1063"/>
      <c r="CQ250" s="1060"/>
      <c r="CR250" s="1062"/>
      <c r="CS250" s="1061"/>
      <c r="CT250" s="1061"/>
      <c r="CU250" s="1061"/>
      <c r="CV250" s="1061"/>
      <c r="CW250" s="1111"/>
      <c r="CX250" s="1111"/>
      <c r="CY250" s="1111"/>
      <c r="CZ250" s="1063"/>
      <c r="DA250" s="1063"/>
      <c r="DB250" s="928"/>
      <c r="DC250" s="928"/>
    </row>
    <row r="251" spans="8:278">
      <c r="AD251" s="837" t="s">
        <v>2887</v>
      </c>
      <c r="AE251" s="45"/>
      <c r="CN251" s="1063"/>
      <c r="CO251" s="1063"/>
      <c r="CQ251" s="1060"/>
      <c r="CR251" s="1062"/>
      <c r="CS251" s="1061"/>
      <c r="CT251" s="1061"/>
      <c r="CU251" s="1061"/>
      <c r="CV251" s="1061"/>
      <c r="CW251" s="1111"/>
      <c r="CX251" s="1111"/>
      <c r="CY251" s="1111"/>
      <c r="CZ251" s="1063"/>
      <c r="DA251" s="1063"/>
      <c r="DB251" s="928"/>
      <c r="DC251" s="928"/>
    </row>
    <row r="252" spans="8:278">
      <c r="AD252" s="837" t="s">
        <v>2891</v>
      </c>
      <c r="AE252" s="45"/>
      <c r="CN252" s="1063"/>
      <c r="CO252" s="1063"/>
      <c r="CQ252" s="1060"/>
      <c r="CR252" s="1062"/>
      <c r="CS252" s="1061"/>
      <c r="CT252" s="1061"/>
      <c r="CU252" s="1061"/>
      <c r="CV252" s="1061"/>
      <c r="CW252" s="1111"/>
      <c r="CX252" s="1111"/>
      <c r="CY252" s="1111"/>
      <c r="CZ252" s="1063"/>
      <c r="DA252" s="1063"/>
      <c r="DB252" s="928"/>
      <c r="DC252" s="928"/>
    </row>
    <row r="253" spans="8:278">
      <c r="AD253" s="838"/>
      <c r="AE253" s="45"/>
      <c r="CN253" s="1063"/>
      <c r="CO253" s="1063"/>
      <c r="CQ253" s="1060"/>
      <c r="CR253" s="1062"/>
      <c r="CS253" s="1061"/>
      <c r="CT253" s="1061"/>
      <c r="CU253" s="1061"/>
      <c r="CV253" s="1061"/>
      <c r="CW253" s="1111"/>
      <c r="CX253" s="1111"/>
      <c r="CY253" s="1111"/>
      <c r="CZ253" s="1063"/>
      <c r="DA253" s="1063"/>
      <c r="DB253" s="928"/>
      <c r="DC253" s="928"/>
    </row>
    <row r="254" spans="8:278">
      <c r="AD254" s="837" t="s">
        <v>2962</v>
      </c>
      <c r="CN254" s="1063"/>
      <c r="CO254" s="1063"/>
      <c r="CQ254" s="1060"/>
      <c r="CR254" s="1062"/>
      <c r="CS254" s="1061"/>
      <c r="CT254" s="1061"/>
      <c r="CU254" s="1061"/>
      <c r="CV254" s="1061"/>
      <c r="CW254" s="1111"/>
      <c r="CX254" s="1111"/>
      <c r="CY254" s="1111"/>
      <c r="CZ254" s="1063"/>
      <c r="DA254" s="1063"/>
      <c r="DB254" s="928"/>
      <c r="DC254" s="928"/>
    </row>
    <row r="255" spans="8:278">
      <c r="AD255" s="596"/>
      <c r="CN255" s="1063"/>
      <c r="CO255" s="1063"/>
      <c r="CQ255" s="1060"/>
      <c r="CR255" s="1062"/>
      <c r="CS255" s="1061"/>
      <c r="CT255" s="1061"/>
      <c r="CU255" s="1061"/>
      <c r="CV255" s="1061"/>
      <c r="CW255" s="1111"/>
      <c r="CX255" s="1111"/>
      <c r="CY255" s="1111"/>
      <c r="CZ255" s="1063"/>
      <c r="DA255" s="1063"/>
      <c r="DB255" s="928"/>
      <c r="DC255" s="928"/>
    </row>
    <row r="256" spans="8:278">
      <c r="AD256" s="844"/>
      <c r="CN256" s="1063"/>
      <c r="CO256" s="1063"/>
      <c r="CQ256" s="1060"/>
      <c r="CR256" s="1062"/>
      <c r="CS256" s="1061"/>
      <c r="CT256" s="1061"/>
      <c r="CU256" s="1061"/>
      <c r="CV256" s="1061"/>
      <c r="CW256" s="1111"/>
      <c r="CX256" s="1111"/>
    </row>
  </sheetData>
  <sortState ref="CJ3:CO32">
    <sortCondition descending="1" ref="CJ3:CJ32"/>
  </sortState>
  <mergeCells count="3">
    <mergeCell ref="A1:F1"/>
    <mergeCell ref="IL1:IN1"/>
    <mergeCell ref="ID1:IK1"/>
  </mergeCells>
  <hyperlinks>
    <hyperlink ref="C3" r:id="rId1" tooltip="Afghanistan" display="http://en.wikipedia.org/wiki/Afghanistan"/>
    <hyperlink ref="C4" r:id="rId2" tooltip="Albania" display="http://en.wikipedia.org/wiki/Albania"/>
    <hyperlink ref="C5" r:id="rId3" tooltip="Algeria" display="http://en.wikipedia.org/wiki/Algeria"/>
    <hyperlink ref="C6" r:id="rId4" tooltip="Andorra" display="http://en.wikipedia.org/wiki/Andorra"/>
    <hyperlink ref="C7" r:id="rId5" tooltip="Angola" display="http://en.wikipedia.org/wiki/Angola"/>
    <hyperlink ref="C8" r:id="rId6" tooltip="Antigua and Barbuda" display="http://en.wikipedia.org/wiki/Antigua_and_Barbuda"/>
    <hyperlink ref="C9" r:id="rId7" tooltip="Argentina" display="http://en.wikipedia.org/wiki/Argentina"/>
    <hyperlink ref="C10" r:id="rId8" tooltip="Armenia" display="http://en.wikipedia.org/wiki/Armenia"/>
    <hyperlink ref="C11" r:id="rId9" tooltip="Australia" display="http://en.wikipedia.org/wiki/Australia"/>
    <hyperlink ref="C12" r:id="rId10" tooltip="Austria" display="http://en.wikipedia.org/wiki/Austria"/>
    <hyperlink ref="C13" r:id="rId11" tooltip="Azerbaijan" display="http://en.wikipedia.org/wiki/Azerbaijan"/>
    <hyperlink ref="C14" r:id="rId12" tooltip="The Bahamas" display="http://en.wikipedia.org/wiki/The_Bahamas"/>
    <hyperlink ref="C15" r:id="rId13" tooltip="Bahrain" display="http://en.wikipedia.org/wiki/Bahrain"/>
    <hyperlink ref="C16" r:id="rId14" tooltip="Bangladesh" display="http://en.wikipedia.org/wiki/Bangladesh"/>
    <hyperlink ref="C17" r:id="rId15" tooltip="Barbados" display="http://en.wikipedia.org/wiki/Barbados"/>
    <hyperlink ref="C18" r:id="rId16" tooltip="Belarus" display="http://en.wikipedia.org/wiki/Belarus"/>
    <hyperlink ref="C19" r:id="rId17" tooltip="Belgium" display="http://en.wikipedia.org/wiki/Belgium"/>
    <hyperlink ref="C20" r:id="rId18" tooltip="Belize" display="http://en.wikipedia.org/wiki/Belize"/>
    <hyperlink ref="C22" r:id="rId19" tooltip="Bhutan" display="http://en.wikipedia.org/wiki/Bhutan"/>
    <hyperlink ref="C24" r:id="rId20" tooltip="Bosnia and Herzegovina" display="http://en.wikipedia.org/wiki/Bosnia_and_Herzegovina"/>
    <hyperlink ref="C25" r:id="rId21" tooltip="Botswana" display="http://en.wikipedia.org/wiki/Botswana"/>
    <hyperlink ref="C26" r:id="rId22" tooltip="Brazil" display="http://en.wikipedia.org/wiki/Brazil"/>
    <hyperlink ref="C27" r:id="rId23" tooltip="Brunei" display="http://en.wikipedia.org/wiki/Brunei"/>
    <hyperlink ref="C28" r:id="rId24" tooltip="Bulgaria" display="http://en.wikipedia.org/wiki/Bulgaria"/>
    <hyperlink ref="C30" r:id="rId25" tooltip="Burundi" display="http://en.wikipedia.org/wiki/Burundi"/>
    <hyperlink ref="C33" r:id="rId26" tooltip="Canada" display="http://en.wikipedia.org/wiki/Canada"/>
    <hyperlink ref="C34" r:id="rId27" tooltip="Cape Verde" display="http://en.wikipedia.org/wiki/Cape_Verde"/>
    <hyperlink ref="C36" r:id="rId28" tooltip="Chad" display="http://en.wikipedia.org/wiki/Chad"/>
    <hyperlink ref="C37" r:id="rId29" tooltip="Chile" display="http://en.wikipedia.org/wiki/Chile"/>
    <hyperlink ref="C38" r:id="rId30" tooltip="China" display="http://en.wikipedia.org/wiki/China"/>
    <hyperlink ref="C39" r:id="rId31" tooltip="Colombia" display="http://en.wikipedia.org/wiki/Colombia"/>
    <hyperlink ref="C40" r:id="rId32" tooltip="Comoros" display="http://en.wikipedia.org/wiki/Comoros"/>
    <hyperlink ref="C43" r:id="rId33" tooltip="Costa Rica" display="http://en.wikipedia.org/wiki/Costa_Rica"/>
    <hyperlink ref="C45" r:id="rId34" tooltip="Croatia" display="http://en.wikipedia.org/wiki/Croatia"/>
    <hyperlink ref="C46" r:id="rId35" tooltip="Cuba" display="http://en.wikipedia.org/wiki/Cuba"/>
    <hyperlink ref="C47" r:id="rId36" tooltip="Cyprus" display="http://en.wikipedia.org/wiki/Cyprus"/>
    <hyperlink ref="C48" r:id="rId37" tooltip="Czech Republic" display="http://en.wikipedia.org/wiki/Czech_Republic"/>
    <hyperlink ref="C49" r:id="rId38" tooltip="Denmark" display="http://en.wikipedia.org/wiki/Denmark"/>
    <hyperlink ref="C50" r:id="rId39" tooltip="Djibouti" display="http://en.wikipedia.org/wiki/Djibouti"/>
    <hyperlink ref="C51" r:id="rId40" tooltip="Dominica" display="http://en.wikipedia.org/wiki/Dominica"/>
    <hyperlink ref="C52" r:id="rId41" tooltip="Dominican Republic" display="http://en.wikipedia.org/wiki/Dominican_Republic"/>
    <hyperlink ref="C53" r:id="rId42" tooltip="Ecuador" display="http://en.wikipedia.org/wiki/Ecuador"/>
    <hyperlink ref="C54" r:id="rId43" tooltip="Egypt" display="http://en.wikipedia.org/wiki/Egypt"/>
    <hyperlink ref="C55" r:id="rId44" tooltip="El Salvador" display="http://en.wikipedia.org/wiki/El_Salvador"/>
    <hyperlink ref="C56" r:id="rId45" tooltip="Equatorial Guinea" display="http://en.wikipedia.org/wiki/Equatorial_Guinea"/>
    <hyperlink ref="C57" r:id="rId46" tooltip="Eritrea" display="http://en.wikipedia.org/wiki/Eritrea"/>
    <hyperlink ref="C58" r:id="rId47" tooltip="Estonia" display="http://en.wikipedia.org/wiki/Estonia"/>
    <hyperlink ref="C59" r:id="rId48" tooltip="Ethiopia" display="http://en.wikipedia.org/wiki/Ethiopia"/>
    <hyperlink ref="C60" r:id="rId49" tooltip="Fiji" display="http://en.wikipedia.org/wiki/Fiji"/>
    <hyperlink ref="C61" r:id="rId50" tooltip="Finland" display="http://en.wikipedia.org/wiki/Finland"/>
    <hyperlink ref="C62" r:id="rId51" tooltip="France" display="http://en.wikipedia.org/wiki/France"/>
    <hyperlink ref="C63" r:id="rId52" tooltip="Gabon" display="http://en.wikipedia.org/wiki/Gabon"/>
    <hyperlink ref="C65" r:id="rId53" tooltip="Georgia (country)" display="http://en.wikipedia.org/wiki/Georgia_(country)"/>
    <hyperlink ref="C66" r:id="rId54" tooltip="Germany" display="http://en.wikipedia.org/wiki/Germany"/>
    <hyperlink ref="C67" r:id="rId55" tooltip="Ghana" display="http://en.wikipedia.org/wiki/Ghana"/>
    <hyperlink ref="C68" r:id="rId56" tooltip="Greece" display="http://en.wikipedia.org/wiki/Greece"/>
    <hyperlink ref="C69" r:id="rId57" tooltip="Grenada" display="http://en.wikipedia.org/wiki/Grenada"/>
    <hyperlink ref="C70" r:id="rId58" tooltip="Guatemala" display="http://en.wikipedia.org/wiki/Guatemala"/>
    <hyperlink ref="C71" r:id="rId59" tooltip="Guinea" display="http://en.wikipedia.org/wiki/Guinea"/>
    <hyperlink ref="C72" r:id="rId60" tooltip="Guinea-Bissau" display="http://en.wikipedia.org/wiki/Guinea-Bissau"/>
    <hyperlink ref="C73" r:id="rId61" tooltip="Guyana" display="http://en.wikipedia.org/wiki/Guyana"/>
    <hyperlink ref="C74" r:id="rId62" tooltip="Haiti" display="http://en.wikipedia.org/wiki/Haiti"/>
    <hyperlink ref="C75" r:id="rId63" tooltip="Honduras" display="http://en.wikipedia.org/wiki/Honduras"/>
    <hyperlink ref="C77" r:id="rId64" tooltip="Hungary" display="http://en.wikipedia.org/wiki/Hungary"/>
    <hyperlink ref="C78" r:id="rId65" tooltip="Iceland" display="http://en.wikipedia.org/wiki/Iceland"/>
    <hyperlink ref="C79" r:id="rId66" tooltip="India" display="http://en.wikipedia.org/wiki/India"/>
    <hyperlink ref="C80" r:id="rId67" tooltip="Indonesia" display="http://en.wikipedia.org/wiki/Indonesia"/>
    <hyperlink ref="C82" r:id="rId68" tooltip="Iraq" display="http://en.wikipedia.org/wiki/Iraq"/>
    <hyperlink ref="C83" r:id="rId69" tooltip="Republic of Ireland" display="http://en.wikipedia.org/wiki/Republic_of_Ireland"/>
    <hyperlink ref="C84" r:id="rId70" tooltip="Israel" display="http://en.wikipedia.org/wiki/Israel"/>
    <hyperlink ref="C85" r:id="rId71" tooltip="Italy" display="http://en.wikipedia.org/wiki/Italy"/>
    <hyperlink ref="C86" r:id="rId72" tooltip="Jamaica" display="http://en.wikipedia.org/wiki/Jamaica"/>
    <hyperlink ref="C87" r:id="rId73" tooltip="Japan" display="http://en.wikipedia.org/wiki/Japan"/>
    <hyperlink ref="C88" r:id="rId74" tooltip="Jordan" display="http://en.wikipedia.org/wiki/Jordan"/>
    <hyperlink ref="C90" r:id="rId75" tooltip="Kenya" display="http://en.wikipedia.org/wiki/Kenya"/>
    <hyperlink ref="C91" r:id="rId76" tooltip="Kiribati" display="http://en.wikipedia.org/wiki/Kiribati"/>
    <hyperlink ref="C92" r:id="rId77" tooltip="North Korea" display="http://en.wikipedia.org/wiki/North_Korea"/>
    <hyperlink ref="C93" r:id="rId78" tooltip="South Korea" display="http://en.wikipedia.org/wiki/South_Korea"/>
    <hyperlink ref="C95" r:id="rId79" tooltip="Kuwait" display="http://en.wikipedia.org/wiki/Kuwait"/>
    <hyperlink ref="C96" r:id="rId80" tooltip="Kyrgyzstan" display="http://en.wikipedia.org/wiki/Kyrgyzstan"/>
    <hyperlink ref="C98" r:id="rId81" tooltip="Latvia" display="http://en.wikipedia.org/wiki/Latvia"/>
    <hyperlink ref="C99" r:id="rId82" tooltip="Lebanon" display="http://en.wikipedia.org/wiki/Lebanon"/>
    <hyperlink ref="C100" r:id="rId83" tooltip="Lesotho" display="http://en.wikipedia.org/wiki/Lesotho"/>
    <hyperlink ref="C101" r:id="rId84" tooltip="Liberia" display="http://en.wikipedia.org/wiki/Liberia"/>
    <hyperlink ref="C103" r:id="rId85" tooltip="Liechtenstein" display="http://en.wikipedia.org/wiki/Liechtenstein"/>
    <hyperlink ref="C104" r:id="rId86" tooltip="Lithuania" display="http://en.wikipedia.org/wiki/Lithuania"/>
    <hyperlink ref="C105" r:id="rId87" tooltip="Luxembourg" display="http://en.wikipedia.org/wiki/Luxembourg"/>
    <hyperlink ref="C107" r:id="rId88" tooltip="Republic of Macedonia" display="http://en.wikipedia.org/wiki/Republic_of_Macedonia"/>
    <hyperlink ref="C109" r:id="rId89" tooltip="Malawi" display="http://en.wikipedia.org/wiki/Malawi"/>
    <hyperlink ref="C112" r:id="rId90" tooltip="Mali" display="http://en.wikipedia.org/wiki/Mali"/>
    <hyperlink ref="C113" r:id="rId91" tooltip="Malta" display="http://en.wikipedia.org/wiki/Malta"/>
    <hyperlink ref="C114" r:id="rId92" tooltip="Marshall Islands" display="http://en.wikipedia.org/wiki/Marshall_Islands"/>
    <hyperlink ref="C115" r:id="rId93" tooltip="Mauritania" display="http://en.wikipedia.org/wiki/Mauritania"/>
    <hyperlink ref="C116" r:id="rId94" tooltip="Mauritius" display="http://en.wikipedia.org/wiki/Mauritius"/>
    <hyperlink ref="C117" r:id="rId95" tooltip="Mexico" display="http://en.wikipedia.org/wiki/Mexico"/>
    <hyperlink ref="C118" r:id="rId96" tooltip="Federated States of Micronesia" display="http://en.wikipedia.org/wiki/Federated_States_of_Micronesia"/>
    <hyperlink ref="C120" r:id="rId97" tooltip="Monaco" display="http://en.wikipedia.org/wiki/Monaco"/>
    <hyperlink ref="C121" r:id="rId98" tooltip="Mongolia" display="http://en.wikipedia.org/wiki/Mongolia"/>
    <hyperlink ref="C122" r:id="rId99" tooltip="Montenegro" display="http://en.wikipedia.org/wiki/Montenegro"/>
    <hyperlink ref="C123" r:id="rId100" tooltip="Morocco" display="http://en.wikipedia.org/wiki/Morocco"/>
    <hyperlink ref="C124" r:id="rId101" tooltip="Mozambique" display="http://en.wikipedia.org/wiki/Mozambique"/>
    <hyperlink ref="C126" r:id="rId102" tooltip="Namibia" display="http://en.wikipedia.org/wiki/Namibia"/>
    <hyperlink ref="C127" r:id="rId103" tooltip="Nauru" display="http://en.wikipedia.org/wiki/Nauru"/>
    <hyperlink ref="C128" r:id="rId104" tooltip="Nepal" display="http://en.wikipedia.org/wiki/Nepal"/>
    <hyperlink ref="C129" r:id="rId105" tooltip="Kingdom of the Netherlands" display="http://en.wikipedia.org/wiki/Kingdom_of_the_Netherlands"/>
    <hyperlink ref="C130" r:id="rId106" tooltip="New Zealand" display="http://en.wikipedia.org/wiki/New_Zealand"/>
    <hyperlink ref="C131" r:id="rId107" tooltip="Nicaragua" display="http://en.wikipedia.org/wiki/Nicaragua"/>
    <hyperlink ref="C132" r:id="rId108" tooltip="Niger" display="http://en.wikipedia.org/wiki/Niger"/>
    <hyperlink ref="C133" r:id="rId109" tooltip="Nigeria" display="http://en.wikipedia.org/wiki/Nigeria"/>
    <hyperlink ref="C134" r:id="rId110" tooltip="Norway" display="http://en.wikipedia.org/wiki/Norway"/>
    <hyperlink ref="C135" r:id="rId111" tooltip="Oman" display="http://en.wikipedia.org/wiki/Oman"/>
    <hyperlink ref="C136" r:id="rId112" tooltip="Pakistan" display="http://en.wikipedia.org/wiki/Pakistan"/>
    <hyperlink ref="C137" r:id="rId113" tooltip="Palau" display="http://en.wikipedia.org/wiki/Palau"/>
    <hyperlink ref="C138" r:id="rId114" tooltip="Panama" display="http://en.wikipedia.org/wiki/Panama"/>
    <hyperlink ref="C139" r:id="rId115" tooltip="Papua New Guinea" display="http://en.wikipedia.org/wiki/Papua_New_Guinea"/>
    <hyperlink ref="C140" r:id="rId116" tooltip="Paraguay" display="http://en.wikipedia.org/wiki/Paraguay"/>
    <hyperlink ref="C141" r:id="rId117" tooltip="Peru" display="http://en.wikipedia.org/wiki/Peru"/>
    <hyperlink ref="C143" r:id="rId118" tooltip="Poland" display="http://en.wikipedia.org/wiki/Poland"/>
    <hyperlink ref="C144" r:id="rId119" tooltip="Portugal" display="http://en.wikipedia.org/wiki/Portugal"/>
    <hyperlink ref="C145" r:id="rId120" tooltip="Qatar" display="http://en.wikipedia.org/wiki/Qatar"/>
    <hyperlink ref="C146" r:id="rId121" tooltip="Romania" display="http://en.wikipedia.org/wiki/Romania"/>
    <hyperlink ref="C147" r:id="rId122" tooltip="Russia" display="http://en.wikipedia.org/wiki/Russia"/>
    <hyperlink ref="C148" r:id="rId123" tooltip="Rwanda" display="http://en.wikipedia.org/wiki/Rwanda"/>
    <hyperlink ref="C150" r:id="rId124" tooltip="Saint Lucia" display="http://en.wikipedia.org/wiki/Saint_Lucia"/>
    <hyperlink ref="C151" r:id="rId125" tooltip="Saint Vincent and the Grenadines" display="http://en.wikipedia.org/wiki/Saint_Vincent_and_the_Grenadines"/>
    <hyperlink ref="C152" r:id="rId126" tooltip="Samoa" display="http://en.wikipedia.org/wiki/Samoa"/>
    <hyperlink ref="C153" r:id="rId127" tooltip="San Marino" display="http://en.wikipedia.org/wiki/San_Marino"/>
    <hyperlink ref="C155" r:id="rId128" tooltip="Saudi Arabia" display="http://en.wikipedia.org/wiki/Saudi_Arabia"/>
    <hyperlink ref="C156" r:id="rId129" tooltip="Senegal" display="http://en.wikipedia.org/wiki/Senegal"/>
    <hyperlink ref="C157" r:id="rId130" tooltip="Serbia" display="http://en.wikipedia.org/wiki/Serbia"/>
    <hyperlink ref="C158" r:id="rId131" tooltip="Seychelles" display="http://en.wikipedia.org/wiki/Seychelles"/>
    <hyperlink ref="C159" r:id="rId132" tooltip="Sierra Leone" display="http://en.wikipedia.org/wiki/Sierra_Leone"/>
    <hyperlink ref="C160" r:id="rId133" tooltip="Singapore" display="http://en.wikipedia.org/wiki/Singapore"/>
    <hyperlink ref="C161" r:id="rId134" tooltip="Slovakia" display="http://en.wikipedia.org/wiki/Slovakia"/>
    <hyperlink ref="C162" r:id="rId135" tooltip="Slovenia" display="http://en.wikipedia.org/wiki/Slovenia"/>
    <hyperlink ref="C163" r:id="rId136" tooltip="Solomon Islands" display="http://en.wikipedia.org/wiki/Solomon_Islands"/>
    <hyperlink ref="C164" r:id="rId137" tooltip="Somalia" display="http://en.wikipedia.org/wiki/Somalia"/>
    <hyperlink ref="C166" r:id="rId138" tooltip="South Sudan" display="http://en.wikipedia.org/wiki/South_Sudan"/>
    <hyperlink ref="C167" r:id="rId139" tooltip="Spain" display="http://en.wikipedia.org/wiki/Spain"/>
    <hyperlink ref="C169" r:id="rId140" tooltip="Sudan" display="http://en.wikipedia.org/wiki/Sudan"/>
    <hyperlink ref="C171" r:id="rId141" tooltip="Swaziland" display="http://en.wikipedia.org/wiki/Swaziland"/>
    <hyperlink ref="C172" r:id="rId142" tooltip="Sweden" display="http://en.wikipedia.org/wiki/Sweden"/>
    <hyperlink ref="C173" r:id="rId143" tooltip="Switzerland" display="http://en.wikipedia.org/wiki/Switzerland"/>
    <hyperlink ref="C174" r:id="rId144" tooltip="Syria" display="http://en.wikipedia.org/wiki/Syria"/>
    <hyperlink ref="C176" r:id="rId145" tooltip="Tajikistan" display="http://en.wikipedia.org/wiki/Tajikistan"/>
    <hyperlink ref="C177" r:id="rId146" tooltip="Tanzania" display="http://en.wikipedia.org/wiki/Tanzania"/>
    <hyperlink ref="C179" r:id="rId147" tooltip="East Timor" display="http://en.wikipedia.org/wiki/East_Timor"/>
    <hyperlink ref="C180" r:id="rId148" tooltip="Togo" display="http://en.wikipedia.org/wiki/Togo"/>
    <hyperlink ref="C181" r:id="rId149" tooltip="Tonga" display="http://en.wikipedia.org/wiki/Tonga"/>
    <hyperlink ref="C182" r:id="rId150" tooltip="Trinidad and Tobago" display="http://en.wikipedia.org/wiki/Trinidad_and_Tobago"/>
    <hyperlink ref="C183" r:id="rId151" tooltip="Tunisia" display="http://en.wikipedia.org/wiki/Tunisia"/>
    <hyperlink ref="C184" r:id="rId152" tooltip="Turkey" display="http://en.wikipedia.org/wiki/Turkey"/>
    <hyperlink ref="C185" r:id="rId153" tooltip="Turkmenistan" display="http://en.wikipedia.org/wiki/Turkmenistan"/>
    <hyperlink ref="C186" r:id="rId154" tooltip="Tuvalu" display="http://en.wikipedia.org/wiki/Tuvalu"/>
    <hyperlink ref="C187" r:id="rId155" tooltip="Uganda" display="http://en.wikipedia.org/wiki/Uganda"/>
    <hyperlink ref="C188" r:id="rId156" tooltip="Ukraine" display="http://en.wikipedia.org/wiki/Ukraine"/>
    <hyperlink ref="C189" r:id="rId157" tooltip="United Arab Emirates" display="http://en.wikipedia.org/wiki/United_Arab_Emirates"/>
    <hyperlink ref="C190" r:id="rId158" tooltip="United Kingdom" display="http://en.wikipedia.org/wiki/United_Kingdom"/>
    <hyperlink ref="C191" r:id="rId159" tooltip="United States" display="http://en.wikipedia.org/wiki/United_States"/>
    <hyperlink ref="C192" r:id="rId160" tooltip="Uruguay" display="http://en.wikipedia.org/wiki/Uruguay"/>
    <hyperlink ref="C193" r:id="rId161" tooltip="Uzbekistan" display="http://en.wikipedia.org/wiki/Uzbekistan"/>
    <hyperlink ref="C194" r:id="rId162" tooltip="Vanuatu" display="http://en.wikipedia.org/wiki/Vanuatu"/>
    <hyperlink ref="C196" r:id="rId163" tooltip="Vietnam" display="http://en.wikipedia.org/wiki/Vietnam"/>
    <hyperlink ref="C198" r:id="rId164" tooltip="Yemen" display="http://en.wikipedia.org/wiki/Yemen"/>
    <hyperlink ref="C199" r:id="rId165" tooltip="Zambia" display="http://en.wikipedia.org/wiki/Zambia"/>
    <hyperlink ref="C200" r:id="rId166" tooltip="Zimbabwe" display="http://en.wikipedia.org/wiki/Zimbabwe"/>
    <hyperlink ref="C154" r:id="rId167"/>
    <hyperlink ref="C149" r:id="rId168" display="Saint Kitts and Nevis"/>
    <hyperlink ref="C21" r:id="rId169"/>
    <hyperlink ref="C23" r:id="rId170" display="Bolivia (Plurinational State of)"/>
    <hyperlink ref="C29" r:id="rId171"/>
    <hyperlink ref="C31" r:id="rId172"/>
    <hyperlink ref="C32" r:id="rId173"/>
    <hyperlink ref="C35" r:id="rId174"/>
    <hyperlink ref="C41" r:id="rId175" display="Congo"/>
    <hyperlink ref="C42" r:id="rId176" display="Democratic Republic of the Congo"/>
    <hyperlink ref="C44" r:id="rId177"/>
    <hyperlink ref="C64" r:id="rId178"/>
    <hyperlink ref="C81" r:id="rId179" display="Iran (Islamic Republic of)"/>
    <hyperlink ref="C89" r:id="rId180"/>
    <hyperlink ref="C97" r:id="rId181" display="Lao People's Democratic Republic"/>
    <hyperlink ref="C102" r:id="rId182"/>
    <hyperlink ref="C108" r:id="rId183"/>
    <hyperlink ref="C110" r:id="rId184"/>
    <hyperlink ref="C111" r:id="rId185"/>
    <hyperlink ref="C119" r:id="rId186" display="Republic of Moldova"/>
    <hyperlink ref="C125" r:id="rId187"/>
    <hyperlink ref="C142" r:id="rId188"/>
    <hyperlink ref="C165" r:id="rId189"/>
    <hyperlink ref="C168" r:id="rId190"/>
    <hyperlink ref="C170" r:id="rId191"/>
    <hyperlink ref="C178" r:id="rId192"/>
    <hyperlink ref="C195" r:id="rId193" display="Venezuela (Bolivarian Republic of)"/>
    <hyperlink ref="C106" r:id="rId194" display="Macao SAR, China"/>
    <hyperlink ref="C94" r:id="rId195"/>
    <hyperlink ref="C76" r:id="rId196"/>
    <hyperlink ref="C197" r:id="rId197"/>
    <hyperlink ref="AD223" r:id="rId198"/>
    <hyperlink ref="AD222" r:id="rId199"/>
    <hyperlink ref="H78" r:id="rId200"/>
    <hyperlink ref="FO9" r:id="rId201"/>
    <hyperlink ref="H9" r:id="rId202"/>
    <hyperlink ref="H14" r:id="rId203"/>
    <hyperlink ref="H142" r:id="rId204"/>
    <hyperlink ref="H17" r:id="rId205"/>
    <hyperlink ref="AY222" r:id="rId206"/>
    <hyperlink ref="AY223" r:id="rId207" location="reg" display="http://www.companieshouse.gov.uk/links/introduction.shtml - reg"/>
    <hyperlink ref="H223" r:id="rId208"/>
    <hyperlink ref="O222" r:id="rId209"/>
    <hyperlink ref="FO20" r:id="rId210"/>
    <hyperlink ref="FO23" r:id="rId211"/>
    <hyperlink ref="H23" r:id="rId212"/>
    <hyperlink ref="FO26" r:id="rId213"/>
    <hyperlink ref="H26" r:id="rId214"/>
    <hyperlink ref="H37" r:id="rId215"/>
    <hyperlink ref="FO37" r:id="rId216"/>
    <hyperlink ref="H39" r:id="rId217"/>
    <hyperlink ref="FO39" r:id="rId218"/>
    <hyperlink ref="H43" r:id="rId219"/>
    <hyperlink ref="FO43" r:id="rId220"/>
    <hyperlink ref="FO53" r:id="rId221"/>
    <hyperlink ref="H55" r:id="rId222"/>
    <hyperlink ref="H70" r:id="rId223"/>
    <hyperlink ref="FO70" r:id="rId224"/>
    <hyperlink ref="H73" r:id="rId225"/>
    <hyperlink ref="H75" r:id="rId226"/>
    <hyperlink ref="FO75" r:id="rId227"/>
    <hyperlink ref="H86" r:id="rId228"/>
    <hyperlink ref="FO86" r:id="rId229"/>
    <hyperlink ref="H117" r:id="rId230"/>
    <hyperlink ref="FO117" r:id="rId231"/>
    <hyperlink ref="H131" r:id="rId232"/>
    <hyperlink ref="FO131" r:id="rId233"/>
    <hyperlink ref="FO138" r:id="rId234"/>
    <hyperlink ref="H138" r:id="rId235"/>
    <hyperlink ref="FO140" r:id="rId236" display="http://www.mjt.gov.py"/>
    <hyperlink ref="H141" r:id="rId237"/>
    <hyperlink ref="FO52" r:id="rId238"/>
    <hyperlink ref="H52" r:id="rId239"/>
    <hyperlink ref="FO170" r:id="rId240"/>
    <hyperlink ref="FO182" r:id="rId241"/>
    <hyperlink ref="FO192" r:id="rId242"/>
    <hyperlink ref="H195" r:id="rId243"/>
    <hyperlink ref="FO195" r:id="rId244"/>
    <hyperlink ref="O64" r:id="rId245"/>
    <hyperlink ref="O79" r:id="rId246"/>
    <hyperlink ref="Z124" r:id="rId247"/>
    <hyperlink ref="Z19" r:id="rId248"/>
    <hyperlink ref="Z80" r:id="rId249"/>
    <hyperlink ref="Z76" r:id="rId250"/>
    <hyperlink ref="Z136" r:id="rId251"/>
    <hyperlink ref="Z84" r:id="rId252"/>
    <hyperlink ref="O136" r:id="rId253"/>
    <hyperlink ref="AF227" r:id="rId254" tooltip="ICAO" display="http://en.wikipedia.org/wiki/ICAO"/>
    <hyperlink ref="Z125" r:id="rId255"/>
    <hyperlink ref="Z110" r:id="rId256"/>
    <hyperlink ref="Z28" r:id="rId257"/>
    <hyperlink ref="Z45" r:id="rId258"/>
    <hyperlink ref="Z48" r:id="rId259"/>
    <hyperlink ref="Z58" r:id="rId260"/>
    <hyperlink ref="Z61" r:id="rId261"/>
    <hyperlink ref="Z62" r:id="rId262"/>
    <hyperlink ref="Z66" r:id="rId263"/>
    <hyperlink ref="Z68" r:id="rId264"/>
    <hyperlink ref="Z77" r:id="rId265"/>
    <hyperlink ref="Z85" r:id="rId266"/>
    <hyperlink ref="Z129" r:id="rId267"/>
    <hyperlink ref="Z143" r:id="rId268"/>
    <hyperlink ref="Z144" r:id="rId269"/>
    <hyperlink ref="Z146" r:id="rId270"/>
    <hyperlink ref="Z4" r:id="rId271"/>
    <hyperlink ref="Z18" r:id="rId272"/>
    <hyperlink ref="Z24" r:id="rId273"/>
    <hyperlink ref="Z107" r:id="rId274"/>
    <hyperlink ref="Z119" r:id="rId275"/>
    <hyperlink ref="Z120" r:id="rId276"/>
    <hyperlink ref="Z122" r:id="rId277"/>
    <hyperlink ref="Z147" r:id="rId278"/>
    <hyperlink ref="Z94" r:id="rId279"/>
    <hyperlink ref="Z9" r:id="rId280"/>
    <hyperlink ref="Z26" r:id="rId281"/>
    <hyperlink ref="Z141" r:id="rId282"/>
    <hyperlink ref="Z78" r:id="rId283"/>
    <hyperlink ref="Z49" r:id="rId284"/>
    <hyperlink ref="Z11" r:id="rId285"/>
    <hyperlink ref="Z33" r:id="rId286"/>
    <hyperlink ref="Z67" r:id="rId287"/>
    <hyperlink ref="Z79" r:id="rId288"/>
    <hyperlink ref="Z83" r:id="rId289"/>
    <hyperlink ref="Z93" r:id="rId290"/>
    <hyperlink ref="Z130" r:id="rId291"/>
    <hyperlink ref="Z23" r:id="rId292"/>
    <hyperlink ref="Z145" r:id="rId293"/>
    <hyperlink ref="H3" r:id="rId294"/>
    <hyperlink ref="H4" r:id="rId295"/>
    <hyperlink ref="AY225" r:id="rId296"/>
    <hyperlink ref="H5" r:id="rId297"/>
    <hyperlink ref="H6" r:id="rId298"/>
    <hyperlink ref="H7" r:id="rId299"/>
    <hyperlink ref="H8" r:id="rId300"/>
    <hyperlink ref="H13" r:id="rId301"/>
    <hyperlink ref="H15" r:id="rId302"/>
    <hyperlink ref="H16" r:id="rId303"/>
    <hyperlink ref="H222" r:id="rId304"/>
    <hyperlink ref="H19" r:id="rId305"/>
    <hyperlink ref="H22" r:id="rId306"/>
    <hyperlink ref="H24" r:id="rId307"/>
    <hyperlink ref="H21" r:id="rId308"/>
    <hyperlink ref="H25" r:id="rId309"/>
    <hyperlink ref="AY227" r:id="rId310"/>
    <hyperlink ref="H27" r:id="rId311"/>
    <hyperlink ref="H28" r:id="rId312"/>
    <hyperlink ref="H29" r:id="rId313"/>
    <hyperlink ref="H30" r:id="rId314"/>
    <hyperlink ref="H31" r:id="rId315"/>
    <hyperlink ref="H32" r:id="rId316"/>
    <hyperlink ref="H33" r:id="rId317"/>
    <hyperlink ref="H35" r:id="rId318"/>
    <hyperlink ref="H36" r:id="rId319"/>
    <hyperlink ref="H38" r:id="rId320"/>
    <hyperlink ref="H45" r:id="rId321"/>
    <hyperlink ref="H47" r:id="rId322"/>
    <hyperlink ref="H49" r:id="rId323"/>
    <hyperlink ref="H41" r:id="rId324"/>
    <hyperlink ref="H46" r:id="rId325"/>
    <hyperlink ref="H50" r:id="rId326"/>
    <hyperlink ref="H54" r:id="rId327"/>
    <hyperlink ref="H57" r:id="rId328"/>
    <hyperlink ref="H56" r:id="rId329"/>
    <hyperlink ref="H58" r:id="rId330"/>
    <hyperlink ref="H60" r:id="rId331"/>
    <hyperlink ref="H59" r:id="rId332" location=".VB91HdogGSM"/>
    <hyperlink ref="H61" r:id="rId333"/>
    <hyperlink ref="H64" r:id="rId334"/>
    <hyperlink ref="H63" r:id="rId335"/>
    <hyperlink ref="H62" r:id="rId336"/>
    <hyperlink ref="H67" r:id="rId337"/>
    <hyperlink ref="H66" r:id="rId338"/>
    <hyperlink ref="H69" r:id="rId339"/>
    <hyperlink ref="H68" r:id="rId340"/>
    <hyperlink ref="H71" r:id="rId341"/>
    <hyperlink ref="H72" r:id="rId342"/>
    <hyperlink ref="O74" r:id="rId343"/>
    <hyperlink ref="H74" r:id="rId344"/>
    <hyperlink ref="H76" r:id="rId345"/>
    <hyperlink ref="H77" r:id="rId346"/>
    <hyperlink ref="H79" r:id="rId347"/>
    <hyperlink ref="H80" r:id="rId348"/>
    <hyperlink ref="H82" r:id="rId349"/>
    <hyperlink ref="H85" r:id="rId350"/>
    <hyperlink ref="H88" r:id="rId351"/>
    <hyperlink ref="H84" r:id="rId352"/>
    <hyperlink ref="H87" r:id="rId353"/>
    <hyperlink ref="H90" r:id="rId354"/>
    <hyperlink ref="H94" r:id="rId355"/>
    <hyperlink ref="H95" r:id="rId356"/>
    <hyperlink ref="H101" r:id="rId357"/>
    <hyperlink ref="H104" r:id="rId358"/>
    <hyperlink ref="H89" r:id="rId359"/>
    <hyperlink ref="H105" r:id="rId360"/>
    <hyperlink ref="H91" r:id="rId361"/>
    <hyperlink ref="H93" r:id="rId362"/>
    <hyperlink ref="H92" r:id="rId363"/>
    <hyperlink ref="H96" r:id="rId364"/>
    <hyperlink ref="H98" r:id="rId365"/>
    <hyperlink ref="H97" r:id="rId366"/>
    <hyperlink ref="H99" r:id="rId367"/>
    <hyperlink ref="H100" r:id="rId368"/>
    <hyperlink ref="H102" r:id="rId369"/>
    <hyperlink ref="H103" r:id="rId370" location="/1569/zivilstandsamt"/>
    <hyperlink ref="H106" r:id="rId371"/>
    <hyperlink ref="H107" r:id="rId372"/>
    <hyperlink ref="H108" r:id="rId373"/>
    <hyperlink ref="H109" r:id="rId374"/>
    <hyperlink ref="H110" r:id="rId375"/>
    <hyperlink ref="H111" r:id="rId376"/>
    <hyperlink ref="H112" r:id="rId377"/>
    <hyperlink ref="H113" r:id="rId378"/>
    <hyperlink ref="H116" r:id="rId379"/>
    <hyperlink ref="H115" r:id="rId380"/>
    <hyperlink ref="EY222" r:id="rId381"/>
    <hyperlink ref="EY224" r:id="rId382"/>
    <hyperlink ref="H114" r:id="rId383"/>
    <hyperlink ref="H119" r:id="rId384"/>
    <hyperlink ref="H120" r:id="rId385"/>
    <hyperlink ref="H121" r:id="rId386"/>
    <hyperlink ref="H123" display="http://www.service-public.ma/en/web/guest/home?p_p_id=mmspservicepublicdiffusion_WAR_mmspservicepublicdiffusionportlet&amp;p_p_lifecycle=0&amp;p_p_state=normal&amp;p_p_mode=view&amp;p_p_col_id=column-1&amp;p_p_col_count=1&amp;_mmspservicepublicdiffusion_WAR_mmspservicepublicdiff"/>
    <hyperlink ref="H124" r:id="rId387"/>
    <hyperlink ref="H125" r:id="rId388"/>
    <hyperlink ref="H126" r:id="rId389"/>
    <hyperlink ref="H127" r:id="rId390"/>
    <hyperlink ref="H128" r:id="rId391"/>
    <hyperlink ref="H130" r:id="rId392"/>
    <hyperlink ref="H129" r:id="rId393"/>
    <hyperlink ref="H133" r:id="rId394"/>
    <hyperlink ref="H132" r:id="rId395"/>
    <hyperlink ref="O134" r:id="rId396"/>
    <hyperlink ref="H135" r:id="rId397"/>
    <hyperlink ref="H136" r:id="rId398"/>
    <hyperlink ref="H137" r:id="rId399"/>
    <hyperlink ref="H139" r:id="rId400"/>
    <hyperlink ref="H143" r:id="rId401"/>
    <hyperlink ref="H144" r:id="rId402"/>
    <hyperlink ref="H145" r:id="rId403"/>
    <hyperlink ref="H147" r:id="rId404"/>
    <hyperlink ref="H148" r:id="rId405"/>
    <hyperlink ref="H146" r:id="rId406"/>
    <hyperlink ref="H149" r:id="rId407"/>
    <hyperlink ref="H152" r:id="rId408"/>
    <hyperlink ref="H11" r:id="rId409"/>
    <hyperlink ref="H153" r:id="rId410"/>
    <hyperlink ref="H154" r:id="rId411"/>
    <hyperlink ref="H155" r:id="rId412"/>
    <hyperlink ref="H156" r:id="rId413"/>
    <hyperlink ref="H158" r:id="rId414"/>
    <hyperlink ref="H159" r:id="rId415"/>
    <hyperlink ref="H160" r:id="rId416"/>
    <hyperlink ref="H161" r:id="rId417"/>
    <hyperlink ref="H162" r:id="rId418"/>
    <hyperlink ref="H163" r:id="rId419" location="home"/>
    <hyperlink ref="H165" r:id="rId420"/>
    <hyperlink ref="H164" r:id="rId421"/>
    <hyperlink ref="H167" r:id="rId422"/>
    <hyperlink ref="H168" r:id="rId423"/>
    <hyperlink ref="H169" r:id="rId424"/>
    <hyperlink ref="H170" r:id="rId425"/>
    <hyperlink ref="H171" r:id="rId426"/>
    <hyperlink ref="H172" r:id="rId427"/>
    <hyperlink ref="H173" r:id="rId428"/>
    <hyperlink ref="H174" r:id="rId429"/>
    <hyperlink ref="H175" r:id="rId430"/>
    <hyperlink ref="H176" r:id="rId431"/>
    <hyperlink ref="H177" r:id="rId432"/>
    <hyperlink ref="H178" r:id="rId433"/>
    <hyperlink ref="H179" r:id="rId434"/>
    <hyperlink ref="H180" r:id="rId435"/>
    <hyperlink ref="H181" r:id="rId436"/>
    <hyperlink ref="H183" r:id="rId437"/>
    <hyperlink ref="H184" r:id="rId438"/>
    <hyperlink ref="H185" r:id="rId439"/>
    <hyperlink ref="H186" r:id="rId440"/>
    <hyperlink ref="H187" r:id="rId441"/>
    <hyperlink ref="H188" r:id="rId442"/>
    <hyperlink ref="H189" r:id="rId443"/>
    <hyperlink ref="H190" r:id="rId444"/>
    <hyperlink ref="H191" r:id="rId445"/>
    <hyperlink ref="H192" r:id="rId446"/>
    <hyperlink ref="H193" r:id="rId447"/>
    <hyperlink ref="H194" r:id="rId448"/>
    <hyperlink ref="H196" r:id="rId449"/>
    <hyperlink ref="H197" r:id="rId450"/>
    <hyperlink ref="H198" r:id="rId451"/>
    <hyperlink ref="H199" r:id="rId452"/>
    <hyperlink ref="H200" r:id="rId453"/>
    <hyperlink ref="EJ224" r:id="rId454"/>
    <hyperlink ref="EJ225" r:id="rId455"/>
    <hyperlink ref="EJ226" r:id="rId456"/>
    <hyperlink ref="O3" r:id="rId457"/>
    <hyperlink ref="P3" r:id="rId458" display="http://moi.gov.af/en"/>
    <hyperlink ref="AD232" r:id="rId459"/>
    <hyperlink ref="AD230" r:id="rId460"/>
    <hyperlink ref="AD235" r:id="rId461"/>
    <hyperlink ref="AD231" r:id="rId462"/>
    <hyperlink ref="AD236" r:id="rId463"/>
    <hyperlink ref="O4" r:id="rId464"/>
    <hyperlink ref="AD233" r:id="rId465"/>
    <hyperlink ref="AM126" r:id="rId466"/>
    <hyperlink ref="Z38" r:id="rId467"/>
    <hyperlink ref="Z43" r:id="rId468"/>
    <hyperlink ref="Z70" r:id="rId469"/>
    <hyperlink ref="AD237" r:id="rId470"/>
    <hyperlink ref="AD239" r:id="rId471"/>
    <hyperlink ref="AD238" r:id="rId472"/>
    <hyperlink ref="AD241" r:id="rId473"/>
    <hyperlink ref="AD243" r:id="rId474"/>
    <hyperlink ref="AD244" r:id="rId475"/>
    <hyperlink ref="AD246" r:id="rId476"/>
    <hyperlink ref="AD247" r:id="rId477"/>
    <hyperlink ref="AD249" r:id="rId478"/>
    <hyperlink ref="O128" r:id="rId479"/>
    <hyperlink ref="AM124" r:id="rId480"/>
    <hyperlink ref="AD228" r:id="rId481"/>
    <hyperlink ref="AD251" r:id="rId482"/>
    <hyperlink ref="AD252" r:id="rId483"/>
    <hyperlink ref="O115" r:id="rId484"/>
    <hyperlink ref="O119" r:id="rId485"/>
    <hyperlink ref="O122" r:id="rId486"/>
    <hyperlink ref="O124" r:id="rId487"/>
    <hyperlink ref="O110" r:id="rId488"/>
    <hyperlink ref="O144" r:id="rId489"/>
    <hyperlink ref="P143" r:id="rId490" tooltip="Wójt" display="http://en.wikipedia.org/wiki/W%C3%B3jt"/>
    <hyperlink ref="O108" r:id="rId491"/>
    <hyperlink ref="O116" r:id="rId492"/>
    <hyperlink ref="O126" r:id="rId493"/>
    <hyperlink ref="O198" r:id="rId494"/>
    <hyperlink ref="O199" r:id="rId495"/>
    <hyperlink ref="O200" r:id="rId496"/>
    <hyperlink ref="O59" r:id="rId497"/>
    <hyperlink ref="O67" r:id="rId498"/>
    <hyperlink ref="O90" r:id="rId499"/>
    <hyperlink ref="O133" r:id="rId500"/>
    <hyperlink ref="O148" r:id="rId501"/>
    <hyperlink ref="O71" r:id="rId502"/>
    <hyperlink ref="O142" r:id="rId503"/>
    <hyperlink ref="O109" r:id="rId504"/>
    <hyperlink ref="O125" r:id="rId505"/>
    <hyperlink ref="O130" r:id="rId506"/>
    <hyperlink ref="O120" r:id="rId507"/>
    <hyperlink ref="O111" r:id="rId508"/>
    <hyperlink ref="O102" r:id="rId509"/>
    <hyperlink ref="O104" r:id="rId510"/>
    <hyperlink ref="O106" r:id="rId511"/>
    <hyperlink ref="O89" r:id="rId512"/>
    <hyperlink ref="O146" r:id="rId513"/>
    <hyperlink ref="AD254" r:id="rId514"/>
    <hyperlink ref="O87" r:id="rId515"/>
    <hyperlink ref="Z87" r:id="rId516"/>
    <hyperlink ref="O147" r:id="rId517"/>
    <hyperlink ref="O9" r:id="rId518"/>
    <hyperlink ref="O16" r:id="rId519"/>
    <hyperlink ref="O11" r:id="rId520"/>
    <hyperlink ref="O12" r:id="rId521"/>
    <hyperlink ref="O14" r:id="rId522"/>
    <hyperlink ref="O101" r:id="rId523"/>
    <hyperlink ref="O236" r:id="rId524"/>
    <hyperlink ref="O38" r:id="rId525"/>
    <hyperlink ref="O39" r:id="rId526"/>
    <hyperlink ref="O36" r:id="rId527"/>
    <hyperlink ref="O49" r:id="rId528"/>
    <hyperlink ref="O48" r:id="rId529"/>
    <hyperlink ref="O45" r:id="rId530"/>
    <hyperlink ref="O42" r:id="rId531"/>
    <hyperlink ref="O44" r:id="rId532"/>
    <hyperlink ref="O37" r:id="rId533"/>
    <hyperlink ref="O58" r:id="rId534"/>
    <hyperlink ref="O61" r:id="rId535"/>
    <hyperlink ref="O77" r:id="rId536"/>
    <hyperlink ref="O78" r:id="rId537"/>
    <hyperlink ref="O85" r:id="rId538"/>
    <hyperlink ref="O105" r:id="rId539"/>
    <hyperlink ref="AM129" r:id="rId540"/>
    <hyperlink ref="O129" r:id="rId541"/>
    <hyperlink ref="O6" r:id="rId542" display="http://www.registrecivil.ad/"/>
    <hyperlink ref="O8" r:id="rId543" display="http://www.registrecivil.ad/"/>
    <hyperlink ref="O18" r:id="rId544"/>
    <hyperlink ref="H18" r:id="rId545"/>
    <hyperlink ref="O21" r:id="rId546"/>
    <hyperlink ref="O25" r:id="rId547"/>
    <hyperlink ref="O26" r:id="rId548"/>
    <hyperlink ref="O57" r:id="rId549"/>
    <hyperlink ref="O237" r:id="rId550"/>
    <hyperlink ref="H65" r:id="rId551"/>
    <hyperlink ref="H10" r:id="rId552"/>
    <hyperlink ref="O22" r:id="rId553"/>
    <hyperlink ref="O51" r:id="rId554"/>
    <hyperlink ref="O29" r:id="rId555"/>
    <hyperlink ref="O30" r:id="rId556"/>
    <hyperlink ref="O32" r:id="rId557"/>
    <hyperlink ref="O34" r:id="rId558"/>
    <hyperlink ref="O35" r:id="rId559"/>
    <hyperlink ref="O40" r:id="rId560"/>
    <hyperlink ref="O41" r:id="rId561"/>
    <hyperlink ref="O43" r:id="rId562"/>
    <hyperlink ref="H44" r:id="rId563"/>
    <hyperlink ref="O46" r:id="rId564"/>
    <hyperlink ref="O47" r:id="rId565"/>
    <hyperlink ref="Z47" r:id="rId566"/>
    <hyperlink ref="O50" r:id="rId567"/>
    <hyperlink ref="O52" r:id="rId568" location="LiveTooltip[InscripcionesMayores]"/>
    <hyperlink ref="H53" r:id="rId569"/>
    <hyperlink ref="O53" r:id="rId570"/>
    <hyperlink ref="O54" r:id="rId571"/>
    <hyperlink ref="Z55" r:id="rId572"/>
    <hyperlink ref="O55" r:id="rId573"/>
    <hyperlink ref="O56" r:id="rId574"/>
    <hyperlink ref="O60" r:id="rId575"/>
    <hyperlink ref="O63" r:id="rId576"/>
    <hyperlink ref="O68" r:id="rId577"/>
    <hyperlink ref="O69" r:id="rId578"/>
    <hyperlink ref="O70" r:id="rId579"/>
    <hyperlink ref="O72" r:id="rId580"/>
    <hyperlink ref="O73" r:id="rId581"/>
    <hyperlink ref="O75" r:id="rId582"/>
    <hyperlink ref="O80" r:id="rId583"/>
    <hyperlink ref="O81" r:id="rId584"/>
    <hyperlink ref="O82" r:id="rId585"/>
    <hyperlink ref="O86" r:id="rId586"/>
    <hyperlink ref="O91" r:id="rId587"/>
    <hyperlink ref="O92" r:id="rId588"/>
    <hyperlink ref="O93" r:id="rId589"/>
    <hyperlink ref="O94" r:id="rId590"/>
    <hyperlink ref="O95" r:id="rId591"/>
    <hyperlink ref="O96" r:id="rId592"/>
    <hyperlink ref="O97" r:id="rId593"/>
    <hyperlink ref="O98" r:id="rId594"/>
    <hyperlink ref="O99" r:id="rId595"/>
    <hyperlink ref="Z99" r:id="rId596"/>
    <hyperlink ref="O100" r:id="rId597"/>
    <hyperlink ref="O103" r:id="rId598"/>
    <hyperlink ref="O107" r:id="rId599"/>
    <hyperlink ref="O112" r:id="rId600"/>
    <hyperlink ref="O113" r:id="rId601"/>
    <hyperlink ref="O114" r:id="rId602"/>
    <hyperlink ref="O117" r:id="rId603"/>
    <hyperlink ref="O121" r:id="rId604"/>
    <hyperlink ref="O123" display="http://www.service-public.ma/web/guest/home?p_p_id=mmspservicepublicdiffusion_WAR_mmspservicepublicdiffusionportlet&amp;p_p_lifecycle=0&amp;p_p_state=normal&amp;p_p_mode=view&amp;p_p_col_id=column-1&amp;p_p_col_count=1&amp;_mmspservicepublicdiffusion_WAR_mmspservicepublicdiffusi"/>
    <hyperlink ref="O234" r:id="rId605"/>
    <hyperlink ref="AM128" r:id="rId606"/>
    <hyperlink ref="O131" r:id="rId607"/>
    <hyperlink ref="O132" r:id="rId608"/>
    <hyperlink ref="O135" r:id="rId609"/>
    <hyperlink ref="O138" r:id="rId610"/>
    <hyperlink ref="O141" r:id="rId611"/>
    <hyperlink ref="O140" r:id="rId612"/>
    <hyperlink ref="O143" r:id="rId613"/>
    <hyperlink ref="O145" r:id="rId614"/>
    <hyperlink ref="Z160" r:id="rId615"/>
    <hyperlink ref="Z157" r:id="rId616"/>
    <hyperlink ref="Z155" r:id="rId617"/>
    <hyperlink ref="O156" r:id="rId618"/>
    <hyperlink ref="O165" r:id="rId619"/>
    <hyperlink ref="O159" r:id="rId620"/>
    <hyperlink ref="Z196" r:id="rId621"/>
    <hyperlink ref="O196" r:id="rId622"/>
    <hyperlink ref="Z175" r:id="rId623"/>
    <hyperlink ref="Z168" r:id="rId624"/>
    <hyperlink ref="Z178" r:id="rId625"/>
    <hyperlink ref="Z167" r:id="rId626"/>
    <hyperlink ref="Z172" r:id="rId627"/>
    <hyperlink ref="Z184" r:id="rId628"/>
    <hyperlink ref="Z173" r:id="rId629"/>
    <hyperlink ref="O183" r:id="rId630"/>
    <hyperlink ref="O187" r:id="rId631"/>
    <hyperlink ref="O168" r:id="rId632"/>
    <hyperlink ref="O178" r:id="rId633"/>
    <hyperlink ref="O171" r:id="rId634"/>
    <hyperlink ref="O167" r:id="rId635"/>
    <hyperlink ref="O169" r:id="rId636"/>
    <hyperlink ref="O170" r:id="rId637"/>
    <hyperlink ref="O173" r:id="rId638"/>
    <hyperlink ref="O174" r:id="rId639"/>
    <hyperlink ref="O175" r:id="rId640"/>
    <hyperlink ref="O176" r:id="rId641"/>
    <hyperlink ref="O179" r:id="rId642"/>
    <hyperlink ref="O180" r:id="rId643"/>
    <hyperlink ref="O181" r:id="rId644"/>
    <hyperlink ref="O182" r:id="rId645"/>
    <hyperlink ref="O184" r:id="rId646"/>
    <hyperlink ref="O185" r:id="rId647" display="http://www.registrecivil.ad/"/>
    <hyperlink ref="O189" r:id="rId648"/>
    <hyperlink ref="O192" r:id="rId649"/>
    <hyperlink ref="O193" r:id="rId650"/>
    <hyperlink ref="O194" r:id="rId651"/>
    <hyperlink ref="O149" r:id="rId652"/>
    <hyperlink ref="O150" r:id="rId653"/>
    <hyperlink ref="O151" r:id="rId654"/>
    <hyperlink ref="O153" r:id="rId655"/>
    <hyperlink ref="O155" r:id="rId656"/>
    <hyperlink ref="O158" r:id="rId657"/>
    <hyperlink ref="O160" r:id="rId658"/>
    <hyperlink ref="O162" r:id="rId659"/>
    <hyperlink ref="O166" r:id="rId660"/>
    <hyperlink ref="O164" r:id="rId661"/>
    <hyperlink ref="O139" r:id="rId662"/>
    <hyperlink ref="O197" r:id="rId663"/>
    <hyperlink ref="DY222" r:id="rId664"/>
    <hyperlink ref="DY224" r:id="rId665"/>
    <hyperlink ref="GF222" r:id="rId666"/>
    <hyperlink ref="HK222" r:id="rId667"/>
    <hyperlink ref="AY21" r:id="rId668"/>
    <hyperlink ref="AY22" r:id="rId669"/>
    <hyperlink ref="BC37" r:id="rId670"/>
    <hyperlink ref="AY37" r:id="rId671"/>
    <hyperlink ref="BH37" r:id="rId672" location=" "/>
    <hyperlink ref="BC38" r:id="rId673"/>
    <hyperlink ref="AY39" r:id="rId674"/>
    <hyperlink ref="AY42" r:id="rId675"/>
    <hyperlink ref="AY43" r:id="rId676"/>
    <hyperlink ref="BH43" r:id="rId677"/>
    <hyperlink ref="AY44" r:id="rId678"/>
    <hyperlink ref="AY46" r:id="rId679"/>
    <hyperlink ref="BC53" r:id="rId680"/>
    <hyperlink ref="AY53" r:id="rId681"/>
    <hyperlink ref="AY57" r:id="rId682"/>
    <hyperlink ref="AY54" r:id="rId683"/>
    <hyperlink ref="AY55" r:id="rId684"/>
    <hyperlink ref="AY20" r:id="rId685"/>
    <hyperlink ref="AY11" r:id="rId686"/>
    <hyperlink ref="AY3" r:id="rId687"/>
    <hyperlink ref="AY8" r:id="rId688"/>
    <hyperlink ref="AY12" r:id="rId689"/>
    <hyperlink ref="AY16" r:id="rId690"/>
    <hyperlink ref="BC7" r:id="rId691"/>
    <hyperlink ref="BC11" r:id="rId692"/>
    <hyperlink ref="BH11" r:id="rId693"/>
    <hyperlink ref="BH13" r:id="rId694"/>
    <hyperlink ref="BC16" r:id="rId695"/>
    <hyperlink ref="BC9" r:id="rId696"/>
    <hyperlink ref="BC10" r:id="rId697"/>
    <hyperlink ref="BC12" r:id="rId698"/>
    <hyperlink ref="BC13" r:id="rId699"/>
    <hyperlink ref="BC3" r:id="rId700"/>
    <hyperlink ref="AY26" r:id="rId701"/>
    <hyperlink ref="AY33" r:id="rId702"/>
    <hyperlink ref="AY29" r:id="rId703"/>
    <hyperlink ref="AY24" r:id="rId704"/>
    <hyperlink ref="BC24" r:id="rId705"/>
    <hyperlink ref="AY27" r:id="rId706"/>
    <hyperlink ref="BH27" r:id="rId707"/>
    <hyperlink ref="BC29" r:id="rId708"/>
    <hyperlink ref="AY32" r:id="rId709"/>
    <hyperlink ref="BH33" r:id="rId710"/>
    <hyperlink ref="AY34" r:id="rId711"/>
    <hyperlink ref="AY35" r:id="rId712"/>
    <hyperlink ref="BC35" r:id="rId713"/>
    <hyperlink ref="AY31" r:id="rId714"/>
    <hyperlink ref="AY47" r:id="rId715"/>
    <hyperlink ref="AY48" r:id="rId716"/>
    <hyperlink ref="AY49" r:id="rId717"/>
    <hyperlink ref="AY51" r:id="rId718"/>
    <hyperlink ref="BC59" r:id="rId719"/>
    <hyperlink ref="AY59" r:id="rId720"/>
    <hyperlink ref="AY60" r:id="rId721"/>
    <hyperlink ref="BH60" r:id="rId722"/>
    <hyperlink ref="BH61" r:id="rId723"/>
    <hyperlink ref="BH62" r:id="rId724"/>
    <hyperlink ref="AY62" r:id="rId725"/>
    <hyperlink ref="AY61" r:id="rId726"/>
    <hyperlink ref="AY66" r:id="rId727"/>
    <hyperlink ref="BC63" r:id="rId728" display="http://www.doingbusiness.org/data/exploreeconomies/eritrea/starting-a-business "/>
    <hyperlink ref="AY64" r:id="rId729"/>
    <hyperlink ref="BC69" r:id="rId730" display="http://www.doingbusiness.org/data/exploreeconomies/eritrea/starting-a-business "/>
    <hyperlink ref="AY63" r:id="rId731"/>
    <hyperlink ref="AY69" r:id="rId732"/>
    <hyperlink ref="AY68" r:id="rId733"/>
    <hyperlink ref="AY67" r:id="rId734"/>
    <hyperlink ref="AY56" r:id="rId735"/>
    <hyperlink ref="AY40" r:id="rId736"/>
    <hyperlink ref="AY41" r:id="rId737"/>
    <hyperlink ref="AY45" r:id="rId738"/>
    <hyperlink ref="AY76" r:id="rId739"/>
    <hyperlink ref="AY83" r:id="rId740"/>
    <hyperlink ref="AY79" r:id="rId741"/>
    <hyperlink ref="AY84" r:id="rId742"/>
    <hyperlink ref="AY85" r:id="rId743"/>
    <hyperlink ref="BC70" r:id="rId744"/>
    <hyperlink ref="AY71" r:id="rId745"/>
    <hyperlink ref="BC71" r:id="rId746"/>
    <hyperlink ref="AY72" r:id="rId747"/>
    <hyperlink ref="BC72" r:id="rId748"/>
    <hyperlink ref="BC73" r:id="rId749"/>
    <hyperlink ref="AY73" r:id="rId750"/>
    <hyperlink ref="AY74" r:id="rId751"/>
    <hyperlink ref="BC74" r:id="rId752"/>
    <hyperlink ref="AY75" r:id="rId753"/>
    <hyperlink ref="BC75" r:id="rId754"/>
    <hyperlink ref="BH76" r:id="rId755"/>
    <hyperlink ref="AY77" r:id="rId756"/>
    <hyperlink ref="BC77" r:id="rId757" display="http://www.doingbusiness.org/data/exploreeconomies/eritrea/starting-a-business "/>
    <hyperlink ref="BC80" r:id="rId758"/>
    <hyperlink ref="AY80" r:id="rId759"/>
    <hyperlink ref="AY81" r:id="rId760"/>
    <hyperlink ref="BC81" r:id="rId761" display="http://www.doingbusiness.org/data/exploreeconomies/eritrea/starting-a-business "/>
    <hyperlink ref="AY82" r:id="rId762"/>
    <hyperlink ref="BC82" r:id="rId763"/>
    <hyperlink ref="BH83" r:id="rId764"/>
    <hyperlink ref="BC84" r:id="rId765" display="http://www.doingbusiness.org/data/exploreeconomies/eritrea/starting-a-business "/>
    <hyperlink ref="AY86" r:id="rId766"/>
    <hyperlink ref="BC86" r:id="rId767"/>
    <hyperlink ref="BH105" r:id="rId768"/>
    <hyperlink ref="AY110" r:id="rId769"/>
    <hyperlink ref="AY120" r:id="rId770"/>
    <hyperlink ref="AY117" r:id="rId771"/>
    <hyperlink ref="AY36" r:id="rId772"/>
    <hyperlink ref="AY87" r:id="rId773"/>
    <hyperlink ref="BC87" r:id="rId774" location=".VLVCEyKzHMs "/>
    <hyperlink ref="AY93" r:id="rId775"/>
    <hyperlink ref="BH93" r:id="rId776"/>
    <hyperlink ref="BC93" r:id="rId777"/>
    <hyperlink ref="AY97" r:id="rId778"/>
    <hyperlink ref="AY89" r:id="rId779"/>
    <hyperlink ref="AY90" r:id="rId780"/>
    <hyperlink ref="AY91" r:id="rId781"/>
    <hyperlink ref="AY94" r:id="rId782"/>
    <hyperlink ref="AY95" r:id="rId783"/>
    <hyperlink ref="AY96" r:id="rId784"/>
    <hyperlink ref="AY99" r:id="rId785"/>
    <hyperlink ref="AY100" r:id="rId786"/>
    <hyperlink ref="AY101" r:id="rId787"/>
    <hyperlink ref="AY105" r:id="rId788"/>
    <hyperlink ref="AY106" r:id="rId789"/>
    <hyperlink ref="AY107" r:id="rId790"/>
    <hyperlink ref="AY108" r:id="rId791"/>
    <hyperlink ref="AY109" r:id="rId792"/>
    <hyperlink ref="AY111" r:id="rId793"/>
    <hyperlink ref="AY112" r:id="rId794" location="How_9"/>
    <hyperlink ref="AY114" r:id="rId795"/>
    <hyperlink ref="AY118" r:id="rId796"/>
    <hyperlink ref="AY121" r:id="rId797"/>
    <hyperlink ref="BC89" r:id="rId798"/>
    <hyperlink ref="BC90" r:id="rId799"/>
    <hyperlink ref="BC91" r:id="rId800"/>
    <hyperlink ref="BC94" r:id="rId801"/>
    <hyperlink ref="BC95" r:id="rId802"/>
    <hyperlink ref="BC96" r:id="rId803"/>
    <hyperlink ref="BC97" r:id="rId804"/>
    <hyperlink ref="BC100" r:id="rId805"/>
    <hyperlink ref="BC101" r:id="rId806"/>
    <hyperlink ref="BC106" r:id="rId807"/>
    <hyperlink ref="BC107" r:id="rId808"/>
    <hyperlink ref="BC108" r:id="rId809"/>
    <hyperlink ref="BC109" r:id="rId810"/>
    <hyperlink ref="BC111" r:id="rId811"/>
    <hyperlink ref="BC112" r:id="rId812"/>
    <hyperlink ref="BC114" r:id="rId813"/>
    <hyperlink ref="BC119" r:id="rId814"/>
    <hyperlink ref="BC120" r:id="rId815"/>
    <hyperlink ref="BH89" r:id="rId816"/>
    <hyperlink ref="BH107" r:id="rId817"/>
    <hyperlink ref="BH110" r:id="rId818"/>
    <hyperlink ref="BH119" r:id="rId819"/>
    <hyperlink ref="BH120" r:id="rId820"/>
    <hyperlink ref="BC67" r:id="rId821"/>
    <hyperlink ref="AM79" r:id="rId822"/>
    <hyperlink ref="AM4" r:id="rId823"/>
    <hyperlink ref="AM61" r:id="rId824"/>
    <hyperlink ref="AM62" r:id="rId825"/>
    <hyperlink ref="AM63" r:id="rId826"/>
    <hyperlink ref="AM76" r:id="rId827"/>
    <hyperlink ref="AM15" r:id="rId828"/>
    <hyperlink ref="AM12" r:id="rId829"/>
    <hyperlink ref="AM66" r:id="rId830"/>
    <hyperlink ref="AM57" r:id="rId831"/>
    <hyperlink ref="AM3" r:id="rId832"/>
    <hyperlink ref="AM70" r:id="rId833"/>
    <hyperlink ref="AM72" r:id="rId834"/>
    <hyperlink ref="AM80" r:id="rId835"/>
    <hyperlink ref="AM7" r:id="rId836"/>
    <hyperlink ref="AM9" r:id="rId837"/>
    <hyperlink ref="AM10" r:id="rId838"/>
    <hyperlink ref="AM110" r:id="rId839"/>
    <hyperlink ref="AM95" r:id="rId840"/>
    <hyperlink ref="AM104" r:id="rId841"/>
    <hyperlink ref="AM107" r:id="rId842"/>
    <hyperlink ref="AM106" r:id="rId843"/>
    <hyperlink ref="AM94" r:id="rId844"/>
    <hyperlink ref="AM53" r:id="rId845"/>
    <hyperlink ref="AM64" r:id="rId846"/>
    <hyperlink ref="AM67" r:id="rId847"/>
    <hyperlink ref="AM65" r:id="rId848"/>
    <hyperlink ref="AM54" r:id="rId849"/>
    <hyperlink ref="AM96" r:id="rId850"/>
    <hyperlink ref="AM100" r:id="rId851"/>
    <hyperlink ref="AD100" r:id="rId852"/>
    <hyperlink ref="AM90" r:id="rId853"/>
    <hyperlink ref="AM89" r:id="rId854"/>
    <hyperlink ref="AM103" r:id="rId855"/>
    <hyperlink ref="AD90" r:id="rId856"/>
    <hyperlink ref="AD89" r:id="rId857"/>
    <hyperlink ref="AM5" r:id="rId858"/>
    <hyperlink ref="AM71" r:id="rId859"/>
    <hyperlink ref="AM16" r:id="rId860"/>
    <hyperlink ref="AD87" r:id="rId861"/>
    <hyperlink ref="AM87" r:id="rId862"/>
    <hyperlink ref="AM85" r:id="rId863"/>
    <hyperlink ref="AM19" r:id="rId864"/>
    <hyperlink ref="AM48" r:id="rId865"/>
    <hyperlink ref="AM50" r:id="rId866"/>
    <hyperlink ref="AM39" r:id="rId867"/>
    <hyperlink ref="AM40" r:id="rId868"/>
    <hyperlink ref="AM36" r:id="rId869"/>
    <hyperlink ref="AM41" r:id="rId870"/>
    <hyperlink ref="AM38" r:id="rId871"/>
    <hyperlink ref="AM37" r:id="rId872"/>
    <hyperlink ref="AM58" r:id="rId873"/>
    <hyperlink ref="AM77" r:id="rId874"/>
    <hyperlink ref="AM84" r:id="rId875"/>
    <hyperlink ref="AD85" r:id="rId876"/>
    <hyperlink ref="AD105" r:id="rId877"/>
    <hyperlink ref="AM105" r:id="rId878"/>
    <hyperlink ref="AM13" r:id="rId879"/>
    <hyperlink ref="AM45" r:id="rId880"/>
    <hyperlink ref="AM55" r:id="rId881"/>
    <hyperlink ref="AM22" r:id="rId882"/>
    <hyperlink ref="AM26" r:id="rId883"/>
    <hyperlink ref="AM28" r:id="rId884"/>
    <hyperlink ref="AM25" r:id="rId885"/>
    <hyperlink ref="AM24" r:id="rId886"/>
    <hyperlink ref="AM17" r:id="rId887"/>
    <hyperlink ref="AM51" r:id="rId888"/>
    <hyperlink ref="AM23" r:id="rId889"/>
    <hyperlink ref="AM27" r:id="rId890"/>
    <hyperlink ref="AM30" r:id="rId891"/>
    <hyperlink ref="AM31" r:id="rId892"/>
    <hyperlink ref="AM32" r:id="rId893"/>
    <hyperlink ref="AM43" r:id="rId894"/>
    <hyperlink ref="AM42" r:id="rId895"/>
    <hyperlink ref="AM44" r:id="rId896"/>
    <hyperlink ref="AM46" r:id="rId897"/>
    <hyperlink ref="AM52" r:id="rId898"/>
    <hyperlink ref="AM60" r:id="rId899"/>
    <hyperlink ref="AM69" r:id="rId900"/>
    <hyperlink ref="AM74" r:id="rId901"/>
    <hyperlink ref="AM75" r:id="rId902"/>
    <hyperlink ref="AM81" r:id="rId903"/>
    <hyperlink ref="AD81" r:id="rId904"/>
    <hyperlink ref="AD82" r:id="rId905"/>
    <hyperlink ref="AM82" r:id="rId906"/>
    <hyperlink ref="AD84" r:id="rId907"/>
    <hyperlink ref="AD86" r:id="rId908"/>
    <hyperlink ref="AM86" r:id="rId909"/>
    <hyperlink ref="AD88" display="http://www.jordan.gov.jo/wps/portal/!ut/p/b1/jZFRT4MwFIV_iz_A9JYitI_AsC2DRmHtRl8WzBYyxsAHohu_Xlx8UOM279tNvnNyTg6yqMSMMkpcwly0Qrar3nZ1Nez6rmo_f-utDZtTM-cYIJYRyDDNfUEd7CQwAeV3gApOQSbgeJkfEnC9_-kjHgjXTwFoyh9ABkLn7JkQCMgt_RKV4ZcJXLgAbpkU224ysj8xbiatDAvFPM0das"/>
    <hyperlink ref="AM88" r:id="rId910" location=".VKBU1YcOA"/>
    <hyperlink ref="AM92" r:id="rId911"/>
    <hyperlink ref="AD92" r:id="rId912"/>
    <hyperlink ref="AD93" r:id="rId913"/>
    <hyperlink ref="AM93" r:id="rId914"/>
    <hyperlink ref="AD94" r:id="rId915" location="l1"/>
    <hyperlink ref="AD95" r:id="rId916"/>
    <hyperlink ref="AD96" r:id="rId917"/>
    <hyperlink ref="AD99" r:id="rId918"/>
    <hyperlink ref="AM99" r:id="rId919"/>
    <hyperlink ref="AD103" r:id="rId920" location="/1460"/>
    <hyperlink ref="AD104" r:id="rId921"/>
    <hyperlink ref="AD106" r:id="rId922"/>
    <hyperlink ref="AD107" r:id="rId923"/>
    <hyperlink ref="AD110" r:id="rId924"/>
    <hyperlink ref="AD112" r:id="rId925"/>
    <hyperlink ref="AD65" r:id="rId926"/>
    <hyperlink ref="AD7" r:id="rId927"/>
    <hyperlink ref="AD9" r:id="rId928"/>
    <hyperlink ref="AD12" r:id="rId929"/>
    <hyperlink ref="AD10" r:id="rId930"/>
    <hyperlink ref="AD15" r:id="rId931"/>
    <hyperlink ref="AD4" r:id="rId932"/>
    <hyperlink ref="AD58" r:id="rId933"/>
    <hyperlink ref="AD64" r:id="rId934"/>
    <hyperlink ref="AD79" r:id="rId935"/>
    <hyperlink ref="AD5" r:id="rId936"/>
    <hyperlink ref="AD67" r:id="rId937"/>
    <hyperlink ref="AD71" r:id="rId938"/>
    <hyperlink ref="AD16" r:id="rId939"/>
    <hyperlink ref="AD19" r:id="rId940"/>
    <hyperlink ref="AD38" r:id="rId941"/>
    <hyperlink ref="AD39" r:id="rId942"/>
    <hyperlink ref="AD36" r:id="rId943"/>
    <hyperlink ref="AD48" r:id="rId944"/>
    <hyperlink ref="AD37" r:id="rId945"/>
    <hyperlink ref="AD61" r:id="rId946"/>
    <hyperlink ref="AD62" r:id="rId947"/>
    <hyperlink ref="AD66" r:id="rId948"/>
    <hyperlink ref="AD23" r:id="rId949"/>
    <hyperlink ref="AD24" r:id="rId950"/>
    <hyperlink ref="AD26" r:id="rId951"/>
    <hyperlink ref="AD28" r:id="rId952"/>
    <hyperlink ref="AD30" r:id="rId953"/>
    <hyperlink ref="AD31" r:id="rId954"/>
    <hyperlink ref="AD57" r:id="rId955"/>
    <hyperlink ref="AD17" r:id="rId956"/>
    <hyperlink ref="AD27" r:id="rId957"/>
    <hyperlink ref="AD32" r:id="rId958"/>
    <hyperlink ref="AD40" r:id="rId959"/>
    <hyperlink ref="AD41" r:id="rId960"/>
    <hyperlink ref="AD42" r:id="rId961"/>
    <hyperlink ref="AD43" r:id="rId962"/>
    <hyperlink ref="AD44" r:id="rId963"/>
    <hyperlink ref="AD45" r:id="rId964"/>
    <hyperlink ref="AD46" r:id="rId965"/>
    <hyperlink ref="AD50" r:id="rId966"/>
    <hyperlink ref="AD51" r:id="rId967"/>
    <hyperlink ref="AD52" r:id="rId968" location="LiveTooltip[InscripcionesMayores]"/>
    <hyperlink ref="AD53" r:id="rId969"/>
    <hyperlink ref="AD54" r:id="rId970"/>
    <hyperlink ref="AD55" r:id="rId971"/>
    <hyperlink ref="AD60" r:id="rId972"/>
    <hyperlink ref="AD63" r:id="rId973"/>
    <hyperlink ref="AD69" r:id="rId974"/>
    <hyperlink ref="AD70" r:id="rId975"/>
    <hyperlink ref="AD72" r:id="rId976"/>
    <hyperlink ref="AD74" r:id="rId977"/>
    <hyperlink ref="AD75" r:id="rId978"/>
    <hyperlink ref="AD76" r:id="rId979"/>
    <hyperlink ref="AD77" r:id="rId980" location="topicissue"/>
    <hyperlink ref="AD80" r:id="rId981"/>
    <hyperlink ref="AD22" r:id="rId982"/>
    <hyperlink ref="AD25" r:id="rId983"/>
    <hyperlink ref="AD115" r:id="rId984" display="http://www.anrpts.mr/"/>
    <hyperlink ref="AD136" r:id="rId985"/>
    <hyperlink ref="AD128" r:id="rId986"/>
    <hyperlink ref="AD144" r:id="rId987"/>
    <hyperlink ref="AD123" r:id="rId988"/>
    <hyperlink ref="AD119" r:id="rId989"/>
    <hyperlink ref="AD124" r:id="rId990"/>
    <hyperlink ref="AD141" r:id="rId991"/>
    <hyperlink ref="AD133" r:id="rId992"/>
    <hyperlink ref="AD129" r:id="rId993"/>
    <hyperlink ref="AD113" r:id="rId994"/>
    <hyperlink ref="AD116" r:id="rId995"/>
    <hyperlink ref="AD117" r:id="rId996"/>
    <hyperlink ref="AD120" r:id="rId997"/>
    <hyperlink ref="AD121" r:id="rId998"/>
    <hyperlink ref="AD122" r:id="rId999"/>
    <hyperlink ref="AD126" r:id="rId1000"/>
    <hyperlink ref="AD131" r:id="rId1001"/>
    <hyperlink ref="AD134" r:id="rId1002"/>
    <hyperlink ref="AD135" r:id="rId1003"/>
    <hyperlink ref="AD138" r:id="rId1004"/>
    <hyperlink ref="AD139" r:id="rId1005"/>
    <hyperlink ref="AD140" r:id="rId1006"/>
    <hyperlink ref="AD143" r:id="rId1007"/>
    <hyperlink ref="AD148" r:id="rId1008"/>
    <hyperlink ref="AD146" r:id="rId1009"/>
    <hyperlink ref="AD147" r:id="rId1010"/>
    <hyperlink ref="AD145" r:id="rId1011"/>
    <hyperlink ref="AD151" r:id="rId1012"/>
    <hyperlink ref="AD150" r:id="rId1013"/>
    <hyperlink ref="AD153" r:id="rId1014"/>
    <hyperlink ref="AD161" r:id="rId1015"/>
    <hyperlink ref="AD165" r:id="rId1016"/>
    <hyperlink ref="AD177" r:id="rId1017"/>
    <hyperlink ref="AD167" r:id="rId1018"/>
    <hyperlink ref="AD173" r:id="rId1019"/>
    <hyperlink ref="AD168" r:id="rId1020"/>
    <hyperlink ref="AD169" r:id="rId1021"/>
    <hyperlink ref="AD176" r:id="rId1022"/>
    <hyperlink ref="AD178" r:id="rId1023"/>
    <hyperlink ref="AD155" r:id="rId1024"/>
    <hyperlink ref="AD156" r:id="rId1025"/>
    <hyperlink ref="AD157" r:id="rId1026"/>
    <hyperlink ref="AD159" r:id="rId1027"/>
    <hyperlink ref="AD160" r:id="rId1028"/>
    <hyperlink ref="AD162" r:id="rId1029"/>
    <hyperlink ref="AD164" r:id="rId1030"/>
    <hyperlink ref="AD166" r:id="rId1031"/>
    <hyperlink ref="AD158" r:id="rId1032"/>
    <hyperlink ref="AD199" r:id="rId1033"/>
    <hyperlink ref="AD200" r:id="rId1034"/>
    <hyperlink ref="AD195" r:id="rId1035"/>
    <hyperlink ref="AD196" r:id="rId1036"/>
    <hyperlink ref="AD183" r:id="rId1037"/>
    <hyperlink ref="AD187" r:id="rId1038"/>
    <hyperlink ref="AD191" r:id="rId1039"/>
    <hyperlink ref="AD182" r:id="rId1040"/>
    <hyperlink ref="AD188" r:id="rId1041"/>
    <hyperlink ref="AD189" r:id="rId1042"/>
    <hyperlink ref="AD193" r:id="rId1043" location=".VKHMYmowAA "/>
    <hyperlink ref="AD198" r:id="rId1044"/>
    <hyperlink ref="HV175" r:id="rId1045"/>
    <hyperlink ref="HV176" r:id="rId1046"/>
    <hyperlink ref="HV178" r:id="rId1047"/>
    <hyperlink ref="HV183" r:id="rId1048"/>
    <hyperlink ref="HV184" r:id="rId1049"/>
    <hyperlink ref="HV187" r:id="rId1050"/>
    <hyperlink ref="HV188" r:id="rId1051"/>
    <hyperlink ref="HV191" r:id="rId1052"/>
    <hyperlink ref="HV192" r:id="rId1053"/>
    <hyperlink ref="HV198" r:id="rId1054"/>
    <hyperlink ref="HV200" r:id="rId1055"/>
    <hyperlink ref="HV182" r:id="rId1056"/>
    <hyperlink ref="HV190" r:id="rId1057"/>
    <hyperlink ref="HV193" r:id="rId1058"/>
    <hyperlink ref="HL188" r:id="rId1059"/>
    <hyperlink ref="HL190" r:id="rId1060"/>
    <hyperlink ref="HL191" r:id="rId1061"/>
    <hyperlink ref="HL192" r:id="rId1062"/>
    <hyperlink ref="HL196" r:id="rId1063"/>
    <hyperlink ref="HL198" r:id="rId1064"/>
    <hyperlink ref="HL200" r:id="rId1065"/>
    <hyperlink ref="HQ188" r:id="rId1066"/>
    <hyperlink ref="HQ190" r:id="rId1067"/>
    <hyperlink ref="HQ191" r:id="rId1068"/>
    <hyperlink ref="HQ192" r:id="rId1069"/>
    <hyperlink ref="HQ200" r:id="rId1070"/>
    <hyperlink ref="HL175" r:id="rId1071"/>
    <hyperlink ref="HL177" r:id="rId1072"/>
    <hyperlink ref="HL178" r:id="rId1073"/>
    <hyperlink ref="HL179" r:id="rId1074"/>
    <hyperlink ref="HL182" r:id="rId1075"/>
    <hyperlink ref="HL183" r:id="rId1076"/>
    <hyperlink ref="HL184" r:id="rId1077"/>
    <hyperlink ref="HL187" r:id="rId1078"/>
    <hyperlink ref="HL194" r:id="rId1079"/>
    <hyperlink ref="HQ178" r:id="rId1080"/>
    <hyperlink ref="HQ183" r:id="rId1081"/>
    <hyperlink ref="HQ184" r:id="rId1082"/>
    <hyperlink ref="HV147" r:id="rId1083"/>
    <hyperlink ref="HV148" r:id="rId1084"/>
    <hyperlink ref="HV151" r:id="rId1085"/>
    <hyperlink ref="HV157" r:id="rId1086"/>
    <hyperlink ref="HV159" r:id="rId1087"/>
    <hyperlink ref="HV161" r:id="rId1088"/>
    <hyperlink ref="HV162" r:id="rId1089"/>
    <hyperlink ref="HV165" r:id="rId1090"/>
    <hyperlink ref="HV167" r:id="rId1091"/>
    <hyperlink ref="HV172" r:id="rId1092"/>
    <hyperlink ref="HV173" r:id="rId1093"/>
    <hyperlink ref="HL147" r:id="rId1094"/>
    <hyperlink ref="HL151" r:id="rId1095"/>
    <hyperlink ref="HL156" r:id="rId1096"/>
    <hyperlink ref="HL157" r:id="rId1097"/>
    <hyperlink ref="HL158" r:id="rId1098"/>
    <hyperlink ref="HL159" r:id="rId1099"/>
    <hyperlink ref="HL160" r:id="rId1100"/>
    <hyperlink ref="HL161" r:id="rId1101"/>
    <hyperlink ref="HL162" r:id="rId1102"/>
    <hyperlink ref="HL165" r:id="rId1103"/>
    <hyperlink ref="HL167" r:id="rId1104"/>
    <hyperlink ref="HL169" r:id="rId1105"/>
    <hyperlink ref="HL172" r:id="rId1106"/>
    <hyperlink ref="HL173" r:id="rId1107"/>
    <hyperlink ref="HQ147" r:id="rId1108"/>
    <hyperlink ref="HQ156" r:id="rId1109"/>
    <hyperlink ref="HQ157" r:id="rId1110"/>
    <hyperlink ref="HQ160" r:id="rId1111"/>
    <hyperlink ref="HQ161" r:id="rId1112"/>
    <hyperlink ref="HQ162" r:id="rId1113"/>
    <hyperlink ref="HQ167" r:id="rId1114"/>
    <hyperlink ref="HQ172" r:id="rId1115"/>
    <hyperlink ref="HQ173" r:id="rId1116"/>
    <hyperlink ref="HV149" r:id="rId1117"/>
    <hyperlink ref="HV150" r:id="rId1118"/>
    <hyperlink ref="HV166" r:id="rId1119"/>
    <hyperlink ref="HV119" r:id="rId1120"/>
    <hyperlink ref="HV121" r:id="rId1121"/>
    <hyperlink ref="HV122" r:id="rId1122"/>
    <hyperlink ref="HV128" r:id="rId1123"/>
    <hyperlink ref="HV130" r:id="rId1124"/>
    <hyperlink ref="HV131" r:id="rId1125"/>
    <hyperlink ref="HV132" r:id="rId1126"/>
    <hyperlink ref="HV133" r:id="rId1127"/>
    <hyperlink ref="HV134" r:id="rId1128"/>
    <hyperlink ref="HV136" r:id="rId1129"/>
    <hyperlink ref="HV138" r:id="rId1130"/>
    <hyperlink ref="HV140" r:id="rId1131"/>
    <hyperlink ref="HV141" r:id="rId1132"/>
    <hyperlink ref="HV143" r:id="rId1133"/>
    <hyperlink ref="HV144" r:id="rId1134"/>
    <hyperlink ref="HV146" r:id="rId1135"/>
    <hyperlink ref="HV129" r:id="rId1136"/>
    <hyperlink ref="HL129" r:id="rId1137"/>
    <hyperlink ref="HL119" r:id="rId1138"/>
    <hyperlink ref="HL120" r:id="rId1139"/>
    <hyperlink ref="HL122" r:id="rId1140"/>
    <hyperlink ref="HL123" r:id="rId1141"/>
    <hyperlink ref="HL128" r:id="rId1142"/>
    <hyperlink ref="HL130" r:id="rId1143"/>
    <hyperlink ref="HL131" r:id="rId1144"/>
    <hyperlink ref="HL133" display="https://www.google.com/url?sa=t&amp;rct=j&amp;q=&amp;esrc=s&amp;source=web&amp;cd=2&amp;ved=0CCYQFjAB&amp;url=http%3A%2F%2Fwww.nassnig.org%2Fnass2%2Flegislation.php%3Fid%3D410&amp;ei=trbCVPKsI8GkgwTy-IGwDA&amp;usg=AFQjCNGUeDUXsvsvqBpCu-dF0cMNYY0o4Q&amp;sig2=bnCBHGsBK0xh7S9E3pKmKg&amp;bvm=bv.8434900"/>
    <hyperlink ref="HL134" r:id="rId1145"/>
    <hyperlink ref="HL140" r:id="rId1146"/>
    <hyperlink ref="HL141" r:id="rId1147"/>
    <hyperlink ref="HL142" r:id="rId1148"/>
    <hyperlink ref="HL143" r:id="rId1149"/>
    <hyperlink ref="HL144" r:id="rId1150"/>
    <hyperlink ref="HL145" r:id="rId1151"/>
    <hyperlink ref="HL146" r:id="rId1152"/>
    <hyperlink ref="HQ119" r:id="rId1153"/>
    <hyperlink ref="HQ122" r:id="rId1154"/>
    <hyperlink ref="HQ128" r:id="rId1155"/>
    <hyperlink ref="HQ129" r:id="rId1156"/>
    <hyperlink ref="HQ130" r:id="rId1157"/>
    <hyperlink ref="HQ134" r:id="rId1158"/>
    <hyperlink ref="HQ141" r:id="rId1159"/>
    <hyperlink ref="HQ143" r:id="rId1160"/>
    <hyperlink ref="HQ144" r:id="rId1161"/>
    <hyperlink ref="HQ145" r:id="rId1162"/>
    <hyperlink ref="HQ146" r:id="rId1163"/>
    <hyperlink ref="HV142" r:id="rId1164"/>
    <hyperlink ref="HV111" r:id="rId1165"/>
    <hyperlink ref="HV113" r:id="rId1166"/>
    <hyperlink ref="HV117" r:id="rId1167"/>
    <hyperlink ref="HL110" r:id="rId1168"/>
    <hyperlink ref="HL113" r:id="rId1169"/>
    <hyperlink ref="HL116" r:id="rId1170"/>
    <hyperlink ref="HL117" r:id="rId1171"/>
    <hyperlink ref="HQ113" r:id="rId1172"/>
    <hyperlink ref="HQ117" r:id="rId1173"/>
    <hyperlink ref="HL108" r:id="rId1174"/>
    <hyperlink ref="HL112" r:id="rId1175"/>
    <hyperlink ref="HL150" r:id="rId1176"/>
    <hyperlink ref="HL153" r:id="rId1177"/>
    <hyperlink ref="HL170" r:id="rId1178"/>
    <hyperlink ref="HQ108" r:id="rId1179"/>
    <hyperlink ref="HQ116" r:id="rId1180"/>
    <hyperlink ref="HQ120" r:id="rId1181"/>
    <hyperlink ref="HQ131" r:id="rId1182"/>
    <hyperlink ref="HQ133" r:id="rId1183"/>
    <hyperlink ref="HQ142" r:id="rId1184"/>
    <hyperlink ref="HQ150" r:id="rId1185"/>
    <hyperlink ref="HQ153" r:id="rId1186"/>
    <hyperlink ref="HQ169" r:id="rId1187"/>
    <hyperlink ref="HQ170" r:id="rId1188"/>
    <hyperlink ref="HQ182" r:id="rId1189"/>
    <hyperlink ref="HQ194" r:id="rId1190"/>
    <hyperlink ref="HQ198" r:id="rId1191"/>
    <hyperlink ref="HV4" r:id="rId1192"/>
    <hyperlink ref="HV7" r:id="rId1193"/>
    <hyperlink ref="HV8" r:id="rId1194"/>
    <hyperlink ref="HV9" r:id="rId1195"/>
    <hyperlink ref="HV10" r:id="rId1196"/>
    <hyperlink ref="HV11" r:id="rId1197"/>
    <hyperlink ref="HV12" r:id="rId1198"/>
    <hyperlink ref="HV13" r:id="rId1199"/>
    <hyperlink ref="HV16" r:id="rId1200"/>
    <hyperlink ref="HV19" r:id="rId1201"/>
    <hyperlink ref="HV20" r:id="rId1202"/>
    <hyperlink ref="HV24" r:id="rId1203"/>
    <hyperlink ref="HV26" r:id="rId1204"/>
    <hyperlink ref="HV28" r:id="rId1205"/>
    <hyperlink ref="HV33" r:id="rId1206"/>
    <hyperlink ref="HV37" r:id="rId1207"/>
    <hyperlink ref="HV38" r:id="rId1208"/>
    <hyperlink ref="HV39" r:id="rId1209"/>
    <hyperlink ref="HV101" r:id="rId1210"/>
    <hyperlink ref="HV3" r:id="rId1211"/>
    <hyperlink ref="HL4" r:id="rId1212"/>
    <hyperlink ref="HL7" r:id="rId1213"/>
    <hyperlink ref="HL8" r:id="rId1214"/>
    <hyperlink ref="HL6" r:id="rId1215"/>
    <hyperlink ref="HL10" r:id="rId1216"/>
    <hyperlink ref="HL9" r:id="rId1217"/>
    <hyperlink ref="HL11" r:id="rId1218"/>
    <hyperlink ref="HL12" r:id="rId1219"/>
    <hyperlink ref="HL13" r:id="rId1220"/>
    <hyperlink ref="HL14" r:id="rId1221"/>
    <hyperlink ref="HL17" r:id="rId1222"/>
    <hyperlink ref="HL19" r:id="rId1223"/>
    <hyperlink ref="HL21" r:id="rId1224"/>
    <hyperlink ref="HL24" r:id="rId1225"/>
    <hyperlink ref="HL26" r:id="rId1226"/>
    <hyperlink ref="HL28" r:id="rId1227"/>
    <hyperlink ref="HL29" r:id="rId1228"/>
    <hyperlink ref="HL33" r:id="rId1229"/>
    <hyperlink ref="HL34" r:id="rId1230"/>
    <hyperlink ref="HL37" r:id="rId1231"/>
    <hyperlink ref="HQ11" r:id="rId1232"/>
    <hyperlink ref="HQ9" r:id="rId1233"/>
    <hyperlink ref="HQ19" r:id="rId1234"/>
    <hyperlink ref="HQ28" r:id="rId1235"/>
    <hyperlink ref="HQ6" r:id="rId1236"/>
    <hyperlink ref="HQ4" r:id="rId1237"/>
    <hyperlink ref="HQ12" r:id="rId1238"/>
    <hyperlink ref="HQ24" r:id="rId1239"/>
    <hyperlink ref="HQ14" r:id="rId1240"/>
    <hyperlink ref="HQ21" r:id="rId1241"/>
    <hyperlink ref="HQ26" r:id="rId1242"/>
    <hyperlink ref="HQ29" r:id="rId1243"/>
    <hyperlink ref="HQ33" r:id="rId1244"/>
    <hyperlink ref="HQ39" r:id="rId1245"/>
    <hyperlink ref="HL39" r:id="rId1246"/>
    <hyperlink ref="HV44" r:id="rId1247"/>
    <hyperlink ref="HV45" r:id="rId1248"/>
    <hyperlink ref="HV48" r:id="rId1249"/>
    <hyperlink ref="HV49" r:id="rId1250"/>
    <hyperlink ref="HV52" r:id="rId1251"/>
    <hyperlink ref="HV53" r:id="rId1252"/>
    <hyperlink ref="HV55" r:id="rId1253"/>
    <hyperlink ref="HV58" r:id="rId1254"/>
    <hyperlink ref="HV59" r:id="rId1255"/>
    <hyperlink ref="HV61" r:id="rId1256"/>
    <hyperlink ref="HV62" r:id="rId1257"/>
    <hyperlink ref="HV65" r:id="rId1258"/>
    <hyperlink ref="HV66" r:id="rId1259"/>
    <hyperlink ref="HV68" r:id="rId1260"/>
    <hyperlink ref="HQ45" r:id="rId1261"/>
    <hyperlink ref="HQ47" r:id="rId1262"/>
    <hyperlink ref="HQ48" r:id="rId1263"/>
    <hyperlink ref="HQ49" r:id="rId1264"/>
    <hyperlink ref="HQ61" r:id="rId1265"/>
    <hyperlink ref="HQ62" r:id="rId1266"/>
    <hyperlink ref="HQ65" r:id="rId1267"/>
    <hyperlink ref="HQ68" r:id="rId1268"/>
    <hyperlink ref="HL43" r:id="rId1269"/>
    <hyperlink ref="HL45" r:id="rId1270"/>
    <hyperlink ref="HL47" r:id="rId1271"/>
    <hyperlink ref="HL48" r:id="rId1272"/>
    <hyperlink ref="HL49" r:id="rId1273"/>
    <hyperlink ref="HQ63" r:id="rId1274"/>
    <hyperlink ref="HQ67" r:id="rId1275"/>
    <hyperlink ref="HQ58" r:id="rId1276"/>
    <hyperlink ref="HL44" r:id="rId1277"/>
    <hyperlink ref="HV70" r:id="rId1278"/>
    <hyperlink ref="HV71" r:id="rId1279"/>
    <hyperlink ref="HV73" r:id="rId1280"/>
    <hyperlink ref="HV75" r:id="rId1281"/>
    <hyperlink ref="HV77" r:id="rId1282"/>
    <hyperlink ref="HV78" r:id="rId1283"/>
    <hyperlink ref="HV79" r:id="rId1284"/>
    <hyperlink ref="HV80" r:id="rId1285"/>
    <hyperlink ref="HV83" r:id="rId1286"/>
    <hyperlink ref="HV84" r:id="rId1287"/>
    <hyperlink ref="HV85" r:id="rId1288"/>
    <hyperlink ref="HV86" r:id="rId1289"/>
    <hyperlink ref="HV87" r:id="rId1290"/>
    <hyperlink ref="HV88" r:id="rId1291"/>
    <hyperlink ref="HV93" r:id="rId1292"/>
    <hyperlink ref="HV94" r:id="rId1293"/>
    <hyperlink ref="HV96" r:id="rId1294"/>
    <hyperlink ref="HQ77" r:id="rId1295"/>
    <hyperlink ref="HQ78" r:id="rId1296"/>
    <hyperlink ref="HL76" r:id="rId1297"/>
    <hyperlink ref="HL77" r:id="rId1298"/>
    <hyperlink ref="HL78" r:id="rId1299"/>
    <hyperlink ref="HL79" r:id="rId1300"/>
    <hyperlink ref="HL83" r:id="rId1301"/>
    <hyperlink ref="HL84" r:id="rId1302"/>
    <hyperlink ref="HL85" r:id="rId1303"/>
    <hyperlink ref="HQ87" r:id="rId1304"/>
    <hyperlink ref="HL87" r:id="rId1305"/>
    <hyperlink ref="HL90" r:id="rId1306"/>
    <hyperlink ref="HL93" r:id="rId1307"/>
    <hyperlink ref="HQ93" r:id="rId1308"/>
    <hyperlink ref="HQ76" r:id="rId1309"/>
    <hyperlink ref="HQ83" r:id="rId1310"/>
    <hyperlink ref="HQ84" r:id="rId1311"/>
    <hyperlink ref="HQ85" r:id="rId1312"/>
    <hyperlink ref="HQ94" r:id="rId1313"/>
    <hyperlink ref="HL94" r:id="rId1314"/>
    <hyperlink ref="HL96" r:id="rId1315"/>
    <hyperlink ref="HV98" r:id="rId1316"/>
    <hyperlink ref="HQ98" r:id="rId1317"/>
    <hyperlink ref="HL98" r:id="rId1318"/>
    <hyperlink ref="HV103" r:id="rId1319"/>
    <hyperlink ref="HV104" r:id="rId1320"/>
    <hyperlink ref="HV107" r:id="rId1321"/>
    <hyperlink ref="HL103" r:id="rId1322"/>
    <hyperlink ref="HL104" r:id="rId1323"/>
    <hyperlink ref="HL105" r:id="rId1324"/>
    <hyperlink ref="HL106" r:id="rId1325"/>
    <hyperlink ref="HL107" r:id="rId1326"/>
    <hyperlink ref="HQ103" r:id="rId1327"/>
    <hyperlink ref="HQ104" r:id="rId1328"/>
    <hyperlink ref="HQ105" r:id="rId1329"/>
    <hyperlink ref="HQ106" r:id="rId1330"/>
    <hyperlink ref="HQ107" r:id="rId1331"/>
    <hyperlink ref="HV17" r:id="rId1332"/>
    <hyperlink ref="HV60" r:id="rId1333"/>
    <hyperlink ref="HV100" r:id="rId1334"/>
    <hyperlink ref="HV67" r:id="rId1335"/>
    <hyperlink ref="HV69" r:id="rId1336" location="12 "/>
    <hyperlink ref="HV51" r:id="rId1337" location="12 "/>
    <hyperlink ref="HV47" r:id="rId1338" location="12 "/>
    <hyperlink ref="HV32" r:id="rId1339" location="12 "/>
    <hyperlink ref="HV25" r:id="rId1340" location="12 "/>
    <hyperlink ref="HV14" r:id="rId1341" location="12 "/>
    <hyperlink ref="HV90" r:id="rId1342"/>
    <hyperlink ref="HV91" r:id="rId1343" location="17 "/>
    <hyperlink ref="HQ37" r:id="rId1344"/>
    <hyperlink ref="HQ17" r:id="rId1345"/>
    <hyperlink ref="HL149" r:id="rId1346"/>
    <hyperlink ref="HL52" r:id="rId1347"/>
    <hyperlink ref="HL58" r:id="rId1348"/>
    <hyperlink ref="HL61" r:id="rId1349"/>
    <hyperlink ref="HL62" r:id="rId1350"/>
    <hyperlink ref="HL63" r:id="rId1351"/>
    <hyperlink ref="HL65" r:id="rId1352"/>
    <hyperlink ref="HL66" r:id="rId1353"/>
    <hyperlink ref="HL67" r:id="rId1354"/>
    <hyperlink ref="HL68" r:id="rId1355"/>
    <hyperlink ref="HL69" r:id="rId1356"/>
    <hyperlink ref="HL86" r:id="rId1357"/>
    <hyperlink ref="HL132" r:id="rId1358"/>
    <hyperlink ref="BH58" r:id="rId1359"/>
    <hyperlink ref="BC58" r:id="rId1360"/>
    <hyperlink ref="AY189" r:id="rId1361"/>
    <hyperlink ref="AY190" r:id="rId1362"/>
    <hyperlink ref="AY191" r:id="rId1363"/>
    <hyperlink ref="AY199" r:id="rId1364"/>
    <hyperlink ref="AY193" r:id="rId1365"/>
    <hyperlink ref="AY181" r:id="rId1366"/>
    <hyperlink ref="BC190" r:id="rId1367"/>
    <hyperlink ref="BH182" r:id="rId1368"/>
    <hyperlink ref="BH184" r:id="rId1369"/>
    <hyperlink ref="BH190" r:id="rId1370"/>
    <hyperlink ref="BH192" r:id="rId1371"/>
    <hyperlink ref="BH193" r:id="rId1372"/>
    <hyperlink ref="BH196" r:id="rId1373"/>
    <hyperlink ref="AY176" r:id="rId1374"/>
    <hyperlink ref="AY179" r:id="rId1375"/>
    <hyperlink ref="AY180" r:id="rId1376"/>
    <hyperlink ref="AY182" r:id="rId1377"/>
    <hyperlink ref="AY183" r:id="rId1378"/>
    <hyperlink ref="AY184" r:id="rId1379"/>
    <hyperlink ref="AY187" r:id="rId1380"/>
    <hyperlink ref="AY192" r:id="rId1381"/>
    <hyperlink ref="AY194" r:id="rId1382"/>
    <hyperlink ref="AY198" r:id="rId1383"/>
    <hyperlink ref="BC184" r:id="rId1384"/>
    <hyperlink ref="AY157" r:id="rId1385"/>
    <hyperlink ref="AY165" r:id="rId1386"/>
    <hyperlink ref="AY168" r:id="rId1387"/>
    <hyperlink ref="AY163" r:id="rId1388"/>
    <hyperlink ref="AY166" r:id="rId1389"/>
    <hyperlink ref="AY172" r:id="rId1390"/>
    <hyperlink ref="AY173" r:id="rId1391"/>
    <hyperlink ref="AY175" r:id="rId1392"/>
    <hyperlink ref="AY129" r:id="rId1393"/>
    <hyperlink ref="AY130" r:id="rId1394"/>
    <hyperlink ref="AY133" r:id="rId1395"/>
    <hyperlink ref="AY134" r:id="rId1396"/>
    <hyperlink ref="BC136" r:id="rId1397"/>
    <hyperlink ref="BC137" r:id="rId1398"/>
    <hyperlink ref="AY137" r:id="rId1399"/>
    <hyperlink ref="AY127" r:id="rId1400"/>
    <hyperlink ref="AY156" r:id="rId1401"/>
    <hyperlink ref="BC156" r:id="rId1402"/>
    <hyperlink ref="AY185" r:id="rId1403"/>
    <hyperlink ref="AY122" r:id="rId1404"/>
    <hyperlink ref="AY123" r:id="rId1405"/>
    <hyperlink ref="AY124" r:id="rId1406"/>
    <hyperlink ref="AY125" r:id="rId1407"/>
    <hyperlink ref="AY126" r:id="rId1408"/>
    <hyperlink ref="AY128" r:id="rId1409"/>
    <hyperlink ref="AY131" r:id="rId1410"/>
    <hyperlink ref="AY132" r:id="rId1411"/>
    <hyperlink ref="AY135" r:id="rId1412"/>
    <hyperlink ref="AY136" r:id="rId1413"/>
    <hyperlink ref="AY138" r:id="rId1414"/>
    <hyperlink ref="AY139" r:id="rId1415"/>
    <hyperlink ref="AY140" r:id="rId1416"/>
    <hyperlink ref="AY141" r:id="rId1417"/>
    <hyperlink ref="AY145" r:id="rId1418"/>
    <hyperlink ref="AY147" r:id="rId1419"/>
    <hyperlink ref="AY149" r:id="rId1420"/>
    <hyperlink ref="AY150" r:id="rId1421"/>
    <hyperlink ref="AY151" r:id="rId1422"/>
    <hyperlink ref="AY152" r:id="rId1423"/>
    <hyperlink ref="AY154" r:id="rId1424"/>
    <hyperlink ref="AY155" r:id="rId1425"/>
    <hyperlink ref="AY158" r:id="rId1426"/>
    <hyperlink ref="AY159" r:id="rId1427"/>
    <hyperlink ref="AY162" r:id="rId1428"/>
    <hyperlink ref="AY164" r:id="rId1429"/>
    <hyperlink ref="AY169" r:id="rId1430"/>
    <hyperlink ref="AY170" r:id="rId1431"/>
    <hyperlink ref="AY171" r:id="rId1432"/>
    <hyperlink ref="AY174" r:id="rId1433"/>
    <hyperlink ref="BC123" r:id="rId1434"/>
    <hyperlink ref="BC124" r:id="rId1435"/>
    <hyperlink ref="BC125" r:id="rId1436"/>
    <hyperlink ref="BC126" r:id="rId1437"/>
    <hyperlink ref="BC131" r:id="rId1438"/>
    <hyperlink ref="BC132" r:id="rId1439"/>
    <hyperlink ref="BC138" r:id="rId1440"/>
    <hyperlink ref="BC139" r:id="rId1441"/>
    <hyperlink ref="BC140" r:id="rId1442"/>
    <hyperlink ref="BC141" r:id="rId1443"/>
    <hyperlink ref="BC149" r:id="rId1444"/>
    <hyperlink ref="BC150" r:id="rId1445"/>
    <hyperlink ref="BC147" r:id="rId1446"/>
    <hyperlink ref="BC152" r:id="rId1447"/>
    <hyperlink ref="BC155" r:id="rId1448"/>
    <hyperlink ref="BC158" r:id="rId1449"/>
    <hyperlink ref="BC175" r:id="rId1450"/>
    <hyperlink ref="BC176" r:id="rId1451"/>
    <hyperlink ref="BC174" r:id="rId1452"/>
    <hyperlink ref="BC179" r:id="rId1453"/>
    <hyperlink ref="BC180" r:id="rId1454"/>
    <hyperlink ref="BC181" r:id="rId1455"/>
    <hyperlink ref="BC183" r:id="rId1456"/>
    <hyperlink ref="BC182" r:id="rId1457"/>
    <hyperlink ref="BC187" r:id="rId1458"/>
    <hyperlink ref="BC192" r:id="rId1459"/>
    <hyperlink ref="BC193" r:id="rId1460"/>
    <hyperlink ref="BC196" r:id="rId1461"/>
    <hyperlink ref="BH189" r:id="rId1462"/>
    <hyperlink ref="BH155" r:id="rId1463"/>
    <hyperlink ref="BH160" r:id="rId1464"/>
    <hyperlink ref="BH130" r:id="rId1465"/>
    <hyperlink ref="BH134" r:id="rId1466" location="nationalservices"/>
    <hyperlink ref="AY186" r:id="rId1467"/>
    <hyperlink ref="BC171" r:id="rId1468"/>
    <hyperlink ref="AY200" r:id="rId1469"/>
    <hyperlink ref="BC128" r:id="rId1470"/>
    <hyperlink ref="BC135" r:id="rId1471"/>
    <hyperlink ref="BH135" r:id="rId1472"/>
    <hyperlink ref="BC145" r:id="rId1473"/>
    <hyperlink ref="BC162" r:id="rId1474"/>
    <hyperlink ref="BH162" r:id="rId1475"/>
    <hyperlink ref="BH172" r:id="rId1476"/>
    <hyperlink ref="BH145" r:id="rId1477"/>
    <hyperlink ref="BC188" r:id="rId1478"/>
    <hyperlink ref="BC194" r:id="rId1479"/>
    <hyperlink ref="AQ33" r:id="rId1480"/>
    <hyperlink ref="AQ5" r:id="rId1481"/>
    <hyperlink ref="AQ59" r:id="rId1482"/>
    <hyperlink ref="AQ42" r:id="rId1483" display="http://www.minaffecirdc.cd/"/>
    <hyperlink ref="AQ76" r:id="rId1484"/>
    <hyperlink ref="AQ83" r:id="rId1485"/>
    <hyperlink ref="AQ188" r:id="rId1486"/>
    <hyperlink ref="AQ190" r:id="rId1487"/>
    <hyperlink ref="AQ191" r:id="rId1488"/>
    <hyperlink ref="AQ186" r:id="rId1489"/>
    <hyperlink ref="AQ166" r:id="rId1490"/>
    <hyperlink ref="AQ156" r:id="rId1491"/>
    <hyperlink ref="AQ155" r:id="rId1492"/>
    <hyperlink ref="AQ165" r:id="rId1493"/>
    <hyperlink ref="AQ152" r:id="rId1494"/>
    <hyperlink ref="AQ154" r:id="rId1495"/>
    <hyperlink ref="AQ127" r:id="rId1496"/>
    <hyperlink ref="AQ137" r:id="rId1497"/>
    <hyperlink ref="AQ118" r:id="rId1498"/>
    <hyperlink ref="AQ92" r:id="rId1499"/>
    <hyperlink ref="AD184" r:id="rId1500"/>
    <hyperlink ref="AM200" r:id="rId1501"/>
    <hyperlink ref="AM196" r:id="rId1502"/>
    <hyperlink ref="AM189" r:id="rId1503"/>
    <hyperlink ref="AM177" r:id="rId1504"/>
    <hyperlink ref="AM183" r:id="rId1505"/>
    <hyperlink ref="AM187" r:id="rId1506"/>
    <hyperlink ref="AM191" r:id="rId1507"/>
    <hyperlink ref="AM178" r:id="rId1508"/>
    <hyperlink ref="AM184" r:id="rId1509"/>
    <hyperlink ref="AM188" r:id="rId1510"/>
    <hyperlink ref="AM192" r:id="rId1511"/>
    <hyperlink ref="AM193" r:id="rId1512" location=".VKHMYmowAA "/>
    <hyperlink ref="AM176" r:id="rId1513"/>
    <hyperlink ref="AM182" r:id="rId1514"/>
    <hyperlink ref="AM198" r:id="rId1515"/>
    <hyperlink ref="AM195" r:id="rId1516" location="Venezuela"/>
    <hyperlink ref="AM165" r:id="rId1517"/>
    <hyperlink ref="AM160" r:id="rId1518"/>
    <hyperlink ref="AM166" r:id="rId1519"/>
    <hyperlink ref="AM172" r:id="rId1520"/>
    <hyperlink ref="AM168" r:id="rId1521"/>
    <hyperlink ref="AM169" r:id="rId1522"/>
    <hyperlink ref="AM167" r:id="rId1523"/>
    <hyperlink ref="AM173" r:id="rId1524"/>
    <hyperlink ref="AM158" r:id="rId1525" location="concept"/>
    <hyperlink ref="AM161" r:id="rId1526"/>
    <hyperlink ref="AM162" r:id="rId1527"/>
    <hyperlink ref="AM159" r:id="rId1528"/>
    <hyperlink ref="AM112" r:id="rId1529"/>
    <hyperlink ref="AM115" r:id="rId1530"/>
    <hyperlink ref="AM121" r:id="rId1531"/>
    <hyperlink ref="AM117" r:id="rId1532"/>
    <hyperlink ref="AM116" r:id="rId1533"/>
    <hyperlink ref="AM123" r:id="rId1534"/>
    <hyperlink ref="AM122" r:id="rId1535"/>
    <hyperlink ref="AM113" r:id="rId1536"/>
    <hyperlink ref="AM120" r:id="rId1537"/>
    <hyperlink ref="AM144" r:id="rId1538"/>
    <hyperlink ref="AM145" r:id="rId1539"/>
    <hyperlink ref="AM135" r:id="rId1540"/>
    <hyperlink ref="AM131" r:id="rId1541"/>
    <hyperlink ref="AM148" r:id="rId1542"/>
    <hyperlink ref="AM136" r:id="rId1543"/>
    <hyperlink ref="AM133" r:id="rId1544"/>
    <hyperlink ref="AM134" r:id="rId1545"/>
    <hyperlink ref="AM146" r:id="rId1546"/>
    <hyperlink ref="AM147" r:id="rId1547"/>
    <hyperlink ref="AM143" r:id="rId1548"/>
    <hyperlink ref="AM138" r:id="rId1549" location="axzz3NJqOloEG"/>
    <hyperlink ref="AM139" r:id="rId1550"/>
    <hyperlink ref="AM140" r:id="rId1551" location="axzz3NJqOloEG"/>
    <hyperlink ref="AM141" r:id="rId1552"/>
    <hyperlink ref="AM150" r:id="rId1553"/>
    <hyperlink ref="AM151" r:id="rId1554"/>
    <hyperlink ref="AM155" r:id="rId1555"/>
    <hyperlink ref="AM153" r:id="rId1556"/>
    <hyperlink ref="AM156" r:id="rId1557"/>
    <hyperlink ref="AM157" r:id="rId1558"/>
    <hyperlink ref="HV109" r:id="rId1559" location="37"/>
    <hyperlink ref="HQ123" r:id="rId1560"/>
    <hyperlink ref="HV123" r:id="rId1561"/>
    <hyperlink ref="HV124" r:id="rId1562"/>
    <hyperlink ref="EG222" r:id="rId1563"/>
    <hyperlink ref="EG223" r:id="rId1564"/>
    <hyperlink ref="C175" r:id="rId1565" display="Taiwan"/>
    <hyperlink ref="H42" r:id="rId1566"/>
    <hyperlink ref="CF3" r:id="rId1567"/>
    <hyperlink ref="CF4" r:id="rId1568"/>
    <hyperlink ref="CF5" r:id="rId1569"/>
    <hyperlink ref="CF7" r:id="rId1570"/>
    <hyperlink ref="CF8" r:id="rId1571"/>
    <hyperlink ref="CF9" r:id="rId1572"/>
    <hyperlink ref="CF10" r:id="rId1573"/>
    <hyperlink ref="CF11" r:id="rId1574"/>
    <hyperlink ref="CF12" r:id="rId1575"/>
    <hyperlink ref="CF13" r:id="rId1576"/>
    <hyperlink ref="CF14" r:id="rId1577"/>
    <hyperlink ref="CF15" r:id="rId1578"/>
    <hyperlink ref="CF16" r:id="rId1579"/>
    <hyperlink ref="CF17" r:id="rId1580"/>
    <hyperlink ref="CF18" r:id="rId1581"/>
    <hyperlink ref="CF19" r:id="rId1582"/>
    <hyperlink ref="CF20" r:id="rId1583"/>
    <hyperlink ref="CF21" r:id="rId1584"/>
    <hyperlink ref="CF22" r:id="rId1585"/>
    <hyperlink ref="CF23" r:id="rId1586"/>
    <hyperlink ref="CF24" r:id="rId1587"/>
    <hyperlink ref="CF25" r:id="rId1588"/>
    <hyperlink ref="CF26" r:id="rId1589"/>
    <hyperlink ref="CF27" r:id="rId1590"/>
    <hyperlink ref="CF28" r:id="rId1591"/>
    <hyperlink ref="CF29" r:id="rId1592"/>
    <hyperlink ref="CF30" r:id="rId1593"/>
    <hyperlink ref="CF31" r:id="rId1594"/>
    <hyperlink ref="CF32" r:id="rId1595"/>
    <hyperlink ref="CF33" r:id="rId1596"/>
    <hyperlink ref="CF34" r:id="rId1597"/>
    <hyperlink ref="CF35" r:id="rId1598"/>
    <hyperlink ref="CF36" r:id="rId1599"/>
    <hyperlink ref="CF37" r:id="rId1600"/>
    <hyperlink ref="CF38" r:id="rId1601"/>
    <hyperlink ref="CF39" r:id="rId1602"/>
    <hyperlink ref="CF40" r:id="rId1603"/>
    <hyperlink ref="CF41" r:id="rId1604"/>
    <hyperlink ref="CF42" r:id="rId1605"/>
    <hyperlink ref="CF43" r:id="rId1606"/>
    <hyperlink ref="CF44" r:id="rId1607"/>
    <hyperlink ref="CF45" r:id="rId1608"/>
    <hyperlink ref="CF46" r:id="rId1609"/>
    <hyperlink ref="CF47" r:id="rId1610"/>
    <hyperlink ref="CF48" r:id="rId1611"/>
    <hyperlink ref="CF49" r:id="rId1612"/>
    <hyperlink ref="CF50" r:id="rId1613"/>
    <hyperlink ref="CF52" r:id="rId1614"/>
    <hyperlink ref="CF53" r:id="rId1615"/>
    <hyperlink ref="CF54" r:id="rId1616"/>
    <hyperlink ref="CF55" r:id="rId1617"/>
    <hyperlink ref="CF56" r:id="rId1618"/>
    <hyperlink ref="CF57" r:id="rId1619"/>
    <hyperlink ref="CF58" r:id="rId1620"/>
    <hyperlink ref="CF59" r:id="rId1621"/>
    <hyperlink ref="CF60" r:id="rId1622"/>
    <hyperlink ref="CF61" r:id="rId1623"/>
    <hyperlink ref="CF62" r:id="rId1624"/>
    <hyperlink ref="CF63" r:id="rId1625"/>
    <hyperlink ref="CF64" r:id="rId1626"/>
    <hyperlink ref="CF65" r:id="rId1627"/>
    <hyperlink ref="CF66" r:id="rId1628"/>
    <hyperlink ref="CF67" r:id="rId1629"/>
    <hyperlink ref="CF68" r:id="rId1630"/>
    <hyperlink ref="CF69" r:id="rId1631"/>
    <hyperlink ref="CF70" r:id="rId1632"/>
    <hyperlink ref="CF71" r:id="rId1633"/>
    <hyperlink ref="CF72" r:id="rId1634"/>
    <hyperlink ref="CF73" r:id="rId1635"/>
    <hyperlink ref="CF74" r:id="rId1636"/>
    <hyperlink ref="CF75" r:id="rId1637"/>
    <hyperlink ref="CF76" r:id="rId1638"/>
    <hyperlink ref="CF77" r:id="rId1639"/>
    <hyperlink ref="CF78" r:id="rId1640"/>
    <hyperlink ref="CF79" r:id="rId1641"/>
    <hyperlink ref="CF80" r:id="rId1642"/>
    <hyperlink ref="CF81" r:id="rId1643"/>
    <hyperlink ref="CF82" r:id="rId1644"/>
    <hyperlink ref="CF83" r:id="rId1645"/>
    <hyperlink ref="CF84" r:id="rId1646"/>
    <hyperlink ref="CF85" r:id="rId1647"/>
    <hyperlink ref="CF86" r:id="rId1648"/>
    <hyperlink ref="CF87" r:id="rId1649"/>
    <hyperlink ref="CF88" r:id="rId1650"/>
    <hyperlink ref="CF89" r:id="rId1651"/>
    <hyperlink ref="CF90" r:id="rId1652"/>
    <hyperlink ref="CF91" r:id="rId1653"/>
    <hyperlink ref="CF92" r:id="rId1654"/>
    <hyperlink ref="CF93" r:id="rId1655"/>
    <hyperlink ref="CF95" r:id="rId1656"/>
    <hyperlink ref="CF96" r:id="rId1657"/>
    <hyperlink ref="CF97" r:id="rId1658"/>
    <hyperlink ref="CF98" r:id="rId1659"/>
    <hyperlink ref="CF99" r:id="rId1660"/>
    <hyperlink ref="CF100" r:id="rId1661"/>
    <hyperlink ref="CF101" r:id="rId1662"/>
    <hyperlink ref="CF102" r:id="rId1663"/>
    <hyperlink ref="CF104" r:id="rId1664"/>
    <hyperlink ref="CF105" r:id="rId1665"/>
    <hyperlink ref="CF106" r:id="rId1666"/>
    <hyperlink ref="CF107" r:id="rId1667"/>
    <hyperlink ref="CF108" r:id="rId1668"/>
    <hyperlink ref="CF109" r:id="rId1669"/>
    <hyperlink ref="CF110" r:id="rId1670"/>
    <hyperlink ref="CF111" r:id="rId1671"/>
    <hyperlink ref="CF112" r:id="rId1672"/>
    <hyperlink ref="CF113" r:id="rId1673"/>
    <hyperlink ref="CF115" r:id="rId1674"/>
    <hyperlink ref="CF116" r:id="rId1675"/>
    <hyperlink ref="CF117" r:id="rId1676"/>
    <hyperlink ref="CF118" r:id="rId1677"/>
    <hyperlink ref="CF119" r:id="rId1678"/>
    <hyperlink ref="CF121" r:id="rId1679"/>
    <hyperlink ref="CF122" r:id="rId1680"/>
    <hyperlink ref="CF123" r:id="rId1681"/>
    <hyperlink ref="CF124" r:id="rId1682"/>
    <hyperlink ref="CF125" r:id="rId1683"/>
    <hyperlink ref="CF126" r:id="rId1684"/>
    <hyperlink ref="CF128" r:id="rId1685"/>
    <hyperlink ref="CF129" r:id="rId1686"/>
    <hyperlink ref="CF130" r:id="rId1687"/>
    <hyperlink ref="CF131" r:id="rId1688"/>
    <hyperlink ref="CF132" r:id="rId1689"/>
    <hyperlink ref="CF133" r:id="rId1690"/>
    <hyperlink ref="CF134" r:id="rId1691"/>
    <hyperlink ref="CF135" r:id="rId1692"/>
    <hyperlink ref="CF136" r:id="rId1693"/>
    <hyperlink ref="CF138" r:id="rId1694"/>
    <hyperlink ref="CF139" r:id="rId1695"/>
    <hyperlink ref="CF140" r:id="rId1696"/>
    <hyperlink ref="CF141" r:id="rId1697"/>
    <hyperlink ref="CF142" r:id="rId1698"/>
    <hyperlink ref="CF143" r:id="rId1699"/>
    <hyperlink ref="CF144" r:id="rId1700"/>
    <hyperlink ref="CF145" r:id="rId1701"/>
    <hyperlink ref="CF146" r:id="rId1702"/>
    <hyperlink ref="CF147" r:id="rId1703"/>
    <hyperlink ref="CF148" r:id="rId1704"/>
    <hyperlink ref="CF150" r:id="rId1705"/>
    <hyperlink ref="CF151" r:id="rId1706"/>
    <hyperlink ref="CF152" r:id="rId1707"/>
    <hyperlink ref="CF154" r:id="rId1708"/>
    <hyperlink ref="CF155" r:id="rId1709"/>
    <hyperlink ref="CF156" r:id="rId1710"/>
    <hyperlink ref="CF157" r:id="rId1711"/>
    <hyperlink ref="CF158" r:id="rId1712"/>
    <hyperlink ref="CF159" r:id="rId1713"/>
    <hyperlink ref="CF160" r:id="rId1714"/>
    <hyperlink ref="CF161" r:id="rId1715"/>
    <hyperlink ref="CF162" r:id="rId1716"/>
    <hyperlink ref="CF163" r:id="rId1717"/>
    <hyperlink ref="CF164" r:id="rId1718"/>
    <hyperlink ref="CF165" r:id="rId1719"/>
    <hyperlink ref="CF166" r:id="rId1720"/>
    <hyperlink ref="CF167" r:id="rId1721"/>
    <hyperlink ref="CF168" r:id="rId1722"/>
    <hyperlink ref="CF169" r:id="rId1723"/>
    <hyperlink ref="CF170" r:id="rId1724"/>
    <hyperlink ref="CF171" r:id="rId1725"/>
    <hyperlink ref="CF172" r:id="rId1726"/>
    <hyperlink ref="CF173" r:id="rId1727"/>
    <hyperlink ref="CF174" r:id="rId1728"/>
    <hyperlink ref="CF176" r:id="rId1729"/>
    <hyperlink ref="CF177" r:id="rId1730"/>
    <hyperlink ref="CF178" r:id="rId1731"/>
    <hyperlink ref="CF179" r:id="rId1732"/>
    <hyperlink ref="CF180" r:id="rId1733"/>
    <hyperlink ref="CF181" r:id="rId1734"/>
    <hyperlink ref="CF182" r:id="rId1735"/>
    <hyperlink ref="CF183" r:id="rId1736"/>
    <hyperlink ref="CF184" r:id="rId1737"/>
    <hyperlink ref="CF185" r:id="rId1738"/>
    <hyperlink ref="CF187" r:id="rId1739"/>
    <hyperlink ref="CF188" r:id="rId1740"/>
    <hyperlink ref="CF189" r:id="rId1741"/>
    <hyperlink ref="CF190" r:id="rId1742"/>
    <hyperlink ref="CF191" r:id="rId1743"/>
    <hyperlink ref="CF192" r:id="rId1744"/>
    <hyperlink ref="CF193" r:id="rId1745"/>
    <hyperlink ref="CF194" r:id="rId1746"/>
    <hyperlink ref="CF195" r:id="rId1747"/>
    <hyperlink ref="CF196" r:id="rId1748"/>
    <hyperlink ref="CF197" r:id="rId1749"/>
    <hyperlink ref="CF198" r:id="rId1750"/>
    <hyperlink ref="CF199" r:id="rId1751"/>
    <hyperlink ref="CF200" r:id="rId1752"/>
    <hyperlink ref="CF6" r:id="rId1753"/>
    <hyperlink ref="CF51" r:id="rId1754"/>
    <hyperlink ref="CS11" r:id="rId1755"/>
    <hyperlink ref="CS3" r:id="rId1756"/>
    <hyperlink ref="CS16" r:id="rId1757"/>
    <hyperlink ref="CF94" r:id="rId1758"/>
    <hyperlink ref="CF103" r:id="rId1759"/>
    <hyperlink ref="CF114" r:id="rId1760"/>
    <hyperlink ref="CF120" r:id="rId1761"/>
    <hyperlink ref="CF127" r:id="rId1762"/>
    <hyperlink ref="CF137" r:id="rId1763"/>
    <hyperlink ref="CF149" r:id="rId1764"/>
    <hyperlink ref="CF153" r:id="rId1765"/>
    <hyperlink ref="CF175" r:id="rId1766"/>
    <hyperlink ref="CF186" r:id="rId1767"/>
    <hyperlink ref="CM7" r:id="rId1768"/>
    <hyperlink ref="CM8" r:id="rId1769"/>
    <hyperlink ref="CM14" r:id="rId1770" location="121"/>
    <hyperlink ref="CM15" r:id="rId1771"/>
    <hyperlink ref="CM17" r:id="rId1772" location="121"/>
    <hyperlink ref="CM27" r:id="rId1773"/>
    <hyperlink ref="CM38" r:id="rId1774"/>
    <hyperlink ref="CS8" r:id="rId1775"/>
    <hyperlink ref="CS9" r:id="rId1776"/>
    <hyperlink ref="CM45" r:id="rId1777"/>
    <hyperlink ref="CM51" r:id="rId1778"/>
    <hyperlink ref="CM57" r:id="rId1779"/>
    <hyperlink ref="CM60" r:id="rId1780" location="121"/>
    <hyperlink ref="CM69" r:id="rId1781" location="121"/>
    <hyperlink ref="CM76" r:id="rId1782"/>
    <hyperlink ref="CM93" r:id="rId1783"/>
    <hyperlink ref="CM165" r:id="rId1784"/>
    <hyperlink ref="CM94" r:id="rId1785"/>
    <hyperlink ref="CM95" r:id="rId1786"/>
    <hyperlink ref="CM102" r:id="rId1787"/>
    <hyperlink ref="CM106" r:id="rId1788"/>
    <hyperlink ref="CM110" r:id="rId1789"/>
    <hyperlink ref="CM116" r:id="rId1790"/>
    <hyperlink ref="CM118" r:id="rId1791"/>
    <hyperlink ref="CM135" r:id="rId1792"/>
    <hyperlink ref="CM137" r:id="rId1793"/>
    <hyperlink ref="CM138" r:id="rId1794"/>
    <hyperlink ref="CM139" r:id="rId1795"/>
    <hyperlink ref="CM145" r:id="rId1796"/>
    <hyperlink ref="CM146" r:id="rId1797"/>
    <hyperlink ref="CM149" r:id="rId1798"/>
    <hyperlink ref="CM151" r:id="rId1799"/>
    <hyperlink ref="CM158" r:id="rId1800"/>
    <hyperlink ref="CM160" r:id="rId1801"/>
    <hyperlink ref="CM163" r:id="rId1802"/>
    <hyperlink ref="CM181" r:id="rId1803"/>
    <hyperlink ref="CM175" r:id="rId1804"/>
    <hyperlink ref="CS6" r:id="rId1805"/>
    <hyperlink ref="CS4" r:id="rId1806"/>
    <hyperlink ref="CS7" r:id="rId1807"/>
    <hyperlink ref="CS5" r:id="rId1808"/>
    <hyperlink ref="CS10" r:id="rId1809"/>
    <hyperlink ref="CS226" r:id="rId1810"/>
    <hyperlink ref="CS12" r:id="rId1811"/>
    <hyperlink ref="CS13" r:id="rId1812"/>
    <hyperlink ref="CS14" r:id="rId1813"/>
    <hyperlink ref="CS15" r:id="rId1814"/>
    <hyperlink ref="CS17" r:id="rId1815"/>
    <hyperlink ref="CS38" r:id="rId1816"/>
    <hyperlink ref="CS79" r:id="rId1817"/>
    <hyperlink ref="CS42" r:id="rId1818"/>
    <hyperlink ref="CS64" r:id="rId1819"/>
    <hyperlink ref="CS67" r:id="rId1820"/>
    <hyperlink ref="CS90" r:id="rId1821"/>
    <hyperlink ref="CS147" r:id="rId1822"/>
    <hyperlink ref="CS20" r:id="rId1823"/>
    <hyperlink ref="CS18" r:id="rId1824"/>
    <hyperlink ref="CS19" r:id="rId1825"/>
    <hyperlink ref="CS21" r:id="rId1826"/>
    <hyperlink ref="CS22" r:id="rId1827"/>
    <hyperlink ref="CS29" r:id="rId1828"/>
    <hyperlink ref="CS30" r:id="rId1829"/>
    <hyperlink ref="CS31" r:id="rId1830"/>
    <hyperlink ref="CS32" r:id="rId1831"/>
    <hyperlink ref="CS36" r:id="rId1832"/>
    <hyperlink ref="CS35" r:id="rId1833"/>
    <hyperlink ref="CS24" r:id="rId1834"/>
    <hyperlink ref="CS25" r:id="rId1835"/>
    <hyperlink ref="CS26" r:id="rId1836"/>
    <hyperlink ref="CS44" r:id="rId1837"/>
    <hyperlink ref="CS53" r:id="rId1838"/>
    <hyperlink ref="CS59" r:id="rId1839"/>
    <hyperlink ref="CS27" r:id="rId1840"/>
    <hyperlink ref="CS28" r:id="rId1841"/>
    <hyperlink ref="CS33" r:id="rId1842"/>
    <hyperlink ref="CS34" r:id="rId1843"/>
    <hyperlink ref="CS37" r:id="rId1844"/>
    <hyperlink ref="CS48" r:id="rId1845"/>
    <hyperlink ref="CS47" r:id="rId1846"/>
    <hyperlink ref="CS49" r:id="rId1847"/>
    <hyperlink ref="CS52" r:id="rId1848"/>
    <hyperlink ref="CS55" r:id="rId1849"/>
    <hyperlink ref="CS58" r:id="rId1850"/>
    <hyperlink ref="CS61" r:id="rId1851"/>
    <hyperlink ref="CS62" r:id="rId1852"/>
    <hyperlink ref="CS66" r:id="rId1853"/>
    <hyperlink ref="CS70" r:id="rId1854"/>
    <hyperlink ref="CS76" r:id="rId1855"/>
    <hyperlink ref="CS77" r:id="rId1856"/>
    <hyperlink ref="CS78" r:id="rId1857"/>
    <hyperlink ref="CS80" r:id="rId1858"/>
    <hyperlink ref="CS83" r:id="rId1859"/>
    <hyperlink ref="CS85" r:id="rId1860"/>
    <hyperlink ref="CS87" r:id="rId1861"/>
    <hyperlink ref="CS92" r:id="rId1862"/>
    <hyperlink ref="CS93" r:id="rId1863"/>
    <hyperlink ref="CS95" r:id="rId1864"/>
    <hyperlink ref="CS142" r:id="rId1865"/>
    <hyperlink ref="CS103" r:id="rId1866"/>
    <hyperlink ref="CS105" r:id="rId1867"/>
    <hyperlink ref="CS134" r:id="rId1868"/>
    <hyperlink ref="CS135" r:id="rId1869"/>
    <hyperlink ref="CS136" r:id="rId1870"/>
    <hyperlink ref="CS71" r:id="rId1871"/>
    <hyperlink ref="CS72" r:id="rId1872"/>
    <hyperlink ref="CS74" r:id="rId1873"/>
    <hyperlink ref="CS75" r:id="rId1874"/>
    <hyperlink ref="CS73" r:id="rId1875"/>
    <hyperlink ref="CS97" r:id="rId1876"/>
    <hyperlink ref="CS100" r:id="rId1877"/>
    <hyperlink ref="CS101" r:id="rId1878"/>
    <hyperlink ref="CS102" r:id="rId1879"/>
    <hyperlink ref="CS109" r:id="rId1880"/>
    <hyperlink ref="CS108" r:id="rId1881"/>
    <hyperlink ref="CS112" r:id="rId1882"/>
    <hyperlink ref="CS123" r:id="rId1883"/>
    <hyperlink ref="CS124" r:id="rId1884"/>
    <hyperlink ref="CS125" r:id="rId1885"/>
    <hyperlink ref="CM155" r:id="rId1886"/>
    <hyperlink ref="CS155" r:id="rId1887"/>
    <hyperlink ref="CS169" r:id="rId1888"/>
    <hyperlink ref="CS176" r:id="rId1889"/>
    <hyperlink ref="CS177" r:id="rId1890"/>
    <hyperlink ref="CS195" r:id="rId1891"/>
    <hyperlink ref="CS39" r:id="rId1892"/>
    <hyperlink ref="CS40" r:id="rId1893"/>
    <hyperlink ref="CS41" r:id="rId1894"/>
    <hyperlink ref="CS43" r:id="rId1895"/>
    <hyperlink ref="CS45" r:id="rId1896"/>
    <hyperlink ref="CS46" r:id="rId1897"/>
    <hyperlink ref="CS50" r:id="rId1898"/>
    <hyperlink ref="CS51" r:id="rId1899"/>
    <hyperlink ref="CS54" r:id="rId1900"/>
    <hyperlink ref="CS56" r:id="rId1901"/>
    <hyperlink ref="CS57" r:id="rId1902"/>
    <hyperlink ref="CS60" r:id="rId1903"/>
    <hyperlink ref="CS63" r:id="rId1904"/>
    <hyperlink ref="CS65" r:id="rId1905"/>
    <hyperlink ref="CS68" r:id="rId1906"/>
    <hyperlink ref="CS69" r:id="rId1907"/>
    <hyperlink ref="CS81" r:id="rId1908"/>
    <hyperlink ref="CS82" r:id="rId1909"/>
    <hyperlink ref="CS84" r:id="rId1910"/>
    <hyperlink ref="CS86" r:id="rId1911"/>
    <hyperlink ref="CS88" r:id="rId1912"/>
    <hyperlink ref="CS89" r:id="rId1913"/>
    <hyperlink ref="CS91" r:id="rId1914"/>
    <hyperlink ref="CS94" r:id="rId1915"/>
    <hyperlink ref="CS96" r:id="rId1916"/>
    <hyperlink ref="CS98" r:id="rId1917"/>
    <hyperlink ref="CS99" r:id="rId1918"/>
    <hyperlink ref="CS104" r:id="rId1919"/>
    <hyperlink ref="CS106" r:id="rId1920"/>
    <hyperlink ref="CS107" r:id="rId1921"/>
    <hyperlink ref="CS110" r:id="rId1922"/>
    <hyperlink ref="CS111" r:id="rId1923"/>
    <hyperlink ref="CS113" r:id="rId1924"/>
    <hyperlink ref="CS114" r:id="rId1925"/>
    <hyperlink ref="CS115" r:id="rId1926"/>
    <hyperlink ref="CS116" r:id="rId1927"/>
    <hyperlink ref="CS117" r:id="rId1928"/>
    <hyperlink ref="CS118" r:id="rId1929"/>
    <hyperlink ref="CS119" r:id="rId1930"/>
    <hyperlink ref="CS120" r:id="rId1931"/>
    <hyperlink ref="CS121" r:id="rId1932"/>
    <hyperlink ref="CS122" r:id="rId1933"/>
    <hyperlink ref="CS126" r:id="rId1934"/>
    <hyperlink ref="CS127" r:id="rId1935"/>
    <hyperlink ref="CS128" r:id="rId1936"/>
    <hyperlink ref="CS129" r:id="rId1937"/>
    <hyperlink ref="CS130" r:id="rId1938"/>
    <hyperlink ref="CS131" r:id="rId1939"/>
    <hyperlink ref="CS132" r:id="rId1940"/>
    <hyperlink ref="CS133" r:id="rId1941"/>
    <hyperlink ref="CS137" r:id="rId1942"/>
    <hyperlink ref="CS138" r:id="rId1943"/>
    <hyperlink ref="CS139" r:id="rId1944"/>
    <hyperlink ref="CS140" r:id="rId1945"/>
    <hyperlink ref="CS141" r:id="rId1946"/>
    <hyperlink ref="CS143" r:id="rId1947"/>
    <hyperlink ref="CS144" r:id="rId1948"/>
    <hyperlink ref="CS145" r:id="rId1949"/>
    <hyperlink ref="CS146" r:id="rId1950"/>
    <hyperlink ref="CS148" r:id="rId1951"/>
    <hyperlink ref="CS149" r:id="rId1952"/>
    <hyperlink ref="CS150" r:id="rId1953"/>
    <hyperlink ref="CS151" r:id="rId1954"/>
    <hyperlink ref="CS152" r:id="rId1955"/>
    <hyperlink ref="CS153" r:id="rId1956"/>
    <hyperlink ref="CS154" r:id="rId1957"/>
    <hyperlink ref="CS156" r:id="rId1958"/>
    <hyperlink ref="CS157" r:id="rId1959"/>
    <hyperlink ref="CS158" r:id="rId1960"/>
    <hyperlink ref="CS159" r:id="rId1961"/>
    <hyperlink ref="CS160" r:id="rId1962"/>
    <hyperlink ref="CS161" r:id="rId1963"/>
    <hyperlink ref="CS162" r:id="rId1964"/>
    <hyperlink ref="CS163" r:id="rId1965"/>
    <hyperlink ref="CS164" r:id="rId1966"/>
    <hyperlink ref="CS165" r:id="rId1967"/>
    <hyperlink ref="CS166" r:id="rId1968"/>
    <hyperlink ref="CS167" r:id="rId1969"/>
    <hyperlink ref="CS168" r:id="rId1970"/>
    <hyperlink ref="CS170" r:id="rId1971"/>
    <hyperlink ref="CS171" r:id="rId1972"/>
    <hyperlink ref="CS172" r:id="rId1973"/>
    <hyperlink ref="CS173" r:id="rId1974"/>
    <hyperlink ref="CS174" r:id="rId1975"/>
    <hyperlink ref="CS175" r:id="rId1976"/>
    <hyperlink ref="CS178" r:id="rId1977"/>
    <hyperlink ref="CS179" r:id="rId1978"/>
    <hyperlink ref="CS180" r:id="rId1979"/>
    <hyperlink ref="CS181" r:id="rId1980"/>
    <hyperlink ref="CS182" r:id="rId1981"/>
    <hyperlink ref="CS183" r:id="rId1982"/>
    <hyperlink ref="CS184" display="http://www.ysk.gov.tr/ysk/faces/HaberDetay?training_id=YSKPWCN1_4444014427&amp;_afrLoop=2720659965463380&amp;_afrWindowMode=0&amp;_afrWindowId=frvn4vxj0_28#%40%3F_afrWindowId%3Dfrvn4vxj0_28%26_afrLoop%3D2720659965463380%26training_id%3DYSKPWCN1_4444014427%26_afrWindo"/>
    <hyperlink ref="CS185" r:id="rId1983"/>
    <hyperlink ref="CS187" r:id="rId1984"/>
    <hyperlink ref="CS188" r:id="rId1985"/>
    <hyperlink ref="CS189" r:id="rId1986"/>
    <hyperlink ref="CS190" r:id="rId1987"/>
    <hyperlink ref="CS191" r:id="rId1988"/>
    <hyperlink ref="CS192" r:id="rId1989"/>
    <hyperlink ref="CS193" r:id="rId1990"/>
    <hyperlink ref="CS194" r:id="rId1991"/>
    <hyperlink ref="CS196" r:id="rId1992"/>
    <hyperlink ref="CS197" r:id="rId1993"/>
    <hyperlink ref="CS198" r:id="rId1994"/>
    <hyperlink ref="CS199" r:id="rId1995"/>
    <hyperlink ref="CS200" r:id="rId1996"/>
    <hyperlink ref="CM199" r:id="rId1997"/>
    <hyperlink ref="CS23" r:id="rId1998"/>
    <hyperlink ref="CS186" r:id="rId1999"/>
  </hyperlinks>
  <pageMargins left="0.7" right="0.7" top="0.75" bottom="0.75" header="0.3" footer="0.3"/>
  <pageSetup orientation="portrait" r:id="rId2000"/>
  <ignoredErrors>
    <ignoredError sqref="AJ206 AK205 BL203 DL3 CB3 CB4:CB200 CP184:CQ184 DL4:DL200 DP3:DP200 DT3:DT200" formula="1"/>
    <ignoredError sqref="AM204:AM213" numberStoredAsText="1"/>
  </ignoredErrors>
  <drawing r:id="rId2001"/>
  <legacyDrawing r:id="rId200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B1:EX358"/>
  <sheetViews>
    <sheetView showGridLines="0" zoomScaleNormal="100" workbookViewId="0">
      <selection activeCell="O26" sqref="O26"/>
    </sheetView>
  </sheetViews>
  <sheetFormatPr defaultRowHeight="15"/>
  <cols>
    <col min="1" max="1" width="1.140625" customWidth="1"/>
    <col min="2" max="2" width="7.7109375" customWidth="1"/>
    <col min="3" max="6" width="4.7109375" customWidth="1"/>
    <col min="7" max="7" width="5.7109375" customWidth="1"/>
    <col min="8" max="8" width="0.85546875" customWidth="1"/>
    <col min="9" max="9" width="1.85546875" customWidth="1"/>
    <col min="10" max="10" width="0.7109375" customWidth="1"/>
    <col min="11" max="11" width="7.7109375" customWidth="1"/>
    <col min="12" max="15" width="4.7109375" customWidth="1"/>
    <col min="16" max="16" width="5.7109375" customWidth="1"/>
    <col min="17" max="17" width="0.7109375" customWidth="1"/>
    <col min="18" max="18" width="1.85546875" customWidth="1"/>
    <col min="19" max="19" width="4.7109375" customWidth="1"/>
    <col min="20" max="20" width="10.42578125" customWidth="1"/>
    <col min="21" max="21" width="12" customWidth="1"/>
    <col min="29" max="29" width="7" customWidth="1"/>
    <col min="30" max="30" width="1.85546875" customWidth="1"/>
    <col min="31" max="31" width="14" style="30" customWidth="1"/>
    <col min="32" max="32" width="41.7109375" style="30" bestFit="1" customWidth="1"/>
    <col min="33" max="38" width="4.7109375" style="30" customWidth="1"/>
    <col min="39" max="39" width="2.85546875" style="30" customWidth="1"/>
    <col min="40" max="40" width="3.7109375" style="30" customWidth="1"/>
    <col min="41" max="41" width="6" style="28" customWidth="1"/>
    <col min="42" max="43" width="4.7109375" style="28" customWidth="1"/>
    <col min="44" max="59" width="4.7109375" customWidth="1"/>
    <col min="60" max="60" width="4.140625" customWidth="1"/>
    <col min="61" max="61" width="4.5703125" customWidth="1"/>
    <col min="62" max="62" width="7.7109375" customWidth="1"/>
    <col min="63" max="69" width="4.7109375" customWidth="1"/>
    <col min="70" max="70" width="5.7109375" customWidth="1"/>
    <col min="71" max="71" width="3.42578125" customWidth="1"/>
    <col min="72" max="72" width="7.7109375" customWidth="1"/>
    <col min="73" max="79" width="4.7109375" customWidth="1"/>
    <col min="80" max="80" width="5.7109375" customWidth="1"/>
    <col min="82" max="82" width="8.7109375" customWidth="1"/>
    <col min="83" max="83" width="6.7109375" customWidth="1"/>
    <col min="84" max="88" width="5.7109375" customWidth="1"/>
    <col min="89" max="89" width="7.5703125" customWidth="1"/>
    <col min="90" max="90" width="6.7109375" customWidth="1"/>
    <col min="91" max="91" width="4.7109375" customWidth="1"/>
    <col min="92" max="96" width="5.7109375" customWidth="1"/>
    <col min="97" max="97" width="8.42578125" customWidth="1"/>
    <col min="98" max="98" width="2.5703125" customWidth="1"/>
    <col min="99" max="100" width="2.7109375" customWidth="1"/>
    <col min="101" max="106" width="4.7109375" customWidth="1"/>
    <col min="107" max="107" width="5.7109375" customWidth="1"/>
    <col min="108" max="108" width="3.140625" customWidth="1"/>
    <col min="109" max="109" width="16.7109375" hidden="1" customWidth="1"/>
    <col min="110" max="110" width="2.7109375" customWidth="1"/>
    <col min="111" max="111" width="2.7109375" style="618" customWidth="1"/>
    <col min="112" max="117" width="4.7109375" customWidth="1"/>
    <col min="118" max="118" width="5.7109375" customWidth="1"/>
    <col min="119" max="119" width="2.7109375" style="618" customWidth="1"/>
    <col min="120" max="120" width="2.85546875" customWidth="1"/>
    <col min="121" max="121" width="15.7109375" customWidth="1"/>
    <col min="122" max="128" width="5.85546875" style="49" customWidth="1"/>
    <col min="129" max="129" width="6" customWidth="1"/>
    <col min="139" max="140" width="3.42578125" customWidth="1"/>
    <col min="151" max="151" width="12.140625" customWidth="1"/>
    <col min="152" max="153" width="12" customWidth="1"/>
    <col min="161" max="161" width="7" customWidth="1"/>
  </cols>
  <sheetData>
    <row r="1" spans="2:154">
      <c r="B1" s="783" t="s">
        <v>5207</v>
      </c>
      <c r="C1" s="354"/>
      <c r="D1" s="354"/>
      <c r="E1" s="354"/>
      <c r="F1" s="354"/>
      <c r="G1" s="354"/>
      <c r="H1" s="354"/>
      <c r="I1" s="354"/>
      <c r="J1" s="354"/>
      <c r="K1" s="354"/>
      <c r="L1" s="354"/>
      <c r="M1" s="354"/>
      <c r="N1" s="662" t="str">
        <f>IF($K$15,"(without small states)","")</f>
        <v/>
      </c>
      <c r="O1" s="354"/>
      <c r="T1" s="662" t="str">
        <f>IF($AV$1,"Birth registration rates &amp; unregistered births/population (without small states)","Birth registration rates &amp; unregistered births/population (198 economies)")</f>
        <v>Birth registration rates &amp; unregistered births/population (198 economies)</v>
      </c>
      <c r="AE1" s="662" t="str">
        <f>IF($AV$1,"Civil registration and identification institutions and systems (without small states)","Civil registration and identification institutions and systems (198 economies)")</f>
        <v>Civil registration and identification institutions and systems (198 economies)</v>
      </c>
      <c r="AO1" s="664"/>
      <c r="AP1" s="664"/>
      <c r="AQ1" s="664"/>
      <c r="AR1" s="54"/>
      <c r="AS1" s="54"/>
      <c r="AT1" s="54"/>
      <c r="AU1" s="54"/>
      <c r="AV1" s="434" t="b">
        <v>0</v>
      </c>
      <c r="BJ1" s="617" t="str">
        <f>IF($CK$12,"Civil Registration Institutions (without small states)","Civil Registration Institutions")</f>
        <v>Civil Registration Institutions</v>
      </c>
      <c r="CE1" s="617" t="str">
        <f>IF($CK$12,"ID4D indicators (without small states)","ID4D indicators")</f>
        <v>ID4D indicators</v>
      </c>
      <c r="CW1" s="617" t="s">
        <v>4563</v>
      </c>
      <c r="DH1" s="617" t="s">
        <v>4564</v>
      </c>
      <c r="DZ1" s="790"/>
      <c r="EA1" s="790"/>
      <c r="EB1" s="790"/>
      <c r="EC1" s="790"/>
      <c r="ED1" s="434" t="b">
        <v>0</v>
      </c>
      <c r="EU1" s="662" t="str">
        <f>IF($AV$1,"Birth registration rates &amp; unregistered births/population (without small states) / Gender data","Birth registration rates &amp; unregistered births/population (198 economies)/Gender data")</f>
        <v>Birth registration rates &amp; unregistered births/population (198 economies)/Gender data</v>
      </c>
    </row>
    <row r="2" spans="2:154">
      <c r="C2" s="354"/>
      <c r="D2" s="354"/>
      <c r="E2" s="354"/>
      <c r="F2" s="354"/>
      <c r="G2" s="354"/>
      <c r="H2" s="354"/>
      <c r="I2" s="354"/>
      <c r="J2" s="354"/>
      <c r="K2" s="354"/>
      <c r="L2" s="354"/>
      <c r="M2" s="354"/>
      <c r="N2" s="354"/>
      <c r="O2" s="354"/>
      <c r="P2" s="354"/>
      <c r="T2" s="91" t="s">
        <v>405</v>
      </c>
      <c r="U2" s="91" t="s">
        <v>6139</v>
      </c>
      <c r="BJ2" s="47" t="s">
        <v>4560</v>
      </c>
      <c r="BT2" s="47" t="s">
        <v>4561</v>
      </c>
      <c r="CE2" s="47" t="s">
        <v>4560</v>
      </c>
      <c r="CM2" s="47" t="s">
        <v>4561</v>
      </c>
      <c r="CW2" s="1268" t="s">
        <v>4565</v>
      </c>
      <c r="CX2" s="1268"/>
      <c r="CY2" s="1268"/>
      <c r="CZ2" s="1268"/>
      <c r="DA2" s="1268"/>
      <c r="DB2" s="1268"/>
      <c r="DC2" s="1268"/>
      <c r="DD2" s="354"/>
      <c r="DE2" s="354"/>
      <c r="DF2" s="354"/>
      <c r="DG2" s="443"/>
      <c r="DH2" s="1268" t="s">
        <v>4566</v>
      </c>
      <c r="DI2" s="1268"/>
      <c r="DJ2" s="1268"/>
      <c r="DK2" s="1268"/>
      <c r="DL2" s="1268"/>
      <c r="DM2" s="1268"/>
      <c r="DN2" s="1268"/>
      <c r="DO2" s="619"/>
      <c r="EU2" s="91" t="s">
        <v>405</v>
      </c>
      <c r="EV2" s="91" t="s">
        <v>5472</v>
      </c>
      <c r="EW2" s="91" t="s">
        <v>5473</v>
      </c>
    </row>
    <row r="3" spans="2:154">
      <c r="B3" s="761" t="s">
        <v>401</v>
      </c>
      <c r="C3" s="762" t="s">
        <v>320</v>
      </c>
      <c r="D3" s="763" t="s">
        <v>322</v>
      </c>
      <c r="E3" s="763" t="s">
        <v>323</v>
      </c>
      <c r="F3" s="764" t="s">
        <v>326</v>
      </c>
      <c r="G3" s="765" t="s">
        <v>4562</v>
      </c>
      <c r="H3" s="33"/>
      <c r="I3" s="33"/>
      <c r="J3" s="33"/>
      <c r="K3" s="761" t="s">
        <v>405</v>
      </c>
      <c r="L3" s="762" t="s">
        <v>320</v>
      </c>
      <c r="M3" s="763" t="s">
        <v>322</v>
      </c>
      <c r="N3" s="763" t="s">
        <v>323</v>
      </c>
      <c r="O3" s="764" t="s">
        <v>326</v>
      </c>
      <c r="P3" s="765" t="s">
        <v>4562</v>
      </c>
      <c r="T3" t="str">
        <f>IF($AV$1,"AFR (45)","AFR (48)")</f>
        <v>AFR (48)</v>
      </c>
      <c r="U3" s="593">
        <f>IF($AV$1,AVERAGEIFS(ID4D!$CG$3:$CG$200, ID4D!$D$3:$D$200,V3,ID4D!$IK$3:$IK$200,0),AVERAGEIF(ID4D!$D$3:$D$200,V3,ID4D!$CG$3:$CG$200))</f>
        <v>56.662500000000016</v>
      </c>
      <c r="V3" s="596" t="s">
        <v>406</v>
      </c>
      <c r="AO3" s="627" t="s">
        <v>1603</v>
      </c>
      <c r="AP3" s="627" t="s">
        <v>4611</v>
      </c>
      <c r="AQ3" s="627" t="s">
        <v>447</v>
      </c>
      <c r="AR3" s="627" t="s">
        <v>1713</v>
      </c>
      <c r="AS3" s="627" t="s">
        <v>1680</v>
      </c>
      <c r="AT3" s="627" t="s">
        <v>4612</v>
      </c>
      <c r="AU3" s="627" t="s">
        <v>4615</v>
      </c>
      <c r="AV3" s="627" t="s">
        <v>4613</v>
      </c>
      <c r="AW3" s="627" t="s">
        <v>4616</v>
      </c>
      <c r="AX3" s="627" t="s">
        <v>4614</v>
      </c>
      <c r="AY3" s="627" t="s">
        <v>4617</v>
      </c>
      <c r="AZ3" s="627" t="s">
        <v>4618</v>
      </c>
      <c r="BA3" s="627" t="s">
        <v>4619</v>
      </c>
      <c r="BB3" s="627" t="s">
        <v>5299</v>
      </c>
      <c r="BC3" s="627" t="s">
        <v>5300</v>
      </c>
      <c r="BD3" s="627" t="s">
        <v>5447</v>
      </c>
      <c r="BE3" s="627" t="s">
        <v>5458</v>
      </c>
      <c r="BF3" s="627" t="s">
        <v>5448</v>
      </c>
      <c r="BG3" s="627" t="s">
        <v>5459</v>
      </c>
      <c r="BJ3" s="597" t="s">
        <v>401</v>
      </c>
      <c r="BK3" s="598">
        <v>1</v>
      </c>
      <c r="BL3" s="599">
        <v>2</v>
      </c>
      <c r="BM3" s="599">
        <v>3</v>
      </c>
      <c r="BN3" s="632">
        <v>4</v>
      </c>
      <c r="BO3" s="599">
        <v>5</v>
      </c>
      <c r="BP3" s="629">
        <v>6</v>
      </c>
      <c r="BQ3" s="600" t="s">
        <v>4562</v>
      </c>
      <c r="BR3" s="33"/>
      <c r="BT3" s="597" t="s">
        <v>405</v>
      </c>
      <c r="BU3" s="598">
        <v>1</v>
      </c>
      <c r="BV3" s="599">
        <v>2</v>
      </c>
      <c r="BW3" s="599">
        <v>3</v>
      </c>
      <c r="BX3" s="632">
        <v>4</v>
      </c>
      <c r="BY3" s="599">
        <v>5</v>
      </c>
      <c r="BZ3" s="629">
        <v>6</v>
      </c>
      <c r="CA3" s="600" t="s">
        <v>4562</v>
      </c>
      <c r="CD3" s="601"/>
      <c r="CE3" s="597" t="s">
        <v>401</v>
      </c>
      <c r="CF3" s="598">
        <v>0</v>
      </c>
      <c r="CG3" s="599">
        <v>1</v>
      </c>
      <c r="CH3" s="599">
        <v>2</v>
      </c>
      <c r="CI3" s="632">
        <v>3</v>
      </c>
      <c r="CJ3" s="629">
        <v>4</v>
      </c>
      <c r="CK3" s="600" t="s">
        <v>4562</v>
      </c>
      <c r="CL3" s="33"/>
      <c r="CM3" s="597" t="s">
        <v>405</v>
      </c>
      <c r="CN3" s="598">
        <v>0</v>
      </c>
      <c r="CO3" s="599">
        <v>1</v>
      </c>
      <c r="CP3" s="599">
        <v>2</v>
      </c>
      <c r="CQ3" s="632">
        <v>3</v>
      </c>
      <c r="CR3" s="629">
        <v>4</v>
      </c>
      <c r="CS3" s="600" t="s">
        <v>4562</v>
      </c>
      <c r="CT3" s="601"/>
      <c r="CU3" s="601"/>
      <c r="CV3" s="620" t="s">
        <v>0</v>
      </c>
      <c r="CW3" s="648" t="s">
        <v>390</v>
      </c>
      <c r="CX3" s="646">
        <v>0</v>
      </c>
      <c r="CY3" s="643">
        <v>1</v>
      </c>
      <c r="CZ3" s="643">
        <v>2</v>
      </c>
      <c r="DA3" s="643">
        <v>3</v>
      </c>
      <c r="DB3" s="644">
        <v>4</v>
      </c>
      <c r="DC3" s="645" t="s">
        <v>4470</v>
      </c>
      <c r="DD3" s="620" t="s">
        <v>4567</v>
      </c>
      <c r="DE3" s="434" t="s">
        <v>4568</v>
      </c>
      <c r="DF3" s="354"/>
      <c r="DG3" s="33"/>
      <c r="DH3" s="648" t="s">
        <v>390</v>
      </c>
      <c r="DI3" s="646">
        <v>0</v>
      </c>
      <c r="DJ3" s="643">
        <v>1</v>
      </c>
      <c r="DK3" s="643">
        <v>2</v>
      </c>
      <c r="DL3" s="643">
        <v>3</v>
      </c>
      <c r="DM3" s="651">
        <v>4</v>
      </c>
      <c r="DN3" s="645" t="s">
        <v>4470</v>
      </c>
      <c r="DO3" s="33"/>
      <c r="DQ3" s="53" t="s">
        <v>4471</v>
      </c>
      <c r="DR3" s="735" t="s">
        <v>5183</v>
      </c>
      <c r="DS3" s="735" t="s">
        <v>5177</v>
      </c>
      <c r="DT3" s="735" t="s">
        <v>5178</v>
      </c>
      <c r="DU3" s="735" t="s">
        <v>5179</v>
      </c>
      <c r="DV3" s="735" t="s">
        <v>5180</v>
      </c>
      <c r="DW3" s="735" t="s">
        <v>5181</v>
      </c>
      <c r="DX3" s="735" t="s">
        <v>5182</v>
      </c>
      <c r="EU3" t="str">
        <f>IF($ED$1,"AFR (45)","AFR (48)")</f>
        <v>AFR (48)</v>
      </c>
      <c r="EV3" s="593">
        <f>IF($ED$1,AVERAGEIFS(ID4D!$CI$3:$CI$200, ID4D!$D$3:$D$200,EX3,ID4D!$IK$3:$IK$200,0),AVERAGEIF(ID4D!$D$3:$D$200,EX3,ID4D!$CI$3:$CI$200))</f>
        <v>56.433333333333344</v>
      </c>
      <c r="EW3" s="593">
        <f>IF($ED$1,AVERAGEIFS(ID4D!$CH$3:$CH$200, ID4D!$D$3:$D$200,EX3,ID4D!$IK$3:$IK$200,0),AVERAGEIF(ID4D!$D$3:$D$200,EX3,ID4D!$CH$3:$CH$200))</f>
        <v>56.887499999999996</v>
      </c>
      <c r="EX3" s="596" t="s">
        <v>406</v>
      </c>
    </row>
    <row r="4" spans="2:154">
      <c r="B4" s="602" t="s">
        <v>17</v>
      </c>
      <c r="C4" s="766">
        <f>IF($K$15,COUNTIFS(ID4D!$IN$3:$IN$200,C$3,ID4D!$E$3:$E$200,$B4,ID4D!$IK$3:$IK$200,0),COUNTIFS(ID4D!$IN$3:$IN$200,C$3,ID4D!$E$3:$E$200,$B4))</f>
        <v>32</v>
      </c>
      <c r="D4" s="767">
        <f>IF($K$15,COUNTIFS(ID4D!$IN$3:$IN$200,D$3,ID4D!$E$3:$E$200,$B4,ID4D!$IK$3:$IK$200,0),COUNTIFS(ID4D!$IN$3:$IN$200,D$3,ID4D!$E$3:$E$200,$B4))</f>
        <v>21</v>
      </c>
      <c r="E4" s="603">
        <f>IF($K$15,COUNTIFS(ID4D!$IN$3:$IN$200,E$3,ID4D!$E$3:$E$200,$B4,ID4D!$IK$3:$IK$200,0),COUNTIFS(ID4D!$IN$3:$IN$200,E$3,ID4D!$E$3:$E$200,$B4))</f>
        <v>4</v>
      </c>
      <c r="F4" s="768">
        <f>IF($K$15,COUNTIFS(ID4D!$IN$3:$IN$200,F$3,ID4D!$E$3:$E$200,$B4,ID4D!$IK$3:$IK$200,0),COUNTIFS(ID4D!$IN$3:$IN$200,F$3,ID4D!$E$3:$E$200,$B4))</f>
        <v>2</v>
      </c>
      <c r="G4" s="8">
        <f>SUM(C4:F4)</f>
        <v>59</v>
      </c>
      <c r="H4" s="604"/>
      <c r="I4" s="604"/>
      <c r="J4" s="604"/>
      <c r="K4" s="605" t="s">
        <v>406</v>
      </c>
      <c r="L4" s="39">
        <f>IF($K$15,COUNTIFS(ID4D!$IN$3:$IN$200,C$3,ID4D!$D$3:$D$200,$K4,ID4D!$IK$3:$IK$200,0),COUNTIFS(ID4D!$IN$3:$IN$200,C$3,ID4D!$D$3:$D$200,$K4))</f>
        <v>3</v>
      </c>
      <c r="M4" s="767">
        <f>IF($K$15,COUNTIFS(ID4D!$IN$3:$IN$200,D$3,ID4D!$D$3:$D$200,$K4,ID4D!$IK$3:$IK$200,0),COUNTIFS(ID4D!$IN$3:$IN$200,D$3,ID4D!$D$3:$D$200,$K4))</f>
        <v>26</v>
      </c>
      <c r="N4" s="767">
        <f>IF($K$15,COUNTIFS(ID4D!$IN$3:$IN$200,E$3,ID4D!$D$3:$D$200,$K4,ID4D!$IK$3:$IK$200,0),COUNTIFS(ID4D!$IN$3:$IN$200,E$3,ID4D!$D$3:$D$200,$K4))</f>
        <v>17</v>
      </c>
      <c r="O4" s="768">
        <f>IF($K$15,COUNTIFS(ID4D!$IN$3:$IN$200,F$3,ID4D!$D$3:$D$200,$K4,ID4D!$IK$3:$IK$200,0),COUNTIFS(ID4D!$IN$3:$IN$200,F$3,ID4D!$D$3:$D$200,$K4))</f>
        <v>2</v>
      </c>
      <c r="P4" s="8">
        <f t="shared" ref="P4:P9" si="0">SUM(L4:O4)</f>
        <v>48</v>
      </c>
      <c r="T4" t="str">
        <f>IF($AV$1,"EAP (20)","EAP (29)")</f>
        <v>EAP (29)</v>
      </c>
      <c r="U4" s="593">
        <f>IF($AV$1,AVERAGEIFS(ID4D!$CG$3:$CG$200, ID4D!$D$3:$D$200,V4,ID4D!$IK$3:$IK$200,0),AVERAGEIF(ID4D!$D$3:$D$200,V4,ID4D!$CG$3:$CG$200))</f>
        <v>80.265517241379342</v>
      </c>
      <c r="V4" s="596" t="s">
        <v>407</v>
      </c>
      <c r="AO4" s="628">
        <v>1960</v>
      </c>
      <c r="AP4" s="628">
        <f>IF($AV$1,COUNTIFS(ID4D!$K$3:$K$200,"&lt;=1960",ID4D!$IK$3:$IK$200,0),COUNTIF(ID4D!$K$3:$K$200,"&lt;=1960"))</f>
        <v>135</v>
      </c>
      <c r="AQ4" s="628">
        <f>AP4</f>
        <v>135</v>
      </c>
      <c r="AR4" s="628">
        <f>IF($AV$1,COUNTIFS(ID4D!$R$3:$R$200,"&lt;=1960",ID4D!$IK$3:$IK$200,0),COUNTIF(ID4D!$R$3:$R$200,"&lt;=1960"))</f>
        <v>16</v>
      </c>
      <c r="AS4" s="628">
        <f>AR4</f>
        <v>16</v>
      </c>
      <c r="AT4" s="628">
        <f>IF($AV$1,COUNTIFS(ID4D!$AE$3:$AE$200,"&lt;=1960",ID4D!$IK$3:$IK$200,0),COUNTIF(ID4D!$AE$3:$AE$200,"&lt;=1960"))</f>
        <v>0</v>
      </c>
      <c r="AU4" s="628">
        <f>AT4</f>
        <v>0</v>
      </c>
      <c r="AV4" s="628">
        <f>IF($AV$1,COUNTIFS(ID4D!$AZ$3:$AZ$200,"&lt;=1960",ID4D!$IK$3:$IK$200,0),COUNTIF(ID4D!$AZ$3:$AZ$200,"&lt;=1960"))</f>
        <v>3</v>
      </c>
      <c r="AW4" s="628">
        <f>AV4</f>
        <v>3</v>
      </c>
      <c r="AX4" s="628">
        <f>IF($AV$1,COUNTIFS(ID4D!$BD$3:$BD$200,"&lt;=1960",ID4D!$IK$3:$IK$200,0),COUNTIF(ID4D!$BD$3:$BD$200,"&lt;=1960"))</f>
        <v>10</v>
      </c>
      <c r="AY4" s="628">
        <f>AX4</f>
        <v>10</v>
      </c>
      <c r="AZ4" s="628">
        <f>IF($AV$1,COUNTIFS(ID4D!$AZ$3:$AZ$200,"&lt;=1960",ID4D!$BB$3:$BB$200,2,ID4D!$IK$3:$IK$200,0),COUNTIFS(ID4D!$AZ$3:$AZ$200,"&lt;=1960",ID4D!$BB$3:$BB$200,2))</f>
        <v>2</v>
      </c>
      <c r="BA4" s="628">
        <f>AZ4</f>
        <v>2</v>
      </c>
      <c r="BB4" s="628">
        <f>IF($AV$1,COUNTIFS(ID4D!$AU$3:$AU$200,"&lt;=1960",ID4D!$AS$3:$AS$200,2,ID4D!$IK$3:$IK$200,0),COUNTIFS(ID4D!$AU$3:$AU$200,"&lt;=1960",ID4D!$AS$3:$AS$200,2))</f>
        <v>0</v>
      </c>
      <c r="BC4" s="628">
        <f>BB4</f>
        <v>0</v>
      </c>
      <c r="BD4" s="628">
        <f>IF($AV$1,COUNTIFS(ID4D!$HM$3:$HM$200,"&lt;=1960",ID4D!$IK$3:$IK$200,0),COUNTIF(ID4D!$HM$3:$HM$200,"&lt;=1960"))</f>
        <v>0</v>
      </c>
      <c r="BE4" s="628">
        <f>BD4</f>
        <v>0</v>
      </c>
      <c r="BF4" s="628">
        <f>IF($AV$1,COUNTIFS(ID4D!$HU$3:$HU$200,"&lt;=1960",ID4D!$IK$3:$IK$200,0),COUNTIF(ID4D!$HU$3:$HU$200,"&lt;=1960"))</f>
        <v>5</v>
      </c>
      <c r="BG4" s="628">
        <f>BF4</f>
        <v>5</v>
      </c>
      <c r="BJ4" s="602" t="s">
        <v>17</v>
      </c>
      <c r="BK4" s="39">
        <f>IF($CK$12,COUNTIFS(ID4D!$J$3:$J$200,BK$3,ID4D!$E$3:$E$200,$BJ4,ID4D!$IK$3:$IK$200,0),COUNTIFS(ID4D!$J$3:$J$200,BK$3,ID4D!$E$3:$E$200,$BJ4))</f>
        <v>10</v>
      </c>
      <c r="BL4" s="603">
        <f>IF($CK$12,COUNTIFS(ID4D!$J$3:$J$200,BL$3,ID4D!$E$3:$E$200,$BJ4,ID4D!$IK$3:$IK$200,0),COUNTIFS(ID4D!$J$3:$J$200,BL$3,ID4D!$E$3:$E$200,$BJ4))</f>
        <v>18</v>
      </c>
      <c r="BM4" s="603">
        <f>IF($CK$12,COUNTIFS(ID4D!$J$3:$J$200,BM$3,ID4D!$E$3:$E$200,$BJ4,ID4D!$IK$3:$IK$200,0),COUNTIFS(ID4D!$J$3:$J$200,BM$3,ID4D!$E$3:$E$200,$BJ4))</f>
        <v>6</v>
      </c>
      <c r="BN4" s="603">
        <f>IF($CK$12,COUNTIFS(ID4D!$J$3:$J$200,BN$3,ID4D!$E$3:$E$200,$BJ4,ID4D!$IK$3:$IK$200,0),COUNTIFS(ID4D!$J$3:$J$200,BN$3,ID4D!$E$3:$E$200,$BJ4))</f>
        <v>0</v>
      </c>
      <c r="BO4" s="603">
        <f>IF($CK$12,COUNTIFS(ID4D!$J$3:$J$200,BO$3,ID4D!$E$3:$E$200,$BJ4,ID4D!$IK$3:$IK$200,0),COUNTIFS(ID4D!$J$3:$J$200,BO$3,ID4D!$E$3:$E$200,$BJ4))</f>
        <v>16</v>
      </c>
      <c r="BP4" s="422">
        <f>IF($CK$12,COUNTIFS(ID4D!$J$3:$J$200,BP$3,ID4D!$E$3:$E$200,$BJ4,ID4D!$IK$3:$IK$200,0),COUNTIFS(ID4D!$J$3:$J$200,BP$3,ID4D!$E$3:$E$200,$BJ4))</f>
        <v>9</v>
      </c>
      <c r="BQ4" s="8">
        <f>SUM(BK4:BP4)</f>
        <v>59</v>
      </c>
      <c r="BR4" s="604"/>
      <c r="BT4" s="605" t="s">
        <v>406</v>
      </c>
      <c r="BU4" s="39">
        <f>IF($CK$12,COUNTIFS(ID4D!$J$3:$J$200,BU$3,ID4D!$D$3:$D$200,$BT4,ID4D!$IK$3:$IK$200,0),COUNTIFS(ID4D!$J$3:$J$200,BU$3,ID4D!$D$3:$D$200,$BT4))</f>
        <v>9</v>
      </c>
      <c r="BV4" s="603">
        <f>IF($CK$12,COUNTIFS(ID4D!$J$3:$J$200,BV$3,ID4D!$D$3:$D$200,$BT4,ID4D!$IK$3:$IK$200,0),COUNTIFS(ID4D!$J$3:$J$200,BV$3,ID4D!$D$3:$D$200,$BT4))</f>
        <v>13</v>
      </c>
      <c r="BW4" s="603">
        <f>IF($CK$12,COUNTIFS(ID4D!$J$3:$J$200,BW$3,ID4D!$D$3:$D$200,$BT4,ID4D!$IK$3:$IK$200,0),COUNTIFS(ID4D!$J$3:$J$200,BW$3,ID4D!$D$3:$D$200,$BT4))</f>
        <v>6</v>
      </c>
      <c r="BX4" s="603">
        <f>IF($CK$12,COUNTIFS(ID4D!$J$3:$J$200,BX$3,ID4D!$D$3:$D$200,$BT4,ID4D!$IK$3:$IK$200,0),COUNTIFS(ID4D!$J$3:$J$200,BX$3,ID4D!$D$3:$D$200,$BT4))</f>
        <v>0</v>
      </c>
      <c r="BY4" s="603">
        <f>IF($CK$12,COUNTIFS(ID4D!$J$3:$J$200,BY$3,ID4D!$D$3:$D$200,$BT4,ID4D!$IK$3:$IK$200,0),COUNTIFS(ID4D!$J$3:$J$200,BY$3,ID4D!$D$3:$D$200,$BT4))</f>
        <v>4</v>
      </c>
      <c r="BZ4" s="422">
        <f>IF($CK$12,COUNTIFS(ID4D!$J$3:$J$200,BZ$3,ID4D!$D$3:$D$200,$BT4,ID4D!$IK$3:$IK$200,0),COUNTIFS(ID4D!$J$3:$J$200,BZ$3,ID4D!$D$3:$D$200,$BT4))</f>
        <v>16</v>
      </c>
      <c r="CA4" s="8">
        <f t="shared" ref="CA4:CA9" si="1">SUM(BU4:BZ4)</f>
        <v>48</v>
      </c>
      <c r="CD4" s="2"/>
      <c r="CE4" s="602" t="s">
        <v>17</v>
      </c>
      <c r="CF4" s="661">
        <f ca="1">IF(OR($CL$11&lt;5,$CL$11&gt;7), IF( $CK$12, COUNTIFS(INDIRECT("ID4D!$"&amp;$CL$12&amp;"$3:$"&amp;$CL$12&amp;"$200"),CF$3,ID4D!$E$3:$E$200,$CE4,ID4D!$IK$3:$IK$200,0), COUNTIFS(INDIRECT("ID4D!$"&amp;$CL$12&amp;"$3:$"&amp;$CL$12&amp;"$200"),CF$3,ID4D!$E$3:$E$200,$CE4) ), IF($CK$12, ( COUNTIFS(INDIRECT("ID4D!$"&amp;$CL$12&amp;"$3:$"&amp;$CL$12&amp;"$200"),CF$3,ID4D!$E$3:$E$200,$CE4,ID4D!$IK$3:$IK$200,0) + COUNTIFS(INDIRECT("ID4D!$"&amp;$CL$12&amp;"$3:$"&amp;$CL$12&amp;"$200"),"-",ID4D!$E$3:$E$200,$CE4,ID4D!$IK$3:$IK$200,0) ), ( COUNTIFS(INDIRECT("ID4D!$"&amp;$CL$12&amp;"$3:$"&amp;$CL$12&amp;"$200"),CF$3,ID4D!$E$3:$E$200,$CE4) + COUNTIFS(INDIRECT("ID4D!$"&amp;$CL$12&amp;"$3:$"&amp;$CL$12&amp;"$200"),"-",ID4D!$E$3:$E$200,$CE4) ) ) )</f>
        <v>0</v>
      </c>
      <c r="CG4" s="603">
        <f ca="1">IF(OR($CL$11&lt;5,$CL$11&gt;7), IF( $CK$12, COUNTIFS(INDIRECT("ID4D!$"&amp;$CL$12&amp;"$3:$"&amp;$CL$12&amp;"$200"),CG$3,ID4D!$E$3:$E$200,$CE4,ID4D!$IK$3:$IK$200,0), COUNTIFS(INDIRECT("ID4D!$"&amp;$CL$12&amp;"$3:$"&amp;$CL$12&amp;"$200"),CG$3,ID4D!$E$3:$E$200,$CE4) ), IF($CK$12, ( COUNTIFS(INDIRECT("ID4D!$"&amp;$CL$12&amp;"$3:$"&amp;$CL$12&amp;"$200"),CG$3,ID4D!$E$3:$E$200,$CE4,ID4D!$IK$3:$IK$200,0) + COUNTIFS(INDIRECT("ID4D!$"&amp;$CL$12&amp;"$3:$"&amp;$CL$12&amp;"$200"),"1B",ID4D!$E$3:$E$200,$CE4,ID4D!$IK$3:$IK$200,0) ), ( COUNTIFS(INDIRECT("ID4D!$"&amp;$CL$12&amp;"$3:$"&amp;$CL$12&amp;"$200"),CG$3,ID4D!$E$3:$E$200,$CE4) + COUNTIFS(INDIRECT("ID4D!$"&amp;$CL$12&amp;"$3:$"&amp;$CL$12&amp;"$200"),"1B",ID4D!$E$3:$E$200,$CE4) ) ) )</f>
        <v>5</v>
      </c>
      <c r="CH4" s="603">
        <f ca="1">IF(OR($CL$11&lt;5,$CL$11&gt;7), IF( $CK$12, COUNTIFS(INDIRECT("ID4D!$"&amp;$CL$12&amp;"$3:$"&amp;$CL$12&amp;"$200"),CH$3,ID4D!$E$3:$E$200,$CE4,ID4D!$IK$3:$IK$200,0), COUNTIFS(INDIRECT("ID4D!$"&amp;$CL$12&amp;"$3:$"&amp;$CL$12&amp;"$200"),CH$3,ID4D!$E$3:$E$200,$CE4) ), IF($CK$12, ( COUNTIFS(INDIRECT("ID4D!$"&amp;$CL$12&amp;"$3:$"&amp;$CL$12&amp;"$200"),CH$3,ID4D!$E$3:$E$200,$CE4,ID4D!$IK$3:$IK$200,0) + COUNTIFS(INDIRECT("ID4D!$"&amp;$CL$12&amp;"$3:$"&amp;$CL$12&amp;"$200"),"2B",ID4D!$E$3:$E$200,$CE4,ID4D!$IK$3:$IK$200,0) ), ( COUNTIFS(INDIRECT("ID4D!$"&amp;$CL$12&amp;"$3:$"&amp;$CL$12&amp;"$200"),CH$3,ID4D!$E$3:$E$200,$CE4) + COUNTIFS(INDIRECT("ID4D!$"&amp;$CL$12&amp;"$3:$"&amp;$CL$12&amp;"$200"),"2B",ID4D!$E$3:$E$200,$CE4) ) ) )</f>
        <v>54</v>
      </c>
      <c r="CI4" s="603">
        <f ca="1">IF(OR($CL$11&lt;5,$CL$11&gt;7), IF( $CK$12, COUNTIFS(INDIRECT("ID4D!$"&amp;$CL$12&amp;"$3:$"&amp;$CL$12&amp;"$200"),CI$3,ID4D!$E$3:$E$200,$CE4,ID4D!$IK$3:$IK$200,0), COUNTIFS(INDIRECT("ID4D!$"&amp;$CL$12&amp;"$3:$"&amp;$CL$12&amp;"$200"),CI$3,ID4D!$E$3:$E$200,$CE4) ), IF($CK$12, ( COUNTIFS(INDIRECT("ID4D!$"&amp;$CL$12&amp;"$3:$"&amp;$CL$12&amp;"$200"),CI$3,ID4D!$E$3:$E$200,$CE4,ID4D!$IK$3:$IK$200,0) + COUNTIFS(INDIRECT("ID4D!$"&amp;$CL$12&amp;"$3:$"&amp;$CL$12&amp;"$200"),"3B",ID4D!$E$3:$E$200,$CE4,ID4D!$IK$3:$IK$200,0) ), ( COUNTIFS(INDIRECT("ID4D!$"&amp;$CL$12&amp;"$3:$"&amp;$CL$12&amp;"$200"),CI$3,ID4D!$E$3:$E$200,$CE4) + COUNTIFS(INDIRECT("ID4D!$"&amp;$CL$12&amp;"$3:$"&amp;$CL$12&amp;"$200"),"3B",ID4D!$E$3:$E$200,$CE4) ) ) )</f>
        <v>0</v>
      </c>
      <c r="CJ4" s="422">
        <f ca="1">IF(OR($CL$11&lt;5,$CL$11&gt;7), IF( $CK$12, COUNTIFS(INDIRECT("ID4D!$"&amp;$CL$12&amp;"$3:$"&amp;$CL$12&amp;"$200"),CJ$3,ID4D!$E$3:$E$200,$CE4,ID4D!$IK$3:$IK$200,0), COUNTIFS(INDIRECT("ID4D!$"&amp;$CL$12&amp;"$3:$"&amp;$CL$12&amp;"$200"),CJ$3,ID4D!$E$3:$E$200,$CE4) ), IF($CK$12, ( COUNTIFS(INDIRECT("ID4D!$"&amp;$CL$12&amp;"$3:$"&amp;$CL$12&amp;"$200"),CJ$3,ID4D!$E$3:$E$200,$CE4,ID4D!$IK$3:$IK$200,0) + COUNTIFS(INDIRECT("ID4D!$"&amp;$CL$12&amp;"$3:$"&amp;$CL$12&amp;"$200"),"4B",ID4D!$E$3:$E$200,$CE4,ID4D!$IK$3:$IK$200,0) ), ( COUNTIFS(INDIRECT("ID4D!$"&amp;$CL$12&amp;"$3:$"&amp;$CL$12&amp;"$200"),CJ$3,ID4D!$E$3:$E$200,$CE4) + COUNTIFS(INDIRECT("ID4D!$"&amp;$CL$12&amp;"$3:$"&amp;$CL$12&amp;"$200"),"4B",ID4D!$E$3:$E$200,$CE4) ) ) )</f>
        <v>0</v>
      </c>
      <c r="CK4" s="8">
        <f ca="1">SUM(CF4:CJ4)</f>
        <v>59</v>
      </c>
      <c r="CL4" s="604"/>
      <c r="CM4" s="605" t="s">
        <v>406</v>
      </c>
      <c r="CN4" s="39">
        <f ca="1">IF(OR($CL$11&lt;5,$CL$11&gt;7),IF($CK$12,COUNTIFS(INDIRECT("ID4D!$"&amp;$CL$12&amp;"$3:$"&amp;$CL$12&amp;"$200"),CN$3,ID4D!$D$3:$D$200,$CM4,ID4D!$IK$3:$IK$200,0),COUNTIFS(INDIRECT("ID4D!$"&amp;$CL$12&amp;"$3:$"&amp;$CL$12&amp;"$200"),CN$3,ID4D!$D$3:$D$200,$CM4)),IF($CK$12,(COUNTIFS(INDIRECT("ID4D!$"&amp;$CL$12&amp;"$3:$"&amp;$CL$12&amp;"$200"),CN$3,ID4D!$D$3:$D$200,$CM4,ID4D!$IK$3:$IK$200,0)+COUNTIFS(INDIRECT("ID4D!$"&amp;$CL$12&amp;"$3:$"&amp;$CL$12&amp;"$200"),"-",ID4D!$D$3:$D$200,$CM4,ID4D!$IK$3:$IK$200,0)),(COUNTIFS(INDIRECT("ID4D!$"&amp;$CL$12&amp;"$3:$"&amp;$CL$12&amp;"$200"),CN$3,ID4D!$D$3:$D$200,$CM4)+COUNTIFS(INDIRECT("ID4D!$"&amp;$CL$12&amp;"$3:$"&amp;$CL$12&amp;"$200"),"-",ID4D!$D$3:$D$200,$CM4))))</f>
        <v>0</v>
      </c>
      <c r="CO4" s="603">
        <f ca="1">IF(OR($CL$11&lt;5,$CL$11&gt;7),IF($CK$12,COUNTIFS(INDIRECT("ID4D!$"&amp;$CL$12&amp;"$3:$"&amp;$CL$12&amp;"$200"),CO$3,ID4D!$D$3:$D$200,$CM4,ID4D!$IK$3:$IK$200,0),COUNTIFS(INDIRECT("ID4D!$"&amp;$CL$12&amp;"$3:$"&amp;$CL$12&amp;"$200"),CO$3,ID4D!$D$3:$D$200,$CM4)),IF($CK$12,(COUNTIFS(INDIRECT("ID4D!$"&amp;$CL$12&amp;"$3:$"&amp;$CL$12&amp;"$200"),CO$3,ID4D!$D$3:$D$200,$CM4,ID4D!$IK$3:$IK$200,0)+COUNTIFS(INDIRECT("ID4D!$"&amp;$CL$12&amp;"$3:$"&amp;$CL$12&amp;"$200"),"1B",ID4D!$D$3:$D$200,$CM4,ID4D!$IK$3:$IK$200,0)),(COUNTIFS(INDIRECT("ID4D!$"&amp;$CL$12&amp;"$3:$"&amp;$CL$12&amp;"$200"),CO$3,ID4D!$D$3:$D$200,$CM4)+COUNTIFS(INDIRECT("ID4D!$"&amp;$CL$12&amp;"$3:$"&amp;$CL$12&amp;"$200"),"1B",ID4D!$D$3:$D$200,$CM4))))</f>
        <v>5</v>
      </c>
      <c r="CP4" s="603">
        <f ca="1">IF(OR($CL$11&lt;5,$CL$11&gt;7),IF($CK$12,COUNTIFS(INDIRECT("ID4D!$"&amp;$CL$12&amp;"$3:$"&amp;$CL$12&amp;"$200"),CP$3,ID4D!$D$3:$D$200,$CM4,ID4D!$IK$3:$IK$200,0),COUNTIFS(INDIRECT("ID4D!$"&amp;$CL$12&amp;"$3:$"&amp;$CL$12&amp;"$200"),CP$3,ID4D!$D$3:$D$200,$CM4)),IF($CK$12,(COUNTIFS(INDIRECT("ID4D!$"&amp;$CL$12&amp;"$3:$"&amp;$CL$12&amp;"$200"),CP$3,ID4D!$D$3:$D$200,$CM4,ID4D!$IK$3:$IK$200,0)+COUNTIFS(INDIRECT("ID4D!$"&amp;$CL$12&amp;"$3:$"&amp;$CL$12&amp;"$200"),"2B",ID4D!$D$3:$D$200,$CM4,ID4D!$IK$3:$IK$200,0)),(COUNTIFS(INDIRECT("ID4D!$"&amp;$CL$12&amp;"$3:$"&amp;$CL$12&amp;"$200"),CP$3,ID4D!$D$3:$D$200,$CM4)+COUNTIFS(INDIRECT("ID4D!$"&amp;$CL$12&amp;"$3:$"&amp;$CL$12&amp;"$200"),"2B",ID4D!$D$3:$D$200,$CM4))))</f>
        <v>43</v>
      </c>
      <c r="CQ4" s="603">
        <f ca="1">IF(OR($CL$11&lt;5,$CL$11&gt;7),IF($CK$12,COUNTIFS(INDIRECT("ID4D!$"&amp;$CL$12&amp;"$3:$"&amp;$CL$12&amp;"$200"),CQ$3,ID4D!$D$3:$D$200,$CM4,ID4D!$IK$3:$IK$200,0),COUNTIFS(INDIRECT("ID4D!$"&amp;$CL$12&amp;"$3:$"&amp;$CL$12&amp;"$200"),CQ$3,ID4D!$D$3:$D$200,$CM4)),IF($CK$12,(COUNTIFS(INDIRECT("ID4D!$"&amp;$CL$12&amp;"$3:$"&amp;$CL$12&amp;"$200"),CQ$3,ID4D!$D$3:$D$200,$CM4,ID4D!$IK$3:$IK$200,0)+COUNTIFS(INDIRECT("ID4D!$"&amp;$CL$12&amp;"$3:$"&amp;$CL$12&amp;"$200"),"3B",ID4D!$D$3:$D$200,$CM4,ID4D!$IK$3:$IK$200,0)),(COUNTIFS(INDIRECT("ID4D!$"&amp;$CL$12&amp;"$3:$"&amp;$CL$12&amp;"$200"),CQ$3,ID4D!$D$3:$D$200,$CM4)+COUNTIFS(INDIRECT("ID4D!$"&amp;$CL$12&amp;"$3:$"&amp;$CL$12&amp;"$200"),"3B",ID4D!$D$3:$D$200,$CM4))))</f>
        <v>0</v>
      </c>
      <c r="CR4" s="422">
        <f ca="1">IF(OR($CL$11&lt;5,$CL$11&gt;7),IF($CK$12,COUNTIFS(INDIRECT("ID4D!$"&amp;$CL$12&amp;"$3:$"&amp;$CL$12&amp;"$200"),CR$3,ID4D!$D$3:$D$200,$CM4,ID4D!$IK$3:$IK$200,0),COUNTIFS(INDIRECT("ID4D!$"&amp;$CL$12&amp;"$3:$"&amp;$CL$12&amp;"$200"),CR$3,ID4D!$D$3:$D$200,$CM4)),IF($CK$12,(COUNTIFS(INDIRECT("ID4D!$"&amp;$CL$12&amp;"$3:$"&amp;$CL$12&amp;"$200"),CR$3,ID4D!$D$3:$D$200,$CM4,ID4D!$IK$3:$IK$200,0)+COUNTIFS(INDIRECT("ID4D!$"&amp;$CL$12&amp;"$3:$"&amp;$CL$12&amp;"$200"),"4B",ID4D!$D$3:$D$200,$CM4,ID4D!$IK$3:$IK$200,0)),(COUNTIFS(INDIRECT("ID4D!$"&amp;$CL$12&amp;"$3:$"&amp;$CL$12&amp;"$200"),CR$3,ID4D!$D$3:$D$200,$CM4)+COUNTIFS(INDIRECT("ID4D!$"&amp;$CL$12&amp;"$3:$"&amp;$CL$12&amp;"$200"),"4B",ID4D!$D$3:$D$200,$CM4))))</f>
        <v>0</v>
      </c>
      <c r="CS4" s="8">
        <f t="shared" ref="CS4:CS9" ca="1" si="2">SUM(CN4:CR4)</f>
        <v>48</v>
      </c>
      <c r="CT4" s="418"/>
      <c r="CU4" s="418"/>
      <c r="CV4" s="620">
        <v>1</v>
      </c>
      <c r="CW4" s="649">
        <v>1</v>
      </c>
      <c r="CX4" s="50">
        <f>COUNTIF(ID4D!$L$3:$L$200,CX$3)</f>
        <v>0</v>
      </c>
      <c r="CY4" s="42">
        <f>COUNTIF(ID4D!$L$3:$L$200,CY$3)</f>
        <v>12</v>
      </c>
      <c r="CZ4" s="42">
        <f>COUNTIF(ID4D!$L$3:$L$200,CZ$3)</f>
        <v>186</v>
      </c>
      <c r="DA4" s="42"/>
      <c r="DB4" s="642"/>
      <c r="DC4" s="8">
        <f t="shared" ref="DC4:DC14" si="3">SUM(CX4:DB4)</f>
        <v>198</v>
      </c>
      <c r="DD4" s="621" t="s">
        <v>418</v>
      </c>
      <c r="DE4" s="354" t="s">
        <v>4571</v>
      </c>
      <c r="DF4" s="354"/>
      <c r="DG4" s="622"/>
      <c r="DH4" s="649">
        <v>1</v>
      </c>
      <c r="DI4" s="50">
        <f>COUNTIFS(ID4D!$L$3:$L$200,DI$3,ID4D!$D$3:$D$200,"&gt;A")</f>
        <v>0</v>
      </c>
      <c r="DJ4" s="42">
        <f>COUNTIFS(ID4D!$L$3:$L$200,DJ$3,ID4D!$D$3:$D$200,"&gt;A")</f>
        <v>9</v>
      </c>
      <c r="DK4" s="42">
        <f>COUNTIFS(ID4D!$L$3:$L$200,DK$3,ID4D!$D$3:$D$200,"&gt;A")</f>
        <v>159</v>
      </c>
      <c r="DL4" s="42"/>
      <c r="DM4" s="100"/>
      <c r="DN4" s="522">
        <f t="shared" ref="DN4:DN14" si="4">SUM(DI4:DM4)</f>
        <v>168</v>
      </c>
      <c r="DO4" s="33"/>
      <c r="DQ4" t="str">
        <f>IF($ED$1,"LIC (34)","LIC (34)")</f>
        <v>LIC (34)</v>
      </c>
      <c r="DR4" s="736">
        <f>IF($ED$1,COUNTIFS(ID4D!$E$3:$E$200,$DY4,ID4D!$AG$3:$AG$200,0,ID4D!$IK$3:$IK$200,0),COUNTIFS(ID4D!$E$3:$E$200,$DY4,ID4D!$AG$3:$AG$200,0))</f>
        <v>0</v>
      </c>
      <c r="DS4" s="736">
        <f>IF($ED$1,COUNTIFS(ID4D!$E$3:$E$200,$DY4,ID4D!$AG$3:$AG$200,1,ID4D!$U$3:$U$200,2,ID4D!$IK$3:$IK$200,0),COUNTIFS(ID4D!$E$3:$E$200,$DY4,ID4D!$AG$3:$AG$200,1,ID4D!$U$3:$U$200,2))</f>
        <v>9</v>
      </c>
      <c r="DT4" s="736">
        <f>IF($ED$1,COUNTIFS(ID4D!$E$3:$E$200,$DY4,ID4D!$AG$3:$AG$200,1,ID4D!$U$3:$U$200,1,ID4D!$IK$3:$IK$200,0),COUNTIFS(ID4D!$E$3:$E$200,$DY4,ID4D!$AG$3:$AG$200,1,ID4D!$U$3:$U$200,1))</f>
        <v>1</v>
      </c>
      <c r="DU4" s="736">
        <f>IF($ED$1,COUNTIFS(ID4D!$E$3:$E$200,$DY4,ID4D!$AG$3:$AG$200,"&gt;1",ID4D!$U$3:$U$200,2,ID4D!$IK$3:$IK$200,0),COUNTIFS(ID4D!$E$3:$E$200,$DY4,ID4D!$AG$3:$AG$200,"&gt;1",ID4D!$U$3:$U$200,2))</f>
        <v>5</v>
      </c>
      <c r="DV4" s="736">
        <f>IF($ED$1,COUNTIFS(ID4D!$E$3:$E$200,$DY4,ID4D!$AG$3:$AG$200,"&gt;1",ID4D!$U$3:$U$200,1,ID4D!$IK$3:$IK$200,0),COUNTIFS(ID4D!$E$3:$E$200,$DY4,ID4D!$AG$3:$AG$200,"&gt;1",ID4D!$U$3:$U$200,1))</f>
        <v>1</v>
      </c>
      <c r="DW4" s="736">
        <f>IF($ED$1,COUNTIFS(ID4D!$E$3:$E$200,$DY4,ID4D!$AG$3:$AG$200,"2B",ID4D!$U$3:$U$200,2,ID4D!$IK$3:$IK$200,0)+COUNTIFS(ID4D!$E$3:$E$200,$DY4,ID4D!$AG$3:$AG$200,"3B",ID4D!$U$3:$U$200,2,ID4D!$IK$3:$IK$200,0)+COUNTIFS(ID4D!$E$3:$E$200,$DY4,ID4D!$AG$3:$AG$200,"4B",ID4D!$U$3:$U$200,2,ID4D!$IK$3:$IK$200,0), COUNTIFS(ID4D!$E$3:$E$200,$DY4,ID4D!$AG$3:$AG$200,"2B",ID4D!$U$3:$U$200,2)+COUNTIFS(ID4D!$E$3:$E$200,$DY4,ID4D!$AG$3:$AG$200,"3B",ID4D!$U$3:$U$200,2)+COUNTIFS(ID4D!$E$3:$E$200,$DY4,ID4D!$AG$3:$AG$200,"4B",ID4D!$U$3:$U$200,2))</f>
        <v>15</v>
      </c>
      <c r="DX4" s="736">
        <f>IF($ED$1,COUNTIFS(ID4D!$E$3:$E$200,$DY4,ID4D!$AG$3:$AG$200,"2B",ID4D!$U$3:$U$200,1,ID4D!$IK$3:$IK$200,0)+COUNTIFS(ID4D!$E$3:$E$200,$DY4,ID4D!$AG$3:$AG$200,"3B",ID4D!$U$3:$U$200,1,ID4D!$IK$3:$IK$200,0)+COUNTIFS(ID4D!$E$3:$E$200,$DY4,ID4D!$AG$3:$AG$200,"4B",ID4D!$U$3:$U$200,1,ID4D!$IK$3:$IK$200,0), COUNTIFS(ID4D!$E$3:$E$200,$DY4,ID4D!$AG$3:$AG$200,"2B",ID4D!$U$3:$U$200,1)+COUNTIFS(ID4D!$E$3:$E$200,$DY4,ID4D!$AG$3:$AG$200,"3B",ID4D!$U$3:$U$200,1)+COUNTIFS(ID4D!$E$3:$E$200,$DY4,ID4D!$AG$3:$AG$200,"4B",ID4D!$U$3:$U$200,1))</f>
        <v>3</v>
      </c>
      <c r="DY4" s="596" t="s">
        <v>9</v>
      </c>
      <c r="EU4" t="str">
        <f>IF($ED$1,"EAP (20)","EAP (29)")</f>
        <v>EAP (29)</v>
      </c>
      <c r="EV4" s="593">
        <f>IF($ED$1,AVERAGEIFS(ID4D!$CI$3:$CI$200, ID4D!$D$3:$D$200,EX4,ID4D!$IK$3:$IK$200,0),AVERAGEIF(ID4D!$D$3:$D$200,EX4,ID4D!$CI$3:$CI$200))</f>
        <v>80.365517241379322</v>
      </c>
      <c r="EW4" s="593">
        <f>IF($ED$1,AVERAGEIFS(ID4D!$CH$3:$CH$200, ID4D!$D$3:$D$200,EX4,ID4D!$IK$3:$IK$200,0),AVERAGEIF(ID4D!$D$3:$D$200,EX4,ID4D!$CH$3:$CH$200))</f>
        <v>80.151724137931012</v>
      </c>
      <c r="EX4" s="596" t="s">
        <v>407</v>
      </c>
    </row>
    <row r="5" spans="2:154">
      <c r="B5" s="606" t="s">
        <v>12</v>
      </c>
      <c r="C5" s="769">
        <f>IF($K$15,COUNTIFS(ID4D!$IN$3:$IN$200,C$3,ID4D!$E$3:$E$200,$B5,ID4D!$IK$3:$IK$200,0),COUNTIFS(ID4D!$IN$3:$IN$200,C$3,ID4D!$E$3:$E$200,$B5))</f>
        <v>10</v>
      </c>
      <c r="D5" s="770">
        <f>IF($K$15,COUNTIFS(ID4D!$IN$3:$IN$200,D$3,ID4D!$E$3:$E$200,$B5,ID4D!$IK$3:$IK$200,0),COUNTIFS(ID4D!$IN$3:$IN$200,D$3,ID4D!$E$3:$E$200,$B5))</f>
        <v>31</v>
      </c>
      <c r="E5" s="355">
        <f>IF($K$15,COUNTIFS(ID4D!$IN$3:$IN$200,E$3,ID4D!$E$3:$E$200,$B5,ID4D!$IK$3:$IK$200,0),COUNTIFS(ID4D!$IN$3:$IN$200,E$3,ID4D!$E$3:$E$200,$B5))</f>
        <v>10</v>
      </c>
      <c r="F5" s="640">
        <f>IF($K$15,COUNTIFS(ID4D!$IN$3:$IN$200,F$3,ID4D!$E$3:$E$200,$B5,ID4D!$IK$3:$IK$200,0),COUNTIFS(ID4D!$IN$3:$IN$200,F$3,ID4D!$E$3:$E$200,$B5))</f>
        <v>4</v>
      </c>
      <c r="G5" s="10">
        <f>SUM(C5:F5)</f>
        <v>55</v>
      </c>
      <c r="H5" s="604"/>
      <c r="I5" s="604"/>
      <c r="J5" s="604"/>
      <c r="K5" s="607" t="s">
        <v>407</v>
      </c>
      <c r="L5" s="660">
        <f>IF($K$15,COUNTIFS(ID4D!$IN$3:$IN$200,C$3,ID4D!$D$3:$D$200,$K5,ID4D!$IK$3:$IK$200,0),COUNTIFS(ID4D!$IN$3:$IN$200,C$3,ID4D!$D$3:$D$200,$K5))</f>
        <v>5</v>
      </c>
      <c r="M5" s="770">
        <f>IF($K$15,COUNTIFS(ID4D!$IN$3:$IN$200,D$3,ID4D!$D$3:$D$200,$K5,ID4D!$IK$3:$IK$200,0),COUNTIFS(ID4D!$IN$3:$IN$200,D$3,ID4D!$D$3:$D$200,$K5))</f>
        <v>10</v>
      </c>
      <c r="N5" s="770">
        <f>IF($K$15,COUNTIFS(ID4D!$IN$3:$IN$200,E$3,ID4D!$D$3:$D$200,$K5,ID4D!$IK$3:$IK$200,0),COUNTIFS(ID4D!$IN$3:$IN$200,E$3,ID4D!$D$3:$D$200,$K5))</f>
        <v>8</v>
      </c>
      <c r="O5" s="640">
        <f>IF($K$15,COUNTIFS(ID4D!$IN$3:$IN$200,F$3,ID4D!$D$3:$D$200,$K5,ID4D!$IK$3:$IK$200,0),COUNTIFS(ID4D!$IN$3:$IN$200,F$3,ID4D!$D$3:$D$200,$K5))</f>
        <v>6</v>
      </c>
      <c r="P5" s="10">
        <f t="shared" si="0"/>
        <v>29</v>
      </c>
      <c r="T5" t="str">
        <f>IF($AV$1,"ECA (30)","ECA (30)")</f>
        <v>ECA (30)</v>
      </c>
      <c r="U5" s="593">
        <f>IF($AV$1,AVERAGEIFS(ID4D!$CG$3:$CG$200, ID4D!$D$3:$D$200,V5,ID4D!$IK$3:$IK$200,0),AVERAGEIF(ID4D!$D$3:$D$200,V5,ID4D!$CG$3:$CG$200))</f>
        <v>97.88000000000001</v>
      </c>
      <c r="V5" s="596" t="s">
        <v>408</v>
      </c>
      <c r="AO5" s="628">
        <v>1961</v>
      </c>
      <c r="AP5" s="628">
        <f>IF($AV$1,COUNTIFS(ID4D!$K$3:$K$200,$AO5,ID4D!$IK$3:$IK$200,0),COUNTIF(ID4D!$K$3:$K$200,$AO5))</f>
        <v>5</v>
      </c>
      <c r="AQ5" s="628">
        <f>AQ4+AP5</f>
        <v>140</v>
      </c>
      <c r="AR5" s="628">
        <f>IF($AV$1,COUNTIFS(ID4D!$R$3:$R$200,$AO5,ID4D!$IK$3:$IK$200,0),COUNTIF(ID4D!$R$3:$R$200,$AO5))</f>
        <v>3</v>
      </c>
      <c r="AS5" s="628">
        <f t="shared" ref="AS5:AS36" si="5">AS4+AR5</f>
        <v>19</v>
      </c>
      <c r="AT5" s="628">
        <f>IF($AV$1,COUNTIFS(ID4D!$AE$3:$AE$200,$AO5,ID4D!$IK$3:$IK$200,0),COUNTIF(ID4D!$AE$3:$AE$200,$AO5))</f>
        <v>0</v>
      </c>
      <c r="AU5" s="628">
        <f t="shared" ref="AU5:AU36" si="6">AU4+AT5</f>
        <v>0</v>
      </c>
      <c r="AV5" s="628">
        <f>IF($AV$1,COUNTIFS(ID4D!$AZ$3:$AZ$200,$AO5,ID4D!$IK$3:$IK$200,0),COUNTIF(ID4D!$AZ$3:$AZ$200,$AO5))</f>
        <v>0</v>
      </c>
      <c r="AW5" s="628">
        <f>AW4+AV5</f>
        <v>3</v>
      </c>
      <c r="AX5" s="628">
        <f>IF($AV$1,COUNTIFS(ID4D!$BD$3:$BD$200,$AO5,ID4D!$IK$3:$IK$200,0),COUNTIF(ID4D!$BD$3:$BD$200,$AO5))</f>
        <v>0</v>
      </c>
      <c r="AY5" s="628">
        <f t="shared" ref="AY5:AY36" si="7">AY4+AX5</f>
        <v>10</v>
      </c>
      <c r="AZ5" s="628">
        <f>IF($AV$1,COUNTIFS(ID4D!$AZ$3:$AZ$200,$AO5,ID4D!$BB$3:$BB$200,2,ID4D!$IK$3:$IK$200,0),COUNTIFS(ID4D!$AZ$3:$AZ$200,$AO5,ID4D!$BB$3:$BB$200,2))</f>
        <v>0</v>
      </c>
      <c r="BA5" s="628">
        <f>BA4+AZ5</f>
        <v>2</v>
      </c>
      <c r="BB5" s="628">
        <f>IF($AV$1,COUNTIFS(ID4D!$AU$3:$AU$200,$AO5,ID4D!$AS$3:$AS$200,2,ID4D!$IK$3:$IK$200,0),COUNTIFS(ID4D!$AU$3:$AU$200,$AO5,ID4D!$AS$3:$AS$200,2))</f>
        <v>0</v>
      </c>
      <c r="BC5" s="628">
        <f>BC4+BB5</f>
        <v>0</v>
      </c>
      <c r="BD5" s="628">
        <f>IF($AV$1,COUNTIFS(ID4D!$HM$3:$HM$200,$AO5,ID4D!$IK$3:$IK$200,0),COUNTIF(ID4D!$HM$3:$HM$200,$AO5))</f>
        <v>0</v>
      </c>
      <c r="BE5" s="628">
        <f>BE4+BD5</f>
        <v>0</v>
      </c>
      <c r="BF5" s="628">
        <f>IF($AV$1,COUNTIFS(ID4D!$HU$3:$HU$200,$AO5,ID4D!$IK$3:$IK$200,0),COUNTIF(ID4D!$HU$3:$HU$200,$AO5))</f>
        <v>0</v>
      </c>
      <c r="BG5" s="628">
        <f>BG4+BF5</f>
        <v>5</v>
      </c>
      <c r="BJ5" s="606" t="s">
        <v>12</v>
      </c>
      <c r="BK5" s="40">
        <f>IF($CK$12,COUNTIFS(ID4D!$J$3:$J$200,BK$3,ID4D!$E$3:$E$200,$BJ5,ID4D!$IK$3:$IK$200,0),COUNTIFS(ID4D!$J$3:$J$200,BK$3,ID4D!$E$3:$E$200,$BJ5))</f>
        <v>13</v>
      </c>
      <c r="BL5" s="355">
        <f>IF($CK$12,COUNTIFS(ID4D!$J$3:$J$200,BL$3,ID4D!$E$3:$E$200,$BJ5,ID4D!$IK$3:$IK$200,0),COUNTIFS(ID4D!$J$3:$J$200,BL$3,ID4D!$E$3:$E$200,$BJ5))</f>
        <v>18</v>
      </c>
      <c r="BM5" s="355">
        <f>IF($CK$12,COUNTIFS(ID4D!$J$3:$J$200,BM$3,ID4D!$E$3:$E$200,$BJ5,ID4D!$IK$3:$IK$200,0),COUNTIFS(ID4D!$J$3:$J$200,BM$3,ID4D!$E$3:$E$200,$BJ5))</f>
        <v>6</v>
      </c>
      <c r="BN5" s="355">
        <f>IF($CK$12,COUNTIFS(ID4D!$J$3:$J$200,BN$3,ID4D!$E$3:$E$200,$BJ5,ID4D!$IK$3:$IK$200,0),COUNTIFS(ID4D!$J$3:$J$200,BN$3,ID4D!$E$3:$E$200,$BJ5))</f>
        <v>5</v>
      </c>
      <c r="BO5" s="355">
        <f>IF($CK$12,COUNTIFS(ID4D!$J$3:$J$200,BO$3,ID4D!$E$3:$E$200,$BJ5,ID4D!$IK$3:$IK$200,0),COUNTIFS(ID4D!$J$3:$J$200,BO$3,ID4D!$E$3:$E$200,$BJ5))</f>
        <v>8</v>
      </c>
      <c r="BP5" s="423">
        <f>IF($CK$12,COUNTIFS(ID4D!$J$3:$J$200,BP$3,ID4D!$E$3:$E$200,$BJ5,ID4D!$IK$3:$IK$200,0),COUNTIFS(ID4D!$J$3:$J$200,BP$3,ID4D!$E$3:$E$200,$BJ5))</f>
        <v>5</v>
      </c>
      <c r="BQ5" s="10">
        <f>SUM(BK5:BP5)</f>
        <v>55</v>
      </c>
      <c r="BR5" s="604"/>
      <c r="BT5" s="607" t="s">
        <v>407</v>
      </c>
      <c r="BU5" s="40">
        <f>IF($CK$12,COUNTIFS(ID4D!$J$3:$J$200,BU$3,ID4D!$D$3:$D$200,$BT5,ID4D!$IK$3:$IK$200,0),COUNTIFS(ID4D!$J$3:$J$200,BU$3,ID4D!$D$3:$D$200,$BT5))</f>
        <v>9</v>
      </c>
      <c r="BV5" s="355">
        <f>IF($CK$12,COUNTIFS(ID4D!$J$3:$J$200,BV$3,ID4D!$D$3:$D$200,$BT5,ID4D!$IK$3:$IK$200,0),COUNTIFS(ID4D!$J$3:$J$200,BV$3,ID4D!$D$3:$D$200,$BT5))</f>
        <v>8</v>
      </c>
      <c r="BW5" s="355">
        <f>IF($CK$12,COUNTIFS(ID4D!$J$3:$J$200,BW$3,ID4D!$D$3:$D$200,$BT5,ID4D!$IK$3:$IK$200,0),COUNTIFS(ID4D!$J$3:$J$200,BW$3,ID4D!$D$3:$D$200,$BT5))</f>
        <v>1</v>
      </c>
      <c r="BX5" s="355">
        <f>IF($CK$12,COUNTIFS(ID4D!$J$3:$J$200,BX$3,ID4D!$D$3:$D$200,$BT5,ID4D!$IK$3:$IK$200,0),COUNTIFS(ID4D!$J$3:$J$200,BX$3,ID4D!$D$3:$D$200,$BT5))</f>
        <v>0</v>
      </c>
      <c r="BY5" s="355">
        <f>IF($CK$12,COUNTIFS(ID4D!$J$3:$J$200,BY$3,ID4D!$D$3:$D$200,$BT5,ID4D!$IK$3:$IK$200,0),COUNTIFS(ID4D!$J$3:$J$200,BY$3,ID4D!$D$3:$D$200,$BT5))</f>
        <v>4</v>
      </c>
      <c r="BZ5" s="423">
        <f>IF($CK$12,COUNTIFS(ID4D!$J$3:$J$200,BZ$3,ID4D!$D$3:$D$200,$BT5,ID4D!$IK$3:$IK$200,0),COUNTIFS(ID4D!$J$3:$J$200,BZ$3,ID4D!$D$3:$D$200,$BT5))</f>
        <v>7</v>
      </c>
      <c r="CA5" s="10">
        <f t="shared" si="1"/>
        <v>29</v>
      </c>
      <c r="CD5" s="2"/>
      <c r="CE5" s="606" t="s">
        <v>12</v>
      </c>
      <c r="CF5" s="40">
        <f ca="1">IF(OR($CL$11&lt;5,$CL$11&gt;7), IF( $CK$12, COUNTIFS(INDIRECT("ID4D!$"&amp;$CL$12&amp;"$3:$"&amp;$CL$12&amp;"$200"),CF$3,ID4D!$E$3:$E$200,$CE5,ID4D!$IK$3:$IK$200,0), COUNTIFS(INDIRECT("ID4D!$"&amp;$CL$12&amp;"$3:$"&amp;$CL$12&amp;"$200"),CF$3,ID4D!$E$3:$E$200,$CE5) ), IF($CK$12, ( COUNTIFS(INDIRECT("ID4D!$"&amp;$CL$12&amp;"$3:$"&amp;$CL$12&amp;"$200"),CF$3,ID4D!$E$3:$E$200,$CE5,ID4D!$IK$3:$IK$200,0) + COUNTIFS(INDIRECT("ID4D!$"&amp;$CL$12&amp;"$3:$"&amp;$CL$12&amp;"$200"),"-",ID4D!$E$3:$E$200,$CE5,ID4D!$IK$3:$IK$200,0) ), ( COUNTIFS(INDIRECT("ID4D!$"&amp;$CL$12&amp;"$3:$"&amp;$CL$12&amp;"$200"),CF$3,ID4D!$E$3:$E$200,$CE5) + COUNTIFS(INDIRECT("ID4D!$"&amp;$CL$12&amp;"$3:$"&amp;$CL$12&amp;"$200"),"-",ID4D!$E$3:$E$200,$CE5) ) ) )</f>
        <v>0</v>
      </c>
      <c r="CG5" s="355">
        <f ca="1">IF(OR($CL$11&lt;5,$CL$11&gt;7), IF( $CK$12, COUNTIFS(INDIRECT("ID4D!$"&amp;$CL$12&amp;"$3:$"&amp;$CL$12&amp;"$200"),CG$3,ID4D!$E$3:$E$200,$CE5,ID4D!$IK$3:$IK$200,0), COUNTIFS(INDIRECT("ID4D!$"&amp;$CL$12&amp;"$3:$"&amp;$CL$12&amp;"$200"),CG$3,ID4D!$E$3:$E$200,$CE5) ), IF($CK$12, ( COUNTIFS(INDIRECT("ID4D!$"&amp;$CL$12&amp;"$3:$"&amp;$CL$12&amp;"$200"),CG$3,ID4D!$E$3:$E$200,$CE5,ID4D!$IK$3:$IK$200,0) + COUNTIFS(INDIRECT("ID4D!$"&amp;$CL$12&amp;"$3:$"&amp;$CL$12&amp;"$200"),"1B",ID4D!$E$3:$E$200,$CE5,ID4D!$IK$3:$IK$200,0) ), ( COUNTIFS(INDIRECT("ID4D!$"&amp;$CL$12&amp;"$3:$"&amp;$CL$12&amp;"$200"),CG$3,ID4D!$E$3:$E$200,$CE5) + COUNTIFS(INDIRECT("ID4D!$"&amp;$CL$12&amp;"$3:$"&amp;$CL$12&amp;"$200"),"1B",ID4D!$E$3:$E$200,$CE5) ) ) )</f>
        <v>0</v>
      </c>
      <c r="CH5" s="355">
        <f ca="1">IF(OR($CL$11&lt;5,$CL$11&gt;7), IF( $CK$12, COUNTIFS(INDIRECT("ID4D!$"&amp;$CL$12&amp;"$3:$"&amp;$CL$12&amp;"$200"),CH$3,ID4D!$E$3:$E$200,$CE5,ID4D!$IK$3:$IK$200,0), COUNTIFS(INDIRECT("ID4D!$"&amp;$CL$12&amp;"$3:$"&amp;$CL$12&amp;"$200"),CH$3,ID4D!$E$3:$E$200,$CE5) ), IF($CK$12, ( COUNTIFS(INDIRECT("ID4D!$"&amp;$CL$12&amp;"$3:$"&amp;$CL$12&amp;"$200"),CH$3,ID4D!$E$3:$E$200,$CE5,ID4D!$IK$3:$IK$200,0) + COUNTIFS(INDIRECT("ID4D!$"&amp;$CL$12&amp;"$3:$"&amp;$CL$12&amp;"$200"),"2B",ID4D!$E$3:$E$200,$CE5,ID4D!$IK$3:$IK$200,0) ), ( COUNTIFS(INDIRECT("ID4D!$"&amp;$CL$12&amp;"$3:$"&amp;$CL$12&amp;"$200"),CH$3,ID4D!$E$3:$E$200,$CE5) + COUNTIFS(INDIRECT("ID4D!$"&amp;$CL$12&amp;"$3:$"&amp;$CL$12&amp;"$200"),"2B",ID4D!$E$3:$E$200,$CE5) ) ) )</f>
        <v>55</v>
      </c>
      <c r="CI5" s="355">
        <f ca="1">IF(OR($CL$11&lt;5,$CL$11&gt;7), IF( $CK$12, COUNTIFS(INDIRECT("ID4D!$"&amp;$CL$12&amp;"$3:$"&amp;$CL$12&amp;"$200"),CI$3,ID4D!$E$3:$E$200,$CE5,ID4D!$IK$3:$IK$200,0), COUNTIFS(INDIRECT("ID4D!$"&amp;$CL$12&amp;"$3:$"&amp;$CL$12&amp;"$200"),CI$3,ID4D!$E$3:$E$200,$CE5) ), IF($CK$12, ( COUNTIFS(INDIRECT("ID4D!$"&amp;$CL$12&amp;"$3:$"&amp;$CL$12&amp;"$200"),CI$3,ID4D!$E$3:$E$200,$CE5,ID4D!$IK$3:$IK$200,0) + COUNTIFS(INDIRECT("ID4D!$"&amp;$CL$12&amp;"$3:$"&amp;$CL$12&amp;"$200"),"3B",ID4D!$E$3:$E$200,$CE5,ID4D!$IK$3:$IK$200,0) ), ( COUNTIFS(INDIRECT("ID4D!$"&amp;$CL$12&amp;"$3:$"&amp;$CL$12&amp;"$200"),CI$3,ID4D!$E$3:$E$200,$CE5) + COUNTIFS(INDIRECT("ID4D!$"&amp;$CL$12&amp;"$3:$"&amp;$CL$12&amp;"$200"),"3B",ID4D!$E$3:$E$200,$CE5) ) ) )</f>
        <v>0</v>
      </c>
      <c r="CJ5" s="423">
        <f ca="1">IF(OR($CL$11&lt;5,$CL$11&gt;7), IF( $CK$12, COUNTIFS(INDIRECT("ID4D!$"&amp;$CL$12&amp;"$3:$"&amp;$CL$12&amp;"$200"),CJ$3,ID4D!$E$3:$E$200,$CE5,ID4D!$IK$3:$IK$200,0), COUNTIFS(INDIRECT("ID4D!$"&amp;$CL$12&amp;"$3:$"&amp;$CL$12&amp;"$200"),CJ$3,ID4D!$E$3:$E$200,$CE5) ), IF($CK$12, ( COUNTIFS(INDIRECT("ID4D!$"&amp;$CL$12&amp;"$3:$"&amp;$CL$12&amp;"$200"),CJ$3,ID4D!$E$3:$E$200,$CE5,ID4D!$IK$3:$IK$200,0) + COUNTIFS(INDIRECT("ID4D!$"&amp;$CL$12&amp;"$3:$"&amp;$CL$12&amp;"$200"),"4B",ID4D!$E$3:$E$200,$CE5,ID4D!$IK$3:$IK$200,0) ), ( COUNTIFS(INDIRECT("ID4D!$"&amp;$CL$12&amp;"$3:$"&amp;$CL$12&amp;"$200"),CJ$3,ID4D!$E$3:$E$200,$CE5) + COUNTIFS(INDIRECT("ID4D!$"&amp;$CL$12&amp;"$3:$"&amp;$CL$12&amp;"$200"),"4B",ID4D!$E$3:$E$200,$CE5) ) ) )</f>
        <v>0</v>
      </c>
      <c r="CK5" s="10">
        <f ca="1">SUM(CF5:CJ5)</f>
        <v>55</v>
      </c>
      <c r="CL5" s="604"/>
      <c r="CM5" s="607" t="s">
        <v>407</v>
      </c>
      <c r="CN5" s="40">
        <f ca="1">IF(OR($CL$11&lt;5,$CL$11&gt;7),IF($CK$12,COUNTIFS(INDIRECT("ID4D!$"&amp;$CL$12&amp;"$3:$"&amp;$CL$12&amp;"$200"),CN$3,ID4D!$D$3:$D$200,$CM5,ID4D!$IK$3:$IK$200,0),COUNTIFS(INDIRECT("ID4D!$"&amp;$CL$12&amp;"$3:$"&amp;$CL$12&amp;"$200"),CN$3,ID4D!$D$3:$D$200,$CM5)),IF($CK$12,(COUNTIFS(INDIRECT("ID4D!$"&amp;$CL$12&amp;"$3:$"&amp;$CL$12&amp;"$200"),CN$3,ID4D!$D$3:$D$200,$CM5,ID4D!$IK$3:$IK$200,0)+COUNTIFS(INDIRECT("ID4D!$"&amp;$CL$12&amp;"$3:$"&amp;$CL$12&amp;"$200"),"-",ID4D!$D$3:$D$200,$CM5,ID4D!$IK$3:$IK$200,0)),(COUNTIFS(INDIRECT("ID4D!$"&amp;$CL$12&amp;"$3:$"&amp;$CL$12&amp;"$200"),CN$3,ID4D!$D$3:$D$200,$CM5)+COUNTIFS(INDIRECT("ID4D!$"&amp;$CL$12&amp;"$3:$"&amp;$CL$12&amp;"$200"),"-",ID4D!$D$3:$D$200,$CM5))))</f>
        <v>0</v>
      </c>
      <c r="CO5" s="355">
        <f ca="1">IF(OR($CL$11&lt;5,$CL$11&gt;7),IF($CK$12,COUNTIFS(INDIRECT("ID4D!$"&amp;$CL$12&amp;"$3:$"&amp;$CL$12&amp;"$200"),CO$3,ID4D!$D$3:$D$200,$CM5,ID4D!$IK$3:$IK$200,0),COUNTIFS(INDIRECT("ID4D!$"&amp;$CL$12&amp;"$3:$"&amp;$CL$12&amp;"$200"),CO$3,ID4D!$D$3:$D$200,$CM5)),IF($CK$12,(COUNTIFS(INDIRECT("ID4D!$"&amp;$CL$12&amp;"$3:$"&amp;$CL$12&amp;"$200"),CO$3,ID4D!$D$3:$D$200,$CM5,ID4D!$IK$3:$IK$200,0)+COUNTIFS(INDIRECT("ID4D!$"&amp;$CL$12&amp;"$3:$"&amp;$CL$12&amp;"$200"),"1B",ID4D!$D$3:$D$200,$CM5,ID4D!$IK$3:$IK$200,0)),(COUNTIFS(INDIRECT("ID4D!$"&amp;$CL$12&amp;"$3:$"&amp;$CL$12&amp;"$200"),CO$3,ID4D!$D$3:$D$200,$CM5)+COUNTIFS(INDIRECT("ID4D!$"&amp;$CL$12&amp;"$3:$"&amp;$CL$12&amp;"$200"),"1B",ID4D!$D$3:$D$200,$CM5))))</f>
        <v>1</v>
      </c>
      <c r="CP5" s="355">
        <f ca="1">IF(OR($CL$11&lt;5,$CL$11&gt;7),IF($CK$12,COUNTIFS(INDIRECT("ID4D!$"&amp;$CL$12&amp;"$3:$"&amp;$CL$12&amp;"$200"),CP$3,ID4D!$D$3:$D$200,$CM5,ID4D!$IK$3:$IK$200,0),COUNTIFS(INDIRECT("ID4D!$"&amp;$CL$12&amp;"$3:$"&amp;$CL$12&amp;"$200"),CP$3,ID4D!$D$3:$D$200,$CM5)),IF($CK$12,(COUNTIFS(INDIRECT("ID4D!$"&amp;$CL$12&amp;"$3:$"&amp;$CL$12&amp;"$200"),CP$3,ID4D!$D$3:$D$200,$CM5,ID4D!$IK$3:$IK$200,0)+COUNTIFS(INDIRECT("ID4D!$"&amp;$CL$12&amp;"$3:$"&amp;$CL$12&amp;"$200"),"2B",ID4D!$D$3:$D$200,$CM5,ID4D!$IK$3:$IK$200,0)),(COUNTIFS(INDIRECT("ID4D!$"&amp;$CL$12&amp;"$3:$"&amp;$CL$12&amp;"$200"),CP$3,ID4D!$D$3:$D$200,$CM5)+COUNTIFS(INDIRECT("ID4D!$"&amp;$CL$12&amp;"$3:$"&amp;$CL$12&amp;"$200"),"2B",ID4D!$D$3:$D$200,$CM5))))</f>
        <v>28</v>
      </c>
      <c r="CQ5" s="355">
        <f ca="1">IF(OR($CL$11&lt;5,$CL$11&gt;7),IF($CK$12,COUNTIFS(INDIRECT("ID4D!$"&amp;$CL$12&amp;"$3:$"&amp;$CL$12&amp;"$200"),CQ$3,ID4D!$D$3:$D$200,$CM5,ID4D!$IK$3:$IK$200,0),COUNTIFS(INDIRECT("ID4D!$"&amp;$CL$12&amp;"$3:$"&amp;$CL$12&amp;"$200"),CQ$3,ID4D!$D$3:$D$200,$CM5)),IF($CK$12,(COUNTIFS(INDIRECT("ID4D!$"&amp;$CL$12&amp;"$3:$"&amp;$CL$12&amp;"$200"),CQ$3,ID4D!$D$3:$D$200,$CM5,ID4D!$IK$3:$IK$200,0)+COUNTIFS(INDIRECT("ID4D!$"&amp;$CL$12&amp;"$3:$"&amp;$CL$12&amp;"$200"),"3B",ID4D!$D$3:$D$200,$CM5,ID4D!$IK$3:$IK$200,0)),(COUNTIFS(INDIRECT("ID4D!$"&amp;$CL$12&amp;"$3:$"&amp;$CL$12&amp;"$200"),CQ$3,ID4D!$D$3:$D$200,$CM5)+COUNTIFS(INDIRECT("ID4D!$"&amp;$CL$12&amp;"$3:$"&amp;$CL$12&amp;"$200"),"3B",ID4D!$D$3:$D$200,$CM5))))</f>
        <v>0</v>
      </c>
      <c r="CR5" s="423">
        <f ca="1">IF(OR($CL$11&lt;5,$CL$11&gt;7),IF($CK$12,COUNTIFS(INDIRECT("ID4D!$"&amp;$CL$12&amp;"$3:$"&amp;$CL$12&amp;"$200"),CR$3,ID4D!$D$3:$D$200,$CM5,ID4D!$IK$3:$IK$200,0),COUNTIFS(INDIRECT("ID4D!$"&amp;$CL$12&amp;"$3:$"&amp;$CL$12&amp;"$200"),CR$3,ID4D!$D$3:$D$200,$CM5)),IF($CK$12,(COUNTIFS(INDIRECT("ID4D!$"&amp;$CL$12&amp;"$3:$"&amp;$CL$12&amp;"$200"),CR$3,ID4D!$D$3:$D$200,$CM5,ID4D!$IK$3:$IK$200,0)+COUNTIFS(INDIRECT("ID4D!$"&amp;$CL$12&amp;"$3:$"&amp;$CL$12&amp;"$200"),"4B",ID4D!$D$3:$D$200,$CM5,ID4D!$IK$3:$IK$200,0)),(COUNTIFS(INDIRECT("ID4D!$"&amp;$CL$12&amp;"$3:$"&amp;$CL$12&amp;"$200"),CR$3,ID4D!$D$3:$D$200,$CM5)+COUNTIFS(INDIRECT("ID4D!$"&amp;$CL$12&amp;"$3:$"&amp;$CL$12&amp;"$200"),"4B",ID4D!$D$3:$D$200,$CM5))))</f>
        <v>0</v>
      </c>
      <c r="CS5" s="10">
        <f t="shared" ca="1" si="2"/>
        <v>29</v>
      </c>
      <c r="CT5" s="418"/>
      <c r="CU5" s="418"/>
      <c r="CV5" s="620">
        <v>2</v>
      </c>
      <c r="CW5" s="650">
        <v>2</v>
      </c>
      <c r="CX5" s="647">
        <f>COUNTIF(ID4D!$T$3:$T$200,CX$3)</f>
        <v>17</v>
      </c>
      <c r="CY5" s="355">
        <f>COUNTIF(ID4D!$T$3:$T$200,CY$3)</f>
        <v>162</v>
      </c>
      <c r="CZ5" s="355">
        <f>COUNTIF(ID4D!$T$3:$T$200,CZ$3)</f>
        <v>19</v>
      </c>
      <c r="DA5" s="355"/>
      <c r="DB5" s="640"/>
      <c r="DC5" s="10">
        <f t="shared" si="3"/>
        <v>198</v>
      </c>
      <c r="DD5" s="621" t="s">
        <v>324</v>
      </c>
      <c r="DE5" s="354" t="s">
        <v>4572</v>
      </c>
      <c r="DF5" s="354"/>
      <c r="DG5" s="622"/>
      <c r="DH5" s="650">
        <v>2</v>
      </c>
      <c r="DI5" s="647">
        <f>COUNTIFS(ID4D!$T$3:$T$200,DI$3,ID4D!$D$3:$D$200,"&gt;A")</f>
        <v>10</v>
      </c>
      <c r="DJ5" s="355">
        <f>COUNTIFS(ID4D!$T$3:$T$200,DJ$3,ID4D!$D$3:$D$200,"&gt;A")</f>
        <v>140</v>
      </c>
      <c r="DK5" s="355">
        <f>COUNTIFS(ID4D!$T$3:$T$200,DK$3,ID4D!$D$3:$D$200,"&gt;A")</f>
        <v>18</v>
      </c>
      <c r="DL5" s="355"/>
      <c r="DM5" s="51"/>
      <c r="DN5" s="10">
        <f t="shared" si="4"/>
        <v>168</v>
      </c>
      <c r="DO5" s="33"/>
      <c r="DQ5" t="str">
        <f>IF($ED$1,"LMIC (44)","LMIC (50)")</f>
        <v>LMIC (50)</v>
      </c>
      <c r="DR5" s="736">
        <f>IF($ED$1,COUNTIFS(ID4D!$E$3:$E$200,$DY5,ID4D!$AG$3:$AG$200,0,ID4D!$IK$3:$IK$200,0),COUNTIFS(ID4D!$E$3:$E$200,$DY5,ID4D!$AG$3:$AG$200,0))</f>
        <v>5</v>
      </c>
      <c r="DS5" s="736">
        <f>IF($ED$1,COUNTIFS(ID4D!$E$3:$E$200,$DY5,ID4D!$AG$3:$AG$200,1,ID4D!$U$3:$U$200,2,ID4D!$IK$3:$IK$200,0),COUNTIFS(ID4D!$E$3:$E$200,$DY5,ID4D!$AG$3:$AG$200,1,ID4D!$U$3:$U$200,2))</f>
        <v>6</v>
      </c>
      <c r="DT5" s="736">
        <f>IF($ED$1,COUNTIFS(ID4D!$E$3:$E$200,$DY5,ID4D!$AG$3:$AG$200,1,ID4D!$U$3:$U$200,1,ID4D!$IK$3:$IK$200,0),COUNTIFS(ID4D!$E$3:$E$200,$DY5,ID4D!$AG$3:$AG$200,1,ID4D!$U$3:$U$200,1))</f>
        <v>3</v>
      </c>
      <c r="DU5" s="736">
        <f>IF($ED$1,COUNTIFS(ID4D!$E$3:$E$200,$DY5,ID4D!$AG$3:$AG$200,"&gt;1",ID4D!$U$3:$U$200,2,ID4D!$IK$3:$IK$200,0),COUNTIFS(ID4D!$E$3:$E$200,$DY5,ID4D!$AG$3:$AG$200,"&gt;1",ID4D!$U$3:$U$200,2))</f>
        <v>6</v>
      </c>
      <c r="DV5" s="736">
        <f>IF($ED$1,COUNTIFS(ID4D!$E$3:$E$200,$DY5,ID4D!$AG$3:$AG$200,"&gt;1",ID4D!$U$3:$U$200,1,ID4D!$IK$3:$IK$200,0),COUNTIFS(ID4D!$E$3:$E$200,$DY5,ID4D!$AG$3:$AG$200,"&gt;1",ID4D!$U$3:$U$200,1))</f>
        <v>0</v>
      </c>
      <c r="DW5" s="736">
        <f>IF($ED$1,COUNTIFS(ID4D!$E$3:$E$200,$DY5,ID4D!$AG$3:$AG$200,"2B",ID4D!$U$3:$U$200,2,ID4D!$IK$3:$IK$200,0)+COUNTIFS(ID4D!$E$3:$E$200,$DY5,ID4D!$AG$3:$AG$200,"3B",ID4D!$U$3:$U$200,2,ID4D!$IK$3:$IK$200,0)+COUNTIFS(ID4D!$E$3:$E$200,$DY5,ID4D!$AG$3:$AG$200,"4B",ID4D!$U$3:$U$200,2,ID4D!$IK$3:$IK$200,0), COUNTIFS(ID4D!$E$3:$E$200,$DY5,ID4D!$AG$3:$AG$200,"2B",ID4D!$U$3:$U$200,2)+COUNTIFS(ID4D!$E$3:$E$200,$DY5,ID4D!$AG$3:$AG$200,"3B",ID4D!$U$3:$U$200,2)+COUNTIFS(ID4D!$E$3:$E$200,$DY5,ID4D!$AG$3:$AG$200,"4B",ID4D!$U$3:$U$200,2))</f>
        <v>29</v>
      </c>
      <c r="DX5" s="736">
        <f>IF($ED$1,COUNTIFS(ID4D!$E$3:$E$200,$DY5,ID4D!$AG$3:$AG$200,"2B",ID4D!$U$3:$U$200,1,ID4D!$IK$3:$IK$200,0)+COUNTIFS(ID4D!$E$3:$E$200,$DY5,ID4D!$AG$3:$AG$200,"3B",ID4D!$U$3:$U$200,1,ID4D!$IK$3:$IK$200,0)+COUNTIFS(ID4D!$E$3:$E$200,$DY5,ID4D!$AG$3:$AG$200,"4B",ID4D!$U$3:$U$200,1,ID4D!$IK$3:$IK$200,0), COUNTIFS(ID4D!$E$3:$E$200,$DY5,ID4D!$AG$3:$AG$200,"2B",ID4D!$U$3:$U$200,1)+COUNTIFS(ID4D!$E$3:$E$200,$DY5,ID4D!$AG$3:$AG$200,"3B",ID4D!$U$3:$U$200,1)+COUNTIFS(ID4D!$E$3:$E$200,$DY5,ID4D!$AG$3:$AG$200,"4B",ID4D!$U$3:$U$200,1))</f>
        <v>1</v>
      </c>
      <c r="DY5" s="596" t="s">
        <v>20</v>
      </c>
      <c r="EU5" t="str">
        <f>IF($ED$1,"ECA (30)","ECA (30)")</f>
        <v>ECA (30)</v>
      </c>
      <c r="EV5" s="593">
        <f>IF($ED$1,AVERAGEIFS(ID4D!$CI$3:$CI$200, ID4D!$D$3:$D$200,EX5,ID4D!$IK$3:$IK$200,0),AVERAGEIF(ID4D!$D$3:$D$200,EX5,ID4D!$CI$3:$CI$200))</f>
        <v>97.899999999999991</v>
      </c>
      <c r="EW5" s="593">
        <f>IF($ED$1,AVERAGEIFS(ID4D!$CH$3:$CH$200, ID4D!$D$3:$D$200,EX5,ID4D!$IK$3:$IK$200,0),AVERAGEIF(ID4D!$D$3:$D$200,EX5,ID4D!$CH$3:$CH$200))</f>
        <v>97.880000000000024</v>
      </c>
      <c r="EX5" s="596" t="s">
        <v>408</v>
      </c>
    </row>
    <row r="6" spans="2:154">
      <c r="B6" s="606" t="s">
        <v>20</v>
      </c>
      <c r="C6" s="40">
        <f>IF($K$15,COUNTIFS(ID4D!$IN$3:$IN$200,C$3,ID4D!$E$3:$E$200,$B6,ID4D!$IK$3:$IK$200,0),COUNTIFS(ID4D!$IN$3:$IN$200,C$3,ID4D!$E$3:$E$200,$B6))</f>
        <v>7</v>
      </c>
      <c r="D6" s="770">
        <f>IF($K$15,COUNTIFS(ID4D!$IN$3:$IN$200,D$3,ID4D!$E$3:$E$200,$B6,ID4D!$IK$3:$IK$200,0),COUNTIFS(ID4D!$IN$3:$IN$200,D$3,ID4D!$E$3:$E$200,$B6))</f>
        <v>27</v>
      </c>
      <c r="E6" s="770">
        <f>IF($K$15,COUNTIFS(ID4D!$IN$3:$IN$200,E$3,ID4D!$E$3:$E$200,$B6,ID4D!$IK$3:$IK$200,0),COUNTIFS(ID4D!$IN$3:$IN$200,E$3,ID4D!$E$3:$E$200,$B6))</f>
        <v>12</v>
      </c>
      <c r="F6" s="640">
        <f>IF($K$15,COUNTIFS(ID4D!$IN$3:$IN$200,F$3,ID4D!$E$3:$E$200,$B6,ID4D!$IK$3:$IK$200,0),COUNTIFS(ID4D!$IN$3:$IN$200,F$3,ID4D!$E$3:$E$200,$B6))</f>
        <v>4</v>
      </c>
      <c r="G6" s="10">
        <f>SUM(C6:F6)</f>
        <v>50</v>
      </c>
      <c r="H6" s="604"/>
      <c r="I6" s="604"/>
      <c r="J6" s="604"/>
      <c r="K6" s="607" t="s">
        <v>408</v>
      </c>
      <c r="L6" s="769">
        <f>IF($K$15,COUNTIFS(ID4D!$IN$3:$IN$200,C$3,ID4D!$D$3:$D$200,$K6,ID4D!$IK$3:$IK$200,0),COUNTIFS(ID4D!$IN$3:$IN$200,C$3,ID4D!$D$3:$D$200,$K6))</f>
        <v>15</v>
      </c>
      <c r="M6" s="770">
        <f>IF($K$15,COUNTIFS(ID4D!$IN$3:$IN$200,D$3,ID4D!$D$3:$D$200,$K6,ID4D!$IK$3:$IK$200,0),COUNTIFS(ID4D!$IN$3:$IN$200,D$3,ID4D!$D$3:$D$200,$K6))</f>
        <v>13</v>
      </c>
      <c r="N6" s="355">
        <f>IF($K$15,COUNTIFS(ID4D!$IN$3:$IN$200,E$3,ID4D!$D$3:$D$200,$K6,ID4D!$IK$3:$IK$200,0),COUNTIFS(ID4D!$IN$3:$IN$200,E$3,ID4D!$D$3:$D$200,$K6))</f>
        <v>1</v>
      </c>
      <c r="O6" s="640">
        <f>IF($K$15,COUNTIFS(ID4D!$IN$3:$IN$200,F$3,ID4D!$D$3:$D$200,$K6,ID4D!$IK$3:$IK$200,0),COUNTIFS(ID4D!$IN$3:$IN$200,F$3,ID4D!$D$3:$D$200,$K6))</f>
        <v>1</v>
      </c>
      <c r="P6" s="10">
        <f t="shared" si="0"/>
        <v>30</v>
      </c>
      <c r="T6" t="str">
        <f>IF($AV$1,"LCR (23)","LCR (32)")</f>
        <v>LCR (32)</v>
      </c>
      <c r="U6" s="593">
        <f>IF($AV$1,AVERAGEIFS(ID4D!$CG$3:$CG$200, ID4D!$D$3:$D$200,V6,ID4D!$IK$3:$IK$200,0),AVERAGEIF(ID4D!$D$3:$D$200,V6,ID4D!$CG$3:$CG$200))</f>
        <v>91.646874999999994</v>
      </c>
      <c r="V6" s="596" t="s">
        <v>409</v>
      </c>
      <c r="AO6" s="628">
        <v>1962</v>
      </c>
      <c r="AP6" s="628">
        <f>IF($AV$1,COUNTIFS(ID4D!$K$3:$K$200,$AO6,ID4D!$IK$3:$IK$200,0),COUNTIF(ID4D!$K$3:$K$200,$AO6))</f>
        <v>2</v>
      </c>
      <c r="AQ6" s="628">
        <f t="shared" ref="AQ6:AQ60" si="8">AQ5+AP6</f>
        <v>142</v>
      </c>
      <c r="AR6" s="628">
        <f>IF($AV$1,COUNTIFS(ID4D!$R$3:$R$200,$AO6,ID4D!$IK$3:$IK$200,0),COUNTIF(ID4D!$R$3:$R$200,$AO6))</f>
        <v>1</v>
      </c>
      <c r="AS6" s="628">
        <f t="shared" si="5"/>
        <v>20</v>
      </c>
      <c r="AT6" s="628">
        <f>IF($AV$1,COUNTIFS(ID4D!$AE$3:$AE$200,$AO6,ID4D!$IK$3:$IK$200,0),COUNTIF(ID4D!$AE$3:$AE$200,$AO6))</f>
        <v>0</v>
      </c>
      <c r="AU6" s="628">
        <f t="shared" si="6"/>
        <v>0</v>
      </c>
      <c r="AV6" s="628">
        <f>IF($AV$1,COUNTIFS(ID4D!$AZ$3:$AZ$200,$AO6,ID4D!$IK$3:$IK$200,0),COUNTIF(ID4D!$AZ$3:$AZ$200,$AO6))</f>
        <v>0</v>
      </c>
      <c r="AW6" s="628">
        <f t="shared" ref="AW6:AW60" si="9">AW5+AV6</f>
        <v>3</v>
      </c>
      <c r="AX6" s="628">
        <f>IF($AV$1,COUNTIFS(ID4D!$BD$3:$BD$200,$AO6,ID4D!$IK$3:$IK$200,0),COUNTIF(ID4D!$BD$3:$BD$200,$AO6))</f>
        <v>0</v>
      </c>
      <c r="AY6" s="628">
        <f t="shared" si="7"/>
        <v>10</v>
      </c>
      <c r="AZ6" s="628">
        <f>IF($AV$1,COUNTIFS(ID4D!$AZ$3:$AZ$200,$AO6,ID4D!$BB$3:$BB$200,2,ID4D!$IK$3:$IK$200,0),COUNTIFS(ID4D!$AZ$3:$AZ$200,$AO6,ID4D!$BB$3:$BB$200,2))</f>
        <v>0</v>
      </c>
      <c r="BA6" s="628">
        <f t="shared" ref="BA6:BA60" si="10">BA5+AZ6</f>
        <v>2</v>
      </c>
      <c r="BB6" s="628">
        <f>IF($AV$1,COUNTIFS(ID4D!$AU$3:$AU$200,$AO6,ID4D!$AS$3:$AS$200,2,ID4D!$IK$3:$IK$200,0),COUNTIFS(ID4D!$AU$3:$AU$200,$AO6,ID4D!$AS$3:$AS$200,2))</f>
        <v>0</v>
      </c>
      <c r="BC6" s="628">
        <f t="shared" ref="BC6:BC60" si="11">BC5+BB6</f>
        <v>0</v>
      </c>
      <c r="BD6" s="628">
        <f>IF($AV$1,COUNTIFS(ID4D!$HM$3:$HM$200,$AO6,ID4D!$IK$3:$IK$200,0),COUNTIF(ID4D!$HM$3:$HM$200,$AO6))</f>
        <v>0</v>
      </c>
      <c r="BE6" s="628">
        <f t="shared" ref="BE6:BE60" si="12">BE5+BD6</f>
        <v>0</v>
      </c>
      <c r="BF6" s="628">
        <f>IF($AV$1,COUNTIFS(ID4D!$HU$3:$HU$200,$AO6,ID4D!$IK$3:$IK$200,0),COUNTIF(ID4D!$HU$3:$HU$200,$AO6))</f>
        <v>0</v>
      </c>
      <c r="BG6" s="628">
        <f t="shared" ref="BG6:BG60" si="13">BG5+BF6</f>
        <v>5</v>
      </c>
      <c r="BJ6" s="606" t="s">
        <v>20</v>
      </c>
      <c r="BK6" s="40">
        <f>IF($CK$12,COUNTIFS(ID4D!$J$3:$J$200,BK$3,ID4D!$E$3:$E$200,$BJ6,ID4D!$IK$3:$IK$200,0),COUNTIFS(ID4D!$J$3:$J$200,BK$3,ID4D!$E$3:$E$200,$BJ6))</f>
        <v>10</v>
      </c>
      <c r="BL6" s="355">
        <f>IF($CK$12,COUNTIFS(ID4D!$J$3:$J$200,BL$3,ID4D!$E$3:$E$200,$BJ6,ID4D!$IK$3:$IK$200,0),COUNTIFS(ID4D!$J$3:$J$200,BL$3,ID4D!$E$3:$E$200,$BJ6))</f>
        <v>17</v>
      </c>
      <c r="BM6" s="355">
        <f>IF($CK$12,COUNTIFS(ID4D!$J$3:$J$200,BM$3,ID4D!$E$3:$E$200,$BJ6,ID4D!$IK$3:$IK$200,0),COUNTIFS(ID4D!$J$3:$J$200,BM$3,ID4D!$E$3:$E$200,$BJ6))</f>
        <v>1</v>
      </c>
      <c r="BN6" s="355">
        <f>IF($CK$12,COUNTIFS(ID4D!$J$3:$J$200,BN$3,ID4D!$E$3:$E$200,$BJ6,ID4D!$IK$3:$IK$200,0),COUNTIFS(ID4D!$J$3:$J$200,BN$3,ID4D!$E$3:$E$200,$BJ6))</f>
        <v>2</v>
      </c>
      <c r="BO6" s="355">
        <f>IF($CK$12,COUNTIFS(ID4D!$J$3:$J$200,BO$3,ID4D!$E$3:$E$200,$BJ6,ID4D!$IK$3:$IK$200,0),COUNTIFS(ID4D!$J$3:$J$200,BO$3,ID4D!$E$3:$E$200,$BJ6))</f>
        <v>5</v>
      </c>
      <c r="BP6" s="423">
        <f>IF($CK$12,COUNTIFS(ID4D!$J$3:$J$200,BP$3,ID4D!$E$3:$E$200,$BJ6,ID4D!$IK$3:$IK$200,0),COUNTIFS(ID4D!$J$3:$J$200,BP$3,ID4D!$E$3:$E$200,$BJ6))</f>
        <v>15</v>
      </c>
      <c r="BQ6" s="10">
        <f>SUM(BK6:BP6)</f>
        <v>50</v>
      </c>
      <c r="BR6" s="604"/>
      <c r="BT6" s="607" t="s">
        <v>408</v>
      </c>
      <c r="BU6" s="40">
        <f>IF($CK$12,COUNTIFS(ID4D!$J$3:$J$200,BU$3,ID4D!$D$3:$D$200,$BT6,ID4D!$IK$3:$IK$200,0),COUNTIFS(ID4D!$J$3:$J$200,BU$3,ID4D!$D$3:$D$200,$BT6))</f>
        <v>6</v>
      </c>
      <c r="BV6" s="355">
        <f>IF($CK$12,COUNTIFS(ID4D!$J$3:$J$200,BV$3,ID4D!$D$3:$D$200,$BT6,ID4D!$IK$3:$IK$200,0),COUNTIFS(ID4D!$J$3:$J$200,BV$3,ID4D!$D$3:$D$200,$BT6))</f>
        <v>11</v>
      </c>
      <c r="BW6" s="355">
        <f>IF($CK$12,COUNTIFS(ID4D!$J$3:$J$200,BW$3,ID4D!$D$3:$D$200,$BT6,ID4D!$IK$3:$IK$200,0),COUNTIFS(ID4D!$J$3:$J$200,BW$3,ID4D!$D$3:$D$200,$BT6))</f>
        <v>3</v>
      </c>
      <c r="BX6" s="355">
        <f>IF($CK$12,COUNTIFS(ID4D!$J$3:$J$200,BX$3,ID4D!$D$3:$D$200,$BT6,ID4D!$IK$3:$IK$200,0),COUNTIFS(ID4D!$J$3:$J$200,BX$3,ID4D!$D$3:$D$200,$BT6))</f>
        <v>0</v>
      </c>
      <c r="BY6" s="355">
        <f>IF($CK$12,COUNTIFS(ID4D!$J$3:$J$200,BY$3,ID4D!$D$3:$D$200,$BT6,ID4D!$IK$3:$IK$200,0),COUNTIFS(ID4D!$J$3:$J$200,BY$3,ID4D!$D$3:$D$200,$BT6))</f>
        <v>6</v>
      </c>
      <c r="BZ6" s="423">
        <f>IF($CK$12,COUNTIFS(ID4D!$J$3:$J$200,BZ$3,ID4D!$D$3:$D$200,$BT6,ID4D!$IK$3:$IK$200,0),COUNTIFS(ID4D!$J$3:$J$200,BZ$3,ID4D!$D$3:$D$200,$BT6))</f>
        <v>4</v>
      </c>
      <c r="CA6" s="10">
        <f t="shared" si="1"/>
        <v>30</v>
      </c>
      <c r="CD6" s="2"/>
      <c r="CE6" s="606" t="s">
        <v>20</v>
      </c>
      <c r="CF6" s="40">
        <f ca="1">IF(OR($CL$11&lt;5,$CL$11&gt;7), IF( $CK$12, COUNTIFS(INDIRECT("ID4D!$"&amp;$CL$12&amp;"$3:$"&amp;$CL$12&amp;"$200"),CF$3,ID4D!$E$3:$E$200,$CE6,ID4D!$IK$3:$IK$200,0), COUNTIFS(INDIRECT("ID4D!$"&amp;$CL$12&amp;"$3:$"&amp;$CL$12&amp;"$200"),CF$3,ID4D!$E$3:$E$200,$CE6) ), IF($CK$12, ( COUNTIFS(INDIRECT("ID4D!$"&amp;$CL$12&amp;"$3:$"&amp;$CL$12&amp;"$200"),CF$3,ID4D!$E$3:$E$200,$CE6,ID4D!$IK$3:$IK$200,0) + COUNTIFS(INDIRECT("ID4D!$"&amp;$CL$12&amp;"$3:$"&amp;$CL$12&amp;"$200"),"-",ID4D!$E$3:$E$200,$CE6,ID4D!$IK$3:$IK$200,0) ), ( COUNTIFS(INDIRECT("ID4D!$"&amp;$CL$12&amp;"$3:$"&amp;$CL$12&amp;"$200"),CF$3,ID4D!$E$3:$E$200,$CE6) + COUNTIFS(INDIRECT("ID4D!$"&amp;$CL$12&amp;"$3:$"&amp;$CL$12&amp;"$200"),"-",ID4D!$E$3:$E$200,$CE6) ) ) )</f>
        <v>0</v>
      </c>
      <c r="CG6" s="355">
        <f ca="1">IF(OR($CL$11&lt;5,$CL$11&gt;7), IF( $CK$12, COUNTIFS(INDIRECT("ID4D!$"&amp;$CL$12&amp;"$3:$"&amp;$CL$12&amp;"$200"),CG$3,ID4D!$E$3:$E$200,$CE6,ID4D!$IK$3:$IK$200,0), COUNTIFS(INDIRECT("ID4D!$"&amp;$CL$12&amp;"$3:$"&amp;$CL$12&amp;"$200"),CG$3,ID4D!$E$3:$E$200,$CE6) ), IF($CK$12, ( COUNTIFS(INDIRECT("ID4D!$"&amp;$CL$12&amp;"$3:$"&amp;$CL$12&amp;"$200"),CG$3,ID4D!$E$3:$E$200,$CE6,ID4D!$IK$3:$IK$200,0) + COUNTIFS(INDIRECT("ID4D!$"&amp;$CL$12&amp;"$3:$"&amp;$CL$12&amp;"$200"),"1B",ID4D!$E$3:$E$200,$CE6,ID4D!$IK$3:$IK$200,0) ), ( COUNTIFS(INDIRECT("ID4D!$"&amp;$CL$12&amp;"$3:$"&amp;$CL$12&amp;"$200"),CG$3,ID4D!$E$3:$E$200,$CE6) + COUNTIFS(INDIRECT("ID4D!$"&amp;$CL$12&amp;"$3:$"&amp;$CL$12&amp;"$200"),"1B",ID4D!$E$3:$E$200,$CE6) ) ) )</f>
        <v>3</v>
      </c>
      <c r="CH6" s="355">
        <f ca="1">IF(OR($CL$11&lt;5,$CL$11&gt;7), IF( $CK$12, COUNTIFS(INDIRECT("ID4D!$"&amp;$CL$12&amp;"$3:$"&amp;$CL$12&amp;"$200"),CH$3,ID4D!$E$3:$E$200,$CE6,ID4D!$IK$3:$IK$200,0), COUNTIFS(INDIRECT("ID4D!$"&amp;$CL$12&amp;"$3:$"&amp;$CL$12&amp;"$200"),CH$3,ID4D!$E$3:$E$200,$CE6) ), IF($CK$12, ( COUNTIFS(INDIRECT("ID4D!$"&amp;$CL$12&amp;"$3:$"&amp;$CL$12&amp;"$200"),CH$3,ID4D!$E$3:$E$200,$CE6,ID4D!$IK$3:$IK$200,0) + COUNTIFS(INDIRECT("ID4D!$"&amp;$CL$12&amp;"$3:$"&amp;$CL$12&amp;"$200"),"2B",ID4D!$E$3:$E$200,$CE6,ID4D!$IK$3:$IK$200,0) ), ( COUNTIFS(INDIRECT("ID4D!$"&amp;$CL$12&amp;"$3:$"&amp;$CL$12&amp;"$200"),CH$3,ID4D!$E$3:$E$200,$CE6) + COUNTIFS(INDIRECT("ID4D!$"&amp;$CL$12&amp;"$3:$"&amp;$CL$12&amp;"$200"),"2B",ID4D!$E$3:$E$200,$CE6) ) ) )</f>
        <v>47</v>
      </c>
      <c r="CI6" s="355">
        <f ca="1">IF(OR($CL$11&lt;5,$CL$11&gt;7), IF( $CK$12, COUNTIFS(INDIRECT("ID4D!$"&amp;$CL$12&amp;"$3:$"&amp;$CL$12&amp;"$200"),CI$3,ID4D!$E$3:$E$200,$CE6,ID4D!$IK$3:$IK$200,0), COUNTIFS(INDIRECT("ID4D!$"&amp;$CL$12&amp;"$3:$"&amp;$CL$12&amp;"$200"),CI$3,ID4D!$E$3:$E$200,$CE6) ), IF($CK$12, ( COUNTIFS(INDIRECT("ID4D!$"&amp;$CL$12&amp;"$3:$"&amp;$CL$12&amp;"$200"),CI$3,ID4D!$E$3:$E$200,$CE6,ID4D!$IK$3:$IK$200,0) + COUNTIFS(INDIRECT("ID4D!$"&amp;$CL$12&amp;"$3:$"&amp;$CL$12&amp;"$200"),"3B",ID4D!$E$3:$E$200,$CE6,ID4D!$IK$3:$IK$200,0) ), ( COUNTIFS(INDIRECT("ID4D!$"&amp;$CL$12&amp;"$3:$"&amp;$CL$12&amp;"$200"),CI$3,ID4D!$E$3:$E$200,$CE6) + COUNTIFS(INDIRECT("ID4D!$"&amp;$CL$12&amp;"$3:$"&amp;$CL$12&amp;"$200"),"3B",ID4D!$E$3:$E$200,$CE6) ) ) )</f>
        <v>0</v>
      </c>
      <c r="CJ6" s="423">
        <f ca="1">IF(OR($CL$11&lt;5,$CL$11&gt;7), IF( $CK$12, COUNTIFS(INDIRECT("ID4D!$"&amp;$CL$12&amp;"$3:$"&amp;$CL$12&amp;"$200"),CJ$3,ID4D!$E$3:$E$200,$CE6,ID4D!$IK$3:$IK$200,0), COUNTIFS(INDIRECT("ID4D!$"&amp;$CL$12&amp;"$3:$"&amp;$CL$12&amp;"$200"),CJ$3,ID4D!$E$3:$E$200,$CE6) ), IF($CK$12, ( COUNTIFS(INDIRECT("ID4D!$"&amp;$CL$12&amp;"$3:$"&amp;$CL$12&amp;"$200"),CJ$3,ID4D!$E$3:$E$200,$CE6,ID4D!$IK$3:$IK$200,0) + COUNTIFS(INDIRECT("ID4D!$"&amp;$CL$12&amp;"$3:$"&amp;$CL$12&amp;"$200"),"4B",ID4D!$E$3:$E$200,$CE6,ID4D!$IK$3:$IK$200,0) ), ( COUNTIFS(INDIRECT("ID4D!$"&amp;$CL$12&amp;"$3:$"&amp;$CL$12&amp;"$200"),CJ$3,ID4D!$E$3:$E$200,$CE6) + COUNTIFS(INDIRECT("ID4D!$"&amp;$CL$12&amp;"$3:$"&amp;$CL$12&amp;"$200"),"4B",ID4D!$E$3:$E$200,$CE6) ) ) )</f>
        <v>0</v>
      </c>
      <c r="CK6" s="10">
        <f ca="1">SUM(CF6:CJ6)</f>
        <v>50</v>
      </c>
      <c r="CL6" s="604"/>
      <c r="CM6" s="607" t="s">
        <v>408</v>
      </c>
      <c r="CN6" s="40">
        <f ca="1">IF(OR($CL$11&lt;5,$CL$11&gt;7),IF($CK$12,COUNTIFS(INDIRECT("ID4D!$"&amp;$CL$12&amp;"$3:$"&amp;$CL$12&amp;"$200"),CN$3,ID4D!$D$3:$D$200,$CM6,ID4D!$IK$3:$IK$200,0),COUNTIFS(INDIRECT("ID4D!$"&amp;$CL$12&amp;"$3:$"&amp;$CL$12&amp;"$200"),CN$3,ID4D!$D$3:$D$200,$CM6)),IF($CK$12,(COUNTIFS(INDIRECT("ID4D!$"&amp;$CL$12&amp;"$3:$"&amp;$CL$12&amp;"$200"),CN$3,ID4D!$D$3:$D$200,$CM6,ID4D!$IK$3:$IK$200,0)+COUNTIFS(INDIRECT("ID4D!$"&amp;$CL$12&amp;"$3:$"&amp;$CL$12&amp;"$200"),"-",ID4D!$D$3:$D$200,$CM6,ID4D!$IK$3:$IK$200,0)),(COUNTIFS(INDIRECT("ID4D!$"&amp;$CL$12&amp;"$3:$"&amp;$CL$12&amp;"$200"),CN$3,ID4D!$D$3:$D$200,$CM6)+COUNTIFS(INDIRECT("ID4D!$"&amp;$CL$12&amp;"$3:$"&amp;$CL$12&amp;"$200"),"-",ID4D!$D$3:$D$200,$CM6))))</f>
        <v>0</v>
      </c>
      <c r="CO6" s="355">
        <f ca="1">IF(OR($CL$11&lt;5,$CL$11&gt;7),IF($CK$12,COUNTIFS(INDIRECT("ID4D!$"&amp;$CL$12&amp;"$3:$"&amp;$CL$12&amp;"$200"),CO$3,ID4D!$D$3:$D$200,$CM6,ID4D!$IK$3:$IK$200,0),COUNTIFS(INDIRECT("ID4D!$"&amp;$CL$12&amp;"$3:$"&amp;$CL$12&amp;"$200"),CO$3,ID4D!$D$3:$D$200,$CM6)),IF($CK$12,(COUNTIFS(INDIRECT("ID4D!$"&amp;$CL$12&amp;"$3:$"&amp;$CL$12&amp;"$200"),CO$3,ID4D!$D$3:$D$200,$CM6,ID4D!$IK$3:$IK$200,0)+COUNTIFS(INDIRECT("ID4D!$"&amp;$CL$12&amp;"$3:$"&amp;$CL$12&amp;"$200"),"1B",ID4D!$D$3:$D$200,$CM6,ID4D!$IK$3:$IK$200,0)),(COUNTIFS(INDIRECT("ID4D!$"&amp;$CL$12&amp;"$3:$"&amp;$CL$12&amp;"$200"),CO$3,ID4D!$D$3:$D$200,$CM6)+COUNTIFS(INDIRECT("ID4D!$"&amp;$CL$12&amp;"$3:$"&amp;$CL$12&amp;"$200"),"1B",ID4D!$D$3:$D$200,$CM6))))</f>
        <v>1</v>
      </c>
      <c r="CP6" s="355">
        <f ca="1">IF(OR($CL$11&lt;5,$CL$11&gt;7),IF($CK$12,COUNTIFS(INDIRECT("ID4D!$"&amp;$CL$12&amp;"$3:$"&amp;$CL$12&amp;"$200"),CP$3,ID4D!$D$3:$D$200,$CM6,ID4D!$IK$3:$IK$200,0),COUNTIFS(INDIRECT("ID4D!$"&amp;$CL$12&amp;"$3:$"&amp;$CL$12&amp;"$200"),CP$3,ID4D!$D$3:$D$200,$CM6)),IF($CK$12,(COUNTIFS(INDIRECT("ID4D!$"&amp;$CL$12&amp;"$3:$"&amp;$CL$12&amp;"$200"),CP$3,ID4D!$D$3:$D$200,$CM6,ID4D!$IK$3:$IK$200,0)+COUNTIFS(INDIRECT("ID4D!$"&amp;$CL$12&amp;"$3:$"&amp;$CL$12&amp;"$200"),"2B",ID4D!$D$3:$D$200,$CM6,ID4D!$IK$3:$IK$200,0)),(COUNTIFS(INDIRECT("ID4D!$"&amp;$CL$12&amp;"$3:$"&amp;$CL$12&amp;"$200"),CP$3,ID4D!$D$3:$D$200,$CM6)+COUNTIFS(INDIRECT("ID4D!$"&amp;$CL$12&amp;"$3:$"&amp;$CL$12&amp;"$200"),"2B",ID4D!$D$3:$D$200,$CM6))))</f>
        <v>29</v>
      </c>
      <c r="CQ6" s="355">
        <f ca="1">IF(OR($CL$11&lt;5,$CL$11&gt;7),IF($CK$12,COUNTIFS(INDIRECT("ID4D!$"&amp;$CL$12&amp;"$3:$"&amp;$CL$12&amp;"$200"),CQ$3,ID4D!$D$3:$D$200,$CM6,ID4D!$IK$3:$IK$200,0),COUNTIFS(INDIRECT("ID4D!$"&amp;$CL$12&amp;"$3:$"&amp;$CL$12&amp;"$200"),CQ$3,ID4D!$D$3:$D$200,$CM6)),IF($CK$12,(COUNTIFS(INDIRECT("ID4D!$"&amp;$CL$12&amp;"$3:$"&amp;$CL$12&amp;"$200"),CQ$3,ID4D!$D$3:$D$200,$CM6,ID4D!$IK$3:$IK$200,0)+COUNTIFS(INDIRECT("ID4D!$"&amp;$CL$12&amp;"$3:$"&amp;$CL$12&amp;"$200"),"3B",ID4D!$D$3:$D$200,$CM6,ID4D!$IK$3:$IK$200,0)),(COUNTIFS(INDIRECT("ID4D!$"&amp;$CL$12&amp;"$3:$"&amp;$CL$12&amp;"$200"),CQ$3,ID4D!$D$3:$D$200,$CM6)+COUNTIFS(INDIRECT("ID4D!$"&amp;$CL$12&amp;"$3:$"&amp;$CL$12&amp;"$200"),"3B",ID4D!$D$3:$D$200,$CM6))))</f>
        <v>0</v>
      </c>
      <c r="CR6" s="423">
        <f ca="1">IF(OR($CL$11&lt;5,$CL$11&gt;7),IF($CK$12,COUNTIFS(INDIRECT("ID4D!$"&amp;$CL$12&amp;"$3:$"&amp;$CL$12&amp;"$200"),CR$3,ID4D!$D$3:$D$200,$CM6,ID4D!$IK$3:$IK$200,0),COUNTIFS(INDIRECT("ID4D!$"&amp;$CL$12&amp;"$3:$"&amp;$CL$12&amp;"$200"),CR$3,ID4D!$D$3:$D$200,$CM6)),IF($CK$12,(COUNTIFS(INDIRECT("ID4D!$"&amp;$CL$12&amp;"$3:$"&amp;$CL$12&amp;"$200"),CR$3,ID4D!$D$3:$D$200,$CM6,ID4D!$IK$3:$IK$200,0)+COUNTIFS(INDIRECT("ID4D!$"&amp;$CL$12&amp;"$3:$"&amp;$CL$12&amp;"$200"),"4B",ID4D!$D$3:$D$200,$CM6,ID4D!$IK$3:$IK$200,0)),(COUNTIFS(INDIRECT("ID4D!$"&amp;$CL$12&amp;"$3:$"&amp;$CL$12&amp;"$200"),CR$3,ID4D!$D$3:$D$200,$CM6)+COUNTIFS(INDIRECT("ID4D!$"&amp;$CL$12&amp;"$3:$"&amp;$CL$12&amp;"$200"),"4B",ID4D!$D$3:$D$200,$CM6))))</f>
        <v>0</v>
      </c>
      <c r="CS6" s="10">
        <f t="shared" ca="1" si="2"/>
        <v>30</v>
      </c>
      <c r="CT6" s="418"/>
      <c r="CU6" s="418"/>
      <c r="CV6" s="620">
        <v>3</v>
      </c>
      <c r="CW6" s="650">
        <v>3</v>
      </c>
      <c r="CX6" s="647">
        <f>COUNTIF(ID4D!$U$3:$U$200,CX$3)</f>
        <v>17</v>
      </c>
      <c r="CY6" s="355">
        <f>COUNTIF(ID4D!$U$3:$U$200,CY$3)</f>
        <v>29</v>
      </c>
      <c r="CZ6" s="355">
        <f>COUNTIF(ID4D!$U$3:$U$200,CZ$3)</f>
        <v>152</v>
      </c>
      <c r="DA6" s="355"/>
      <c r="DB6" s="640"/>
      <c r="DC6" s="10">
        <f t="shared" si="3"/>
        <v>198</v>
      </c>
      <c r="DD6" s="621" t="s">
        <v>420</v>
      </c>
      <c r="DE6" s="354" t="s">
        <v>4573</v>
      </c>
      <c r="DF6" s="354"/>
      <c r="DG6" s="622"/>
      <c r="DH6" s="650">
        <v>3</v>
      </c>
      <c r="DI6" s="647">
        <f>COUNTIFS(ID4D!$U$3:$U$200,DI$3,ID4D!$D$3:$D$200,"&gt;A")</f>
        <v>10</v>
      </c>
      <c r="DJ6" s="355">
        <f>COUNTIFS(ID4D!$U$3:$U$200,DJ$3,ID4D!$D$3:$D$200,"&gt;A")</f>
        <v>18</v>
      </c>
      <c r="DK6" s="355">
        <f>COUNTIFS(ID4D!$U$3:$U$200,DK$3,ID4D!$D$3:$D$200,"&gt;A")</f>
        <v>140</v>
      </c>
      <c r="DL6" s="355"/>
      <c r="DM6" s="51"/>
      <c r="DN6" s="10">
        <f t="shared" si="4"/>
        <v>168</v>
      </c>
      <c r="DO6" s="33"/>
      <c r="DQ6" t="str">
        <f>IF($ED$1,"UMIC (43)","UMIC (55)")</f>
        <v>UMIC (55)</v>
      </c>
      <c r="DR6" s="736">
        <f>IF($ED$1,COUNTIFS(ID4D!$E$3:$E$200,$DY6,ID4D!$AG$3:$AG$200,0,ID4D!$IK$3:$IK$200,0),COUNTIFS(ID4D!$E$3:$E$200,$DY6,ID4D!$AG$3:$AG$200,0))</f>
        <v>4</v>
      </c>
      <c r="DS6" s="736">
        <f>IF($ED$1,COUNTIFS(ID4D!$E$3:$E$200,$DY6,ID4D!$AG$3:$AG$200,1,ID4D!$U$3:$U$200,2,ID4D!$IK$3:$IK$200,0),COUNTIFS(ID4D!$E$3:$E$200,$DY6,ID4D!$AG$3:$AG$200,1,ID4D!$U$3:$U$200,2))</f>
        <v>5</v>
      </c>
      <c r="DT6" s="736">
        <f>IF($ED$1,COUNTIFS(ID4D!$E$3:$E$200,$DY6,ID4D!$AG$3:$AG$200,1,ID4D!$U$3:$U$200,1,ID4D!$IK$3:$IK$200,0),COUNTIFS(ID4D!$E$3:$E$200,$DY6,ID4D!$AG$3:$AG$200,1,ID4D!$U$3:$U$200,1))</f>
        <v>2</v>
      </c>
      <c r="DU6" s="736">
        <f>IF($ED$1,COUNTIFS(ID4D!$E$3:$E$200,$DY6,ID4D!$AG$3:$AG$200,"&gt;1",ID4D!$U$3:$U$200,2,ID4D!$IK$3:$IK$200,0),COUNTIFS(ID4D!$E$3:$E$200,$DY6,ID4D!$AG$3:$AG$200,"&gt;1",ID4D!$U$3:$U$200,2))</f>
        <v>8</v>
      </c>
      <c r="DV6" s="736">
        <f>IF($ED$1,COUNTIFS(ID4D!$E$3:$E$200,$DY6,ID4D!$AG$3:$AG$200,"&gt;1",ID4D!$U$3:$U$200,1,ID4D!$IK$3:$IK$200,0),COUNTIFS(ID4D!$E$3:$E$200,$DY6,ID4D!$AG$3:$AG$200,"&gt;1",ID4D!$U$3:$U$200,1))</f>
        <v>2</v>
      </c>
      <c r="DW6" s="736">
        <f>IF($ED$1,COUNTIFS(ID4D!$E$3:$E$200,$DY6,ID4D!$AG$3:$AG$200,"2B",ID4D!$U$3:$U$200,2,ID4D!$IK$3:$IK$200,0)+COUNTIFS(ID4D!$E$3:$E$200,$DY6,ID4D!$AG$3:$AG$200,"3B",ID4D!$U$3:$U$200,2,ID4D!$IK$3:$IK$200,0)+COUNTIFS(ID4D!$E$3:$E$200,$DY6,ID4D!$AG$3:$AG$200,"4B",ID4D!$U$3:$U$200,2,ID4D!$IK$3:$IK$200,0), COUNTIFS(ID4D!$E$3:$E$200,$DY6,ID4D!$AG$3:$AG$200,"2B",ID4D!$U$3:$U$200,2)+COUNTIFS(ID4D!$E$3:$E$200,$DY6,ID4D!$AG$3:$AG$200,"3B",ID4D!$U$3:$U$200,2)+COUNTIFS(ID4D!$E$3:$E$200,$DY6,ID4D!$AG$3:$AG$200,"4B",ID4D!$U$3:$U$200,2))</f>
        <v>33</v>
      </c>
      <c r="DX6" s="736">
        <f>IF($ED$1,COUNTIFS(ID4D!$E$3:$E$200,$DY6,ID4D!$AG$3:$AG$200,"2B",ID4D!$U$3:$U$200,1,ID4D!$IK$3:$IK$200,0)+COUNTIFS(ID4D!$E$3:$E$200,$DY6,ID4D!$AG$3:$AG$200,"3B",ID4D!$U$3:$U$200,1,ID4D!$IK$3:$IK$200,0)+COUNTIFS(ID4D!$E$3:$E$200,$DY6,ID4D!$AG$3:$AG$200,"4B",ID4D!$U$3:$U$200,1,ID4D!$IK$3:$IK$200,0), COUNTIFS(ID4D!$E$3:$E$200,$DY6,ID4D!$AG$3:$AG$200,"2B",ID4D!$U$3:$U$200,1)+COUNTIFS(ID4D!$E$3:$E$200,$DY6,ID4D!$AG$3:$AG$200,"3B",ID4D!$U$3:$U$200,1)+COUNTIFS(ID4D!$E$3:$E$200,$DY6,ID4D!$AG$3:$AG$200,"4B",ID4D!$U$3:$U$200,1))</f>
        <v>1</v>
      </c>
      <c r="DY6" s="596" t="s">
        <v>12</v>
      </c>
      <c r="EU6" t="str">
        <f>IF($ED$1,"LCR (23)","LCR (32)")</f>
        <v>LCR (32)</v>
      </c>
      <c r="EV6" s="593">
        <f>IF($ED$1,AVERAGEIFS(ID4D!$CI$3:$CI$200, ID4D!$D$3:$D$200,EX6,ID4D!$IK$3:$IK$200,0),AVERAGEIF(ID4D!$D$3:$D$200,EX6,ID4D!$CI$3:$CI$200))</f>
        <v>91.587499999999991</v>
      </c>
      <c r="EW6" s="593">
        <f>IF($ED$1,AVERAGEIFS(ID4D!$CH$3:$CH$200, ID4D!$D$3:$D$200,EX6,ID4D!$IK$3:$IK$200,0),AVERAGEIF(ID4D!$D$3:$D$200,EX6,ID4D!$CH$3:$CH$200))</f>
        <v>91.706249999999983</v>
      </c>
      <c r="EX6" s="596" t="s">
        <v>409</v>
      </c>
    </row>
    <row r="7" spans="2:154">
      <c r="B7" s="608" t="s">
        <v>9</v>
      </c>
      <c r="C7" s="41">
        <f>IF($K$15,COUNTIFS(ID4D!$IN$3:$IN$200,C$3,ID4D!$E$3:$E$200,$B7,ID4D!$IK$3:$IK$200,0),COUNTIFS(ID4D!$IN$3:$IN$200,C$3,ID4D!$E$3:$E$200,$B7))</f>
        <v>1</v>
      </c>
      <c r="D7" s="771">
        <f>IF($K$15,COUNTIFS(ID4D!$IN$3:$IN$200,D$3,ID4D!$E$3:$E$200,$B7,ID4D!$IK$3:$IK$200,0),COUNTIFS(ID4D!$IN$3:$IN$200,D$3,ID4D!$E$3:$E$200,$B7))</f>
        <v>17</v>
      </c>
      <c r="E7" s="771">
        <f>IF($K$15,COUNTIFS(ID4D!$IN$3:$IN$200,E$3,ID4D!$E$3:$E$200,$B7,ID4D!$IK$3:$IK$200,0),COUNTIFS(ID4D!$IN$3:$IN$200,E$3,ID4D!$E$3:$E$200,$B7))</f>
        <v>16</v>
      </c>
      <c r="F7" s="641">
        <f>IF($K$15,COUNTIFS(ID4D!$IN$3:$IN$200,F$3,ID4D!$E$3:$E$200,$B7,ID4D!$IK$3:$IK$200,0),COUNTIFS(ID4D!$IN$3:$IN$200,F$3,ID4D!$E$3:$E$200,$B7))</f>
        <v>0</v>
      </c>
      <c r="G7" s="12">
        <f>SUM(C7:F7)</f>
        <v>34</v>
      </c>
      <c r="H7" s="604"/>
      <c r="I7" s="604"/>
      <c r="J7" s="604"/>
      <c r="K7" s="607" t="s">
        <v>409</v>
      </c>
      <c r="L7" s="769">
        <f>IF($K$15,COUNTIFS(ID4D!$IN$3:$IN$200,C$3,ID4D!$D$3:$D$200,$K7,ID4D!$IK$3:$IK$200,0),COUNTIFS(ID4D!$IN$3:$IN$200,C$3,ID4D!$D$3:$D$200,$K7))</f>
        <v>6</v>
      </c>
      <c r="M7" s="770">
        <f>IF($K$15,COUNTIFS(ID4D!$IN$3:$IN$200,D$3,ID4D!$D$3:$D$200,$K7,ID4D!$IK$3:$IK$200,0),COUNTIFS(ID4D!$IN$3:$IN$200,D$3,ID4D!$D$3:$D$200,$K7))</f>
        <v>21</v>
      </c>
      <c r="N7" s="355">
        <f>IF($K$15,COUNTIFS(ID4D!$IN$3:$IN$200,E$3,ID4D!$D$3:$D$200,$K7,ID4D!$IK$3:$IK$200,0),COUNTIFS(ID4D!$IN$3:$IN$200,E$3,ID4D!$D$3:$D$200,$K7))</f>
        <v>4</v>
      </c>
      <c r="O7" s="640">
        <f>IF($K$15,COUNTIFS(ID4D!$IN$3:$IN$200,F$3,ID4D!$D$3:$D$200,$K7,ID4D!$IK$3:$IK$200,0),COUNTIFS(ID4D!$IN$3:$IN$200,F$3,ID4D!$D$3:$D$200,$K7))</f>
        <v>1</v>
      </c>
      <c r="P7" s="10">
        <f t="shared" si="0"/>
        <v>32</v>
      </c>
      <c r="T7" t="str">
        <f>IF($AV$1,"MNA (20)","MNA (21)")</f>
        <v>MNA (21)</v>
      </c>
      <c r="U7" s="593">
        <f>IF($AV$1,AVERAGEIFS(ID4D!$CG$3:$CG$200, ID4D!$D$3:$D$200,V7,ID4D!$IK$3:$IK$200,0),AVERAGEIF(ID4D!$D$3:$D$200,V7,ID4D!$CG$3:$CG$200))</f>
        <v>92.052380952380943</v>
      </c>
      <c r="V7" s="596" t="s">
        <v>410</v>
      </c>
      <c r="AO7" s="628">
        <v>1963</v>
      </c>
      <c r="AP7" s="628">
        <f>IF($AV$1,COUNTIFS(ID4D!$K$3:$K$200,$AO7,ID4D!$IK$3:$IK$200,0),COUNTIF(ID4D!$K$3:$K$200,$AO7))</f>
        <v>0</v>
      </c>
      <c r="AQ7" s="628">
        <f t="shared" si="8"/>
        <v>142</v>
      </c>
      <c r="AR7" s="628">
        <f>IF($AV$1,COUNTIFS(ID4D!$R$3:$R$200,$AO7,ID4D!$IK$3:$IK$200,0),COUNTIF(ID4D!$R$3:$R$200,$AO7))</f>
        <v>0</v>
      </c>
      <c r="AS7" s="628">
        <f t="shared" si="5"/>
        <v>20</v>
      </c>
      <c r="AT7" s="628">
        <f>IF($AV$1,COUNTIFS(ID4D!$AE$3:$AE$200,$AO7,ID4D!$IK$3:$IK$200,0),COUNTIF(ID4D!$AE$3:$AE$200,$AO7))</f>
        <v>0</v>
      </c>
      <c r="AU7" s="628">
        <f t="shared" si="6"/>
        <v>0</v>
      </c>
      <c r="AV7" s="628">
        <f>IF($AV$1,COUNTIFS(ID4D!$AZ$3:$AZ$200,$AO7,ID4D!$IK$3:$IK$200,0),COUNTIF(ID4D!$AZ$3:$AZ$200,$AO7))</f>
        <v>0</v>
      </c>
      <c r="AW7" s="628">
        <f t="shared" si="9"/>
        <v>3</v>
      </c>
      <c r="AX7" s="628">
        <f>IF($AV$1,COUNTIFS(ID4D!$BD$3:$BD$200,$AO7,ID4D!$IK$3:$IK$200,0),COUNTIF(ID4D!$BD$3:$BD$200,$AO7))</f>
        <v>0</v>
      </c>
      <c r="AY7" s="628">
        <f t="shared" si="7"/>
        <v>10</v>
      </c>
      <c r="AZ7" s="628">
        <f>IF($AV$1,COUNTIFS(ID4D!$AZ$3:$AZ$200,$AO7,ID4D!$BB$3:$BB$200,2,ID4D!$IK$3:$IK$200,0),COUNTIFS(ID4D!$AZ$3:$AZ$200,$AO7,ID4D!$BB$3:$BB$200,2))</f>
        <v>0</v>
      </c>
      <c r="BA7" s="628">
        <f t="shared" si="10"/>
        <v>2</v>
      </c>
      <c r="BB7" s="628">
        <f>IF($AV$1,COUNTIFS(ID4D!$AU$3:$AU$200,$AO7,ID4D!$AS$3:$AS$200,2,ID4D!$IK$3:$IK$200,0),COUNTIFS(ID4D!$AU$3:$AU$200,$AO7,ID4D!$AS$3:$AS$200,2))</f>
        <v>0</v>
      </c>
      <c r="BC7" s="628">
        <f t="shared" si="11"/>
        <v>0</v>
      </c>
      <c r="BD7" s="628">
        <f>IF($AV$1,COUNTIFS(ID4D!$HM$3:$HM$200,$AO7,ID4D!$IK$3:$IK$200,0),COUNTIF(ID4D!$HM$3:$HM$200,$AO7))</f>
        <v>0</v>
      </c>
      <c r="BE7" s="628">
        <f t="shared" si="12"/>
        <v>0</v>
      </c>
      <c r="BF7" s="628">
        <f>IF($AV$1,COUNTIFS(ID4D!$HU$3:$HU$200,$AO7,ID4D!$IK$3:$IK$200,0),COUNTIF(ID4D!$HU$3:$HU$200,$AO7))</f>
        <v>1</v>
      </c>
      <c r="BG7" s="628">
        <f t="shared" si="13"/>
        <v>6</v>
      </c>
      <c r="BJ7" s="608" t="s">
        <v>9</v>
      </c>
      <c r="BK7" s="41">
        <f>IF($CK$12,COUNTIFS(ID4D!$J$3:$J$200,BK$3,ID4D!$E$3:$E$200,$BJ7,ID4D!$IK$3:$IK$200,0),COUNTIFS(ID4D!$J$3:$J$200,BK$3,ID4D!$E$3:$E$200,$BJ7))</f>
        <v>6</v>
      </c>
      <c r="BL7" s="36">
        <f>IF($CK$12,COUNTIFS(ID4D!$J$3:$J$200,BL$3,ID4D!$E$3:$E$200,$BJ7,ID4D!$IK$3:$IK$200,0),COUNTIFS(ID4D!$J$3:$J$200,BL$3,ID4D!$E$3:$E$200,$BJ7))</f>
        <v>7</v>
      </c>
      <c r="BM7" s="36">
        <f>IF($CK$12,COUNTIFS(ID4D!$J$3:$J$200,BM$3,ID4D!$E$3:$E$200,$BJ7,ID4D!$IK$3:$IK$200,0),COUNTIFS(ID4D!$J$3:$J$200,BM$3,ID4D!$E$3:$E$200,$BJ7))</f>
        <v>6</v>
      </c>
      <c r="BN7" s="36">
        <f>IF($CK$12,COUNTIFS(ID4D!$J$3:$J$200,BN$3,ID4D!$E$3:$E$200,$BJ7,ID4D!$IK$3:$IK$200,0),COUNTIFS(ID4D!$J$3:$J$200,BN$3,ID4D!$E$3:$E$200,$BJ7))</f>
        <v>0</v>
      </c>
      <c r="BO7" s="36">
        <f>IF($CK$12,COUNTIFS(ID4D!$J$3:$J$200,BO$3,ID4D!$E$3:$E$200,$BJ7,ID4D!$IK$3:$IK$200,0),COUNTIFS(ID4D!$J$3:$J$200,BO$3,ID4D!$E$3:$E$200,$BJ7))</f>
        <v>4</v>
      </c>
      <c r="BP7" s="425">
        <f>IF($CK$12,COUNTIFS(ID4D!$J$3:$J$200,BP$3,ID4D!$E$3:$E$200,$BJ7,ID4D!$IK$3:$IK$200,0),COUNTIFS(ID4D!$J$3:$J$200,BP$3,ID4D!$E$3:$E$200,$BJ7))</f>
        <v>11</v>
      </c>
      <c r="BQ7" s="12">
        <f>SUM(BK7:BP7)</f>
        <v>34</v>
      </c>
      <c r="BR7" s="604"/>
      <c r="BT7" s="607" t="s">
        <v>409</v>
      </c>
      <c r="BU7" s="40">
        <f>IF($CK$12,COUNTIFS(ID4D!$J$3:$J$200,BU$3,ID4D!$D$3:$D$200,$BT7,ID4D!$IK$3:$IK$200,0),COUNTIFS(ID4D!$J$3:$J$200,BU$3,ID4D!$D$3:$D$200,$BT7))</f>
        <v>13</v>
      </c>
      <c r="BV7" s="355">
        <f>IF($CK$12,COUNTIFS(ID4D!$J$3:$J$200,BV$3,ID4D!$D$3:$D$200,$BT7,ID4D!$IK$3:$IK$200,0),COUNTIFS(ID4D!$J$3:$J$200,BV$3,ID4D!$D$3:$D$200,$BT7))</f>
        <v>5</v>
      </c>
      <c r="BW7" s="355">
        <f>IF($CK$12,COUNTIFS(ID4D!$J$3:$J$200,BW$3,ID4D!$D$3:$D$200,$BT7,ID4D!$IK$3:$IK$200,0),COUNTIFS(ID4D!$J$3:$J$200,BW$3,ID4D!$D$3:$D$200,$BT7))</f>
        <v>3</v>
      </c>
      <c r="BX7" s="355">
        <f>IF($CK$12,COUNTIFS(ID4D!$J$3:$J$200,BX$3,ID4D!$D$3:$D$200,$BT7,ID4D!$IK$3:$IK$200,0),COUNTIFS(ID4D!$J$3:$J$200,BX$3,ID4D!$D$3:$D$200,$BT7))</f>
        <v>7</v>
      </c>
      <c r="BY7" s="355">
        <f>IF($CK$12,COUNTIFS(ID4D!$J$3:$J$200,BY$3,ID4D!$D$3:$D$200,$BT7,ID4D!$IK$3:$IK$200,0),COUNTIFS(ID4D!$J$3:$J$200,BY$3,ID4D!$D$3:$D$200,$BT7))</f>
        <v>1</v>
      </c>
      <c r="BZ7" s="423">
        <f>IF($CK$12,COUNTIFS(ID4D!$J$3:$J$200,BZ$3,ID4D!$D$3:$D$200,$BT7,ID4D!$IK$3:$IK$200,0),COUNTIFS(ID4D!$J$3:$J$200,BZ$3,ID4D!$D$3:$D$200,$BT7))</f>
        <v>3</v>
      </c>
      <c r="CA7" s="10">
        <f t="shared" si="1"/>
        <v>32</v>
      </c>
      <c r="CE7" s="608" t="s">
        <v>9</v>
      </c>
      <c r="CF7" s="41">
        <f ca="1">IF(OR($CL$11&lt;5,$CL$11&gt;7), IF( $CK$12, COUNTIFS(INDIRECT("ID4D!$"&amp;$CL$12&amp;"$3:$"&amp;$CL$12&amp;"$200"),CF$3,ID4D!$E$3:$E$200,$CE7,ID4D!$IK$3:$IK$200,0), COUNTIFS(INDIRECT("ID4D!$"&amp;$CL$12&amp;"$3:$"&amp;$CL$12&amp;"$200"),CF$3,ID4D!$E$3:$E$200,$CE7) ), IF($CK$12, ( COUNTIFS(INDIRECT("ID4D!$"&amp;$CL$12&amp;"$3:$"&amp;$CL$12&amp;"$200"),CF$3,ID4D!$E$3:$E$200,$CE7,ID4D!$IK$3:$IK$200,0) + COUNTIFS(INDIRECT("ID4D!$"&amp;$CL$12&amp;"$3:$"&amp;$CL$12&amp;"$200"),"-",ID4D!$E$3:$E$200,$CE7,ID4D!$IK$3:$IK$200,0) ), ( COUNTIFS(INDIRECT("ID4D!$"&amp;$CL$12&amp;"$3:$"&amp;$CL$12&amp;"$200"),CF$3,ID4D!$E$3:$E$200,$CE7) + COUNTIFS(INDIRECT("ID4D!$"&amp;$CL$12&amp;"$3:$"&amp;$CL$12&amp;"$200"),"-",ID4D!$E$3:$E$200,$CE7) ) ) )</f>
        <v>0</v>
      </c>
      <c r="CG7" s="36">
        <f ca="1">IF(OR($CL$11&lt;5,$CL$11&gt;7), IF( $CK$12, COUNTIFS(INDIRECT("ID4D!$"&amp;$CL$12&amp;"$3:$"&amp;$CL$12&amp;"$200"),CG$3,ID4D!$E$3:$E$200,$CE7,ID4D!$IK$3:$IK$200,0), COUNTIFS(INDIRECT("ID4D!$"&amp;$CL$12&amp;"$3:$"&amp;$CL$12&amp;"$200"),CG$3,ID4D!$E$3:$E$200,$CE7) ), IF($CK$12, ( COUNTIFS(INDIRECT("ID4D!$"&amp;$CL$12&amp;"$3:$"&amp;$CL$12&amp;"$200"),CG$3,ID4D!$E$3:$E$200,$CE7,ID4D!$IK$3:$IK$200,0) + COUNTIFS(INDIRECT("ID4D!$"&amp;$CL$12&amp;"$3:$"&amp;$CL$12&amp;"$200"),"1B",ID4D!$E$3:$E$200,$CE7,ID4D!$IK$3:$IK$200,0) ), ( COUNTIFS(INDIRECT("ID4D!$"&amp;$CL$12&amp;"$3:$"&amp;$CL$12&amp;"$200"),CG$3,ID4D!$E$3:$E$200,$CE7) + COUNTIFS(INDIRECT("ID4D!$"&amp;$CL$12&amp;"$3:$"&amp;$CL$12&amp;"$200"),"1B",ID4D!$E$3:$E$200,$CE7) ) ) )</f>
        <v>4</v>
      </c>
      <c r="CH7" s="36">
        <f ca="1">IF(OR($CL$11&lt;5,$CL$11&gt;7), IF( $CK$12, COUNTIFS(INDIRECT("ID4D!$"&amp;$CL$12&amp;"$3:$"&amp;$CL$12&amp;"$200"),CH$3,ID4D!$E$3:$E$200,$CE7,ID4D!$IK$3:$IK$200,0), COUNTIFS(INDIRECT("ID4D!$"&amp;$CL$12&amp;"$3:$"&amp;$CL$12&amp;"$200"),CH$3,ID4D!$E$3:$E$200,$CE7) ), IF($CK$12, ( COUNTIFS(INDIRECT("ID4D!$"&amp;$CL$12&amp;"$3:$"&amp;$CL$12&amp;"$200"),CH$3,ID4D!$E$3:$E$200,$CE7,ID4D!$IK$3:$IK$200,0) + COUNTIFS(INDIRECT("ID4D!$"&amp;$CL$12&amp;"$3:$"&amp;$CL$12&amp;"$200"),"2B",ID4D!$E$3:$E$200,$CE7,ID4D!$IK$3:$IK$200,0) ), ( COUNTIFS(INDIRECT("ID4D!$"&amp;$CL$12&amp;"$3:$"&amp;$CL$12&amp;"$200"),CH$3,ID4D!$E$3:$E$200,$CE7) + COUNTIFS(INDIRECT("ID4D!$"&amp;$CL$12&amp;"$3:$"&amp;$CL$12&amp;"$200"),"2B",ID4D!$E$3:$E$200,$CE7) ) ) )</f>
        <v>30</v>
      </c>
      <c r="CI7" s="36">
        <f ca="1">IF(OR($CL$11&lt;5,$CL$11&gt;7), IF( $CK$12, COUNTIFS(INDIRECT("ID4D!$"&amp;$CL$12&amp;"$3:$"&amp;$CL$12&amp;"$200"),CI$3,ID4D!$E$3:$E$200,$CE7,ID4D!$IK$3:$IK$200,0), COUNTIFS(INDIRECT("ID4D!$"&amp;$CL$12&amp;"$3:$"&amp;$CL$12&amp;"$200"),CI$3,ID4D!$E$3:$E$200,$CE7) ), IF($CK$12, ( COUNTIFS(INDIRECT("ID4D!$"&amp;$CL$12&amp;"$3:$"&amp;$CL$12&amp;"$200"),CI$3,ID4D!$E$3:$E$200,$CE7,ID4D!$IK$3:$IK$200,0) + COUNTIFS(INDIRECT("ID4D!$"&amp;$CL$12&amp;"$3:$"&amp;$CL$12&amp;"$200"),"3B",ID4D!$E$3:$E$200,$CE7,ID4D!$IK$3:$IK$200,0) ), ( COUNTIFS(INDIRECT("ID4D!$"&amp;$CL$12&amp;"$3:$"&amp;$CL$12&amp;"$200"),CI$3,ID4D!$E$3:$E$200,$CE7) + COUNTIFS(INDIRECT("ID4D!$"&amp;$CL$12&amp;"$3:$"&amp;$CL$12&amp;"$200"),"3B",ID4D!$E$3:$E$200,$CE7) ) ) )</f>
        <v>0</v>
      </c>
      <c r="CJ7" s="425">
        <f ca="1">IF(OR($CL$11&lt;5,$CL$11&gt;7), IF( $CK$12, COUNTIFS(INDIRECT("ID4D!$"&amp;$CL$12&amp;"$3:$"&amp;$CL$12&amp;"$200"),CJ$3,ID4D!$E$3:$E$200,$CE7,ID4D!$IK$3:$IK$200,0), COUNTIFS(INDIRECT("ID4D!$"&amp;$CL$12&amp;"$3:$"&amp;$CL$12&amp;"$200"),CJ$3,ID4D!$E$3:$E$200,$CE7) ), IF($CK$12, ( COUNTIFS(INDIRECT("ID4D!$"&amp;$CL$12&amp;"$3:$"&amp;$CL$12&amp;"$200"),CJ$3,ID4D!$E$3:$E$200,$CE7,ID4D!$IK$3:$IK$200,0) + COUNTIFS(INDIRECT("ID4D!$"&amp;$CL$12&amp;"$3:$"&amp;$CL$12&amp;"$200"),"4B",ID4D!$E$3:$E$200,$CE7,ID4D!$IK$3:$IK$200,0) ), ( COUNTIFS(INDIRECT("ID4D!$"&amp;$CL$12&amp;"$3:$"&amp;$CL$12&amp;"$200"),CJ$3,ID4D!$E$3:$E$200,$CE7) + COUNTIFS(INDIRECT("ID4D!$"&amp;$CL$12&amp;"$3:$"&amp;$CL$12&amp;"$200"),"4B",ID4D!$E$3:$E$200,$CE7) ) ) )</f>
        <v>0</v>
      </c>
      <c r="CK7" s="12">
        <f ca="1">SUM(CF7:CJ7)</f>
        <v>34</v>
      </c>
      <c r="CL7" s="604"/>
      <c r="CM7" s="607" t="s">
        <v>409</v>
      </c>
      <c r="CN7" s="40">
        <f ca="1">IF(OR($CL$11&lt;5,$CL$11&gt;7),IF($CK$12,COUNTIFS(INDIRECT("ID4D!$"&amp;$CL$12&amp;"$3:$"&amp;$CL$12&amp;"$200"),CN$3,ID4D!$D$3:$D$200,$CM7,ID4D!$IK$3:$IK$200,0),COUNTIFS(INDIRECT("ID4D!$"&amp;$CL$12&amp;"$3:$"&amp;$CL$12&amp;"$200"),CN$3,ID4D!$D$3:$D$200,$CM7)),IF($CK$12,(COUNTIFS(INDIRECT("ID4D!$"&amp;$CL$12&amp;"$3:$"&amp;$CL$12&amp;"$200"),CN$3,ID4D!$D$3:$D$200,$CM7,ID4D!$IK$3:$IK$200,0)+COUNTIFS(INDIRECT("ID4D!$"&amp;$CL$12&amp;"$3:$"&amp;$CL$12&amp;"$200"),"-",ID4D!$D$3:$D$200,$CM7,ID4D!$IK$3:$IK$200,0)),(COUNTIFS(INDIRECT("ID4D!$"&amp;$CL$12&amp;"$3:$"&amp;$CL$12&amp;"$200"),CN$3,ID4D!$D$3:$D$200,$CM7)+COUNTIFS(INDIRECT("ID4D!$"&amp;$CL$12&amp;"$3:$"&amp;$CL$12&amp;"$200"),"-",ID4D!$D$3:$D$200,$CM7))))</f>
        <v>0</v>
      </c>
      <c r="CO7" s="355">
        <f ca="1">IF(OR($CL$11&lt;5,$CL$11&gt;7),IF($CK$12,COUNTIFS(INDIRECT("ID4D!$"&amp;$CL$12&amp;"$3:$"&amp;$CL$12&amp;"$200"),CO$3,ID4D!$D$3:$D$200,$CM7,ID4D!$IK$3:$IK$200,0),COUNTIFS(INDIRECT("ID4D!$"&amp;$CL$12&amp;"$3:$"&amp;$CL$12&amp;"$200"),CO$3,ID4D!$D$3:$D$200,$CM7)),IF($CK$12,(COUNTIFS(INDIRECT("ID4D!$"&amp;$CL$12&amp;"$3:$"&amp;$CL$12&amp;"$200"),CO$3,ID4D!$D$3:$D$200,$CM7,ID4D!$IK$3:$IK$200,0)+COUNTIFS(INDIRECT("ID4D!$"&amp;$CL$12&amp;"$3:$"&amp;$CL$12&amp;"$200"),"1B",ID4D!$D$3:$D$200,$CM7,ID4D!$IK$3:$IK$200,0)),(COUNTIFS(INDIRECT("ID4D!$"&amp;$CL$12&amp;"$3:$"&amp;$CL$12&amp;"$200"),CO$3,ID4D!$D$3:$D$200,$CM7)+COUNTIFS(INDIRECT("ID4D!$"&amp;$CL$12&amp;"$3:$"&amp;$CL$12&amp;"$200"),"1B",ID4D!$D$3:$D$200,$CM7))))</f>
        <v>2</v>
      </c>
      <c r="CP7" s="355">
        <f ca="1">IF(OR($CL$11&lt;5,$CL$11&gt;7),IF($CK$12,COUNTIFS(INDIRECT("ID4D!$"&amp;$CL$12&amp;"$3:$"&amp;$CL$12&amp;"$200"),CP$3,ID4D!$D$3:$D$200,$CM7,ID4D!$IK$3:$IK$200,0),COUNTIFS(INDIRECT("ID4D!$"&amp;$CL$12&amp;"$3:$"&amp;$CL$12&amp;"$200"),CP$3,ID4D!$D$3:$D$200,$CM7)),IF($CK$12,(COUNTIFS(INDIRECT("ID4D!$"&amp;$CL$12&amp;"$3:$"&amp;$CL$12&amp;"$200"),CP$3,ID4D!$D$3:$D$200,$CM7,ID4D!$IK$3:$IK$200,0)+COUNTIFS(INDIRECT("ID4D!$"&amp;$CL$12&amp;"$3:$"&amp;$CL$12&amp;"$200"),"2B",ID4D!$D$3:$D$200,$CM7,ID4D!$IK$3:$IK$200,0)),(COUNTIFS(INDIRECT("ID4D!$"&amp;$CL$12&amp;"$3:$"&amp;$CL$12&amp;"$200"),CP$3,ID4D!$D$3:$D$200,$CM7)+COUNTIFS(INDIRECT("ID4D!$"&amp;$CL$12&amp;"$3:$"&amp;$CL$12&amp;"$200"),"2B",ID4D!$D$3:$D$200,$CM7))))</f>
        <v>30</v>
      </c>
      <c r="CQ7" s="355">
        <f ca="1">IF(OR($CL$11&lt;5,$CL$11&gt;7),IF($CK$12,COUNTIFS(INDIRECT("ID4D!$"&amp;$CL$12&amp;"$3:$"&amp;$CL$12&amp;"$200"),CQ$3,ID4D!$D$3:$D$200,$CM7,ID4D!$IK$3:$IK$200,0),COUNTIFS(INDIRECT("ID4D!$"&amp;$CL$12&amp;"$3:$"&amp;$CL$12&amp;"$200"),CQ$3,ID4D!$D$3:$D$200,$CM7)),IF($CK$12,(COUNTIFS(INDIRECT("ID4D!$"&amp;$CL$12&amp;"$3:$"&amp;$CL$12&amp;"$200"),CQ$3,ID4D!$D$3:$D$200,$CM7,ID4D!$IK$3:$IK$200,0)+COUNTIFS(INDIRECT("ID4D!$"&amp;$CL$12&amp;"$3:$"&amp;$CL$12&amp;"$200"),"3B",ID4D!$D$3:$D$200,$CM7,ID4D!$IK$3:$IK$200,0)),(COUNTIFS(INDIRECT("ID4D!$"&amp;$CL$12&amp;"$3:$"&amp;$CL$12&amp;"$200"),CQ$3,ID4D!$D$3:$D$200,$CM7)+COUNTIFS(INDIRECT("ID4D!$"&amp;$CL$12&amp;"$3:$"&amp;$CL$12&amp;"$200"),"3B",ID4D!$D$3:$D$200,$CM7))))</f>
        <v>0</v>
      </c>
      <c r="CR7" s="423">
        <f ca="1">IF(OR($CL$11&lt;5,$CL$11&gt;7),IF($CK$12,COUNTIFS(INDIRECT("ID4D!$"&amp;$CL$12&amp;"$3:$"&amp;$CL$12&amp;"$200"),CR$3,ID4D!$D$3:$D$200,$CM7,ID4D!$IK$3:$IK$200,0),COUNTIFS(INDIRECT("ID4D!$"&amp;$CL$12&amp;"$3:$"&amp;$CL$12&amp;"$200"),CR$3,ID4D!$D$3:$D$200,$CM7)),IF($CK$12,(COUNTIFS(INDIRECT("ID4D!$"&amp;$CL$12&amp;"$3:$"&amp;$CL$12&amp;"$200"),CR$3,ID4D!$D$3:$D$200,$CM7,ID4D!$IK$3:$IK$200,0)+COUNTIFS(INDIRECT("ID4D!$"&amp;$CL$12&amp;"$3:$"&amp;$CL$12&amp;"$200"),"4B",ID4D!$D$3:$D$200,$CM7,ID4D!$IK$3:$IK$200,0)),(COUNTIFS(INDIRECT("ID4D!$"&amp;$CL$12&amp;"$3:$"&amp;$CL$12&amp;"$200"),CR$3,ID4D!$D$3:$D$200,$CM7)+COUNTIFS(INDIRECT("ID4D!$"&amp;$CL$12&amp;"$3:$"&amp;$CL$12&amp;"$200"),"4B",ID4D!$D$3:$D$200,$CM7))))</f>
        <v>0</v>
      </c>
      <c r="CS7" s="10">
        <f t="shared" ca="1" si="2"/>
        <v>32</v>
      </c>
      <c r="CV7" s="620">
        <v>4</v>
      </c>
      <c r="CW7" s="650">
        <v>4</v>
      </c>
      <c r="CX7" s="647">
        <f>COUNTIF(ID4D!$AF$3:$AF$200,CX$3)</f>
        <v>50</v>
      </c>
      <c r="CY7" s="355">
        <f>COUNTIF(ID4D!$AF$3:$AF$200,CY$3)</f>
        <v>28</v>
      </c>
      <c r="CZ7" s="355">
        <f>COUNTIF(ID4D!$AF$3:$AF$200,CZ$3)</f>
        <v>100</v>
      </c>
      <c r="DA7" s="355">
        <f>COUNTIF(ID4D!$AF$3:$AF$200,DA$3)</f>
        <v>20</v>
      </c>
      <c r="DB7" s="640"/>
      <c r="DC7" s="10">
        <f t="shared" si="3"/>
        <v>198</v>
      </c>
      <c r="DD7" s="621" t="s">
        <v>452</v>
      </c>
      <c r="DE7" s="354" t="s">
        <v>4574</v>
      </c>
      <c r="DF7" s="354"/>
      <c r="DG7" s="622"/>
      <c r="DH7" s="650">
        <v>4</v>
      </c>
      <c r="DI7" s="647">
        <f>COUNTIFS(ID4D!$AF$3:$AF$200,DI$3,ID4D!$D$3:$D$200,"&gt;A")</f>
        <v>40</v>
      </c>
      <c r="DJ7" s="355">
        <f>COUNTIFS(ID4D!$AF$3:$AF$200,DJ$3,ID4D!$D$3:$D$200,"&gt;A")</f>
        <v>24</v>
      </c>
      <c r="DK7" s="355">
        <f>COUNTIFS(ID4D!$AF$3:$AF$200,DK$3,ID4D!$D$3:$D$200,"&gt;A")</f>
        <v>89</v>
      </c>
      <c r="DL7" s="355">
        <f>COUNTIFS(ID4D!$AF$3:$AF$200,DL$3,ID4D!$D$3:$D$200,"&gt;A")</f>
        <v>15</v>
      </c>
      <c r="DM7" s="51"/>
      <c r="DN7" s="10">
        <f t="shared" si="4"/>
        <v>168</v>
      </c>
      <c r="DO7" s="33"/>
      <c r="DQ7" t="str">
        <f>IF($ED$1,"HIC (48)","HIC (59)")</f>
        <v>HIC (59)</v>
      </c>
      <c r="DR7" s="736">
        <f>IF($ED$1,COUNTIFS(ID4D!$E$3:$E$200,$DY7,ID4D!$AG$3:$AG$200,0,ID4D!$IK$3:$IK$200,0),COUNTIFS(ID4D!$E$3:$E$200,$DY7,ID4D!$AG$3:$AG$200,0))</f>
        <v>8</v>
      </c>
      <c r="DS7" s="736">
        <f>IF($ED$1,COUNTIFS(ID4D!$E$3:$E$200,$DY7,ID4D!$AG$3:$AG$200,1,ID4D!$U$3:$U$200,2,ID4D!$IK$3:$IK$200,0),COUNTIFS(ID4D!$E$3:$E$200,$DY7,ID4D!$AG$3:$AG$200,1,ID4D!$U$3:$U$200,2))</f>
        <v>5</v>
      </c>
      <c r="DT7" s="736">
        <f>IF($ED$1,COUNTIFS(ID4D!$E$3:$E$200,$DY7,ID4D!$AG$3:$AG$200,1,ID4D!$U$3:$U$200,1,ID4D!$IK$3:$IK$200,0),COUNTIFS(ID4D!$E$3:$E$200,$DY7,ID4D!$AG$3:$AG$200,1,ID4D!$U$3:$U$200,1))</f>
        <v>2</v>
      </c>
      <c r="DU7" s="736">
        <f>IF($ED$1,COUNTIFS(ID4D!$E$3:$E$200,$DY7,ID4D!$AG$3:$AG$200,"&gt;1",ID4D!$U$3:$U$200,2,ID4D!$IK$3:$IK$200,0),COUNTIFS(ID4D!$E$3:$E$200,$DY7,ID4D!$AG$3:$AG$200,"&gt;1",ID4D!$U$3:$U$200,2))</f>
        <v>11</v>
      </c>
      <c r="DV7" s="736">
        <f>IF($ED$1,COUNTIFS(ID4D!$E$3:$E$200,$DY7,ID4D!$AG$3:$AG$200,"&gt;1",ID4D!$U$3:$U$200,1,ID4D!$IK$3:$IK$200,0),COUNTIFS(ID4D!$E$3:$E$200,$DY7,ID4D!$AG$3:$AG$200,"&gt;1",ID4D!$U$3:$U$200,1))</f>
        <v>4</v>
      </c>
      <c r="DW7" s="736">
        <f>IF($ED$1,COUNTIFS(ID4D!$E$3:$E$200,$DY7,ID4D!$AG$3:$AG$200,"2B",ID4D!$U$3:$U$200,2,ID4D!$IK$3:$IK$200,0)+COUNTIFS(ID4D!$E$3:$E$200,$DY7,ID4D!$AG$3:$AG$200,"3B",ID4D!$U$3:$U$200,2,ID4D!$IK$3:$IK$200,0)+COUNTIFS(ID4D!$E$3:$E$200,$DY7,ID4D!$AG$3:$AG$200,"4B",ID4D!$U$3:$U$200,2,ID4D!$IK$3:$IK$200,0), COUNTIFS(ID4D!$E$3:$E$200,$DY7,ID4D!$AG$3:$AG$200,"2B",ID4D!$U$3:$U$200,2)+COUNTIFS(ID4D!$E$3:$E$200,$DY7,ID4D!$AG$3:$AG$200,"3B",ID4D!$U$3:$U$200,2)+COUNTIFS(ID4D!$E$3:$E$200,$DY7,ID4D!$AG$3:$AG$200,"4B",ID4D!$U$3:$U$200,2))</f>
        <v>20</v>
      </c>
      <c r="DX7" s="736">
        <f>IF($ED$1,COUNTIFS(ID4D!$E$3:$E$200,$DY7,ID4D!$AG$3:$AG$200,"2B",ID4D!$U$3:$U$200,1,ID4D!$IK$3:$IK$200,0)+COUNTIFS(ID4D!$E$3:$E$200,$DY7,ID4D!$AG$3:$AG$200,"3B",ID4D!$U$3:$U$200,1,ID4D!$IK$3:$IK$200,0)+COUNTIFS(ID4D!$E$3:$E$200,$DY7,ID4D!$AG$3:$AG$200,"4B",ID4D!$U$3:$U$200,1,ID4D!$IK$3:$IK$200,0), COUNTIFS(ID4D!$E$3:$E$200,$DY7,ID4D!$AG$3:$AG$200,"2B",ID4D!$U$3:$U$200,1)+COUNTIFS(ID4D!$E$3:$E$200,$DY7,ID4D!$AG$3:$AG$200,"3B",ID4D!$U$3:$U$200,1)+COUNTIFS(ID4D!$E$3:$E$200,$DY7,ID4D!$AG$3:$AG$200,"4B",ID4D!$U$3:$U$200,1))</f>
        <v>9</v>
      </c>
      <c r="DY7" s="596" t="s">
        <v>17</v>
      </c>
      <c r="EU7" t="str">
        <f>IF($ED$1,"MNA (20)","MNA (21)")</f>
        <v>MNA (21)</v>
      </c>
      <c r="EV7" s="593">
        <f>IF($ED$1,AVERAGEIFS(ID4D!$CI$3:$CI$200, ID4D!$D$3:$D$200,EX7,ID4D!$IK$3:$IK$200,0),AVERAGEIF(ID4D!$D$3:$D$200,EX7,ID4D!$CI$3:$CI$200))</f>
        <v>91.895238095238099</v>
      </c>
      <c r="EW7" s="593">
        <f>IF($ED$1,AVERAGEIFS(ID4D!$CH$3:$CH$200, ID4D!$D$3:$D$200,EX7,ID4D!$IK$3:$IK$200,0),AVERAGEIF(ID4D!$D$3:$D$200,EX7,ID4D!$CH$3:$CH$200))</f>
        <v>92.157142857142858</v>
      </c>
      <c r="EX7" s="596" t="s">
        <v>410</v>
      </c>
    </row>
    <row r="8" spans="2:154">
      <c r="B8" s="772" t="s">
        <v>4562</v>
      </c>
      <c r="C8" s="773">
        <f>SUM(C4:C7)</f>
        <v>50</v>
      </c>
      <c r="D8" s="774">
        <f>SUM(D4:D7)</f>
        <v>96</v>
      </c>
      <c r="E8" s="774">
        <f>SUM(E4:E7)</f>
        <v>42</v>
      </c>
      <c r="F8" s="775">
        <f>SUM(F4:F7)</f>
        <v>10</v>
      </c>
      <c r="G8" s="776">
        <f>SUM(G4:G7)</f>
        <v>198</v>
      </c>
      <c r="H8" s="530"/>
      <c r="I8" s="530"/>
      <c r="J8" s="530"/>
      <c r="K8" s="613" t="s">
        <v>410</v>
      </c>
      <c r="L8" s="788">
        <f>IF($K$15,COUNTIFS(ID4D!$IN$3:$IN$200,C$3,ID4D!$D$3:$D$200,$K8,ID4D!$IK$3:$IK$200,0),COUNTIFS(ID4D!$IN$3:$IN$200,C$3,ID4D!$D$3:$D$200,$K8))</f>
        <v>4</v>
      </c>
      <c r="M8" s="777">
        <f>IF($K$15,COUNTIFS(ID4D!$IN$3:$IN$200,D$3,ID4D!$D$3:$D$200,$K8,ID4D!$IK$3:$IK$200,0),COUNTIFS(ID4D!$IN$3:$IN$200,D$3,ID4D!$D$3:$D$200,$K8))</f>
        <v>12</v>
      </c>
      <c r="N8" s="789">
        <f>IF($K$15,COUNTIFS(ID4D!$IN$3:$IN$200,E$3,ID4D!$D$3:$D$200,$K8,ID4D!$IK$3:$IK$200,0),COUNTIFS(ID4D!$IN$3:$IN$200,E$3,ID4D!$D$3:$D$200,$K8))</f>
        <v>5</v>
      </c>
      <c r="O8" s="642">
        <f>IF($K$15,COUNTIFS(ID4D!$IN$3:$IN$200,F$3,ID4D!$D$3:$D$200,$K8,ID4D!$IK$3:$IK$200,0),COUNTIFS(ID4D!$IN$3:$IN$200,F$3,ID4D!$D$3:$D$200,$K8))</f>
        <v>0</v>
      </c>
      <c r="P8" s="522">
        <f t="shared" si="0"/>
        <v>21</v>
      </c>
      <c r="T8" t="str">
        <f>IF($AV$1,"SAR (7)","SAR (8)")</f>
        <v>SAR (8)</v>
      </c>
      <c r="U8" s="593">
        <f>IF($AV$1,AVERAGEIFS(ID4D!$CG$3:$CG$200, ID4D!$D$3:$D$200,V8,ID4D!$IK$3:$IK$200,0),AVERAGEIF(ID4D!$D$3:$D$200,V8,ID4D!$CG$3:$CG$200))</f>
        <v>64.625</v>
      </c>
      <c r="V8" s="596" t="s">
        <v>411</v>
      </c>
      <c r="AO8" s="628">
        <v>1964</v>
      </c>
      <c r="AP8" s="628">
        <f>IF($AV$1,COUNTIFS(ID4D!$K$3:$K$200,$AO8,ID4D!$IK$3:$IK$200,0),COUNTIF(ID4D!$K$3:$K$200,$AO8))</f>
        <v>1</v>
      </c>
      <c r="AQ8" s="628">
        <f t="shared" si="8"/>
        <v>143</v>
      </c>
      <c r="AR8" s="628">
        <f>IF($AV$1,COUNTIFS(ID4D!$R$3:$R$200,$AO8,ID4D!$IK$3:$IK$200,0),COUNTIF(ID4D!$R$3:$R$200,$AO8))</f>
        <v>1</v>
      </c>
      <c r="AS8" s="628">
        <f t="shared" si="5"/>
        <v>21</v>
      </c>
      <c r="AT8" s="628">
        <f>IF($AV$1,COUNTIFS(ID4D!$AE$3:$AE$200,$AO8,ID4D!$IK$3:$IK$200,0),COUNTIF(ID4D!$AE$3:$AE$200,$AO8))</f>
        <v>0</v>
      </c>
      <c r="AU8" s="628">
        <f t="shared" si="6"/>
        <v>0</v>
      </c>
      <c r="AV8" s="628">
        <f>IF($AV$1,COUNTIFS(ID4D!$AZ$3:$AZ$200,$AO8,ID4D!$IK$3:$IK$200,0),COUNTIF(ID4D!$AZ$3:$AZ$200,$AO8))</f>
        <v>1</v>
      </c>
      <c r="AW8" s="628">
        <f t="shared" si="9"/>
        <v>4</v>
      </c>
      <c r="AX8" s="628">
        <f>IF($AV$1,COUNTIFS(ID4D!$BD$3:$BD$200,$AO8,ID4D!$IK$3:$IK$200,0),COUNTIF(ID4D!$BD$3:$BD$200,$AO8))</f>
        <v>0</v>
      </c>
      <c r="AY8" s="628">
        <f t="shared" si="7"/>
        <v>10</v>
      </c>
      <c r="AZ8" s="628">
        <f>IF($AV$1,COUNTIFS(ID4D!$AZ$3:$AZ$200,$AO8,ID4D!$BB$3:$BB$200,2,ID4D!$IK$3:$IK$200,0),COUNTIFS(ID4D!$AZ$3:$AZ$200,$AO8,ID4D!$BB$3:$BB$200,2))</f>
        <v>0</v>
      </c>
      <c r="BA8" s="628">
        <f t="shared" si="10"/>
        <v>2</v>
      </c>
      <c r="BB8" s="628">
        <f>IF($AV$1,COUNTIFS(ID4D!$AU$3:$AU$200,$AO8,ID4D!$AS$3:$AS$200,2,ID4D!$IK$3:$IK$200,0),COUNTIFS(ID4D!$AU$3:$AU$200,$AO8,ID4D!$AS$3:$AS$200,2))</f>
        <v>0</v>
      </c>
      <c r="BC8" s="628">
        <f t="shared" si="11"/>
        <v>0</v>
      </c>
      <c r="BD8" s="628">
        <f>IF($AV$1,COUNTIFS(ID4D!$HM$3:$HM$200,$AO8,ID4D!$IK$3:$IK$200,0),COUNTIF(ID4D!$HM$3:$HM$200,$AO8))</f>
        <v>0</v>
      </c>
      <c r="BE8" s="628">
        <f t="shared" si="12"/>
        <v>0</v>
      </c>
      <c r="BF8" s="628">
        <f>IF($AV$1,COUNTIFS(ID4D!$HU$3:$HU$200,$AO8,ID4D!$IK$3:$IK$200,0),COUNTIF(ID4D!$HU$3:$HU$200,$AO8))</f>
        <v>1</v>
      </c>
      <c r="BG8" s="628">
        <f t="shared" si="13"/>
        <v>7</v>
      </c>
      <c r="BJ8" s="609" t="s">
        <v>4562</v>
      </c>
      <c r="BK8" s="610">
        <f t="shared" ref="BK8:BQ8" si="14">SUM(BK4:BK7)</f>
        <v>39</v>
      </c>
      <c r="BL8" s="611">
        <f t="shared" si="14"/>
        <v>60</v>
      </c>
      <c r="BM8" s="611">
        <f t="shared" si="14"/>
        <v>19</v>
      </c>
      <c r="BN8" s="633">
        <f t="shared" si="14"/>
        <v>7</v>
      </c>
      <c r="BO8" s="611">
        <f t="shared" si="14"/>
        <v>33</v>
      </c>
      <c r="BP8" s="630">
        <f t="shared" si="14"/>
        <v>40</v>
      </c>
      <c r="BQ8" s="612">
        <f t="shared" si="14"/>
        <v>198</v>
      </c>
      <c r="BR8" s="530"/>
      <c r="BT8" s="613" t="s">
        <v>410</v>
      </c>
      <c r="BU8" s="614">
        <f>IF($CK$12,COUNTIFS(ID4D!$J$3:$J$200,BU$3,ID4D!$D$3:$D$200,$BT8,ID4D!$IK$3:$IK$200,0),COUNTIFS(ID4D!$J$3:$J$200,BU$3,ID4D!$D$3:$D$200,$BT8))</f>
        <v>0</v>
      </c>
      <c r="BV8" s="42">
        <f>IF($CK$12,COUNTIFS(ID4D!$J$3:$J$200,BV$3,ID4D!$D$3:$D$200,$BT8,ID4D!$IK$3:$IK$200,0),COUNTIFS(ID4D!$J$3:$J$200,BV$3,ID4D!$D$3:$D$200,$BT8))</f>
        <v>12</v>
      </c>
      <c r="BW8" s="42">
        <f>IF($CK$12,COUNTIFS(ID4D!$J$3:$J$200,BW$3,ID4D!$D$3:$D$200,$BT8,ID4D!$IK$3:$IK$200,0),COUNTIFS(ID4D!$J$3:$J$200,BW$3,ID4D!$D$3:$D$200,$BT8))</f>
        <v>5</v>
      </c>
      <c r="BX8" s="42">
        <f>IF($CK$12,COUNTIFS(ID4D!$J$3:$J$200,BX$3,ID4D!$D$3:$D$200,$BT8,ID4D!$IK$3:$IK$200,0),COUNTIFS(ID4D!$J$3:$J$200,BX$3,ID4D!$D$3:$D$200,$BT8))</f>
        <v>0</v>
      </c>
      <c r="BY8" s="42">
        <f>IF($CK$12,COUNTIFS(ID4D!$J$3:$J$200,BY$3,ID4D!$D$3:$D$200,$BT8,ID4D!$IK$3:$IK$200,0),COUNTIFS(ID4D!$J$3:$J$200,BY$3,ID4D!$D$3:$D$200,$BT8))</f>
        <v>1</v>
      </c>
      <c r="BZ8" s="631">
        <f>IF($CK$12,COUNTIFS(ID4D!$J$3:$J$200,BZ$3,ID4D!$D$3:$D$200,$BT8,ID4D!$IK$3:$IK$200,0),COUNTIFS(ID4D!$J$3:$J$200,BZ$3,ID4D!$D$3:$D$200,$BT8))</f>
        <v>3</v>
      </c>
      <c r="CA8" s="522">
        <f t="shared" si="1"/>
        <v>21</v>
      </c>
      <c r="CE8" s="609" t="s">
        <v>4562</v>
      </c>
      <c r="CF8" s="610">
        <f t="shared" ref="CF8:CK8" ca="1" si="15">SUM(CF4:CF7)</f>
        <v>0</v>
      </c>
      <c r="CG8" s="611">
        <f t="shared" ca="1" si="15"/>
        <v>12</v>
      </c>
      <c r="CH8" s="611">
        <f t="shared" ca="1" si="15"/>
        <v>186</v>
      </c>
      <c r="CI8" s="633">
        <f t="shared" ca="1" si="15"/>
        <v>0</v>
      </c>
      <c r="CJ8" s="630">
        <f t="shared" ca="1" si="15"/>
        <v>0</v>
      </c>
      <c r="CK8" s="612">
        <f t="shared" ca="1" si="15"/>
        <v>198</v>
      </c>
      <c r="CL8" s="530"/>
      <c r="CM8" s="613" t="s">
        <v>410</v>
      </c>
      <c r="CN8" s="614">
        <f ca="1">IF(OR($CL$11&lt;5,$CL$11&gt;7),IF($CK$12,COUNTIFS(INDIRECT("ID4D!$"&amp;$CL$12&amp;"$3:$"&amp;$CL$12&amp;"$200"),CN$3,ID4D!$D$3:$D$200,$CM8,ID4D!$IK$3:$IK$200,0),COUNTIFS(INDIRECT("ID4D!$"&amp;$CL$12&amp;"$3:$"&amp;$CL$12&amp;"$200"),CN$3,ID4D!$D$3:$D$200,$CM8)),IF($CK$12,(COUNTIFS(INDIRECT("ID4D!$"&amp;$CL$12&amp;"$3:$"&amp;$CL$12&amp;"$200"),CN$3,ID4D!$D$3:$D$200,$CM8,ID4D!$IK$3:$IK$200,0)+COUNTIFS(INDIRECT("ID4D!$"&amp;$CL$12&amp;"$3:$"&amp;$CL$12&amp;"$200"),"-",ID4D!$D$3:$D$200,$CM8,ID4D!$IK$3:$IK$200,0)),(COUNTIFS(INDIRECT("ID4D!$"&amp;$CL$12&amp;"$3:$"&amp;$CL$12&amp;"$200"),CN$3,ID4D!$D$3:$D$200,$CM8)+COUNTIFS(INDIRECT("ID4D!$"&amp;$CL$12&amp;"$3:$"&amp;$CL$12&amp;"$200"),"-",ID4D!$D$3:$D$200,$CM8))))</f>
        <v>0</v>
      </c>
      <c r="CO8" s="42">
        <f ca="1">IF(OR($CL$11&lt;5,$CL$11&gt;7),IF($CK$12,COUNTIFS(INDIRECT("ID4D!$"&amp;$CL$12&amp;"$3:$"&amp;$CL$12&amp;"$200"),CO$3,ID4D!$D$3:$D$200,$CM8,ID4D!$IK$3:$IK$200,0),COUNTIFS(INDIRECT("ID4D!$"&amp;$CL$12&amp;"$3:$"&amp;$CL$12&amp;"$200"),CO$3,ID4D!$D$3:$D$200,$CM8)),IF($CK$12,(COUNTIFS(INDIRECT("ID4D!$"&amp;$CL$12&amp;"$3:$"&amp;$CL$12&amp;"$200"),CO$3,ID4D!$D$3:$D$200,$CM8,ID4D!$IK$3:$IK$200,0)+COUNTIFS(INDIRECT("ID4D!$"&amp;$CL$12&amp;"$3:$"&amp;$CL$12&amp;"$200"),"1B",ID4D!$D$3:$D$200,$CM8,ID4D!$IK$3:$IK$200,0)),(COUNTIFS(INDIRECT("ID4D!$"&amp;$CL$12&amp;"$3:$"&amp;$CL$12&amp;"$200"),CO$3,ID4D!$D$3:$D$200,$CM8)+COUNTIFS(INDIRECT("ID4D!$"&amp;$CL$12&amp;"$3:$"&amp;$CL$12&amp;"$200"),"1B",ID4D!$D$3:$D$200,$CM8))))</f>
        <v>0</v>
      </c>
      <c r="CP8" s="42">
        <f ca="1">IF(OR($CL$11&lt;5,$CL$11&gt;7),IF($CK$12,COUNTIFS(INDIRECT("ID4D!$"&amp;$CL$12&amp;"$3:$"&amp;$CL$12&amp;"$200"),CP$3,ID4D!$D$3:$D$200,$CM8,ID4D!$IK$3:$IK$200,0),COUNTIFS(INDIRECT("ID4D!$"&amp;$CL$12&amp;"$3:$"&amp;$CL$12&amp;"$200"),CP$3,ID4D!$D$3:$D$200,$CM8)),IF($CK$12,(COUNTIFS(INDIRECT("ID4D!$"&amp;$CL$12&amp;"$3:$"&amp;$CL$12&amp;"$200"),CP$3,ID4D!$D$3:$D$200,$CM8,ID4D!$IK$3:$IK$200,0)+COUNTIFS(INDIRECT("ID4D!$"&amp;$CL$12&amp;"$3:$"&amp;$CL$12&amp;"$200"),"2B",ID4D!$D$3:$D$200,$CM8,ID4D!$IK$3:$IK$200,0)),(COUNTIFS(INDIRECT("ID4D!$"&amp;$CL$12&amp;"$3:$"&amp;$CL$12&amp;"$200"),CP$3,ID4D!$D$3:$D$200,$CM8)+COUNTIFS(INDIRECT("ID4D!$"&amp;$CL$12&amp;"$3:$"&amp;$CL$12&amp;"$200"),"2B",ID4D!$D$3:$D$200,$CM8))))</f>
        <v>21</v>
      </c>
      <c r="CQ8" s="42">
        <f ca="1">IF(OR($CL$11&lt;5,$CL$11&gt;7),IF($CK$12,COUNTIFS(INDIRECT("ID4D!$"&amp;$CL$12&amp;"$3:$"&amp;$CL$12&amp;"$200"),CQ$3,ID4D!$D$3:$D$200,$CM8,ID4D!$IK$3:$IK$200,0),COUNTIFS(INDIRECT("ID4D!$"&amp;$CL$12&amp;"$3:$"&amp;$CL$12&amp;"$200"),CQ$3,ID4D!$D$3:$D$200,$CM8)),IF($CK$12,(COUNTIFS(INDIRECT("ID4D!$"&amp;$CL$12&amp;"$3:$"&amp;$CL$12&amp;"$200"),CQ$3,ID4D!$D$3:$D$200,$CM8,ID4D!$IK$3:$IK$200,0)+COUNTIFS(INDIRECT("ID4D!$"&amp;$CL$12&amp;"$3:$"&amp;$CL$12&amp;"$200"),"3B",ID4D!$D$3:$D$200,$CM8,ID4D!$IK$3:$IK$200,0)),(COUNTIFS(INDIRECT("ID4D!$"&amp;$CL$12&amp;"$3:$"&amp;$CL$12&amp;"$200"),CQ$3,ID4D!$D$3:$D$200,$CM8)+COUNTIFS(INDIRECT("ID4D!$"&amp;$CL$12&amp;"$3:$"&amp;$CL$12&amp;"$200"),"3B",ID4D!$D$3:$D$200,$CM8))))</f>
        <v>0</v>
      </c>
      <c r="CR8" s="631">
        <f ca="1">IF(OR($CL$11&lt;5,$CL$11&gt;7),IF($CK$12,COUNTIFS(INDIRECT("ID4D!$"&amp;$CL$12&amp;"$3:$"&amp;$CL$12&amp;"$200"),CR$3,ID4D!$D$3:$D$200,$CM8,ID4D!$IK$3:$IK$200,0),COUNTIFS(INDIRECT("ID4D!$"&amp;$CL$12&amp;"$3:$"&amp;$CL$12&amp;"$200"),CR$3,ID4D!$D$3:$D$200,$CM8)),IF($CK$12,(COUNTIFS(INDIRECT("ID4D!$"&amp;$CL$12&amp;"$3:$"&amp;$CL$12&amp;"$200"),CR$3,ID4D!$D$3:$D$200,$CM8,ID4D!$IK$3:$IK$200,0)+COUNTIFS(INDIRECT("ID4D!$"&amp;$CL$12&amp;"$3:$"&amp;$CL$12&amp;"$200"),"4B",ID4D!$D$3:$D$200,$CM8,ID4D!$IK$3:$IK$200,0)),(COUNTIFS(INDIRECT("ID4D!$"&amp;$CL$12&amp;"$3:$"&amp;$CL$12&amp;"$200"),CR$3,ID4D!$D$3:$D$200,$CM8)+COUNTIFS(INDIRECT("ID4D!$"&amp;$CL$12&amp;"$3:$"&amp;$CL$12&amp;"$200"),"4B",ID4D!$D$3:$D$200,$CM8))))</f>
        <v>0</v>
      </c>
      <c r="CS8" s="522">
        <f t="shared" ca="1" si="2"/>
        <v>21</v>
      </c>
      <c r="CV8" s="620">
        <v>5</v>
      </c>
      <c r="CW8" s="650">
        <v>5</v>
      </c>
      <c r="CX8" s="647">
        <f>COUNTIF(ID4D!$AG$3:$AG$200,CX$3)</f>
        <v>17</v>
      </c>
      <c r="CY8" s="355">
        <f>COUNTIF(ID4D!$AG$3:$AG$200,CY$3)</f>
        <v>33</v>
      </c>
      <c r="CZ8" s="355">
        <f>COUNTIF(ID4D!$AG$3:$AG$200,CZ$3)+COUNTIF(ID4D!$AG$3:$AG$200,"2B")</f>
        <v>36</v>
      </c>
      <c r="DA8" s="355">
        <f>COUNTIF(ID4D!$AG$3:$AG$200,DA$3)+ COUNTIF(ID4D!$AG$3:$AG$200,"3B")</f>
        <v>6</v>
      </c>
      <c r="DB8" s="640">
        <f>COUNTIF(ID4D!$AG$3:$AG$200,DB$3)+ COUNTIF(ID4D!$AG$3:$AG$200,"4B")</f>
        <v>106</v>
      </c>
      <c r="DC8" s="10">
        <f t="shared" si="3"/>
        <v>198</v>
      </c>
      <c r="DD8" s="621" t="s">
        <v>453</v>
      </c>
      <c r="DE8" s="354" t="s">
        <v>4673</v>
      </c>
      <c r="DF8" s="354"/>
      <c r="DG8" s="622"/>
      <c r="DH8" s="650">
        <v>5</v>
      </c>
      <c r="DI8" s="647">
        <f>COUNTIFS(ID4D!$AG$3:$AG$200,DI$3,ID4D!$D$3:$D$200,"&gt;A")</f>
        <v>10</v>
      </c>
      <c r="DJ8" s="647">
        <f>COUNTIFS(ID4D!$AG$3:$AG$200,DJ$3,ID4D!$D$3:$D$200,"&gt;A")</f>
        <v>30</v>
      </c>
      <c r="DK8" s="647">
        <f>COUNTIFS(ID4D!$AG$3:$AG$200,DK$3,ID4D!$D$3:$D$200,"&gt;A")+COUNTIFS(ID4D!$AG$3:$AG$200,"2B",ID4D!$D$3:$D$200,"&gt;A")</f>
        <v>35</v>
      </c>
      <c r="DL8" s="647">
        <f>COUNTIFS(ID4D!$AG$3:$AG$200,DL$3,ID4D!$D$3:$D$200,"&gt;A")+COUNTIFS(ID4D!$AG$3:$AG$200,"3B",ID4D!$D$3:$D$200,"&gt;A")</f>
        <v>5</v>
      </c>
      <c r="DM8" s="51">
        <f>COUNTIFS(ID4D!$AG$3:$AG$200,DM$3,ID4D!$D$3:$D$200,"&gt;A")+COUNTIFS(ID4D!$AG$3:$AG$200,"4B",ID4D!$D$3:$D$200,"&gt;A")</f>
        <v>88</v>
      </c>
      <c r="DN8" s="10">
        <f t="shared" si="4"/>
        <v>168</v>
      </c>
      <c r="DO8" s="33"/>
      <c r="DR8" s="736"/>
      <c r="DS8" s="736"/>
      <c r="DT8" s="736"/>
      <c r="DU8" s="736"/>
      <c r="DV8" s="736"/>
      <c r="DW8" s="736"/>
      <c r="DX8" s="736"/>
      <c r="EU8" t="str">
        <f>IF($ED$1,"SAR (7)","SAR (8)")</f>
        <v>SAR (8)</v>
      </c>
      <c r="EV8" s="593">
        <f>IF($ED$1,AVERAGEIFS(ID4D!$CI$3:$CI$200, ID4D!$D$3:$D$200,EX8,ID4D!$IK$3:$IK$200,0),AVERAGEIF(ID4D!$D$3:$D$200,EX8,ID4D!$CI$3:$CI$200))</f>
        <v>64.150000000000006</v>
      </c>
      <c r="EW8" s="593">
        <f>IF($ED$1,AVERAGEIFS(ID4D!$CH$3:$CH$200, ID4D!$D$3:$D$200,EX8,ID4D!$IK$3:$IK$200,0),AVERAGEIF(ID4D!$D$3:$D$200,EX8,ID4D!$CH$3:$CH$200))</f>
        <v>65.087500000000006</v>
      </c>
      <c r="EX8" s="596" t="s">
        <v>411</v>
      </c>
    </row>
    <row r="9" spans="2:154">
      <c r="B9" s="354"/>
      <c r="C9" s="615">
        <f>C8/$G$8</f>
        <v>0.25252525252525254</v>
      </c>
      <c r="D9" s="615">
        <f>D8/$G$8</f>
        <v>0.48484848484848486</v>
      </c>
      <c r="E9" s="615">
        <f>E8/$G$8</f>
        <v>0.21212121212121213</v>
      </c>
      <c r="F9" s="615">
        <f>F8/$G$8</f>
        <v>5.0505050505050504E-2</v>
      </c>
      <c r="G9" s="354"/>
      <c r="H9" s="354"/>
      <c r="I9" s="354"/>
      <c r="J9" s="354"/>
      <c r="K9" s="616" t="s">
        <v>411</v>
      </c>
      <c r="L9" s="787">
        <f>IF($K$15,COUNTIFS(ID4D!$IN$3:$IN$200,C$3,ID4D!$D$3:$D$200,$K9,ID4D!$IK$3:$IK$200,0),COUNTIFS(ID4D!$IN$3:$IN$200,C$3,ID4D!$D$3:$D$200,$K9))</f>
        <v>3</v>
      </c>
      <c r="M9" s="771">
        <f>IF($K$15,COUNTIFS(ID4D!$IN$3:$IN$200,D$3,ID4D!$D$3:$D$200,$K9,ID4D!$IK$3:$IK$200,0),COUNTIFS(ID4D!$IN$3:$IN$200,D$3,ID4D!$D$3:$D$200,$K9))</f>
        <v>3</v>
      </c>
      <c r="N9" s="36">
        <f>IF($K$15,COUNTIFS(ID4D!$IN$3:$IN$200,E$3,ID4D!$D$3:$D$200,$K9,ID4D!$IK$3:$IK$200,0),COUNTIFS(ID4D!$IN$3:$IN$200,E$3,ID4D!$D$3:$D$200,$K9))</f>
        <v>2</v>
      </c>
      <c r="O9" s="641">
        <f>IF($K$15,COUNTIFS(ID4D!$IN$3:$IN$200,F$3,ID4D!$D$3:$D$200,$K9,ID4D!$IK$3:$IK$200,0),COUNTIFS(ID4D!$IN$3:$IN$200,F$3,ID4D!$D$3:$D$200,$K9))</f>
        <v>0</v>
      </c>
      <c r="P9" s="12">
        <f t="shared" si="0"/>
        <v>8</v>
      </c>
      <c r="AO9" s="628">
        <v>1965</v>
      </c>
      <c r="AP9" s="628">
        <f>IF($AV$1,COUNTIFS(ID4D!$K$3:$K$200,$AO9,ID4D!$IK$3:$IK$200,0),COUNTIF(ID4D!$K$3:$K$200,$AO9))</f>
        <v>2</v>
      </c>
      <c r="AQ9" s="628">
        <f t="shared" si="8"/>
        <v>145</v>
      </c>
      <c r="AR9" s="628">
        <f>IF($AV$1,COUNTIFS(ID4D!$R$3:$R$200,$AO9,ID4D!$IK$3:$IK$200,0),COUNTIF(ID4D!$R$3:$R$200,$AO9))</f>
        <v>2</v>
      </c>
      <c r="AS9" s="628">
        <f t="shared" si="5"/>
        <v>23</v>
      </c>
      <c r="AT9" s="628">
        <f>IF($AV$1,COUNTIFS(ID4D!$AE$3:$AE$200,$AO9,ID4D!$IK$3:$IK$200,0),COUNTIF(ID4D!$AE$3:$AE$200,$AO9))</f>
        <v>0</v>
      </c>
      <c r="AU9" s="628">
        <f t="shared" si="6"/>
        <v>0</v>
      </c>
      <c r="AV9" s="628">
        <f>IF($AV$1,COUNTIFS(ID4D!$AZ$3:$AZ$200,$AO9,ID4D!$IK$3:$IK$200,0),COUNTIF(ID4D!$AZ$3:$AZ$200,$AO9))</f>
        <v>0</v>
      </c>
      <c r="AW9" s="628">
        <f t="shared" si="9"/>
        <v>4</v>
      </c>
      <c r="AX9" s="628">
        <f>IF($AV$1,COUNTIFS(ID4D!$BD$3:$BD$200,$AO9,ID4D!$IK$3:$IK$200,0),COUNTIF(ID4D!$BD$3:$BD$200,$AO9))</f>
        <v>1</v>
      </c>
      <c r="AY9" s="628">
        <f t="shared" si="7"/>
        <v>11</v>
      </c>
      <c r="AZ9" s="628">
        <f>IF($AV$1,COUNTIFS(ID4D!$AZ$3:$AZ$200,$AO9,ID4D!$BB$3:$BB$200,2,ID4D!$IK$3:$IK$200,0),COUNTIFS(ID4D!$AZ$3:$AZ$200,$AO9,ID4D!$BB$3:$BB$200,2))</f>
        <v>0</v>
      </c>
      <c r="BA9" s="628">
        <f t="shared" si="10"/>
        <v>2</v>
      </c>
      <c r="BB9" s="628">
        <f>IF($AV$1,COUNTIFS(ID4D!$AU$3:$AU$200,$AO9,ID4D!$AS$3:$AS$200,2,ID4D!$IK$3:$IK$200,0),COUNTIFS(ID4D!$AU$3:$AU$200,$AO9,ID4D!$AS$3:$AS$200,2))</f>
        <v>0</v>
      </c>
      <c r="BC9" s="628">
        <f t="shared" si="11"/>
        <v>0</v>
      </c>
      <c r="BD9" s="628">
        <f>IF($AV$1,COUNTIFS(ID4D!$HM$3:$HM$200,$AO9,ID4D!$IK$3:$IK$200,0),COUNTIF(ID4D!$HM$3:$HM$200,$AO9))</f>
        <v>0</v>
      </c>
      <c r="BE9" s="628">
        <f t="shared" si="12"/>
        <v>0</v>
      </c>
      <c r="BF9" s="628">
        <f>IF($AV$1,COUNTIFS(ID4D!$HU$3:$HU$200,$AO9,ID4D!$IK$3:$IK$200,0),COUNTIF(ID4D!$HU$3:$HU$200,$AO9))</f>
        <v>0</v>
      </c>
      <c r="BG9" s="628">
        <f t="shared" si="13"/>
        <v>7</v>
      </c>
      <c r="BJ9" s="354"/>
      <c r="BK9" s="615">
        <f t="shared" ref="BK9:BP9" si="16">BK8/$BQ$8</f>
        <v>0.19696969696969696</v>
      </c>
      <c r="BL9" s="615">
        <f t="shared" si="16"/>
        <v>0.30303030303030304</v>
      </c>
      <c r="BM9" s="615">
        <f t="shared" si="16"/>
        <v>9.5959595959595953E-2</v>
      </c>
      <c r="BN9" s="615">
        <f t="shared" si="16"/>
        <v>3.5353535353535352E-2</v>
      </c>
      <c r="BO9" s="615">
        <f t="shared" si="16"/>
        <v>0.16666666666666666</v>
      </c>
      <c r="BP9" s="615">
        <f t="shared" si="16"/>
        <v>0.20202020202020202</v>
      </c>
      <c r="BQ9" s="354"/>
      <c r="BR9" s="354"/>
      <c r="BT9" s="616" t="s">
        <v>411</v>
      </c>
      <c r="BU9" s="41">
        <f>IF($CK$12,COUNTIFS(ID4D!$J$3:$J$200,BU$3,ID4D!$D$3:$D$200,$BT9,ID4D!$IK$3:$IK$200,0),COUNTIFS(ID4D!$J$3:$J$200,BU$3,ID4D!$D$3:$D$200,$BT9))</f>
        <v>0</v>
      </c>
      <c r="BV9" s="36">
        <f>IF($CK$12,COUNTIFS(ID4D!$J$3:$J$200,BV$3,ID4D!$D$3:$D$200,$BT9,ID4D!$IK$3:$IK$200,0),COUNTIFS(ID4D!$J$3:$J$200,BV$3,ID4D!$D$3:$D$200,$BT9))</f>
        <v>3</v>
      </c>
      <c r="BW9" s="36">
        <f>IF($CK$12,COUNTIFS(ID4D!$J$3:$J$200,BW$3,ID4D!$D$3:$D$200,$BT9,ID4D!$IK$3:$IK$200,0),COUNTIFS(ID4D!$J$3:$J$200,BW$3,ID4D!$D$3:$D$200,$BT9))</f>
        <v>0</v>
      </c>
      <c r="BX9" s="36">
        <f>IF($CK$12,COUNTIFS(ID4D!$J$3:$J$200,BX$3,ID4D!$D$3:$D$200,$BT9,ID4D!$IK$3:$IK$200,0),COUNTIFS(ID4D!$J$3:$J$200,BX$3,ID4D!$D$3:$D$200,$BT9))</f>
        <v>0</v>
      </c>
      <c r="BY9" s="36">
        <f>IF($CK$12,COUNTIFS(ID4D!$J$3:$J$200,BY$3,ID4D!$D$3:$D$200,$BT9,ID4D!$IK$3:$IK$200,0),COUNTIFS(ID4D!$J$3:$J$200,BY$3,ID4D!$D$3:$D$200,$BT9))</f>
        <v>3</v>
      </c>
      <c r="BZ9" s="425">
        <f>IF($CK$12,COUNTIFS(ID4D!$J$3:$J$200,BZ$3,ID4D!$D$3:$D$200,$BT9,ID4D!$IK$3:$IK$200,0),COUNTIFS(ID4D!$J$3:$J$200,BZ$3,ID4D!$D$3:$D$200,$BT9))</f>
        <v>2</v>
      </c>
      <c r="CA9" s="12">
        <f t="shared" si="1"/>
        <v>8</v>
      </c>
      <c r="CE9" s="354"/>
      <c r="CF9" s="615">
        <f ca="1">CF8/$CK$8</f>
        <v>0</v>
      </c>
      <c r="CG9" s="615">
        <f ca="1">CG8/$CK$8</f>
        <v>6.0606060606060608E-2</v>
      </c>
      <c r="CH9" s="615">
        <f ca="1">CH8/$CK$8</f>
        <v>0.93939393939393945</v>
      </c>
      <c r="CI9" s="615">
        <f ca="1">CI8/$CK$8</f>
        <v>0</v>
      </c>
      <c r="CJ9" s="615">
        <f ca="1">CJ8/$CK$8</f>
        <v>0</v>
      </c>
      <c r="CK9" s="354"/>
      <c r="CL9" s="354"/>
      <c r="CM9" s="616" t="s">
        <v>411</v>
      </c>
      <c r="CN9" s="41">
        <f ca="1">IF(OR($CL$11&lt;5,$CL$11&gt;7),IF($CK$12,COUNTIFS(INDIRECT("ID4D!$"&amp;$CL$12&amp;"$3:$"&amp;$CL$12&amp;"$200"),CN$3,ID4D!$D$3:$D$200,$CM9,ID4D!$IK$3:$IK$200,0),COUNTIFS(INDIRECT("ID4D!$"&amp;$CL$12&amp;"$3:$"&amp;$CL$12&amp;"$200"),CN$3,ID4D!$D$3:$D$200,$CM9)),IF($CK$12,(COUNTIFS(INDIRECT("ID4D!$"&amp;$CL$12&amp;"$3:$"&amp;$CL$12&amp;"$200"),CN$3,ID4D!$D$3:$D$200,$CM9,ID4D!$IK$3:$IK$200,0)+COUNTIFS(INDIRECT("ID4D!$"&amp;$CL$12&amp;"$3:$"&amp;$CL$12&amp;"$200"),"-",ID4D!$D$3:$D$200,$CM9,ID4D!$IK$3:$IK$200,0)),(COUNTIFS(INDIRECT("ID4D!$"&amp;$CL$12&amp;"$3:$"&amp;$CL$12&amp;"$200"),CN$3,ID4D!$D$3:$D$200,$CM9)+COUNTIFS(INDIRECT("ID4D!$"&amp;$CL$12&amp;"$3:$"&amp;$CL$12&amp;"$200"),"-",ID4D!$D$3:$D$200,$CM9))))</f>
        <v>0</v>
      </c>
      <c r="CO9" s="36">
        <f ca="1">IF(OR($CL$11&lt;5,$CL$11&gt;7),IF($CK$12,COUNTIFS(INDIRECT("ID4D!$"&amp;$CL$12&amp;"$3:$"&amp;$CL$12&amp;"$200"),CO$3,ID4D!$D$3:$D$200,$CM9,ID4D!$IK$3:$IK$200,0),COUNTIFS(INDIRECT("ID4D!$"&amp;$CL$12&amp;"$3:$"&amp;$CL$12&amp;"$200"),CO$3,ID4D!$D$3:$D$200,$CM9)),IF($CK$12,(COUNTIFS(INDIRECT("ID4D!$"&amp;$CL$12&amp;"$3:$"&amp;$CL$12&amp;"$200"),CO$3,ID4D!$D$3:$D$200,$CM9,ID4D!$IK$3:$IK$200,0)+COUNTIFS(INDIRECT("ID4D!$"&amp;$CL$12&amp;"$3:$"&amp;$CL$12&amp;"$200"),"1B",ID4D!$D$3:$D$200,$CM9,ID4D!$IK$3:$IK$200,0)),(COUNTIFS(INDIRECT("ID4D!$"&amp;$CL$12&amp;"$3:$"&amp;$CL$12&amp;"$200"),CO$3,ID4D!$D$3:$D$200,$CM9)+COUNTIFS(INDIRECT("ID4D!$"&amp;$CL$12&amp;"$3:$"&amp;$CL$12&amp;"$200"),"1B",ID4D!$D$3:$D$200,$CM9))))</f>
        <v>0</v>
      </c>
      <c r="CP9" s="36">
        <f ca="1">IF(OR($CL$11&lt;5,$CL$11&gt;7),IF($CK$12,COUNTIFS(INDIRECT("ID4D!$"&amp;$CL$12&amp;"$3:$"&amp;$CL$12&amp;"$200"),CP$3,ID4D!$D$3:$D$200,$CM9,ID4D!$IK$3:$IK$200,0),COUNTIFS(INDIRECT("ID4D!$"&amp;$CL$12&amp;"$3:$"&amp;$CL$12&amp;"$200"),CP$3,ID4D!$D$3:$D$200,$CM9)),IF($CK$12,(COUNTIFS(INDIRECT("ID4D!$"&amp;$CL$12&amp;"$3:$"&amp;$CL$12&amp;"$200"),CP$3,ID4D!$D$3:$D$200,$CM9,ID4D!$IK$3:$IK$200,0)+COUNTIFS(INDIRECT("ID4D!$"&amp;$CL$12&amp;"$3:$"&amp;$CL$12&amp;"$200"),"2B",ID4D!$D$3:$D$200,$CM9,ID4D!$IK$3:$IK$200,0)),(COUNTIFS(INDIRECT("ID4D!$"&amp;$CL$12&amp;"$3:$"&amp;$CL$12&amp;"$200"),CP$3,ID4D!$D$3:$D$200,$CM9)+COUNTIFS(INDIRECT("ID4D!$"&amp;$CL$12&amp;"$3:$"&amp;$CL$12&amp;"$200"),"2B",ID4D!$D$3:$D$200,$CM9))))</f>
        <v>8</v>
      </c>
      <c r="CQ9" s="36">
        <f ca="1">IF(OR($CL$11&lt;5,$CL$11&gt;7),IF($CK$12,COUNTIFS(INDIRECT("ID4D!$"&amp;$CL$12&amp;"$3:$"&amp;$CL$12&amp;"$200"),CQ$3,ID4D!$D$3:$D$200,$CM9,ID4D!$IK$3:$IK$200,0),COUNTIFS(INDIRECT("ID4D!$"&amp;$CL$12&amp;"$3:$"&amp;$CL$12&amp;"$200"),CQ$3,ID4D!$D$3:$D$200,$CM9)),IF($CK$12,(COUNTIFS(INDIRECT("ID4D!$"&amp;$CL$12&amp;"$3:$"&amp;$CL$12&amp;"$200"),CQ$3,ID4D!$D$3:$D$200,$CM9,ID4D!$IK$3:$IK$200,0)+COUNTIFS(INDIRECT("ID4D!$"&amp;$CL$12&amp;"$3:$"&amp;$CL$12&amp;"$200"),"3B",ID4D!$D$3:$D$200,$CM9,ID4D!$IK$3:$IK$200,0)),(COUNTIFS(INDIRECT("ID4D!$"&amp;$CL$12&amp;"$3:$"&amp;$CL$12&amp;"$200"),CQ$3,ID4D!$D$3:$D$200,$CM9)+COUNTIFS(INDIRECT("ID4D!$"&amp;$CL$12&amp;"$3:$"&amp;$CL$12&amp;"$200"),"3B",ID4D!$D$3:$D$200,$CM9))))</f>
        <v>0</v>
      </c>
      <c r="CR9" s="425">
        <f ca="1">IF(OR($CL$11&lt;5,$CL$11&gt;7),IF($CK$12,COUNTIFS(INDIRECT("ID4D!$"&amp;$CL$12&amp;"$3:$"&amp;$CL$12&amp;"$200"),CR$3,ID4D!$D$3:$D$200,$CM9,ID4D!$IK$3:$IK$200,0),COUNTIFS(INDIRECT("ID4D!$"&amp;$CL$12&amp;"$3:$"&amp;$CL$12&amp;"$200"),CR$3,ID4D!$D$3:$D$200,$CM9)),IF($CK$12,(COUNTIFS(INDIRECT("ID4D!$"&amp;$CL$12&amp;"$3:$"&amp;$CL$12&amp;"$200"),CR$3,ID4D!$D$3:$D$200,$CM9,ID4D!$IK$3:$IK$200,0)+COUNTIFS(INDIRECT("ID4D!$"&amp;$CL$12&amp;"$3:$"&amp;$CL$12&amp;"$200"),"4B",ID4D!$D$3:$D$200,$CM9,ID4D!$IK$3:$IK$200,0)),(COUNTIFS(INDIRECT("ID4D!$"&amp;$CL$12&amp;"$3:$"&amp;$CL$12&amp;"$200"),CR$3,ID4D!$D$3:$D$200,$CM9)+COUNTIFS(INDIRECT("ID4D!$"&amp;$CL$12&amp;"$3:$"&amp;$CL$12&amp;"$200"),"4B",ID4D!$D$3:$D$200,$CM9))))</f>
        <v>0</v>
      </c>
      <c r="CS9" s="12">
        <f t="shared" ca="1" si="2"/>
        <v>8</v>
      </c>
      <c r="CV9" s="620">
        <v>6</v>
      </c>
      <c r="CW9" s="650">
        <v>6</v>
      </c>
      <c r="CX9" s="647">
        <f>COUNTIF(ID4D!$AI$3:$AI$200,CX$3)+COUNTIF(ID4D!$AI$3:$AI$200,"-")</f>
        <v>154</v>
      </c>
      <c r="CY9" s="647">
        <f>COUNTIF(ID4D!$AI$3:$AI$200,CY$3)</f>
        <v>44</v>
      </c>
      <c r="CZ9" s="355"/>
      <c r="DA9" s="355"/>
      <c r="DB9" s="640"/>
      <c r="DC9" s="10">
        <f t="shared" si="3"/>
        <v>198</v>
      </c>
      <c r="DD9" s="621" t="s">
        <v>427</v>
      </c>
      <c r="DE9" s="354" t="s">
        <v>4675</v>
      </c>
      <c r="DF9" s="354"/>
      <c r="DG9" s="622"/>
      <c r="DH9" s="650">
        <v>6</v>
      </c>
      <c r="DI9" s="647">
        <f>COUNTIFS(ID4D!$AI$3:$AI$200,DI$3,ID4D!$D$3:$D$200,"&gt;A")+COUNTIFS(ID4D!$AI$3:$AI$200,"-",ID4D!$D$3:$D$200,"&gt;A")</f>
        <v>134</v>
      </c>
      <c r="DJ9" s="647">
        <f>COUNTIFS(ID4D!$AI$3:$AI$200,DJ$3,ID4D!$D$3:$D$200,"&gt;A")</f>
        <v>34</v>
      </c>
      <c r="DK9" s="355"/>
      <c r="DL9" s="355"/>
      <c r="DM9" s="51"/>
      <c r="DN9" s="10">
        <f t="shared" si="4"/>
        <v>168</v>
      </c>
      <c r="DO9" s="33"/>
      <c r="DQ9" t="str">
        <f>IF($ED$1,"169 economies","198 economies")</f>
        <v>198 economies</v>
      </c>
      <c r="DR9" s="736"/>
      <c r="DS9" s="736"/>
      <c r="DT9" s="736"/>
      <c r="DU9" s="736"/>
      <c r="DV9" s="736"/>
      <c r="DW9" s="736"/>
      <c r="DX9" s="736"/>
    </row>
    <row r="10" spans="2:154">
      <c r="B10" s="354"/>
      <c r="C10" s="354"/>
      <c r="D10" s="354"/>
      <c r="E10" s="354"/>
      <c r="F10" s="354"/>
      <c r="G10" s="354"/>
      <c r="H10" s="354"/>
      <c r="I10" s="354"/>
      <c r="J10" s="354"/>
      <c r="K10" s="772" t="s">
        <v>4562</v>
      </c>
      <c r="L10" s="773">
        <f>SUM(L4:L9)</f>
        <v>36</v>
      </c>
      <c r="M10" s="774">
        <f>SUM(M4:M9)</f>
        <v>85</v>
      </c>
      <c r="N10" s="774">
        <f>SUM(N4:N9)</f>
        <v>37</v>
      </c>
      <c r="O10" s="775">
        <f>SUM(O4:O9)</f>
        <v>10</v>
      </c>
      <c r="P10" s="776">
        <f>SUM(P4:P9)</f>
        <v>168</v>
      </c>
      <c r="T10" t="str">
        <f>IF($AV$1,"145 countries","168 countries")</f>
        <v>168 countries</v>
      </c>
      <c r="AO10" s="628">
        <v>1966</v>
      </c>
      <c r="AP10" s="628">
        <f>IF($AV$1,COUNTIFS(ID4D!$K$3:$K$200,$AO10,ID4D!$IK$3:$IK$200,0),COUNTIF(ID4D!$K$3:$K$200,$AO10))</f>
        <v>1</v>
      </c>
      <c r="AQ10" s="628">
        <f t="shared" si="8"/>
        <v>146</v>
      </c>
      <c r="AR10" s="628">
        <f>IF($AV$1,COUNTIFS(ID4D!$R$3:$R$200,$AO10,ID4D!$IK$3:$IK$200,0),COUNTIF(ID4D!$R$3:$R$200,$AO10))</f>
        <v>0</v>
      </c>
      <c r="AS10" s="628">
        <f t="shared" si="5"/>
        <v>23</v>
      </c>
      <c r="AT10" s="628">
        <f>IF($AV$1,COUNTIFS(ID4D!$AE$3:$AE$200,$AO10,ID4D!$IK$3:$IK$200,0),COUNTIF(ID4D!$AE$3:$AE$200,$AO10))</f>
        <v>0</v>
      </c>
      <c r="AU10" s="628">
        <f t="shared" si="6"/>
        <v>0</v>
      </c>
      <c r="AV10" s="628">
        <f>IF($AV$1,COUNTIFS(ID4D!$AZ$3:$AZ$200,$AO10,ID4D!$IK$3:$IK$200,0),COUNTIF(ID4D!$AZ$3:$AZ$200,$AO10))</f>
        <v>0</v>
      </c>
      <c r="AW10" s="628">
        <f t="shared" si="9"/>
        <v>4</v>
      </c>
      <c r="AX10" s="628">
        <f>IF($AV$1,COUNTIFS(ID4D!$BD$3:$BD$200,$AO10,ID4D!$IK$3:$IK$200,0),COUNTIF(ID4D!$BD$3:$BD$200,$AO10))</f>
        <v>0</v>
      </c>
      <c r="AY10" s="628">
        <f t="shared" si="7"/>
        <v>11</v>
      </c>
      <c r="AZ10" s="628">
        <f>IF($AV$1,COUNTIFS(ID4D!$AZ$3:$AZ$200,$AO10,ID4D!$BB$3:$BB$200,2,ID4D!$IK$3:$IK$200,0),COUNTIFS(ID4D!$AZ$3:$AZ$200,$AO10,ID4D!$BB$3:$BB$200,2))</f>
        <v>0</v>
      </c>
      <c r="BA10" s="628">
        <f t="shared" si="10"/>
        <v>2</v>
      </c>
      <c r="BB10" s="628">
        <f>IF($AV$1,COUNTIFS(ID4D!$AU$3:$AU$200,$AO10,ID4D!$AS$3:$AS$200,2,ID4D!$IK$3:$IK$200,0),COUNTIFS(ID4D!$AU$3:$AU$200,$AO10,ID4D!$AS$3:$AS$200,2))</f>
        <v>0</v>
      </c>
      <c r="BC10" s="628">
        <f t="shared" si="11"/>
        <v>0</v>
      </c>
      <c r="BD10" s="628">
        <f>IF($AV$1,COUNTIFS(ID4D!$HM$3:$HM$200,$AO10,ID4D!$IK$3:$IK$200,0),COUNTIF(ID4D!$HM$3:$HM$200,$AO10))</f>
        <v>0</v>
      </c>
      <c r="BE10" s="628">
        <f t="shared" si="12"/>
        <v>0</v>
      </c>
      <c r="BF10" s="628">
        <f>IF($AV$1,COUNTIFS(ID4D!$HU$3:$HU$200,$AO10,ID4D!$IK$3:$IK$200,0),COUNTIF(ID4D!$HU$3:$HU$200,$AO10))</f>
        <v>3</v>
      </c>
      <c r="BG10" s="628">
        <f t="shared" si="13"/>
        <v>10</v>
      </c>
      <c r="BK10" s="57"/>
      <c r="BT10" s="609" t="s">
        <v>4562</v>
      </c>
      <c r="BU10" s="610">
        <f t="shared" ref="BU10:CA10" si="17">SUM(BU4:BU9)</f>
        <v>37</v>
      </c>
      <c r="BV10" s="611">
        <f t="shared" si="17"/>
        <v>52</v>
      </c>
      <c r="BW10" s="611">
        <f t="shared" si="17"/>
        <v>18</v>
      </c>
      <c r="BX10" s="633">
        <f t="shared" si="17"/>
        <v>7</v>
      </c>
      <c r="BY10" s="611">
        <f t="shared" si="17"/>
        <v>19</v>
      </c>
      <c r="BZ10" s="630">
        <f t="shared" si="17"/>
        <v>35</v>
      </c>
      <c r="CA10" s="612">
        <f t="shared" si="17"/>
        <v>168</v>
      </c>
      <c r="CF10" s="57"/>
      <c r="CM10" s="609" t="s">
        <v>4562</v>
      </c>
      <c r="CN10" s="610">
        <f t="shared" ref="CN10:CS10" ca="1" si="18">SUM(CN4:CN9)</f>
        <v>0</v>
      </c>
      <c r="CO10" s="611">
        <f t="shared" ca="1" si="18"/>
        <v>9</v>
      </c>
      <c r="CP10" s="611">
        <f t="shared" ca="1" si="18"/>
        <v>159</v>
      </c>
      <c r="CQ10" s="633">
        <f t="shared" ca="1" si="18"/>
        <v>0</v>
      </c>
      <c r="CR10" s="630">
        <f t="shared" ca="1" si="18"/>
        <v>0</v>
      </c>
      <c r="CS10" s="612">
        <f t="shared" ca="1" si="18"/>
        <v>168</v>
      </c>
      <c r="CV10" s="620">
        <v>7</v>
      </c>
      <c r="CW10" s="650">
        <v>7</v>
      </c>
      <c r="CX10" s="647">
        <f>COUNTIF(ID4D!$AJ$3:$AJ$200,CX$3)+COUNTIF(ID4D!$AJ$3:$AJ$200,"-")</f>
        <v>161</v>
      </c>
      <c r="CY10" s="647">
        <f>COUNTIF(ID4D!$AJ$3:$AJ$200,CY$3)</f>
        <v>37</v>
      </c>
      <c r="CZ10" s="647"/>
      <c r="DA10" s="355"/>
      <c r="DB10" s="640"/>
      <c r="DC10" s="10">
        <f t="shared" si="3"/>
        <v>198</v>
      </c>
      <c r="DD10" s="621" t="s">
        <v>672</v>
      </c>
      <c r="DE10" s="354" t="s">
        <v>4674</v>
      </c>
      <c r="DF10" s="354"/>
      <c r="DG10" s="622"/>
      <c r="DH10" s="650">
        <v>7</v>
      </c>
      <c r="DI10" s="647">
        <f>COUNTIFS(ID4D!$AJ$3:$AJ$200,DI$3,ID4D!$D$3:$D$200,"&gt;A")+COUNTIFS(ID4D!$AJ$3:$AJ$200,"-",ID4D!$D$3:$D$200,"&gt;A")</f>
        <v>142</v>
      </c>
      <c r="DJ10" s="647">
        <f>COUNTIFS(ID4D!$AJ$3:$AJ$200,DJ$3,ID4D!$D$3:$D$200,"&gt;A")</f>
        <v>26</v>
      </c>
      <c r="DK10" s="355"/>
      <c r="DL10" s="355"/>
      <c r="DM10" s="51"/>
      <c r="DN10" s="10">
        <f t="shared" si="4"/>
        <v>168</v>
      </c>
      <c r="DQ10" t="s">
        <v>4470</v>
      </c>
      <c r="DR10" s="736">
        <f>IF($ED$1,COUNTIFS(ID4D!$E$3:$E$200,"&gt;A",ID4D!$IK$3:$IK$200,0,ID4D!$AG$3:$AG$200,0),COUNTIFS(ID4D!$E$3:$E$200,"&gt;A",ID4D!$AG$3:$AG$200,0))</f>
        <v>17</v>
      </c>
      <c r="DS10" s="736">
        <f>IF($ED$1,COUNTIFS(ID4D!$E$3:$E$200,"&gt;A",ID4D!$IK$3:$IK$200,0,ID4D!$AG$3:$AG$200,1,ID4D!$U$3:$U$200,2),COUNTIFS(ID4D!$E$3:$E$200,"&gt;A",ID4D!$AG$3:$AG$200,1,ID4D!$U$3:$U$200,2))</f>
        <v>25</v>
      </c>
      <c r="DT10" s="736">
        <f>IF($ED$1,COUNTIFS(ID4D!$E$3:$E$200,"&gt;A",ID4D!$IK$3:$IK$200,0,ID4D!$AG$3:$AG$200,1,ID4D!$U$3:$U$200,1),COUNTIFS(ID4D!$E$3:$E$200,"&gt;A",ID4D!$AG$3:$AG$200,1,ID4D!$U$3:$U$200,1))</f>
        <v>8</v>
      </c>
      <c r="DU10" s="736">
        <f>IF($ED$1,COUNTIFS(ID4D!$E$3:$E$200,"&gt;A",ID4D!$IK$3:$IK$200,0,ID4D!$AG$3:$AG$200,"&gt;1",ID4D!$U$3:$U$200,2),COUNTIFS(ID4D!$E$3:$E$200,"&gt;A",ID4D!$AG$3:$AG$200,"&gt;1",ID4D!$U$3:$U$200,2))</f>
        <v>30</v>
      </c>
      <c r="DV10" s="736">
        <f>IF($ED$1,COUNTIFS(ID4D!$E$3:$E$200,"&gt;A",ID4D!$IK$3:$IK$200,0,ID4D!$AG$3:$AG$200,"&gt;1",ID4D!$U$3:$U$200,1),COUNTIFS(ID4D!$E$3:$E$200,"&gt;A",ID4D!$AG$3:$AG$200,"&gt;1",ID4D!$U$3:$U$200,1))</f>
        <v>7</v>
      </c>
      <c r="DW10" s="736">
        <f>IF($ED$1,COUNTIFS(ID4D!$E$3:$E$200,"&gt;A",ID4D!$IK$3:$IK$200,0,ID4D!$AG$3:$AG$200,"2B",ID4D!$U$3:$U$200,2)+COUNTIFS(ID4D!$E$3:$E$200,"&gt;A",ID4D!$IK$3:$IK$200,0,ID4D!$AG$3:$AG$200,"3B",ID4D!$U$3:$U$200,2)+COUNTIFS(ID4D!$E$3:$E$200,"&gt;A",ID4D!$IK$3:$IK$200,0,ID4D!$AG$3:$AG$200,"4B",ID4D!$U$3:$U$200,2), COUNTIFS(ID4D!$E$3:$E$200,"&gt;A",ID4D!$AG$3:$AG$200,"2B",ID4D!$U$3:$U$200,2)+COUNTIFS(ID4D!$E$3:$E$200,"&gt;A",ID4D!$AG$3:$AG$200,"3B",ID4D!$U$3:$U$200,2)+COUNTIFS(ID4D!$E$3:$E$200,"&gt;A",ID4D!$AG$3:$AG$200,"4B",ID4D!$U$3:$U$200,2))</f>
        <v>97</v>
      </c>
      <c r="DX10" s="736">
        <f>IF($ED$1,COUNTIFS(ID4D!$E$3:$E$200,"&gt;A",ID4D!$IK$3:$IK$200,0,ID4D!$AG$3:$AG$200,"2B",ID4D!$U$3:$U$200,1)+COUNTIFS(ID4D!$E$3:$E$200,"&gt;A",ID4D!$IK$3:$IK$200,0,ID4D!$AG$3:$AG$200,"3B",ID4D!$U$3:$U$200,1)+COUNTIFS(ID4D!$E$3:$E$200,"&gt;A",ID4D!$IK$3:$IK$200,0,ID4D!$AG$3:$AG$200,"4B",ID4D!$U$3:$U$200,1), COUNTIFS(ID4D!$E$3:$E$200,"&gt;A",ID4D!$AG$3:$AG$200,"2B",ID4D!$U$3:$U$200,1)+COUNTIFS(ID4D!$E$3:$E$200,"&gt;A",ID4D!$AG$3:$AG$200,"3B",ID4D!$U$3:$U$200,1)+COUNTIFS(ID4D!$E$3:$E$200,"&gt;A",ID4D!$AG$3:$AG$200,"4B",ID4D!$U$3:$U$200,1))</f>
        <v>14</v>
      </c>
      <c r="DY10" s="739">
        <f>SUM(DR10:DX10)</f>
        <v>198</v>
      </c>
      <c r="EU10" t="str">
        <f>IF($ED$1,"145 countries","168 countries")</f>
        <v>168 countries</v>
      </c>
      <c r="EV10" s="49" t="s">
        <v>10</v>
      </c>
      <c r="EW10" s="49" t="s">
        <v>398</v>
      </c>
    </row>
    <row r="11" spans="2:154">
      <c r="B11" s="761" t="s">
        <v>7</v>
      </c>
      <c r="C11" s="762" t="s">
        <v>320</v>
      </c>
      <c r="D11" s="763" t="s">
        <v>322</v>
      </c>
      <c r="E11" s="763" t="s">
        <v>323</v>
      </c>
      <c r="F11" s="764" t="s">
        <v>326</v>
      </c>
      <c r="G11" s="765" t="s">
        <v>4562</v>
      </c>
      <c r="H11" s="354"/>
      <c r="I11" s="354"/>
      <c r="J11" s="354"/>
      <c r="K11" s="354"/>
      <c r="L11" s="778">
        <f>L10/$P$10</f>
        <v>0.21428571428571427</v>
      </c>
      <c r="M11" s="778">
        <f>M10/$P$10</f>
        <v>0.50595238095238093</v>
      </c>
      <c r="N11" s="778">
        <f>N10/$P$10</f>
        <v>0.22023809523809523</v>
      </c>
      <c r="O11" s="778">
        <f>O10/$P$10</f>
        <v>5.9523809523809521E-2</v>
      </c>
      <c r="P11" s="354"/>
      <c r="T11" t="s">
        <v>4469</v>
      </c>
      <c r="U11" s="593">
        <f>IF($AV$1, AVERAGEIFS(ID4D!$CG$3:$CG$200,ID4D!$D$3:$D$200,"&gt;A",ID4D!$IK$3:$IK$200,0),AVERAGEIF(ID4D!$D$3:$D$200,"&gt;A",ID4D!$CG$3:$CG$200))</f>
        <v>79.563690476190487</v>
      </c>
      <c r="AO11" s="628">
        <v>1967</v>
      </c>
      <c r="AP11" s="628">
        <f>IF($AV$1,COUNTIFS(ID4D!$K$3:$K$200,$AO11,ID4D!$IK$3:$IK$200,0),COUNTIF(ID4D!$K$3:$K$200,$AO11))</f>
        <v>2</v>
      </c>
      <c r="AQ11" s="628">
        <f t="shared" si="8"/>
        <v>148</v>
      </c>
      <c r="AR11" s="628">
        <f>IF($AV$1,COUNTIFS(ID4D!$R$3:$R$200,$AO11,ID4D!$IK$3:$IK$200,0),COUNTIF(ID4D!$R$3:$R$200,$AO11))</f>
        <v>1</v>
      </c>
      <c r="AS11" s="628">
        <f t="shared" si="5"/>
        <v>24</v>
      </c>
      <c r="AT11" s="628">
        <f>IF($AV$1,COUNTIFS(ID4D!$AE$3:$AE$200,$AO11,ID4D!$IK$3:$IK$200,0),COUNTIF(ID4D!$AE$3:$AE$200,$AO11))</f>
        <v>0</v>
      </c>
      <c r="AU11" s="628">
        <f t="shared" si="6"/>
        <v>0</v>
      </c>
      <c r="AV11" s="628">
        <f>IF($AV$1,COUNTIFS(ID4D!$AZ$3:$AZ$200,$AO11,ID4D!$IK$3:$IK$200,0),COUNTIF(ID4D!$AZ$3:$AZ$200,$AO11))</f>
        <v>1</v>
      </c>
      <c r="AW11" s="628">
        <f t="shared" si="9"/>
        <v>5</v>
      </c>
      <c r="AX11" s="628">
        <f>IF($AV$1,COUNTIFS(ID4D!$BD$3:$BD$200,$AO11,ID4D!$IK$3:$IK$200,0),COUNTIF(ID4D!$BD$3:$BD$200,$AO11))</f>
        <v>0</v>
      </c>
      <c r="AY11" s="628">
        <f t="shared" si="7"/>
        <v>11</v>
      </c>
      <c r="AZ11" s="628">
        <f>IF($AV$1,COUNTIFS(ID4D!$AZ$3:$AZ$200,$AO11,ID4D!$BB$3:$BB$200,2,ID4D!$IK$3:$IK$200,0),COUNTIFS(ID4D!$AZ$3:$AZ$200,$AO11,ID4D!$BB$3:$BB$200,2))</f>
        <v>0</v>
      </c>
      <c r="BA11" s="628">
        <f t="shared" si="10"/>
        <v>2</v>
      </c>
      <c r="BB11" s="628">
        <f>IF($AV$1,COUNTIFS(ID4D!$AU$3:$AU$200,$AO11,ID4D!$AS$3:$AS$200,2,ID4D!$IK$3:$IK$200,0),COUNTIFS(ID4D!$AU$3:$AU$200,$AO11,ID4D!$AS$3:$AS$200,2))</f>
        <v>0</v>
      </c>
      <c r="BC11" s="628">
        <f t="shared" si="11"/>
        <v>0</v>
      </c>
      <c r="BD11" s="628">
        <f>IF($AV$1,COUNTIFS(ID4D!$HM$3:$HM$200,$AO11,ID4D!$IK$3:$IK$200,0),COUNTIF(ID4D!$HM$3:$HM$200,$AO11))</f>
        <v>0</v>
      </c>
      <c r="BE11" s="628">
        <f t="shared" si="12"/>
        <v>0</v>
      </c>
      <c r="BF11" s="628">
        <f>IF($AV$1,COUNTIFS(ID4D!$HU$3:$HU$200,$AO11,ID4D!$IK$3:$IK$200,0),COUNTIF(ID4D!$HU$3:$HU$200,$AO11))</f>
        <v>0</v>
      </c>
      <c r="BG11" s="628">
        <f t="shared" si="13"/>
        <v>10</v>
      </c>
      <c r="BK11" s="57"/>
      <c r="BR11" s="620"/>
      <c r="BT11" s="354"/>
      <c r="BU11" s="615">
        <f t="shared" ref="BU11:BZ11" si="19">BU10/$CA$10</f>
        <v>0.22023809523809523</v>
      </c>
      <c r="BV11" s="615">
        <f t="shared" si="19"/>
        <v>0.30952380952380953</v>
      </c>
      <c r="BW11" s="615">
        <f t="shared" si="19"/>
        <v>0.10714285714285714</v>
      </c>
      <c r="BX11" s="615">
        <f t="shared" si="19"/>
        <v>4.1666666666666664E-2</v>
      </c>
      <c r="BY11" s="615">
        <f t="shared" si="19"/>
        <v>0.1130952380952381</v>
      </c>
      <c r="BZ11" s="615">
        <f t="shared" si="19"/>
        <v>0.20833333333333334</v>
      </c>
      <c r="CA11" s="354"/>
      <c r="CE11" s="54"/>
      <c r="CF11" s="663"/>
      <c r="CG11" s="54"/>
      <c r="CH11" s="54"/>
      <c r="CI11" s="54"/>
      <c r="CJ11" s="54"/>
      <c r="CK11" s="54"/>
      <c r="CL11" s="620">
        <v>1</v>
      </c>
      <c r="CM11" s="354"/>
      <c r="CN11" s="615">
        <f ca="1">CN10/$CS$10</f>
        <v>0</v>
      </c>
      <c r="CO11" s="615">
        <f ca="1">CO10/$CS$10</f>
        <v>5.3571428571428568E-2</v>
      </c>
      <c r="CP11" s="615">
        <f ca="1">CP10/$CS$10</f>
        <v>0.9464285714285714</v>
      </c>
      <c r="CQ11" s="615">
        <f ca="1">CQ10/$CS$10</f>
        <v>0</v>
      </c>
      <c r="CR11" s="615">
        <f ca="1">CR10/$CS$10</f>
        <v>0</v>
      </c>
      <c r="CS11" s="354"/>
      <c r="CV11" s="620">
        <v>8</v>
      </c>
      <c r="CW11" s="650">
        <v>8</v>
      </c>
      <c r="CX11" s="647">
        <f>COUNTIF(ID4D!$AS$3:$AS$200,CX$3)</f>
        <v>7</v>
      </c>
      <c r="CY11" s="647">
        <f>COUNTIF(ID4D!$AS$3:$AS$200,CY$3)</f>
        <v>72</v>
      </c>
      <c r="CZ11" s="647">
        <f>COUNTIF(ID4D!$AS$3:$AS$200,CZ$3)</f>
        <v>119</v>
      </c>
      <c r="DA11" s="355"/>
      <c r="DB11" s="640"/>
      <c r="DC11" s="10">
        <f t="shared" si="3"/>
        <v>198</v>
      </c>
      <c r="DD11" s="621" t="s">
        <v>433</v>
      </c>
      <c r="DE11" s="354" t="s">
        <v>5429</v>
      </c>
      <c r="DF11" s="354"/>
      <c r="DG11" s="622"/>
      <c r="DH11" s="650">
        <v>8</v>
      </c>
      <c r="DI11" s="647">
        <f>COUNTIFS(ID4D!$AS$3:$AS$200,DI$3,ID4D!$D$3:$D$200,"&gt;A")</f>
        <v>7</v>
      </c>
      <c r="DJ11" s="647">
        <f>COUNTIFS(ID4D!$AS$3:$AS$200,DJ$3,ID4D!$D$3:$D$200,"&gt;A")</f>
        <v>70</v>
      </c>
      <c r="DK11" s="355">
        <f>COUNTIFS(ID4D!$AS$3:$AS$200,DK$3,ID4D!$D$3:$D$200,"&gt;A")</f>
        <v>91</v>
      </c>
      <c r="DL11" s="355"/>
      <c r="DM11" s="51"/>
      <c r="DN11" s="10">
        <f t="shared" si="4"/>
        <v>168</v>
      </c>
      <c r="EU11" t="s">
        <v>4469</v>
      </c>
      <c r="EV11" s="593">
        <f>IF($ED$1, AVERAGEIFS(ID4D!$CI$3:$CI$200,ID4D!$D$3:$D$200,"&gt;A",ID4D!$IK$3:$IK$200,0),AVERAGEIF(ID4D!$D$3:$D$200,"&gt;A",ID4D!$CI$3:$CI$200))</f>
        <v>79.465476190476181</v>
      </c>
      <c r="EW11" s="593">
        <f>IF($ED$1, AVERAGEIFS(ID4D!$CH$3:$CH$200,ID4D!$D$3:$D$200,"&gt;A",ID4D!$IK$3:$IK$200,0),AVERAGEIF(ID4D!$D$3:$D$200,"&gt;A",ID4D!$CH$3:$CH$200))</f>
        <v>79.654761904761898</v>
      </c>
    </row>
    <row r="12" spans="2:154">
      <c r="B12" s="605" t="s">
        <v>5199</v>
      </c>
      <c r="C12" s="39">
        <f>COUNTIFS(ID4D!$IN$3:$IN$200,C$3,ID4D!$ID$3:$ID$200,$B12)</f>
        <v>17</v>
      </c>
      <c r="D12" s="603">
        <f>COUNTIFS(ID4D!$IN$3:$IN$200,D$3,ID4D!$ID$3:$ID$200,$B12)</f>
        <v>8</v>
      </c>
      <c r="E12" s="603">
        <f>COUNTIFS(ID4D!$IN$3:$IN$200,E$3,ID4D!$ID$3:$ID$200,$B12)</f>
        <v>2</v>
      </c>
      <c r="F12" s="768">
        <f>COUNTIFS(ID4D!$IN$3:$IN$200,F$3,ID4D!$ID$3:$ID$200,$B12)</f>
        <v>0</v>
      </c>
      <c r="G12" s="779">
        <f>SUM(C12:F12)</f>
        <v>27</v>
      </c>
      <c r="H12" s="354"/>
      <c r="I12" s="354"/>
      <c r="J12" s="354"/>
      <c r="K12" s="354"/>
      <c r="L12" s="354"/>
      <c r="M12" s="354"/>
      <c r="N12" s="354"/>
      <c r="O12" s="354"/>
      <c r="P12" s="354"/>
      <c r="AO12" s="628">
        <v>1968</v>
      </c>
      <c r="AP12" s="628">
        <f>IF($AV$1,COUNTIFS(ID4D!$K$3:$K$200,$AO12,ID4D!$IK$3:$IK$200,0),COUNTIF(ID4D!$K$3:$K$200,$AO12))</f>
        <v>1</v>
      </c>
      <c r="AQ12" s="628">
        <f t="shared" si="8"/>
        <v>149</v>
      </c>
      <c r="AR12" s="628">
        <f>IF($AV$1,COUNTIFS(ID4D!$R$3:$R$200,$AO12,ID4D!$IK$3:$IK$200,0),COUNTIF(ID4D!$R$3:$R$200,$AO12))</f>
        <v>3</v>
      </c>
      <c r="AS12" s="628">
        <f t="shared" si="5"/>
        <v>27</v>
      </c>
      <c r="AT12" s="628">
        <f>IF($AV$1,COUNTIFS(ID4D!$AE$3:$AE$200,$AO12,ID4D!$IK$3:$IK$200,0),COUNTIF(ID4D!$AE$3:$AE$200,$AO12))</f>
        <v>0</v>
      </c>
      <c r="AU12" s="628">
        <f t="shared" si="6"/>
        <v>0</v>
      </c>
      <c r="AV12" s="628">
        <f>IF($AV$1,COUNTIFS(ID4D!$AZ$3:$AZ$200,$AO12,ID4D!$IK$3:$IK$200,0),COUNTIF(ID4D!$AZ$3:$AZ$200,$AO12))</f>
        <v>0</v>
      </c>
      <c r="AW12" s="628">
        <f t="shared" si="9"/>
        <v>5</v>
      </c>
      <c r="AX12" s="628">
        <f>IF($AV$1,COUNTIFS(ID4D!$BD$3:$BD$200,$AO12,ID4D!$IK$3:$IK$200,0),COUNTIF(ID4D!$BD$3:$BD$200,$AO12))</f>
        <v>1</v>
      </c>
      <c r="AY12" s="628">
        <f t="shared" si="7"/>
        <v>12</v>
      </c>
      <c r="AZ12" s="628">
        <f>IF($AV$1,COUNTIFS(ID4D!$AZ$3:$AZ$200,$AO12,ID4D!$BB$3:$BB$200,2,ID4D!$IK$3:$IK$200,0),COUNTIFS(ID4D!$AZ$3:$AZ$200,$AO12,ID4D!$BB$3:$BB$200,2))</f>
        <v>0</v>
      </c>
      <c r="BA12" s="628">
        <f t="shared" si="10"/>
        <v>2</v>
      </c>
      <c r="BB12" s="628">
        <f>IF($AV$1,COUNTIFS(ID4D!$AU$3:$AU$200,$AO12,ID4D!$AS$3:$AS$200,2,ID4D!$IK$3:$IK$200,0),COUNTIFS(ID4D!$AU$3:$AU$200,$AO12,ID4D!$AS$3:$AS$200,2))</f>
        <v>0</v>
      </c>
      <c r="BC12" s="628">
        <f t="shared" si="11"/>
        <v>0</v>
      </c>
      <c r="BD12" s="628">
        <f>IF($AV$1,COUNTIFS(ID4D!$HM$3:$HM$200,$AO12,ID4D!$IK$3:$IK$200,0),COUNTIF(ID4D!$HM$3:$HM$200,$AO12))</f>
        <v>0</v>
      </c>
      <c r="BE12" s="628">
        <f t="shared" si="12"/>
        <v>0</v>
      </c>
      <c r="BF12" s="628">
        <f>IF($AV$1,COUNTIFS(ID4D!$HU$3:$HU$200,$AO12,ID4D!$IK$3:$IK$200,0),COUNTIF(ID4D!$HU$3:$HU$200,$AO12))</f>
        <v>0</v>
      </c>
      <c r="BG12" s="628">
        <f t="shared" si="13"/>
        <v>10</v>
      </c>
      <c r="BJ12" s="617" t="str">
        <f>IF($CK$12,"Civil Registration Institutions (without small states)","Civil Registration Institutions")</f>
        <v>Civil Registration Institutions</v>
      </c>
      <c r="CK12" s="434" t="b">
        <v>0</v>
      </c>
      <c r="CL12" s="620" t="str">
        <f>VLOOKUP(CL11,CV4:DE16,9,FALSE)</f>
        <v>L</v>
      </c>
      <c r="CV12" s="620">
        <v>9</v>
      </c>
      <c r="CW12" s="650">
        <v>9</v>
      </c>
      <c r="CX12" s="647">
        <f>COUNTIF(ID4D!$BA$3:$BA$200,CX$3)</f>
        <v>24</v>
      </c>
      <c r="CY12" s="355">
        <f>COUNTIF(ID4D!$BA$3:$BA$200,CY$3)</f>
        <v>174</v>
      </c>
      <c r="CZ12" s="355"/>
      <c r="DA12" s="355"/>
      <c r="DB12" s="640"/>
      <c r="DC12" s="10">
        <f t="shared" si="3"/>
        <v>198</v>
      </c>
      <c r="DD12" s="621" t="s">
        <v>441</v>
      </c>
      <c r="DE12" s="354" t="s">
        <v>4602</v>
      </c>
      <c r="DF12" s="354"/>
      <c r="DG12" s="622"/>
      <c r="DH12" s="650">
        <v>9</v>
      </c>
      <c r="DI12" s="647">
        <f>COUNTIFS(ID4D!$BA$3:$BA$200,DI$3,ID4D!$D$3:$D$200,"&gt;A")</f>
        <v>22</v>
      </c>
      <c r="DJ12" s="355">
        <f>COUNTIFS(ID4D!$BA$3:$BA$200,DJ$3,ID4D!$D$3:$D$200,"&gt;A")</f>
        <v>146</v>
      </c>
      <c r="DK12" s="355"/>
      <c r="DL12" s="355"/>
      <c r="DM12" s="51"/>
      <c r="DN12" s="10">
        <f t="shared" si="4"/>
        <v>168</v>
      </c>
      <c r="DQ12" s="53" t="s">
        <v>4471</v>
      </c>
      <c r="DR12" s="735" t="s">
        <v>5183</v>
      </c>
      <c r="DS12" s="735" t="s">
        <v>1680</v>
      </c>
      <c r="DT12" s="735" t="s">
        <v>1614</v>
      </c>
      <c r="DU12" s="740" t="s">
        <v>5184</v>
      </c>
    </row>
    <row r="13" spans="2:154">
      <c r="B13" s="780" t="s">
        <v>5200</v>
      </c>
      <c r="C13" s="39">
        <f>COUNTIFS(ID4D!$IN$3:$IN$200,C$3,ID4D!$IE$3:$IE$200,$B13)</f>
        <v>20</v>
      </c>
      <c r="D13" s="603">
        <f>COUNTIFS(ID4D!$IN$3:$IN$200,D$3,ID4D!$IE$3:$IE$200,$B13)</f>
        <v>12</v>
      </c>
      <c r="E13" s="603">
        <f>COUNTIFS(ID4D!$IN$3:$IN$200,E$3,ID4D!$IE$3:$IE$200,$B13)</f>
        <v>2</v>
      </c>
      <c r="F13" s="768">
        <f>COUNTIFS(ID4D!$IN$3:$IN$200,F$3,ID4D!$IE$3:$IE$200,$B13)</f>
        <v>0</v>
      </c>
      <c r="G13" s="776">
        <f>SUM(C13:F13)</f>
        <v>34</v>
      </c>
      <c r="H13" s="354"/>
      <c r="I13" s="354"/>
      <c r="J13" s="354"/>
      <c r="K13" s="761" t="s">
        <v>5201</v>
      </c>
      <c r="L13" s="762" t="s">
        <v>320</v>
      </c>
      <c r="M13" s="763" t="s">
        <v>322</v>
      </c>
      <c r="N13" s="763" t="s">
        <v>323</v>
      </c>
      <c r="O13" s="764" t="s">
        <v>326</v>
      </c>
      <c r="P13" s="765" t="s">
        <v>4562</v>
      </c>
      <c r="AO13" s="628">
        <v>1969</v>
      </c>
      <c r="AP13" s="628">
        <f>IF($AV$1,COUNTIFS(ID4D!$K$3:$K$200,$AO13,ID4D!$IK$3:$IK$200,0),COUNTIF(ID4D!$K$3:$K$200,$AO13))</f>
        <v>0</v>
      </c>
      <c r="AQ13" s="628">
        <f t="shared" si="8"/>
        <v>149</v>
      </c>
      <c r="AR13" s="628">
        <f>IF($AV$1,COUNTIFS(ID4D!$R$3:$R$200,$AO13,ID4D!$IK$3:$IK$200,0),COUNTIF(ID4D!$R$3:$R$200,$AO13))</f>
        <v>1</v>
      </c>
      <c r="AS13" s="628">
        <f t="shared" si="5"/>
        <v>28</v>
      </c>
      <c r="AT13" s="628">
        <f>IF($AV$1,COUNTIFS(ID4D!$AE$3:$AE$200,$AO13,ID4D!$IK$3:$IK$200,0),COUNTIF(ID4D!$AE$3:$AE$200,$AO13))</f>
        <v>0</v>
      </c>
      <c r="AU13" s="628">
        <f t="shared" si="6"/>
        <v>0</v>
      </c>
      <c r="AV13" s="628">
        <f>IF($AV$1,COUNTIFS(ID4D!$AZ$3:$AZ$200,$AO13,ID4D!$IK$3:$IK$200,0),COUNTIF(ID4D!$AZ$3:$AZ$200,$AO13))</f>
        <v>1</v>
      </c>
      <c r="AW13" s="628">
        <f t="shared" si="9"/>
        <v>6</v>
      </c>
      <c r="AX13" s="628">
        <f>IF($AV$1,COUNTIFS(ID4D!$BD$3:$BD$200,$AO13,ID4D!$IK$3:$IK$200,0),COUNTIF(ID4D!$BD$3:$BD$200,$AO13))</f>
        <v>0</v>
      </c>
      <c r="AY13" s="628">
        <f t="shared" si="7"/>
        <v>12</v>
      </c>
      <c r="AZ13" s="628">
        <f>IF($AV$1,COUNTIFS(ID4D!$AZ$3:$AZ$200,$AO13,ID4D!$BB$3:$BB$200,2,ID4D!$IK$3:$IK$200,0),COUNTIFS(ID4D!$AZ$3:$AZ$200,$AO13,ID4D!$BB$3:$BB$200,2))</f>
        <v>0</v>
      </c>
      <c r="BA13" s="628">
        <f t="shared" si="10"/>
        <v>2</v>
      </c>
      <c r="BB13" s="628">
        <f>IF($AV$1,COUNTIFS(ID4D!$AU$3:$AU$200,$AO13,ID4D!$AS$3:$AS$200,2,ID4D!$IK$3:$IK$200,0),COUNTIFS(ID4D!$AU$3:$AU$200,$AO13,ID4D!$AS$3:$AS$200,2))</f>
        <v>0</v>
      </c>
      <c r="BC13" s="628">
        <f t="shared" si="11"/>
        <v>0</v>
      </c>
      <c r="BD13" s="628">
        <f>IF($AV$1,COUNTIFS(ID4D!$HM$3:$HM$200,$AO13,ID4D!$IK$3:$IK$200,0),COUNTIF(ID4D!$HM$3:$HM$200,$AO13))</f>
        <v>0</v>
      </c>
      <c r="BE13" s="628">
        <f t="shared" si="12"/>
        <v>0</v>
      </c>
      <c r="BF13" s="628">
        <f>IF($AV$1,COUNTIFS(ID4D!$HU$3:$HU$200,$AO13,ID4D!$IK$3:$IK$200,0),COUNTIF(ID4D!$HU$3:$HU$200,$AO13))</f>
        <v>0</v>
      </c>
      <c r="BG13" s="628">
        <f t="shared" si="13"/>
        <v>10</v>
      </c>
      <c r="CD13" s="623" t="s">
        <v>4569</v>
      </c>
      <c r="CV13" s="620">
        <v>10</v>
      </c>
      <c r="CW13" s="650">
        <v>10</v>
      </c>
      <c r="CX13" s="647">
        <f>COUNTIF(ID4D!$BB$3:$BB$200,CX$3)</f>
        <v>54</v>
      </c>
      <c r="CY13" s="355">
        <f>COUNTIF(ID4D!$BB$3:$BB$200,CY$3)</f>
        <v>91</v>
      </c>
      <c r="CZ13" s="355">
        <f>COUNTIF(ID4D!$BB$3:$BB$200,CZ$3)</f>
        <v>53</v>
      </c>
      <c r="DA13" s="355"/>
      <c r="DB13" s="640"/>
      <c r="DC13" s="10">
        <f t="shared" si="3"/>
        <v>198</v>
      </c>
      <c r="DD13" s="621" t="s">
        <v>457</v>
      </c>
      <c r="DE13" s="354" t="s">
        <v>4575</v>
      </c>
      <c r="DF13" s="354"/>
      <c r="DG13" s="622"/>
      <c r="DH13" s="650">
        <v>10</v>
      </c>
      <c r="DI13" s="647">
        <f>COUNTIFS(ID4D!$BB$3:$BB$200,DI$3,ID4D!$D$3:$D$200,"&gt;A")</f>
        <v>49</v>
      </c>
      <c r="DJ13" s="355">
        <f>COUNTIFS(ID4D!$BB$3:$BB$200,DJ$3,ID4D!$D$3:$D$200,"&gt;A")</f>
        <v>81</v>
      </c>
      <c r="DK13" s="355">
        <f>COUNTIFS(ID4D!$BB$3:$BB$200,DK$3,ID4D!$D$3:$D$200,"&gt;A")</f>
        <v>38</v>
      </c>
      <c r="DL13" s="355"/>
      <c r="DM13" s="51"/>
      <c r="DN13" s="10">
        <f t="shared" si="4"/>
        <v>168</v>
      </c>
      <c r="DQ13" t="str">
        <f>IF($ED$1,"LIC (34)","LIC (34)")</f>
        <v>LIC (34)</v>
      </c>
      <c r="DR13" s="736">
        <f>DR4</f>
        <v>0</v>
      </c>
      <c r="DS13" s="736">
        <f>DS4+DT4</f>
        <v>10</v>
      </c>
      <c r="DT13" s="736">
        <f>DU4+DV4</f>
        <v>6</v>
      </c>
      <c r="DU13" s="736">
        <f>DW4+DX4</f>
        <v>18</v>
      </c>
    </row>
    <row r="14" spans="2:154">
      <c r="B14" s="780" t="s">
        <v>5202</v>
      </c>
      <c r="C14" s="773">
        <f>COUNTIFS(ID4D!$IN$3:$IN$200,C$3,ID4D!$IF$3:$IF$200,$B14)</f>
        <v>7</v>
      </c>
      <c r="D14" s="774">
        <f>COUNTIFS(ID4D!$IN$3:$IN$200,D$3,ID4D!$IF$3:$IF$200,$B14)</f>
        <v>13</v>
      </c>
      <c r="E14" s="774">
        <f>COUNTIFS(ID4D!$IN$3:$IN$200,E$3,ID4D!$IF$3:$IF$200,$B14)</f>
        <v>1</v>
      </c>
      <c r="F14" s="775">
        <f>COUNTIFS(ID4D!$IN$3:$IN$200,F$3,ID4D!$IF$3:$IF$200,$B14)</f>
        <v>0</v>
      </c>
      <c r="G14" s="776">
        <f>SUM(C14:F14)</f>
        <v>21</v>
      </c>
      <c r="H14" s="354"/>
      <c r="I14" s="354"/>
      <c r="J14" s="354"/>
      <c r="K14" s="780" t="s">
        <v>10</v>
      </c>
      <c r="L14" s="773">
        <f>IF($K$15,COUNTIFS(ID4D!$IN$3:$IN$200,L$3,ID4D!$IG$3:$IG$200,1,ID4D!$IK$3:$IK$200,0),COUNTIFS(ID4D!$IN$3:$IN$200,L$3,ID4D!$IG$3:$IG$200,1))</f>
        <v>1</v>
      </c>
      <c r="M14" s="774">
        <f>IF($K$15,COUNTIFS(ID4D!$IN$3:$IN$200,M$3,ID4D!$IG$3:$IG$200,1,ID4D!$IK$3:$IK$200,0),COUNTIFS(ID4D!$IN$3:$IN$200,M$3,ID4D!$IG$3:$IG$200,1))</f>
        <v>13</v>
      </c>
      <c r="N14" s="774">
        <f>IF($K$15,COUNTIFS(ID4D!$IN$3:$IN$200,N$3,ID4D!$IG$3:$IG$200,1,ID4D!$IK$3:$IK$200,0),COUNTIFS(ID4D!$IN$3:$IN$200,N$3,ID4D!$IG$3:$IG$200,1))</f>
        <v>16</v>
      </c>
      <c r="O14" s="775">
        <f>IF($K$15,COUNTIFS(ID4D!$IN$3:$IN$200,O$3,ID4D!$IG$3:$IG$200,1,ID4D!$IK$3:$IK$200,0),COUNTIFS(ID4D!$IN$3:$IN$200,O$3,ID4D!$IG$3:$IG$200,1))</f>
        <v>3</v>
      </c>
      <c r="P14" s="776">
        <f>SUM(L14:O14)</f>
        <v>33</v>
      </c>
      <c r="T14" s="91" t="s">
        <v>405</v>
      </c>
      <c r="U14" s="91" t="s">
        <v>6138</v>
      </c>
      <c r="AO14" s="628">
        <v>1970</v>
      </c>
      <c r="AP14" s="628">
        <f>IF($AV$1,COUNTIFS(ID4D!$K$3:$K$200,$AO14,ID4D!$IK$3:$IK$200,0),COUNTIF(ID4D!$K$3:$K$200,$AO14))</f>
        <v>1</v>
      </c>
      <c r="AQ14" s="628">
        <f t="shared" si="8"/>
        <v>150</v>
      </c>
      <c r="AR14" s="628">
        <f>IF($AV$1,COUNTIFS(ID4D!$R$3:$R$200,$AO14,ID4D!$IK$3:$IK$200,0),COUNTIF(ID4D!$R$3:$R$200,$AO14))</f>
        <v>2</v>
      </c>
      <c r="AS14" s="628">
        <f t="shared" si="5"/>
        <v>30</v>
      </c>
      <c r="AT14" s="628">
        <f>IF($AV$1,COUNTIFS(ID4D!$AE$3:$AE$200,$AO14,ID4D!$IK$3:$IK$200,0),COUNTIF(ID4D!$AE$3:$AE$200,$AO14))</f>
        <v>0</v>
      </c>
      <c r="AU14" s="628">
        <f t="shared" si="6"/>
        <v>0</v>
      </c>
      <c r="AV14" s="628">
        <f>IF($AV$1,COUNTIFS(ID4D!$AZ$3:$AZ$200,$AO14,ID4D!$IK$3:$IK$200,0),COUNTIF(ID4D!$AZ$3:$AZ$200,$AO14))</f>
        <v>0</v>
      </c>
      <c r="AW14" s="628">
        <f t="shared" si="9"/>
        <v>6</v>
      </c>
      <c r="AX14" s="628">
        <f>IF($AV$1,COUNTIFS(ID4D!$BD$3:$BD$200,$AO14,ID4D!$IK$3:$IK$200,0),COUNTIF(ID4D!$BD$3:$BD$200,$AO14))</f>
        <v>0</v>
      </c>
      <c r="AY14" s="628">
        <f t="shared" si="7"/>
        <v>12</v>
      </c>
      <c r="AZ14" s="628">
        <f>IF($AV$1,COUNTIFS(ID4D!$AZ$3:$AZ$200,$AO14,ID4D!$BB$3:$BB$200,2,ID4D!$IK$3:$IK$200,0),COUNTIFS(ID4D!$AZ$3:$AZ$200,$AO14,ID4D!$BB$3:$BB$200,2))</f>
        <v>0</v>
      </c>
      <c r="BA14" s="628">
        <f t="shared" si="10"/>
        <v>2</v>
      </c>
      <c r="BB14" s="628">
        <f>IF($AV$1,COUNTIFS(ID4D!$AU$3:$AU$200,$AO14,ID4D!$AS$3:$AS$200,2,ID4D!$IK$3:$IK$200,0),COUNTIFS(ID4D!$AU$3:$AU$200,$AO14,ID4D!$AS$3:$AS$200,2))</f>
        <v>0</v>
      </c>
      <c r="BC14" s="628">
        <f t="shared" si="11"/>
        <v>0</v>
      </c>
      <c r="BD14" s="628">
        <f>IF($AV$1,COUNTIFS(ID4D!$HM$3:$HM$200,$AO14,ID4D!$IK$3:$IK$200,0),COUNTIF(ID4D!$HM$3:$HM$200,$AO14))</f>
        <v>0</v>
      </c>
      <c r="BE14" s="628">
        <f t="shared" si="12"/>
        <v>0</v>
      </c>
      <c r="BF14" s="628">
        <f>IF($AV$1,COUNTIFS(ID4D!$HU$3:$HU$200,$AO14,ID4D!$IK$3:$IK$200,0),COUNTIF(ID4D!$HU$3:$HU$200,$AO14))</f>
        <v>3</v>
      </c>
      <c r="BG14" s="628">
        <f t="shared" si="13"/>
        <v>13</v>
      </c>
      <c r="BU14" s="49">
        <v>1</v>
      </c>
      <c r="BV14" t="s">
        <v>4621</v>
      </c>
      <c r="CE14" s="624"/>
      <c r="CF14" s="625" t="s">
        <v>4570</v>
      </c>
      <c r="CG14" s="46">
        <f>VLOOKUP($CL$11,$CV$4:$DE$16,2,FALSE)</f>
        <v>1</v>
      </c>
      <c r="CH14" t="str">
        <f>VLOOKUP($CL$11,$CV$4:$DE$16,10,FALSE)</f>
        <v>Birth registration is mandatory?</v>
      </c>
      <c r="CV14" s="620">
        <v>11</v>
      </c>
      <c r="CW14" s="650">
        <v>11</v>
      </c>
      <c r="CX14" s="647">
        <f>COUNTIF(ID4D!$BE$3:$BE$200,CX$3)</f>
        <v>137</v>
      </c>
      <c r="CY14" s="355">
        <f>COUNTIF(ID4D!$BE$3:$BE$200,CY$3)</f>
        <v>31</v>
      </c>
      <c r="CZ14" s="355">
        <f>COUNTIF(ID4D!$BE$3:$BE$200,CZ$3)</f>
        <v>30</v>
      </c>
      <c r="DA14" s="355"/>
      <c r="DB14" s="640"/>
      <c r="DC14" s="10">
        <f t="shared" si="3"/>
        <v>198</v>
      </c>
      <c r="DD14" s="621" t="s">
        <v>458</v>
      </c>
      <c r="DE14" s="354" t="s">
        <v>4576</v>
      </c>
      <c r="DH14" s="650">
        <v>11</v>
      </c>
      <c r="DI14" s="647">
        <f>COUNTIFS(ID4D!$BE$3:$BE$200,DI$3,ID4D!$D$3:$D$200,"&gt;A")</f>
        <v>123</v>
      </c>
      <c r="DJ14" s="355">
        <f>COUNTIFS(ID4D!$BE$3:$BE$200,DJ$3,ID4D!$D$3:$D$200,"&gt;A")</f>
        <v>25</v>
      </c>
      <c r="DK14" s="355">
        <f>COUNTIFS(ID4D!$BE$3:$BE$200,DK$3,ID4D!$D$3:$D$200,"&gt;A")</f>
        <v>20</v>
      </c>
      <c r="DL14" s="355"/>
      <c r="DM14" s="51"/>
      <c r="DN14" s="10">
        <f t="shared" si="4"/>
        <v>168</v>
      </c>
      <c r="DQ14" t="str">
        <f>IF($ED$1,"LMIC (44)","LMIC (50)")</f>
        <v>LMIC (50)</v>
      </c>
      <c r="DR14" s="736">
        <f>DR5</f>
        <v>5</v>
      </c>
      <c r="DS14" s="736">
        <f>DS5+DT5</f>
        <v>9</v>
      </c>
      <c r="DT14" s="736">
        <f>DU5+DV5</f>
        <v>6</v>
      </c>
      <c r="DU14" s="736">
        <f>DW5+DX5</f>
        <v>30</v>
      </c>
    </row>
    <row r="15" spans="2:154">
      <c r="C15" s="354"/>
      <c r="D15" s="354"/>
      <c r="E15" s="354"/>
      <c r="F15" s="354"/>
      <c r="G15" s="354"/>
      <c r="H15" s="354"/>
      <c r="J15" s="354"/>
      <c r="K15" s="434" t="b">
        <v>0</v>
      </c>
      <c r="L15" s="354"/>
      <c r="M15" s="354"/>
      <c r="N15" s="354"/>
      <c r="O15" s="354"/>
      <c r="P15" s="354"/>
      <c r="T15" t="str">
        <f>IF($AV$1,"AFR (45)","AFR (48)")</f>
        <v>AFR (48)</v>
      </c>
      <c r="U15" s="594">
        <f>IF($AV$1,SUMIFS(ID4D!$DS$3:$DS$200, ID4D!$D$3:$D$200,V15,ID4D!$IK$3:$IK$200,0),SUMIF(ID4D!$D$3:$D$200,V15,ID4D!$DS$3:$DS$200))</f>
        <v>93703.235606000002</v>
      </c>
      <c r="V15" s="596" t="s">
        <v>406</v>
      </c>
      <c r="AO15" s="628">
        <v>1971</v>
      </c>
      <c r="AP15" s="628">
        <f>IF($AV$1,COUNTIFS(ID4D!$K$3:$K$200,$AO15,ID4D!$IK$3:$IK$200,0),COUNTIF(ID4D!$K$3:$K$200,$AO15))</f>
        <v>3</v>
      </c>
      <c r="AQ15" s="628">
        <f t="shared" si="8"/>
        <v>153</v>
      </c>
      <c r="AR15" s="628">
        <f>IF($AV$1,COUNTIFS(ID4D!$R$3:$R$200,$AO15,ID4D!$IK$3:$IK$200,0),COUNTIF(ID4D!$R$3:$R$200,$AO15))</f>
        <v>2</v>
      </c>
      <c r="AS15" s="628">
        <f t="shared" si="5"/>
        <v>32</v>
      </c>
      <c r="AT15" s="628">
        <f>IF($AV$1,COUNTIFS(ID4D!$AE$3:$AE$200,$AO15,ID4D!$IK$3:$IK$200,0),COUNTIF(ID4D!$AE$3:$AE$200,$AO15))</f>
        <v>0</v>
      </c>
      <c r="AU15" s="628">
        <f t="shared" si="6"/>
        <v>0</v>
      </c>
      <c r="AV15" s="628">
        <f>IF($AV$1,COUNTIFS(ID4D!$AZ$3:$AZ$200,$AO15,ID4D!$IK$3:$IK$200,0),COUNTIF(ID4D!$AZ$3:$AZ$200,$AO15))</f>
        <v>1</v>
      </c>
      <c r="AW15" s="628">
        <f t="shared" si="9"/>
        <v>7</v>
      </c>
      <c r="AX15" s="628">
        <f>IF($AV$1,COUNTIFS(ID4D!$BD$3:$BD$200,$AO15,ID4D!$IK$3:$IK$200,0),COUNTIF(ID4D!$BD$3:$BD$200,$AO15))</f>
        <v>1</v>
      </c>
      <c r="AY15" s="628">
        <f t="shared" si="7"/>
        <v>13</v>
      </c>
      <c r="AZ15" s="628">
        <f>IF($AV$1,COUNTIFS(ID4D!$AZ$3:$AZ$200,$AO15,ID4D!$BB$3:$BB$200,2,ID4D!$IK$3:$IK$200,0),COUNTIFS(ID4D!$AZ$3:$AZ$200,$AO15,ID4D!$BB$3:$BB$200,2))</f>
        <v>1</v>
      </c>
      <c r="BA15" s="628">
        <f t="shared" si="10"/>
        <v>3</v>
      </c>
      <c r="BB15" s="628">
        <f>IF($AV$1,COUNTIFS(ID4D!$AU$3:$AU$200,$AO15,ID4D!$AS$3:$AS$200,2,ID4D!$IK$3:$IK$200,0),COUNTIFS(ID4D!$AU$3:$AU$200,$AO15,ID4D!$AS$3:$AS$200,2))</f>
        <v>0</v>
      </c>
      <c r="BC15" s="628">
        <f t="shared" si="11"/>
        <v>0</v>
      </c>
      <c r="BD15" s="628">
        <f>IF($AV$1,COUNTIFS(ID4D!$HM$3:$HM$200,$AO15,ID4D!$IK$3:$IK$200,0),COUNTIF(ID4D!$HM$3:$HM$200,$AO15))</f>
        <v>0</v>
      </c>
      <c r="BE15" s="628">
        <f t="shared" si="12"/>
        <v>0</v>
      </c>
      <c r="BF15" s="628">
        <f>IF($AV$1,COUNTIFS(ID4D!$HU$3:$HU$200,$AO15,ID4D!$IK$3:$IK$200,0),COUNTIF(ID4D!$HU$3:$HU$200,$AO15))</f>
        <v>0</v>
      </c>
      <c r="BG15" s="628">
        <f t="shared" si="13"/>
        <v>13</v>
      </c>
      <c r="BU15" s="49">
        <v>2</v>
      </c>
      <c r="BV15" t="s">
        <v>4622</v>
      </c>
      <c r="CV15" s="620">
        <v>12</v>
      </c>
      <c r="CW15" s="650">
        <v>12</v>
      </c>
      <c r="CX15" s="647">
        <f>COUNTIF(ID4D!$BI$3:$BI$200,CX$3)</f>
        <v>83</v>
      </c>
      <c r="CY15" s="355">
        <f>COUNTIF(ID4D!$BI$3:$BI$200,CY$3)</f>
        <v>15</v>
      </c>
      <c r="CZ15" s="355">
        <f>COUNTIF(ID4D!$BI$3:$BI$200,CZ$3)</f>
        <v>19</v>
      </c>
      <c r="DA15" s="355">
        <f>COUNTIF(ID4D!$BI$3:$BI$200,DA$3)</f>
        <v>81</v>
      </c>
      <c r="DB15" s="640"/>
      <c r="DC15" s="10">
        <f t="shared" ref="DC15:DC16" si="20">SUM(CX15:DB15)</f>
        <v>198</v>
      </c>
      <c r="DD15" s="620" t="s">
        <v>460</v>
      </c>
      <c r="DE15" s="354" t="s">
        <v>5460</v>
      </c>
      <c r="DH15" s="650">
        <v>12</v>
      </c>
      <c r="DI15" s="647">
        <f>COUNTIFS(ID4D!$BI$3:$BI$200,DI$3,ID4D!$D$3:$D$200,"&gt;A")</f>
        <v>80</v>
      </c>
      <c r="DJ15" s="355">
        <f>COUNTIFS(ID4D!$BI$3:$BI$200,DJ$3,ID4D!$D$3:$D$200,"&gt;A")</f>
        <v>15</v>
      </c>
      <c r="DK15" s="355">
        <f>COUNTIFS(ID4D!$BI$3:$BI$200,DK$3,ID4D!$D$3:$D$200,"&gt;A")</f>
        <v>19</v>
      </c>
      <c r="DL15" s="355">
        <f>COUNTIFS(ID4D!$BI$3:$BI$200,DL$3,ID4D!$D$3:$D$200,"&gt;A")</f>
        <v>54</v>
      </c>
      <c r="DM15" s="51"/>
      <c r="DN15" s="10">
        <f t="shared" ref="DN15:DN16" si="21">SUM(DI15:DM15)</f>
        <v>168</v>
      </c>
      <c r="DQ15" t="str">
        <f>IF($ED$1,"UMIC (43)","UMIC (55)")</f>
        <v>UMIC (55)</v>
      </c>
      <c r="DR15" s="736">
        <f>DR6</f>
        <v>4</v>
      </c>
      <c r="DS15" s="736">
        <f>DS6+DT6</f>
        <v>7</v>
      </c>
      <c r="DT15" s="736">
        <f>DU6+DV6</f>
        <v>10</v>
      </c>
      <c r="DU15" s="736">
        <f>DW6+DX6</f>
        <v>34</v>
      </c>
    </row>
    <row r="16" spans="2:154">
      <c r="B16" s="354"/>
      <c r="C16" s="354"/>
      <c r="D16" s="354"/>
      <c r="E16" s="354"/>
      <c r="F16" s="354"/>
      <c r="G16" s="354"/>
      <c r="H16" s="354"/>
      <c r="I16" s="354"/>
      <c r="J16" s="354"/>
      <c r="K16" s="781"/>
      <c r="L16" s="781"/>
      <c r="M16" s="781"/>
      <c r="N16" s="781"/>
      <c r="O16" s="781"/>
      <c r="P16" s="781"/>
      <c r="T16" t="str">
        <f>IF($AV$1,"EAP (20)","EAP (29)")</f>
        <v>EAP (29)</v>
      </c>
      <c r="U16" s="594">
        <f>IF($AV$1,SUMIFS(ID4D!$DS$3:$DS$200, ID4D!$D$3:$D$200,V16,ID4D!$IK$3:$IK$200,0),SUMIF(ID4D!$D$3:$D$200,V16,ID4D!$DS$3:$DS$200))</f>
        <v>16984.641939000001</v>
      </c>
      <c r="V16" s="596" t="s">
        <v>407</v>
      </c>
      <c r="AO16" s="628">
        <v>1972</v>
      </c>
      <c r="AP16" s="628">
        <f>IF($AV$1,COUNTIFS(ID4D!$K$3:$K$200,$AO16,ID4D!$IK$3:$IK$200,0),COUNTIF(ID4D!$K$3:$K$200,$AO16))</f>
        <v>0</v>
      </c>
      <c r="AQ16" s="628">
        <f t="shared" si="8"/>
        <v>153</v>
      </c>
      <c r="AR16" s="628">
        <f>IF($AV$1,COUNTIFS(ID4D!$R$3:$R$200,$AO16,ID4D!$IK$3:$IK$200,0),COUNTIF(ID4D!$R$3:$R$200,$AO16))</f>
        <v>1</v>
      </c>
      <c r="AS16" s="628">
        <f t="shared" si="5"/>
        <v>33</v>
      </c>
      <c r="AT16" s="628">
        <f>IF($AV$1,COUNTIFS(ID4D!$AE$3:$AE$200,$AO16,ID4D!$IK$3:$IK$200,0),COUNTIF(ID4D!$AE$3:$AE$200,$AO16))</f>
        <v>0</v>
      </c>
      <c r="AU16" s="628">
        <f t="shared" si="6"/>
        <v>0</v>
      </c>
      <c r="AV16" s="628">
        <f>IF($AV$1,COUNTIFS(ID4D!$AZ$3:$AZ$200,$AO16,ID4D!$IK$3:$IK$200,0),COUNTIF(ID4D!$AZ$3:$AZ$200,$AO16))</f>
        <v>1</v>
      </c>
      <c r="AW16" s="628">
        <f t="shared" si="9"/>
        <v>8</v>
      </c>
      <c r="AX16" s="628">
        <f>IF($AV$1,COUNTIFS(ID4D!$BD$3:$BD$200,$AO16,ID4D!$IK$3:$IK$200,0),COUNTIF(ID4D!$BD$3:$BD$200,$AO16))</f>
        <v>0</v>
      </c>
      <c r="AY16" s="628">
        <f t="shared" si="7"/>
        <v>13</v>
      </c>
      <c r="AZ16" s="628">
        <f>IF($AV$1,COUNTIFS(ID4D!$AZ$3:$AZ$200,$AO16,ID4D!$BB$3:$BB$200,2,ID4D!$IK$3:$IK$200,0),COUNTIFS(ID4D!$AZ$3:$AZ$200,$AO16,ID4D!$BB$3:$BB$200,2))</f>
        <v>0</v>
      </c>
      <c r="BA16" s="628">
        <f t="shared" si="10"/>
        <v>3</v>
      </c>
      <c r="BB16" s="628">
        <f>IF($AV$1,COUNTIFS(ID4D!$AU$3:$AU$200,$AO16,ID4D!$AS$3:$AS$200,2,ID4D!$IK$3:$IK$200,0),COUNTIFS(ID4D!$AU$3:$AU$200,$AO16,ID4D!$AS$3:$AS$200,2))</f>
        <v>0</v>
      </c>
      <c r="BC16" s="628">
        <f t="shared" si="11"/>
        <v>0</v>
      </c>
      <c r="BD16" s="628">
        <f>IF($AV$1,COUNTIFS(ID4D!$HM$3:$HM$200,$AO16,ID4D!$IK$3:$IK$200,0),COUNTIF(ID4D!$HM$3:$HM$200,$AO16))</f>
        <v>0</v>
      </c>
      <c r="BE16" s="628">
        <f t="shared" si="12"/>
        <v>0</v>
      </c>
      <c r="BF16" s="628">
        <f>IF($AV$1,COUNTIFS(ID4D!$HU$3:$HU$200,$AO16,ID4D!$IK$3:$IK$200,0),COUNTIF(ID4D!$HU$3:$HU$200,$AO16))</f>
        <v>0</v>
      </c>
      <c r="BG16" s="628">
        <f t="shared" si="13"/>
        <v>13</v>
      </c>
      <c r="BU16" s="49">
        <v>3</v>
      </c>
      <c r="BV16" t="s">
        <v>980</v>
      </c>
      <c r="CV16" s="620">
        <v>13</v>
      </c>
      <c r="CW16" s="813">
        <v>13</v>
      </c>
      <c r="CX16" s="814">
        <f>COUNTIF(ID4D!$BJ$3:$BJ$200,CX$3)</f>
        <v>78</v>
      </c>
      <c r="CY16" s="815">
        <f>COUNTIF(ID4D!$BJ$3:$BJ$200,CY$3)</f>
        <v>120</v>
      </c>
      <c r="CZ16" s="815"/>
      <c r="DA16" s="815"/>
      <c r="DB16" s="816"/>
      <c r="DC16" s="19">
        <f t="shared" si="20"/>
        <v>198</v>
      </c>
      <c r="DD16" s="812" t="s">
        <v>445</v>
      </c>
      <c r="DE16" s="354" t="s">
        <v>5461</v>
      </c>
      <c r="DH16" s="813">
        <v>13</v>
      </c>
      <c r="DI16" s="814">
        <f>COUNTIFS(ID4D!$BJ$3:$BJ$200,DI$3,ID4D!$D$3:$D$200,"&gt;A")</f>
        <v>71</v>
      </c>
      <c r="DJ16" s="815">
        <f>COUNTIFS(ID4D!$BJ$3:$BJ$200,DJ$3,ID4D!$D$3:$D$200,"&gt;A")</f>
        <v>97</v>
      </c>
      <c r="DK16" s="815"/>
      <c r="DL16" s="815"/>
      <c r="DM16" s="817"/>
      <c r="DN16" s="19">
        <f t="shared" si="21"/>
        <v>168</v>
      </c>
      <c r="DQ16" t="str">
        <f>IF($ED$1,"HIC (48)","HIC (59)")</f>
        <v>HIC (59)</v>
      </c>
      <c r="DR16" s="736">
        <f>DR7</f>
        <v>8</v>
      </c>
      <c r="DS16" s="736">
        <f>DS7+DT7</f>
        <v>7</v>
      </c>
      <c r="DT16" s="736">
        <f>DU7+DV7</f>
        <v>15</v>
      </c>
      <c r="DU16" s="736">
        <f>DW7+DX7</f>
        <v>29</v>
      </c>
    </row>
    <row r="17" spans="2:129">
      <c r="E17" s="354"/>
      <c r="G17" s="354"/>
      <c r="H17" s="354"/>
      <c r="I17" s="354"/>
      <c r="J17" s="354"/>
      <c r="K17" s="354"/>
      <c r="L17" s="354"/>
      <c r="M17" s="354"/>
      <c r="N17" s="354"/>
      <c r="O17" s="354"/>
      <c r="P17" s="354"/>
      <c r="T17" t="str">
        <f>IF($AV$1,"ECA (30)","ECA (30)")</f>
        <v>ECA (30)</v>
      </c>
      <c r="U17" s="594">
        <f>IF($AV$1,SUMIFS(ID4D!$DS$3:$DS$200, ID4D!$D$3:$D$200,V17,ID4D!$IK$3:$IK$200,0),SUMIF(ID4D!$D$3:$D$200,V17,ID4D!$DS$3:$DS$200))</f>
        <v>812.25777799999923</v>
      </c>
      <c r="V17" s="596" t="s">
        <v>408</v>
      </c>
      <c r="AO17" s="628">
        <v>1973</v>
      </c>
      <c r="AP17" s="628">
        <f>IF($AV$1,COUNTIFS(ID4D!$K$3:$K$200,$AO17,ID4D!$IK$3:$IK$200,0),COUNTIF(ID4D!$K$3:$K$200,$AO17))</f>
        <v>5</v>
      </c>
      <c r="AQ17" s="628">
        <f t="shared" si="8"/>
        <v>158</v>
      </c>
      <c r="AR17" s="628">
        <f>IF($AV$1,COUNTIFS(ID4D!$R$3:$R$200,$AO17,ID4D!$IK$3:$IK$200,0),COUNTIF(ID4D!$R$3:$R$200,$AO17))</f>
        <v>2</v>
      </c>
      <c r="AS17" s="628">
        <f t="shared" si="5"/>
        <v>35</v>
      </c>
      <c r="AT17" s="628">
        <f>IF($AV$1,COUNTIFS(ID4D!$AE$3:$AE$200,$AO17,ID4D!$IK$3:$IK$200,0),COUNTIF(ID4D!$AE$3:$AE$200,$AO17))</f>
        <v>0</v>
      </c>
      <c r="AU17" s="628">
        <f t="shared" si="6"/>
        <v>0</v>
      </c>
      <c r="AV17" s="628">
        <f>IF($AV$1,COUNTIFS(ID4D!$AZ$3:$AZ$200,$AO17,ID4D!$IK$3:$IK$200,0),COUNTIF(ID4D!$AZ$3:$AZ$200,$AO17))</f>
        <v>0</v>
      </c>
      <c r="AW17" s="628">
        <f t="shared" si="9"/>
        <v>8</v>
      </c>
      <c r="AX17" s="628">
        <f>IF($AV$1,COUNTIFS(ID4D!$BD$3:$BD$200,$AO17,ID4D!$IK$3:$IK$200,0),COUNTIF(ID4D!$BD$3:$BD$200,$AO17))</f>
        <v>1</v>
      </c>
      <c r="AY17" s="628">
        <f t="shared" si="7"/>
        <v>14</v>
      </c>
      <c r="AZ17" s="628">
        <f>IF($AV$1,COUNTIFS(ID4D!$AZ$3:$AZ$200,$AO17,ID4D!$BB$3:$BB$200,2,ID4D!$IK$3:$IK$200,0),COUNTIFS(ID4D!$AZ$3:$AZ$200,$AO17,ID4D!$BB$3:$BB$200,2))</f>
        <v>0</v>
      </c>
      <c r="BA17" s="628">
        <f t="shared" si="10"/>
        <v>3</v>
      </c>
      <c r="BB17" s="628">
        <f>IF($AV$1,COUNTIFS(ID4D!$AU$3:$AU$200,$AO17,ID4D!$AS$3:$AS$200,2,ID4D!$IK$3:$IK$200,0),COUNTIFS(ID4D!$AU$3:$AU$200,$AO17,ID4D!$AS$3:$AS$200,2))</f>
        <v>0</v>
      </c>
      <c r="BC17" s="628">
        <f t="shared" si="11"/>
        <v>0</v>
      </c>
      <c r="BD17" s="628">
        <f>IF($AV$1,COUNTIFS(ID4D!$HM$3:$HM$200,$AO17,ID4D!$IK$3:$IK$200,0),COUNTIF(ID4D!$HM$3:$HM$200,$AO17))</f>
        <v>1</v>
      </c>
      <c r="BE17" s="628">
        <f t="shared" si="12"/>
        <v>1</v>
      </c>
      <c r="BF17" s="628">
        <f>IF($AV$1,COUNTIFS(ID4D!$HU$3:$HU$200,$AO17,ID4D!$IK$3:$IK$200,0),COUNTIF(ID4D!$HU$3:$HU$200,$AO17))</f>
        <v>0</v>
      </c>
      <c r="BG17" s="628">
        <f t="shared" si="13"/>
        <v>13</v>
      </c>
      <c r="BU17" s="49">
        <v>4</v>
      </c>
      <c r="BV17" t="s">
        <v>4623</v>
      </c>
      <c r="CV17" s="620"/>
    </row>
    <row r="18" spans="2:129">
      <c r="B18" s="47" t="s">
        <v>5212</v>
      </c>
      <c r="D18" s="354"/>
      <c r="T18" t="str">
        <f>IF($AV$1,"LCR (23)","LCR (32)")</f>
        <v>LCR (32)</v>
      </c>
      <c r="U18" s="594">
        <f>IF($AV$1,SUMIFS(ID4D!$DS$3:$DS$200, ID4D!$D$3:$D$200,V18,ID4D!$IK$3:$IK$200,0),SUMIF(ID4D!$D$3:$D$200,V18,ID4D!$DS$3:$DS$200))</f>
        <v>4054.1478810000008</v>
      </c>
      <c r="V18" s="596" t="s">
        <v>409</v>
      </c>
      <c r="AO18" s="628">
        <v>1974</v>
      </c>
      <c r="AP18" s="628">
        <f>IF($AV$1,COUNTIFS(ID4D!$K$3:$K$200,$AO18,ID4D!$IK$3:$IK$200,0),COUNTIF(ID4D!$K$3:$K$200,$AO18))</f>
        <v>1</v>
      </c>
      <c r="AQ18" s="628">
        <f t="shared" si="8"/>
        <v>159</v>
      </c>
      <c r="AR18" s="628">
        <f>IF($AV$1,COUNTIFS(ID4D!$R$3:$R$200,$AO18,ID4D!$IK$3:$IK$200,0),COUNTIF(ID4D!$R$3:$R$200,$AO18))</f>
        <v>2</v>
      </c>
      <c r="AS18" s="628">
        <f t="shared" si="5"/>
        <v>37</v>
      </c>
      <c r="AT18" s="628">
        <f>IF($AV$1,COUNTIFS(ID4D!$AE$3:$AE$200,$AO18,ID4D!$IK$3:$IK$200,0),COUNTIF(ID4D!$AE$3:$AE$200,$AO18))</f>
        <v>0</v>
      </c>
      <c r="AU18" s="628">
        <f t="shared" si="6"/>
        <v>0</v>
      </c>
      <c r="AV18" s="628">
        <f>IF($AV$1,COUNTIFS(ID4D!$AZ$3:$AZ$200,$AO18,ID4D!$IK$3:$IK$200,0),COUNTIF(ID4D!$AZ$3:$AZ$200,$AO18))</f>
        <v>0</v>
      </c>
      <c r="AW18" s="628">
        <f t="shared" si="9"/>
        <v>8</v>
      </c>
      <c r="AX18" s="628">
        <f>IF($AV$1,COUNTIFS(ID4D!$BD$3:$BD$200,$AO18,ID4D!$IK$3:$IK$200,0),COUNTIF(ID4D!$BD$3:$BD$200,$AO18))</f>
        <v>2</v>
      </c>
      <c r="AY18" s="628">
        <f t="shared" si="7"/>
        <v>16</v>
      </c>
      <c r="AZ18" s="628">
        <f>IF($AV$1,COUNTIFS(ID4D!$AZ$3:$AZ$200,$AO18,ID4D!$BB$3:$BB$200,2,ID4D!$IK$3:$IK$200,0),COUNTIFS(ID4D!$AZ$3:$AZ$200,$AO18,ID4D!$BB$3:$BB$200,2))</f>
        <v>0</v>
      </c>
      <c r="BA18" s="628">
        <f t="shared" si="10"/>
        <v>3</v>
      </c>
      <c r="BB18" s="628">
        <f>IF($AV$1,COUNTIFS(ID4D!$AU$3:$AU$200,$AO18,ID4D!$AS$3:$AS$200,2,ID4D!$IK$3:$IK$200,0),COUNTIFS(ID4D!$AU$3:$AU$200,$AO18,ID4D!$AS$3:$AS$200,2))</f>
        <v>0</v>
      </c>
      <c r="BC18" s="628">
        <f t="shared" si="11"/>
        <v>0</v>
      </c>
      <c r="BD18" s="628">
        <f>IF($AV$1,COUNTIFS(ID4D!$HM$3:$HM$200,$AO18,ID4D!$IK$3:$IK$200,0),COUNTIF(ID4D!$HM$3:$HM$200,$AO18))</f>
        <v>1</v>
      </c>
      <c r="BE18" s="628">
        <f t="shared" si="12"/>
        <v>2</v>
      </c>
      <c r="BF18" s="628">
        <f>IF($AV$1,COUNTIFS(ID4D!$HU$3:$HU$200,$AO18,ID4D!$IK$3:$IK$200,0),COUNTIF(ID4D!$HU$3:$HU$200,$AO18))</f>
        <v>0</v>
      </c>
      <c r="BG18" s="628">
        <f t="shared" si="13"/>
        <v>13</v>
      </c>
      <c r="BU18" s="49">
        <v>5</v>
      </c>
      <c r="BV18" t="s">
        <v>4624</v>
      </c>
      <c r="CV18" s="620"/>
    </row>
    <row r="19" spans="2:129">
      <c r="B19" s="782" t="s">
        <v>320</v>
      </c>
      <c r="C19" s="498" t="s">
        <v>5203</v>
      </c>
      <c r="F19" s="354"/>
      <c r="T19" t="str">
        <f>IF($AV$1,"MNA (20)","MNA (21)")</f>
        <v>MNA (21)</v>
      </c>
      <c r="U19" s="594">
        <f>IF($AV$1,SUMIFS(ID4D!$DS$3:$DS$200, ID4D!$D$3:$D$200,V19,ID4D!$IK$3:$IK$200,0),SUMIF(ID4D!$D$3:$D$200,V19,ID4D!$DS$3:$DS$200))</f>
        <v>4782.4295949999996</v>
      </c>
      <c r="V19" s="596" t="s">
        <v>410</v>
      </c>
      <c r="AO19" s="628">
        <v>1975</v>
      </c>
      <c r="AP19" s="628">
        <f>IF($AV$1,COUNTIFS(ID4D!$K$3:$K$200,$AO19,ID4D!$IK$3:$IK$200,0),COUNTIF(ID4D!$K$3:$K$200,$AO19))</f>
        <v>3</v>
      </c>
      <c r="AQ19" s="628">
        <f t="shared" si="8"/>
        <v>162</v>
      </c>
      <c r="AR19" s="628">
        <f>IF($AV$1,COUNTIFS(ID4D!$R$3:$R$200,$AO19,ID4D!$IK$3:$IK$200,0),COUNTIF(ID4D!$R$3:$R$200,$AO19))</f>
        <v>2</v>
      </c>
      <c r="AS19" s="628">
        <f t="shared" si="5"/>
        <v>39</v>
      </c>
      <c r="AT19" s="628">
        <f>IF($AV$1,COUNTIFS(ID4D!$AE$3:$AE$200,$AO19,ID4D!$IK$3:$IK$200,0),COUNTIF(ID4D!$AE$3:$AE$200,$AO19))</f>
        <v>0</v>
      </c>
      <c r="AU19" s="628">
        <f t="shared" si="6"/>
        <v>0</v>
      </c>
      <c r="AV19" s="628">
        <f>IF($AV$1,COUNTIFS(ID4D!$AZ$3:$AZ$200,$AO19,ID4D!$IK$3:$IK$200,0),COUNTIF(ID4D!$AZ$3:$AZ$200,$AO19))</f>
        <v>0</v>
      </c>
      <c r="AW19" s="628">
        <f t="shared" si="9"/>
        <v>8</v>
      </c>
      <c r="AX19" s="628">
        <f>IF($AV$1,COUNTIFS(ID4D!$BD$3:$BD$200,$AO19,ID4D!$IK$3:$IK$200,0),COUNTIF(ID4D!$BD$3:$BD$200,$AO19))</f>
        <v>1</v>
      </c>
      <c r="AY19" s="628">
        <f t="shared" si="7"/>
        <v>17</v>
      </c>
      <c r="AZ19" s="628">
        <f>IF($AV$1,COUNTIFS(ID4D!$AZ$3:$AZ$200,$AO19,ID4D!$BB$3:$BB$200,2,ID4D!$IK$3:$IK$200,0),COUNTIFS(ID4D!$AZ$3:$AZ$200,$AO19,ID4D!$BB$3:$BB$200,2))</f>
        <v>0</v>
      </c>
      <c r="BA19" s="628">
        <f t="shared" si="10"/>
        <v>3</v>
      </c>
      <c r="BB19" s="628">
        <f>IF($AV$1,COUNTIFS(ID4D!$AU$3:$AU$200,$AO19,ID4D!$AS$3:$AS$200,2,ID4D!$IK$3:$IK$200,0),COUNTIFS(ID4D!$AU$3:$AU$200,$AO19,ID4D!$AS$3:$AS$200,2))</f>
        <v>0</v>
      </c>
      <c r="BC19" s="628">
        <f t="shared" si="11"/>
        <v>0</v>
      </c>
      <c r="BD19" s="628">
        <f>IF($AV$1,COUNTIFS(ID4D!$HM$3:$HM$200,$AO19,ID4D!$IK$3:$IK$200,0),COUNTIF(ID4D!$HM$3:$HM$200,$AO19))</f>
        <v>0</v>
      </c>
      <c r="BE19" s="628">
        <f t="shared" si="12"/>
        <v>2</v>
      </c>
      <c r="BF19" s="628">
        <f>IF($AV$1,COUNTIFS(ID4D!$HU$3:$HU$200,$AO19,ID4D!$IK$3:$IK$200,0),COUNTIF(ID4D!$HU$3:$HU$200,$AO19))</f>
        <v>0</v>
      </c>
      <c r="BG19" s="628">
        <f t="shared" si="13"/>
        <v>13</v>
      </c>
      <c r="BU19" s="49">
        <v>6</v>
      </c>
      <c r="BV19" t="s">
        <v>4625</v>
      </c>
      <c r="CV19" s="620"/>
      <c r="DQ19" s="53" t="s">
        <v>405</v>
      </c>
      <c r="DR19" s="735" t="s">
        <v>5183</v>
      </c>
      <c r="DS19" s="735" t="s">
        <v>5177</v>
      </c>
      <c r="DT19" s="735" t="s">
        <v>5178</v>
      </c>
      <c r="DU19" s="735" t="s">
        <v>5179</v>
      </c>
      <c r="DV19" s="735" t="s">
        <v>5180</v>
      </c>
      <c r="DW19" s="735" t="s">
        <v>5181</v>
      </c>
      <c r="DX19" s="735" t="s">
        <v>5182</v>
      </c>
    </row>
    <row r="20" spans="2:129">
      <c r="B20" s="782" t="s">
        <v>322</v>
      </c>
      <c r="C20" s="498" t="s">
        <v>5204</v>
      </c>
      <c r="T20" t="str">
        <f>IF($AV$1,"SAR (7)","SAR (8)")</f>
        <v>SAR (8)</v>
      </c>
      <c r="U20" s="594">
        <f>IF($AV$1,SUMIFS(ID4D!$DS$3:$DS$200, ID4D!$D$3:$D$200,V20,ID4D!$IK$3:$IK$200,0),SUMIF(ID4D!$D$3:$D$200,V20,ID4D!$DS$3:$DS$200))</f>
        <v>52088.125120000012</v>
      </c>
      <c r="V20" s="596" t="s">
        <v>411</v>
      </c>
      <c r="AO20" s="628">
        <v>1976</v>
      </c>
      <c r="AP20" s="628">
        <f>IF($AV$1,COUNTIFS(ID4D!$K$3:$K$200,$AO20,ID4D!$IK$3:$IK$200,0),COUNTIF(ID4D!$K$3:$K$200,$AO20))</f>
        <v>1</v>
      </c>
      <c r="AQ20" s="628">
        <f t="shared" si="8"/>
        <v>163</v>
      </c>
      <c r="AR20" s="628">
        <f>IF($AV$1,COUNTIFS(ID4D!$R$3:$R$200,$AO20,ID4D!$IK$3:$IK$200,0),COUNTIF(ID4D!$R$3:$R$200,$AO20))</f>
        <v>1</v>
      </c>
      <c r="AS20" s="628">
        <f t="shared" si="5"/>
        <v>40</v>
      </c>
      <c r="AT20" s="628">
        <f>IF($AV$1,COUNTIFS(ID4D!$AE$3:$AE$200,$AO20,ID4D!$IK$3:$IK$200,0),COUNTIF(ID4D!$AE$3:$AE$200,$AO20))</f>
        <v>0</v>
      </c>
      <c r="AU20" s="628">
        <f t="shared" si="6"/>
        <v>0</v>
      </c>
      <c r="AV20" s="628">
        <f>IF($AV$1,COUNTIFS(ID4D!$AZ$3:$AZ$200,$AO20,ID4D!$IK$3:$IK$200,0),COUNTIF(ID4D!$AZ$3:$AZ$200,$AO20))</f>
        <v>0</v>
      </c>
      <c r="AW20" s="628">
        <f t="shared" si="9"/>
        <v>8</v>
      </c>
      <c r="AX20" s="628">
        <f>IF($AV$1,COUNTIFS(ID4D!$BD$3:$BD$200,$AO20,ID4D!$IK$3:$IK$200,0),COUNTIF(ID4D!$BD$3:$BD$200,$AO20))</f>
        <v>2</v>
      </c>
      <c r="AY20" s="628">
        <f t="shared" si="7"/>
        <v>19</v>
      </c>
      <c r="AZ20" s="628">
        <f>IF($AV$1,COUNTIFS(ID4D!$AZ$3:$AZ$200,$AO20,ID4D!$BB$3:$BB$200,2,ID4D!$IK$3:$IK$200,0),COUNTIFS(ID4D!$AZ$3:$AZ$200,$AO20,ID4D!$BB$3:$BB$200,2))</f>
        <v>0</v>
      </c>
      <c r="BA20" s="628">
        <f t="shared" si="10"/>
        <v>3</v>
      </c>
      <c r="BB20" s="628">
        <f>IF($AV$1,COUNTIFS(ID4D!$AU$3:$AU$200,$AO20,ID4D!$AS$3:$AS$200,2,ID4D!$IK$3:$IK$200,0),COUNTIFS(ID4D!$AU$3:$AU$200,$AO20,ID4D!$AS$3:$AS$200,2))</f>
        <v>0</v>
      </c>
      <c r="BC20" s="628">
        <f t="shared" si="11"/>
        <v>0</v>
      </c>
      <c r="BD20" s="628">
        <f>IF($AV$1,COUNTIFS(ID4D!$HM$3:$HM$200,$AO20,ID4D!$IK$3:$IK$200,0),COUNTIF(ID4D!$HM$3:$HM$200,$AO20))</f>
        <v>0</v>
      </c>
      <c r="BE20" s="628">
        <f t="shared" si="12"/>
        <v>2</v>
      </c>
      <c r="BF20" s="628">
        <f>IF($AV$1,COUNTIFS(ID4D!$HU$3:$HU$200,$AO20,ID4D!$IK$3:$IK$200,0),COUNTIF(ID4D!$HU$3:$HU$200,$AO20))</f>
        <v>0</v>
      </c>
      <c r="BG20" s="628">
        <f t="shared" si="13"/>
        <v>13</v>
      </c>
      <c r="CV20" s="620"/>
      <c r="DQ20" t="s">
        <v>406</v>
      </c>
      <c r="DR20" s="736">
        <f>IF($ED$1,COUNTIFS(ID4D!$D$3:$D$200,$DQ20,ID4D!$AG$3:$AG$200,0,ID4D!$IK$3:$IK$200,0),COUNTIFS(ID4D!$D$3:$D$200,$DQ20,ID4D!$AG$3:$AG$200,0))</f>
        <v>1</v>
      </c>
      <c r="DS20" s="736">
        <f>IF($ED$1,COUNTIFS(ID4D!$D$3:$D$200,$DQ20,ID4D!$AG$3:$AG$200,1,ID4D!$U$3:$U$200,2,ID4D!$IK$3:$IK$200,0),COUNTIFS(ID4D!$D$3:$D$200,$DQ20,ID4D!$AG$3:$AG$200,1,ID4D!$U$3:$U$200,2))</f>
        <v>10</v>
      </c>
      <c r="DT20" s="736">
        <f>IF($ED$1,COUNTIFS(ID4D!$D$3:$D$200,$DQ20,ID4D!$AG$3:$AG$200,1,ID4D!$U$3:$U$200,1,ID4D!$IK$3:$IK$200,0),COUNTIFS(ID4D!$D$3:$D$200,$DQ20,ID4D!$AG$3:$AG$200,1,ID4D!$U$3:$U$200,1))</f>
        <v>2</v>
      </c>
      <c r="DU20" s="736">
        <f>IF($ED$1,COUNTIFS(ID4D!$D$3:$D$200,$DQ20,ID4D!$AG$3:$AG$200,"&gt;1",ID4D!$U$3:$U$200,2,ID4D!$IK$3:$IK$200,0),COUNTIFS(ID4D!$D$3:$D$200,$DQ20,ID4D!$AG$3:$AG$200,"&gt;1",ID4D!$U$3:$U$200,2))</f>
        <v>4</v>
      </c>
      <c r="DV20" s="736">
        <f>IF($ED$1,COUNTIFS(ID4D!$D$3:$D$200,$DQ20,ID4D!$AG$3:$AG$200,"&gt;1",ID4D!$U$3:$U$200,1,ID4D!$IK$3:$IK$200,0),COUNTIFS(ID4D!$D$3:$D$200,$DQ20,ID4D!$AG$3:$AG$200,"&gt;1",ID4D!$U$3:$U$200,1))</f>
        <v>0</v>
      </c>
      <c r="DW20" s="736">
        <f>IF($ED$1,COUNTIFS(ID4D!$D$3:$D$200,$DQ20,ID4D!$AG$3:$AG$200,"2B",ID4D!$U$3:$U$200,2,ID4D!$IK$3:$IK$200,0)+COUNTIFS(ID4D!$D$3:$D$200,$DQ20,ID4D!$AG$3:$AG$200,"3B",ID4D!$U$3:$U$200,2,ID4D!$IK$3:$IK$200,0)+COUNTIFS(ID4D!$D$3:$D$200,$DQ20,ID4D!$AG$3:$AG$200,"4B",ID4D!$U$3:$U$200,2,ID4D!$IK$3:$IK$200,0), COUNTIFS(ID4D!$D$3:$D$200,$DQ20,ID4D!$AG$3:$AG$200,"2B",ID4D!$U$3:$U$200,2)+COUNTIFS(ID4D!$D$3:$D$200,$DQ20,ID4D!$AG$3:$AG$200,"3B",ID4D!$U$3:$U$200,2)+COUNTIFS(ID4D!$D$3:$D$200,$DQ20,ID4D!$AG$3:$AG$200,"4B",ID4D!$U$3:$U$200,2))</f>
        <v>29</v>
      </c>
      <c r="DX20" s="736">
        <f>IF($ED$1,COUNTIFS(ID4D!$D$3:$D$200,$DQ20,ID4D!$AG$3:$AG$200,"2B",ID4D!$U$3:$U$200,1,ID4D!$IK$3:$IK$200,0)+COUNTIFS(ID4D!$D$3:$D$200,$DQ20,ID4D!$AG$3:$AG$200,"3B",ID4D!$U$3:$U$200,1,ID4D!$IK$3:$IK$200,0)+COUNTIFS(ID4D!$D$3:$D$200,$DQ20,ID4D!$AG$3:$AG$200,"4B",ID4D!$U$3:$U$200,1,ID4D!$IK$3:$IK$200,0), COUNTIFS(ID4D!$D$3:$D$200,$DQ20,ID4D!$AG$3:$AG$200,"2B",ID4D!$U$3:$U$200,1)+COUNTIFS(ID4D!$D$3:$D$200,$DQ20,ID4D!$AG$3:$AG$200,"3B",ID4D!$U$3:$U$200,1)+COUNTIFS(ID4D!$D$3:$D$200,$DQ20,ID4D!$AG$3:$AG$200,"4B",ID4D!$U$3:$U$200,1))</f>
        <v>2</v>
      </c>
      <c r="DY20" s="596" t="s">
        <v>9</v>
      </c>
    </row>
    <row r="21" spans="2:129">
      <c r="B21" s="782" t="s">
        <v>323</v>
      </c>
      <c r="C21" s="498" t="s">
        <v>5205</v>
      </c>
      <c r="U21" s="435"/>
      <c r="AO21" s="628">
        <v>1977</v>
      </c>
      <c r="AP21" s="628">
        <f>IF($AV$1,COUNTIFS(ID4D!$K$3:$K$200,$AO21,ID4D!$IK$3:$IK$200,0),COUNTIF(ID4D!$K$3:$K$200,$AO21))</f>
        <v>1</v>
      </c>
      <c r="AQ21" s="628">
        <f t="shared" si="8"/>
        <v>164</v>
      </c>
      <c r="AR21" s="628">
        <f>IF($AV$1,COUNTIFS(ID4D!$R$3:$R$200,$AO21,ID4D!$IK$3:$IK$200,0),COUNTIF(ID4D!$R$3:$R$200,$AO21))</f>
        <v>0</v>
      </c>
      <c r="AS21" s="628">
        <f t="shared" si="5"/>
        <v>40</v>
      </c>
      <c r="AT21" s="628">
        <f>IF($AV$1,COUNTIFS(ID4D!$AE$3:$AE$200,$AO21,ID4D!$IK$3:$IK$200,0),COUNTIF(ID4D!$AE$3:$AE$200,$AO21))</f>
        <v>0</v>
      </c>
      <c r="AU21" s="628">
        <f t="shared" si="6"/>
        <v>0</v>
      </c>
      <c r="AV21" s="628">
        <f>IF($AV$1,COUNTIFS(ID4D!$AZ$3:$AZ$200,$AO21,ID4D!$IK$3:$IK$200,0),COUNTIF(ID4D!$AZ$3:$AZ$200,$AO21))</f>
        <v>1</v>
      </c>
      <c r="AW21" s="628">
        <f t="shared" si="9"/>
        <v>9</v>
      </c>
      <c r="AX21" s="628">
        <f>IF($AV$1,COUNTIFS(ID4D!$BD$3:$BD$200,$AO21,ID4D!$IK$3:$IK$200,0),COUNTIF(ID4D!$BD$3:$BD$200,$AO21))</f>
        <v>2</v>
      </c>
      <c r="AY21" s="628">
        <f t="shared" si="7"/>
        <v>21</v>
      </c>
      <c r="AZ21" s="628">
        <f>IF($AV$1,COUNTIFS(ID4D!$AZ$3:$AZ$200,$AO21,ID4D!$BB$3:$BB$200,2,ID4D!$IK$3:$IK$200,0),COUNTIFS(ID4D!$AZ$3:$AZ$200,$AO21,ID4D!$BB$3:$BB$200,2))</f>
        <v>0</v>
      </c>
      <c r="BA21" s="628">
        <f t="shared" si="10"/>
        <v>3</v>
      </c>
      <c r="BB21" s="628">
        <f>IF($AV$1,COUNTIFS(ID4D!$AU$3:$AU$200,$AO21,ID4D!$AS$3:$AS$200,2,ID4D!$IK$3:$IK$200,0),COUNTIFS(ID4D!$AU$3:$AU$200,$AO21,ID4D!$AS$3:$AS$200,2))</f>
        <v>0</v>
      </c>
      <c r="BC21" s="628">
        <f t="shared" si="11"/>
        <v>0</v>
      </c>
      <c r="BD21" s="628">
        <f>IF($AV$1,COUNTIFS(ID4D!$HM$3:$HM$200,$AO21,ID4D!$IK$3:$IK$200,0),COUNTIF(ID4D!$HM$3:$HM$200,$AO21))</f>
        <v>1</v>
      </c>
      <c r="BE21" s="628">
        <f t="shared" si="12"/>
        <v>3</v>
      </c>
      <c r="BF21" s="628">
        <f>IF($AV$1,COUNTIFS(ID4D!$HU$3:$HU$200,$AO21,ID4D!$IK$3:$IK$200,0),COUNTIF(ID4D!$HU$3:$HU$200,$AO21))</f>
        <v>0</v>
      </c>
      <c r="BG21" s="628">
        <f t="shared" si="13"/>
        <v>13</v>
      </c>
      <c r="CV21" s="620"/>
      <c r="DQ21" t="s">
        <v>407</v>
      </c>
      <c r="DR21" s="736">
        <f>IF($ED$1,COUNTIFS(ID4D!$D$3:$D$200,$DQ21,ID4D!$AG$3:$AG$200,0,ID4D!$IK$3:$IK$200,0),COUNTIFS(ID4D!$D$3:$D$200,$DQ21,ID4D!$AG$3:$AG$200,0))</f>
        <v>7</v>
      </c>
      <c r="DS21" s="736">
        <f>IF($ED$1,COUNTIFS(ID4D!$D$3:$D$200,$DQ21,ID4D!$AG$3:$AG$200,1,ID4D!$U$3:$U$200,2,ID4D!$IK$3:$IK$200,0),COUNTIFS(ID4D!$D$3:$D$200,$DQ21,ID4D!$AG$3:$AG$200,1,ID4D!$U$3:$U$200,2))</f>
        <v>6</v>
      </c>
      <c r="DT21" s="736">
        <f>IF($ED$1,COUNTIFS(ID4D!$D$3:$D$200,$DQ21,ID4D!$AG$3:$AG$200,1,ID4D!$U$3:$U$200,1,ID4D!$IK$3:$IK$200,0),COUNTIFS(ID4D!$D$3:$D$200,$DQ21,ID4D!$AG$3:$AG$200,1,ID4D!$U$3:$U$200,1))</f>
        <v>2</v>
      </c>
      <c r="DU21" s="736">
        <f>IF($ED$1,COUNTIFS(ID4D!$D$3:$D$200,$DQ21,ID4D!$AG$3:$AG$200,"&gt;1",ID4D!$U$3:$U$200,2,ID4D!$IK$3:$IK$200,0),COUNTIFS(ID4D!$D$3:$D$200,$DQ21,ID4D!$AG$3:$AG$200,"&gt;1",ID4D!$U$3:$U$200,2))</f>
        <v>1</v>
      </c>
      <c r="DV21" s="736">
        <f>IF($ED$1,COUNTIFS(ID4D!$D$3:$D$200,$DQ21,ID4D!$AG$3:$AG$200,"&gt;1",ID4D!$U$3:$U$200,1,ID4D!$IK$3:$IK$200,0),COUNTIFS(ID4D!$D$3:$D$200,$DQ21,ID4D!$AG$3:$AG$200,"&gt;1",ID4D!$U$3:$U$200,1))</f>
        <v>0</v>
      </c>
      <c r="DW21" s="736">
        <f>IF($ED$1,COUNTIFS(ID4D!$D$3:$D$200,$DQ21,ID4D!$AG$3:$AG$200,"2B",ID4D!$U$3:$U$200,2,ID4D!$IK$3:$IK$200,0)+COUNTIFS(ID4D!$D$3:$D$200,$DQ21,ID4D!$AG$3:$AG$200,"3B",ID4D!$U$3:$U$200,2,ID4D!$IK$3:$IK$200,0)+COUNTIFS(ID4D!$D$3:$D$200,$DQ21,ID4D!$AG$3:$AG$200,"4B",ID4D!$U$3:$U$200,2,ID4D!$IK$3:$IK$200,0), COUNTIFS(ID4D!$D$3:$D$200,$DQ21,ID4D!$AG$3:$AG$200,"2B",ID4D!$U$3:$U$200,2)+COUNTIFS(ID4D!$D$3:$D$200,$DQ21,ID4D!$AG$3:$AG$200,"3B",ID4D!$U$3:$U$200,2)+COUNTIFS(ID4D!$D$3:$D$200,$DQ21,ID4D!$AG$3:$AG$200,"4B",ID4D!$U$3:$U$200,2))</f>
        <v>11</v>
      </c>
      <c r="DX21" s="736">
        <f>IF($ED$1,COUNTIFS(ID4D!$D$3:$D$200,$DQ21,ID4D!$AG$3:$AG$200,"2B",ID4D!$U$3:$U$200,1,ID4D!$IK$3:$IK$200,0)+COUNTIFS(ID4D!$D$3:$D$200,$DQ21,ID4D!$AG$3:$AG$200,"3B",ID4D!$U$3:$U$200,1,ID4D!$IK$3:$IK$200,0)+COUNTIFS(ID4D!$D$3:$D$200,$DQ21,ID4D!$AG$3:$AG$200,"4B",ID4D!$U$3:$U$200,1,ID4D!$IK$3:$IK$200,0), COUNTIFS(ID4D!$D$3:$D$200,$DQ21,ID4D!$AG$3:$AG$200,"2B",ID4D!$U$3:$U$200,1)+COUNTIFS(ID4D!$D$3:$D$200,$DQ21,ID4D!$AG$3:$AG$200,"3B",ID4D!$U$3:$U$200,1)+COUNTIFS(ID4D!$D$3:$D$200,$DQ21,ID4D!$AG$3:$AG$200,"4B",ID4D!$U$3:$U$200,1))</f>
        <v>2</v>
      </c>
      <c r="DY21" s="596" t="s">
        <v>20</v>
      </c>
    </row>
    <row r="22" spans="2:129">
      <c r="B22" s="782" t="s">
        <v>326</v>
      </c>
      <c r="C22" s="417" t="s">
        <v>5206</v>
      </c>
      <c r="T22" t="str">
        <f>IF($AV$1,"145 countries","168 countries")</f>
        <v>168 countries</v>
      </c>
      <c r="U22" s="435"/>
      <c r="AO22" s="628">
        <v>1978</v>
      </c>
      <c r="AP22" s="628">
        <f>IF($AV$1,COUNTIFS(ID4D!$K$3:$K$200,$AO22,ID4D!$IK$3:$IK$200,0),COUNTIF(ID4D!$K$3:$K$200,$AO22))</f>
        <v>0</v>
      </c>
      <c r="AQ22" s="628">
        <f t="shared" si="8"/>
        <v>164</v>
      </c>
      <c r="AR22" s="628">
        <f>IF($AV$1,COUNTIFS(ID4D!$R$3:$R$200,$AO22,ID4D!$IK$3:$IK$200,0),COUNTIF(ID4D!$R$3:$R$200,$AO22))</f>
        <v>0</v>
      </c>
      <c r="AS22" s="628">
        <f t="shared" si="5"/>
        <v>40</v>
      </c>
      <c r="AT22" s="628">
        <f>IF($AV$1,COUNTIFS(ID4D!$AE$3:$AE$200,$AO22,ID4D!$IK$3:$IK$200,0),COUNTIF(ID4D!$AE$3:$AE$200,$AO22))</f>
        <v>0</v>
      </c>
      <c r="AU22" s="628">
        <f t="shared" si="6"/>
        <v>0</v>
      </c>
      <c r="AV22" s="628">
        <f>IF($AV$1,COUNTIFS(ID4D!$AZ$3:$AZ$200,$AO22,ID4D!$IK$3:$IK$200,0),COUNTIF(ID4D!$AZ$3:$AZ$200,$AO22))</f>
        <v>0</v>
      </c>
      <c r="AW22" s="628">
        <f t="shared" si="9"/>
        <v>9</v>
      </c>
      <c r="AX22" s="628">
        <f>IF($AV$1,COUNTIFS(ID4D!$BD$3:$BD$200,$AO22,ID4D!$IK$3:$IK$200,0),COUNTIF(ID4D!$BD$3:$BD$200,$AO22))</f>
        <v>0</v>
      </c>
      <c r="AY22" s="628">
        <f t="shared" si="7"/>
        <v>21</v>
      </c>
      <c r="AZ22" s="628">
        <f>IF($AV$1,COUNTIFS(ID4D!$AZ$3:$AZ$200,$AO22,ID4D!$BB$3:$BB$200,2,ID4D!$IK$3:$IK$200,0),COUNTIFS(ID4D!$AZ$3:$AZ$200,$AO22,ID4D!$BB$3:$BB$200,2))</f>
        <v>0</v>
      </c>
      <c r="BA22" s="628">
        <f t="shared" si="10"/>
        <v>3</v>
      </c>
      <c r="BB22" s="628">
        <f>IF($AV$1,COUNTIFS(ID4D!$AU$3:$AU$200,$AO22,ID4D!$AS$3:$AS$200,2,ID4D!$IK$3:$IK$200,0),COUNTIFS(ID4D!$AU$3:$AU$200,$AO22,ID4D!$AS$3:$AS$200,2))</f>
        <v>0</v>
      </c>
      <c r="BC22" s="628">
        <f t="shared" si="11"/>
        <v>0</v>
      </c>
      <c r="BD22" s="628">
        <f>IF($AV$1,COUNTIFS(ID4D!$HM$3:$HM$200,$AO22,ID4D!$IK$3:$IK$200,0),COUNTIF(ID4D!$HM$3:$HM$200,$AO22))</f>
        <v>4</v>
      </c>
      <c r="BE22" s="628">
        <f t="shared" si="12"/>
        <v>7</v>
      </c>
      <c r="BF22" s="628">
        <f>IF($AV$1,COUNTIFS(ID4D!$HU$3:$HU$200,$AO22,ID4D!$IK$3:$IK$200,0),COUNTIF(ID4D!$HU$3:$HU$200,$AO22))</f>
        <v>3</v>
      </c>
      <c r="BG22" s="628">
        <f t="shared" si="13"/>
        <v>16</v>
      </c>
      <c r="CV22" s="620"/>
      <c r="DQ22" t="s">
        <v>408</v>
      </c>
      <c r="DR22" s="736">
        <f>IF($ED$1,COUNTIFS(ID4D!$D$3:$D$200,$DQ22,ID4D!$AG$3:$AG$200,0,ID4D!$IK$3:$IK$200,0),COUNTIFS(ID4D!$D$3:$D$200,$DQ22,ID4D!$AG$3:$AG$200,0))</f>
        <v>1</v>
      </c>
      <c r="DS22" s="736">
        <f>IF($ED$1,COUNTIFS(ID4D!$D$3:$D$200,$DQ22,ID4D!$AG$3:$AG$200,1,ID4D!$U$3:$U$200,2,ID4D!$IK$3:$IK$200,0),COUNTIFS(ID4D!$D$3:$D$200,$DQ22,ID4D!$AG$3:$AG$200,1,ID4D!$U$3:$U$200,2))</f>
        <v>1</v>
      </c>
      <c r="DT22" s="736">
        <f>IF($ED$1,COUNTIFS(ID4D!$D$3:$D$200,$DQ22,ID4D!$AG$3:$AG$200,1,ID4D!$U$3:$U$200,1,ID4D!$IK$3:$IK$200,0),COUNTIFS(ID4D!$D$3:$D$200,$DQ22,ID4D!$AG$3:$AG$200,1,ID4D!$U$3:$U$200,1))</f>
        <v>0</v>
      </c>
      <c r="DU22" s="736">
        <f>IF($ED$1,COUNTIFS(ID4D!$D$3:$D$200,$DQ22,ID4D!$AG$3:$AG$200,"&gt;1",ID4D!$U$3:$U$200,2,ID4D!$IK$3:$IK$200,0),COUNTIFS(ID4D!$D$3:$D$200,$DQ22,ID4D!$AG$3:$AG$200,"&gt;1",ID4D!$U$3:$U$200,2))</f>
        <v>13</v>
      </c>
      <c r="DV22" s="736">
        <f>IF($ED$1,COUNTIFS(ID4D!$D$3:$D$200,$DQ22,ID4D!$AG$3:$AG$200,"&gt;1",ID4D!$U$3:$U$200,1,ID4D!$IK$3:$IK$200,0),COUNTIFS(ID4D!$D$3:$D$200,$DQ22,ID4D!$AG$3:$AG$200,"&gt;1",ID4D!$U$3:$U$200,1))</f>
        <v>0</v>
      </c>
      <c r="DW22" s="736">
        <f>IF($ED$1,COUNTIFS(ID4D!$D$3:$D$200,$DQ22,ID4D!$AG$3:$AG$200,"2B",ID4D!$U$3:$U$200,2,ID4D!$IK$3:$IK$200,0)+COUNTIFS(ID4D!$D$3:$D$200,$DQ22,ID4D!$AG$3:$AG$200,"3B",ID4D!$U$3:$U$200,2,ID4D!$IK$3:$IK$200,0)+COUNTIFS(ID4D!$D$3:$D$200,$DQ22,ID4D!$AG$3:$AG$200,"4B",ID4D!$U$3:$U$200,2,ID4D!$IK$3:$IK$200,0), COUNTIFS(ID4D!$D$3:$D$200,$DQ22,ID4D!$AG$3:$AG$200,"2B",ID4D!$U$3:$U$200,2)+COUNTIFS(ID4D!$D$3:$D$200,$DQ22,ID4D!$AG$3:$AG$200,"3B",ID4D!$U$3:$U$200,2)+COUNTIFS(ID4D!$D$3:$D$200,$DQ22,ID4D!$AG$3:$AG$200,"4B",ID4D!$U$3:$U$200,2))</f>
        <v>14</v>
      </c>
      <c r="DX22" s="736">
        <f>IF($ED$1,COUNTIFS(ID4D!$D$3:$D$200,$DQ22,ID4D!$AG$3:$AG$200,"2B",ID4D!$U$3:$U$200,1,ID4D!$IK$3:$IK$200,0)+COUNTIFS(ID4D!$D$3:$D$200,$DQ22,ID4D!$AG$3:$AG$200,"3B",ID4D!$U$3:$U$200,1,ID4D!$IK$3:$IK$200,0)+COUNTIFS(ID4D!$D$3:$D$200,$DQ22,ID4D!$AG$3:$AG$200,"4B",ID4D!$U$3:$U$200,1,ID4D!$IK$3:$IK$200,0), COUNTIFS(ID4D!$D$3:$D$200,$DQ22,ID4D!$AG$3:$AG$200,"2B",ID4D!$U$3:$U$200,1)+COUNTIFS(ID4D!$D$3:$D$200,$DQ22,ID4D!$AG$3:$AG$200,"3B",ID4D!$U$3:$U$200,1)+COUNTIFS(ID4D!$D$3:$D$200,$DQ22,ID4D!$AG$3:$AG$200,"4B",ID4D!$U$3:$U$200,1))</f>
        <v>1</v>
      </c>
      <c r="DY22" s="596" t="s">
        <v>12</v>
      </c>
    </row>
    <row r="23" spans="2:129">
      <c r="T23" t="s">
        <v>4470</v>
      </c>
      <c r="U23" s="594">
        <f>IF($AV$1,SUMIFS(ID4D!$DS$3:$DS$200, ID4D!$D$3:$D$200,"&gt;A",ID4D!$IK$3:$IK$200,0),SUMIF(ID4D!$D$3:$D$200,"&gt;A",ID4D!$DS$3:$DS$200))</f>
        <v>172424.83791899995</v>
      </c>
      <c r="AO23" s="628">
        <v>1979</v>
      </c>
      <c r="AP23" s="628">
        <f>IF($AV$1,COUNTIFS(ID4D!$K$3:$K$200,$AO23,ID4D!$IK$3:$IK$200,0),COUNTIF(ID4D!$K$3:$K$200,$AO23))</f>
        <v>3</v>
      </c>
      <c r="AQ23" s="628">
        <f t="shared" si="8"/>
        <v>167</v>
      </c>
      <c r="AR23" s="628">
        <f>IF($AV$1,COUNTIFS(ID4D!$R$3:$R$200,$AO23,ID4D!$IK$3:$IK$200,0),COUNTIF(ID4D!$R$3:$R$200,$AO23))</f>
        <v>3</v>
      </c>
      <c r="AS23" s="628">
        <f t="shared" si="5"/>
        <v>43</v>
      </c>
      <c r="AT23" s="628">
        <f>IF($AV$1,COUNTIFS(ID4D!$AE$3:$AE$200,$AO23,ID4D!$IK$3:$IK$200,0),COUNTIF(ID4D!$AE$3:$AE$200,$AO23))</f>
        <v>0</v>
      </c>
      <c r="AU23" s="628">
        <f t="shared" si="6"/>
        <v>0</v>
      </c>
      <c r="AV23" s="628">
        <f>IF($AV$1,COUNTIFS(ID4D!$AZ$3:$AZ$200,$AO23,ID4D!$IK$3:$IK$200,0),COUNTIF(ID4D!$AZ$3:$AZ$200,$AO23))</f>
        <v>1</v>
      </c>
      <c r="AW23" s="628">
        <f t="shared" si="9"/>
        <v>10</v>
      </c>
      <c r="AX23" s="628">
        <f>IF($AV$1,COUNTIFS(ID4D!$BD$3:$BD$200,$AO23,ID4D!$IK$3:$IK$200,0),COUNTIF(ID4D!$BD$3:$BD$200,$AO23))</f>
        <v>1</v>
      </c>
      <c r="AY23" s="628">
        <f t="shared" si="7"/>
        <v>22</v>
      </c>
      <c r="AZ23" s="628">
        <f>IF($AV$1,COUNTIFS(ID4D!$AZ$3:$AZ$200,$AO23,ID4D!$BB$3:$BB$200,2,ID4D!$IK$3:$IK$200,0),COUNTIFS(ID4D!$AZ$3:$AZ$200,$AO23,ID4D!$BB$3:$BB$200,2))</f>
        <v>0</v>
      </c>
      <c r="BA23" s="628">
        <f t="shared" si="10"/>
        <v>3</v>
      </c>
      <c r="BB23" s="628">
        <f>IF($AV$1,COUNTIFS(ID4D!$AU$3:$AU$200,$AO23,ID4D!$AS$3:$AS$200,2,ID4D!$IK$3:$IK$200,0),COUNTIFS(ID4D!$AU$3:$AU$200,$AO23,ID4D!$AS$3:$AS$200,2))</f>
        <v>0</v>
      </c>
      <c r="BC23" s="628">
        <f t="shared" si="11"/>
        <v>0</v>
      </c>
      <c r="BD23" s="628">
        <f>IF($AV$1,COUNTIFS(ID4D!$HM$3:$HM$200,$AO23,ID4D!$IK$3:$IK$200,0),COUNTIF(ID4D!$HM$3:$HM$200,$AO23))</f>
        <v>1</v>
      </c>
      <c r="BE23" s="628">
        <f t="shared" si="12"/>
        <v>8</v>
      </c>
      <c r="BF23" s="628">
        <f>IF($AV$1,COUNTIFS(ID4D!$HU$3:$HU$200,$AO23,ID4D!$IK$3:$IK$200,0),COUNTIF(ID4D!$HU$3:$HU$200,$AO23))</f>
        <v>1</v>
      </c>
      <c r="BG23" s="628">
        <f t="shared" si="13"/>
        <v>17</v>
      </c>
      <c r="CV23" s="620"/>
      <c r="DQ23" t="s">
        <v>409</v>
      </c>
      <c r="DR23" s="736">
        <f>IF($ED$1,COUNTIFS(ID4D!$D$3:$D$200,$DQ23,ID4D!$AG$3:$AG$200,0,ID4D!$IK$3:$IK$200,0),COUNTIFS(ID4D!$D$3:$D$200,$DQ23,ID4D!$AG$3:$AG$200,0))</f>
        <v>1</v>
      </c>
      <c r="DS23" s="736">
        <f>IF($ED$1,COUNTIFS(ID4D!$D$3:$D$200,$DQ23,ID4D!$AG$3:$AG$200,1,ID4D!$U$3:$U$200,2,ID4D!$IK$3:$IK$200,0),COUNTIFS(ID4D!$D$3:$D$200,$DQ23,ID4D!$AG$3:$AG$200,1,ID4D!$U$3:$U$200,2))</f>
        <v>3</v>
      </c>
      <c r="DT23" s="736">
        <f>IF($ED$1,COUNTIFS(ID4D!$D$3:$D$200,$DQ23,ID4D!$AG$3:$AG$200,1,ID4D!$U$3:$U$200,1,ID4D!$IK$3:$IK$200,0),COUNTIFS(ID4D!$D$3:$D$200,$DQ23,ID4D!$AG$3:$AG$200,1,ID4D!$U$3:$U$200,1))</f>
        <v>2</v>
      </c>
      <c r="DU23" s="736">
        <f>IF($ED$1,COUNTIFS(ID4D!$D$3:$D$200,$DQ23,ID4D!$AG$3:$AG$200,"&gt;1",ID4D!$U$3:$U$200,2,ID4D!$IK$3:$IK$200,0),COUNTIFS(ID4D!$D$3:$D$200,$DQ23,ID4D!$AG$3:$AG$200,"&gt;1",ID4D!$U$3:$U$200,2))</f>
        <v>6</v>
      </c>
      <c r="DV23" s="736">
        <f>IF($ED$1,COUNTIFS(ID4D!$D$3:$D$200,$DQ23,ID4D!$AG$3:$AG$200,"&gt;1",ID4D!$U$3:$U$200,1,ID4D!$IK$3:$IK$200,0),COUNTIFS(ID4D!$D$3:$D$200,$DQ23,ID4D!$AG$3:$AG$200,"&gt;1",ID4D!$U$3:$U$200,1))</f>
        <v>2</v>
      </c>
      <c r="DW23" s="736">
        <f>IF($ED$1,COUNTIFS(ID4D!$D$3:$D$200,$DQ23,ID4D!$AG$3:$AG$200,"2B",ID4D!$U$3:$U$200,2,ID4D!$IK$3:$IK$200,0)+COUNTIFS(ID4D!$D$3:$D$200,$DQ23,ID4D!$AG$3:$AG$200,"3B",ID4D!$U$3:$U$200,2,ID4D!$IK$3:$IK$200,0)+COUNTIFS(ID4D!$D$3:$D$200,$DQ23,ID4D!$AG$3:$AG$200,"4B",ID4D!$U$3:$U$200,2,ID4D!$IK$3:$IK$200,0), COUNTIFS(ID4D!$D$3:$D$200,$DQ23,ID4D!$AG$3:$AG$200,"2B",ID4D!$U$3:$U$200,2)+COUNTIFS(ID4D!$D$3:$D$200,$DQ23,ID4D!$AG$3:$AG$200,"3B",ID4D!$U$3:$U$200,2)+COUNTIFS(ID4D!$D$3:$D$200,$DQ23,ID4D!$AG$3:$AG$200,"4B",ID4D!$U$3:$U$200,2))</f>
        <v>16</v>
      </c>
      <c r="DX23" s="736">
        <f>IF($ED$1,COUNTIFS(ID4D!$D$3:$D$200,$DQ23,ID4D!$AG$3:$AG$200,"2B",ID4D!$U$3:$U$200,1,ID4D!$IK$3:$IK$200,0)+COUNTIFS(ID4D!$D$3:$D$200,$DQ23,ID4D!$AG$3:$AG$200,"3B",ID4D!$U$3:$U$200,1,ID4D!$IK$3:$IK$200,0)+COUNTIFS(ID4D!$D$3:$D$200,$DQ23,ID4D!$AG$3:$AG$200,"4B",ID4D!$U$3:$U$200,1,ID4D!$IK$3:$IK$200,0), COUNTIFS(ID4D!$D$3:$D$200,$DQ23,ID4D!$AG$3:$AG$200,"2B",ID4D!$U$3:$U$200,1)+COUNTIFS(ID4D!$D$3:$D$200,$DQ23,ID4D!$AG$3:$AG$200,"3B",ID4D!$U$3:$U$200,1)+COUNTIFS(ID4D!$D$3:$D$200,$DQ23,ID4D!$AG$3:$AG$200,"4B",ID4D!$U$3:$U$200,1))</f>
        <v>2</v>
      </c>
      <c r="DY23" s="596" t="s">
        <v>17</v>
      </c>
    </row>
    <row r="24" spans="2:129">
      <c r="AO24" s="628">
        <v>1980</v>
      </c>
      <c r="AP24" s="628">
        <f>IF($AV$1,COUNTIFS(ID4D!$K$3:$K$200,$AO24,ID4D!$IK$3:$IK$200,0),COUNTIF(ID4D!$K$3:$K$200,$AO24))</f>
        <v>1</v>
      </c>
      <c r="AQ24" s="628">
        <f t="shared" si="8"/>
        <v>168</v>
      </c>
      <c r="AR24" s="628">
        <f>IF($AV$1,COUNTIFS(ID4D!$R$3:$R$200,$AO24,ID4D!$IK$3:$IK$200,0),COUNTIF(ID4D!$R$3:$R$200,$AO24))</f>
        <v>3</v>
      </c>
      <c r="AS24" s="628">
        <f t="shared" si="5"/>
        <v>46</v>
      </c>
      <c r="AT24" s="628">
        <f>IF($AV$1,COUNTIFS(ID4D!$AE$3:$AE$200,$AO24,ID4D!$IK$3:$IK$200,0),COUNTIF(ID4D!$AE$3:$AE$200,$AO24))</f>
        <v>0</v>
      </c>
      <c r="AU24" s="628">
        <f t="shared" si="6"/>
        <v>0</v>
      </c>
      <c r="AV24" s="628">
        <f>IF($AV$1,COUNTIFS(ID4D!$AZ$3:$AZ$200,$AO24,ID4D!$IK$3:$IK$200,0),COUNTIF(ID4D!$AZ$3:$AZ$200,$AO24))</f>
        <v>0</v>
      </c>
      <c r="AW24" s="628">
        <f t="shared" si="9"/>
        <v>10</v>
      </c>
      <c r="AX24" s="628">
        <f>IF($AV$1,COUNTIFS(ID4D!$BD$3:$BD$200,$AO24,ID4D!$IK$3:$IK$200,0),COUNTIF(ID4D!$BD$3:$BD$200,$AO24))</f>
        <v>0</v>
      </c>
      <c r="AY24" s="628">
        <f t="shared" si="7"/>
        <v>22</v>
      </c>
      <c r="AZ24" s="628">
        <f>IF($AV$1,COUNTIFS(ID4D!$AZ$3:$AZ$200,$AO24,ID4D!$BB$3:$BB$200,2,ID4D!$IK$3:$IK$200,0),COUNTIFS(ID4D!$AZ$3:$AZ$200,$AO24,ID4D!$BB$3:$BB$200,2))</f>
        <v>0</v>
      </c>
      <c r="BA24" s="628">
        <f t="shared" si="10"/>
        <v>3</v>
      </c>
      <c r="BB24" s="628">
        <f>IF($AV$1,COUNTIFS(ID4D!$AU$3:$AU$200,$AO24,ID4D!$AS$3:$AS$200,2,ID4D!$IK$3:$IK$200,0),COUNTIFS(ID4D!$AU$3:$AU$200,$AO24,ID4D!$AS$3:$AS$200,2))</f>
        <v>0</v>
      </c>
      <c r="BC24" s="628">
        <f t="shared" si="11"/>
        <v>0</v>
      </c>
      <c r="BD24" s="628">
        <f>IF($AV$1,COUNTIFS(ID4D!$HM$3:$HM$200,$AO24,ID4D!$IK$3:$IK$200,0),COUNTIF(ID4D!$HM$3:$HM$200,$AO24))</f>
        <v>0</v>
      </c>
      <c r="BE24" s="628">
        <f t="shared" si="12"/>
        <v>8</v>
      </c>
      <c r="BF24" s="628">
        <f>IF($AV$1,COUNTIFS(ID4D!$HU$3:$HU$200,$AO24,ID4D!$IK$3:$IK$200,0),COUNTIF(ID4D!$HU$3:$HU$200,$AO24))</f>
        <v>0</v>
      </c>
      <c r="BG24" s="628">
        <f t="shared" si="13"/>
        <v>17</v>
      </c>
      <c r="CV24" s="620"/>
      <c r="DQ24" t="s">
        <v>410</v>
      </c>
      <c r="DR24" s="736">
        <f>IF($ED$1,COUNTIFS(ID4D!$D$3:$D$200,$DQ24,ID4D!$AG$3:$AG$200,0,ID4D!$IK$3:$IK$200,0),COUNTIFS(ID4D!$D$3:$D$200,$DQ24,ID4D!$AG$3:$AG$200,0))</f>
        <v>0</v>
      </c>
      <c r="DS24" s="736">
        <f>IF($ED$1,COUNTIFS(ID4D!$D$3:$D$200,$DQ24,ID4D!$AG$3:$AG$200,1,ID4D!$U$3:$U$200,2,ID4D!$IK$3:$IK$200,0),COUNTIFS(ID4D!$D$3:$D$200,$DQ24,ID4D!$AG$3:$AG$200,1,ID4D!$U$3:$U$200,2))</f>
        <v>2</v>
      </c>
      <c r="DT24" s="736">
        <f>IF($ED$1,COUNTIFS(ID4D!$D$3:$D$200,$DQ24,ID4D!$AG$3:$AG$200,1,ID4D!$U$3:$U$200,1,ID4D!$IK$3:$IK$200,0),COUNTIFS(ID4D!$D$3:$D$200,$DQ24,ID4D!$AG$3:$AG$200,1,ID4D!$U$3:$U$200,1))</f>
        <v>1</v>
      </c>
      <c r="DU24" s="736">
        <f>IF($ED$1,COUNTIFS(ID4D!$D$3:$D$200,$DQ24,ID4D!$AG$3:$AG$200,"&gt;1",ID4D!$U$3:$U$200,2,ID4D!$IK$3:$IK$200,0),COUNTIFS(ID4D!$D$3:$D$200,$DQ24,ID4D!$AG$3:$AG$200,"&gt;1",ID4D!$U$3:$U$200,2))</f>
        <v>2</v>
      </c>
      <c r="DV24" s="736">
        <f>IF($ED$1,COUNTIFS(ID4D!$D$3:$D$200,$DQ24,ID4D!$AG$3:$AG$200,"&gt;1",ID4D!$U$3:$U$200,1,ID4D!$IK$3:$IK$200,0),COUNTIFS(ID4D!$D$3:$D$200,$DQ24,ID4D!$AG$3:$AG$200,"&gt;1",ID4D!$U$3:$U$200,1))</f>
        <v>0</v>
      </c>
      <c r="DW24" s="736">
        <f>IF($ED$1,COUNTIFS(ID4D!$D$3:$D$200,$DQ24,ID4D!$AG$3:$AG$200,"2B",ID4D!$U$3:$U$200,2,ID4D!$IK$3:$IK$200,0)+COUNTIFS(ID4D!$D$3:$D$200,$DQ24,ID4D!$AG$3:$AG$200,"3B",ID4D!$U$3:$U$200,2,ID4D!$IK$3:$IK$200,0)+COUNTIFS(ID4D!$D$3:$D$200,$DQ24,ID4D!$AG$3:$AG$200,"4B",ID4D!$U$3:$U$200,2,ID4D!$IK$3:$IK$200,0), COUNTIFS(ID4D!$D$3:$D$200,$DQ24,ID4D!$AG$3:$AG$200,"2B",ID4D!$U$3:$U$200,2)+COUNTIFS(ID4D!$D$3:$D$200,$DQ24,ID4D!$AG$3:$AG$200,"3B",ID4D!$U$3:$U$200,2)+COUNTIFS(ID4D!$D$3:$D$200,$DQ24,ID4D!$AG$3:$AG$200,"4B",ID4D!$U$3:$U$200,2))</f>
        <v>16</v>
      </c>
      <c r="DX24" s="736">
        <f>IF($ED$1,COUNTIFS(ID4D!$D$3:$D$200,$DQ24,ID4D!$AG$3:$AG$200,"2B",ID4D!$U$3:$U$200,1,ID4D!$IK$3:$IK$200,0)+COUNTIFS(ID4D!$D$3:$D$200,$DQ24,ID4D!$AG$3:$AG$200,"3B",ID4D!$U$3:$U$200,1,ID4D!$IK$3:$IK$200,0)+COUNTIFS(ID4D!$D$3:$D$200,$DQ24,ID4D!$AG$3:$AG$200,"4B",ID4D!$U$3:$U$200,1,ID4D!$IK$3:$IK$200,0), COUNTIFS(ID4D!$D$3:$D$200,$DQ24,ID4D!$AG$3:$AG$200,"2B",ID4D!$U$3:$U$200,1)+COUNTIFS(ID4D!$D$3:$D$200,$DQ24,ID4D!$AG$3:$AG$200,"3B",ID4D!$U$3:$U$200,1)+COUNTIFS(ID4D!$D$3:$D$200,$DQ24,ID4D!$AG$3:$AG$200,"4B",ID4D!$U$3:$U$200,1))</f>
        <v>0</v>
      </c>
      <c r="DY24" s="596" t="s">
        <v>12</v>
      </c>
    </row>
    <row r="25" spans="2:129">
      <c r="AO25" s="628">
        <v>1981</v>
      </c>
      <c r="AP25" s="628">
        <f>IF($AV$1,COUNTIFS(ID4D!$K$3:$K$200,$AO25,ID4D!$IK$3:$IK$200,0),COUNTIF(ID4D!$K$3:$K$200,$AO25))</f>
        <v>0</v>
      </c>
      <c r="AQ25" s="628">
        <f t="shared" si="8"/>
        <v>168</v>
      </c>
      <c r="AR25" s="628">
        <f>IF($AV$1,COUNTIFS(ID4D!$R$3:$R$200,$AO25,ID4D!$IK$3:$IK$200,0),COUNTIF(ID4D!$R$3:$R$200,$AO25))</f>
        <v>1</v>
      </c>
      <c r="AS25" s="628">
        <f t="shared" si="5"/>
        <v>47</v>
      </c>
      <c r="AT25" s="628">
        <f>IF($AV$1,COUNTIFS(ID4D!$AE$3:$AE$200,$AO25,ID4D!$IK$3:$IK$200,0),COUNTIF(ID4D!$AE$3:$AE$200,$AO25))</f>
        <v>0</v>
      </c>
      <c r="AU25" s="628">
        <f t="shared" si="6"/>
        <v>0</v>
      </c>
      <c r="AV25" s="628">
        <f>IF($AV$1,COUNTIFS(ID4D!$AZ$3:$AZ$200,$AO25,ID4D!$IK$3:$IK$200,0),COUNTIF(ID4D!$AZ$3:$AZ$200,$AO25))</f>
        <v>0</v>
      </c>
      <c r="AW25" s="628">
        <f t="shared" si="9"/>
        <v>10</v>
      </c>
      <c r="AX25" s="628">
        <f>IF($AV$1,COUNTIFS(ID4D!$BD$3:$BD$200,$AO25,ID4D!$IK$3:$IK$200,0),COUNTIF(ID4D!$BD$3:$BD$200,$AO25))</f>
        <v>1</v>
      </c>
      <c r="AY25" s="628">
        <f t="shared" si="7"/>
        <v>23</v>
      </c>
      <c r="AZ25" s="628">
        <f>IF($AV$1,COUNTIFS(ID4D!$AZ$3:$AZ$200,$AO25,ID4D!$BB$3:$BB$200,2,ID4D!$IK$3:$IK$200,0),COUNTIFS(ID4D!$AZ$3:$AZ$200,$AO25,ID4D!$BB$3:$BB$200,2))</f>
        <v>0</v>
      </c>
      <c r="BA25" s="628">
        <f t="shared" si="10"/>
        <v>3</v>
      </c>
      <c r="BB25" s="628">
        <f>IF($AV$1,COUNTIFS(ID4D!$AU$3:$AU$200,$AO25,ID4D!$AS$3:$AS$200,2,ID4D!$IK$3:$IK$200,0),COUNTIFS(ID4D!$AU$3:$AU$200,$AO25,ID4D!$AS$3:$AS$200,2))</f>
        <v>0</v>
      </c>
      <c r="BC25" s="628">
        <f t="shared" si="11"/>
        <v>0</v>
      </c>
      <c r="BD25" s="628">
        <f>IF($AV$1,COUNTIFS(ID4D!$HM$3:$HM$200,$AO25,ID4D!$IK$3:$IK$200,0),COUNTIF(ID4D!$HM$3:$HM$200,$AO25))</f>
        <v>1</v>
      </c>
      <c r="BE25" s="628">
        <f t="shared" si="12"/>
        <v>9</v>
      </c>
      <c r="BF25" s="628">
        <f>IF($AV$1,COUNTIFS(ID4D!$HU$3:$HU$200,$AO25,ID4D!$IK$3:$IK$200,0),COUNTIF(ID4D!$HU$3:$HU$200,$AO25))</f>
        <v>0</v>
      </c>
      <c r="BG25" s="628">
        <f t="shared" si="13"/>
        <v>17</v>
      </c>
      <c r="CV25" s="620"/>
      <c r="DQ25" t="s">
        <v>411</v>
      </c>
      <c r="DR25" s="736">
        <f>IF($ED$1,COUNTIFS(ID4D!$D$3:$D$200,$DQ25,ID4D!$AG$3:$AG$200,0,ID4D!$IK$3:$IK$200,0),COUNTIFS(ID4D!$D$3:$D$200,$DQ25,ID4D!$AG$3:$AG$200,0))</f>
        <v>0</v>
      </c>
      <c r="DS25" s="736">
        <f>IF($ED$1,COUNTIFS(ID4D!$D$3:$D$200,$DQ25,ID4D!$AG$3:$AG$200,1,ID4D!$U$3:$U$200,2,ID4D!$IK$3:$IK$200,0),COUNTIFS(ID4D!$D$3:$D$200,$DQ25,ID4D!$AG$3:$AG$200,1,ID4D!$U$3:$U$200,2))</f>
        <v>1</v>
      </c>
      <c r="DT25" s="736">
        <f>IF($ED$1,COUNTIFS(ID4D!$D$3:$D$200,$DQ25,ID4D!$AG$3:$AG$200,1,ID4D!$U$3:$U$200,1,ID4D!$IK$3:$IK$200,0),COUNTIFS(ID4D!$D$3:$D$200,$DQ25,ID4D!$AG$3:$AG$200,1,ID4D!$U$3:$U$200,1))</f>
        <v>0</v>
      </c>
      <c r="DU25" s="736">
        <f>IF($ED$1,COUNTIFS(ID4D!$D$3:$D$200,$DQ25,ID4D!$AG$3:$AG$200,"&gt;1",ID4D!$U$3:$U$200,2,ID4D!$IK$3:$IK$200,0),COUNTIFS(ID4D!$D$3:$D$200,$DQ25,ID4D!$AG$3:$AG$200,"&gt;1",ID4D!$U$3:$U$200,2))</f>
        <v>0</v>
      </c>
      <c r="DV25" s="736">
        <f>IF($ED$1,COUNTIFS(ID4D!$D$3:$D$200,$DQ25,ID4D!$AG$3:$AG$200,"&gt;1",ID4D!$U$3:$U$200,1,ID4D!$IK$3:$IK$200,0),COUNTIFS(ID4D!$D$3:$D$200,$DQ25,ID4D!$AG$3:$AG$200,"&gt;1",ID4D!$U$3:$U$200,1))</f>
        <v>1</v>
      </c>
      <c r="DW25" s="736">
        <f>IF($ED$1,COUNTIFS(ID4D!$D$3:$D$200,$DQ25,ID4D!$AG$3:$AG$200,"2B",ID4D!$U$3:$U$200,2,ID4D!$IK$3:$IK$200,0)+COUNTIFS(ID4D!$D$3:$D$200,$DQ25,ID4D!$AG$3:$AG$200,"3B",ID4D!$U$3:$U$200,2,ID4D!$IK$3:$IK$200,0)+COUNTIFS(ID4D!$D$3:$D$200,$DQ25,ID4D!$AG$3:$AG$200,"4B",ID4D!$U$3:$U$200,2,ID4D!$IK$3:$IK$200,0), COUNTIFS(ID4D!$D$3:$D$200,$DQ25,ID4D!$AG$3:$AG$200,"2B",ID4D!$U$3:$U$200,2)+COUNTIFS(ID4D!$D$3:$D$200,$DQ25,ID4D!$AG$3:$AG$200,"3B",ID4D!$U$3:$U$200,2)+COUNTIFS(ID4D!$D$3:$D$200,$DQ25,ID4D!$AG$3:$AG$200,"4B",ID4D!$U$3:$U$200,2))</f>
        <v>5</v>
      </c>
      <c r="DX25" s="736">
        <f>IF($ED$1,COUNTIFS(ID4D!$D$3:$D$200,$DQ25,ID4D!$AG$3:$AG$200,"2B",ID4D!$U$3:$U$200,1,ID4D!$IK$3:$IK$200,0)+COUNTIFS(ID4D!$D$3:$D$200,$DQ25,ID4D!$AG$3:$AG$200,"3B",ID4D!$U$3:$U$200,1,ID4D!$IK$3:$IK$200,0)+COUNTIFS(ID4D!$D$3:$D$200,$DQ25,ID4D!$AG$3:$AG$200,"4B",ID4D!$U$3:$U$200,1,ID4D!$IK$3:$IK$200,0), COUNTIFS(ID4D!$D$3:$D$200,$DQ25,ID4D!$AG$3:$AG$200,"2B",ID4D!$U$3:$U$200,1)+COUNTIFS(ID4D!$D$3:$D$200,$DQ25,ID4D!$AG$3:$AG$200,"3B",ID4D!$U$3:$U$200,1)+COUNTIFS(ID4D!$D$3:$D$200,$DQ25,ID4D!$AG$3:$AG$200,"4B",ID4D!$U$3:$U$200,1))</f>
        <v>1</v>
      </c>
      <c r="DY25" s="596" t="s">
        <v>17</v>
      </c>
    </row>
    <row r="26" spans="2:129">
      <c r="T26" s="91" t="s">
        <v>405</v>
      </c>
      <c r="U26" s="91" t="s">
        <v>6140</v>
      </c>
      <c r="AO26" s="628">
        <v>1982</v>
      </c>
      <c r="AP26" s="628">
        <f>IF($AV$1,COUNTIFS(ID4D!$K$3:$K$200,$AO26,ID4D!$IK$3:$IK$200,0),COUNTIF(ID4D!$K$3:$K$200,$AO26))</f>
        <v>1</v>
      </c>
      <c r="AQ26" s="628">
        <f t="shared" si="8"/>
        <v>169</v>
      </c>
      <c r="AR26" s="628">
        <f>IF($AV$1,COUNTIFS(ID4D!$R$3:$R$200,$AO26,ID4D!$IK$3:$IK$200,0),COUNTIF(ID4D!$R$3:$R$200,$AO26))</f>
        <v>2</v>
      </c>
      <c r="AS26" s="628">
        <f t="shared" si="5"/>
        <v>49</v>
      </c>
      <c r="AT26" s="628">
        <f>IF($AV$1,COUNTIFS(ID4D!$AE$3:$AE$200,$AO26,ID4D!$IK$3:$IK$200,0),COUNTIF(ID4D!$AE$3:$AE$200,$AO26))</f>
        <v>0</v>
      </c>
      <c r="AU26" s="628">
        <f t="shared" si="6"/>
        <v>0</v>
      </c>
      <c r="AV26" s="628">
        <f>IF($AV$1,COUNTIFS(ID4D!$AZ$3:$AZ$200,$AO26,ID4D!$IK$3:$IK$200,0),COUNTIF(ID4D!$AZ$3:$AZ$200,$AO26))</f>
        <v>0</v>
      </c>
      <c r="AW26" s="628">
        <f t="shared" si="9"/>
        <v>10</v>
      </c>
      <c r="AX26" s="628">
        <f>IF($AV$1,COUNTIFS(ID4D!$BD$3:$BD$200,$AO26,ID4D!$IK$3:$IK$200,0),COUNTIF(ID4D!$BD$3:$BD$200,$AO26))</f>
        <v>1</v>
      </c>
      <c r="AY26" s="628">
        <f t="shared" si="7"/>
        <v>24</v>
      </c>
      <c r="AZ26" s="628">
        <f>IF($AV$1,COUNTIFS(ID4D!$AZ$3:$AZ$200,$AO26,ID4D!$BB$3:$BB$200,2,ID4D!$IK$3:$IK$200,0),COUNTIFS(ID4D!$AZ$3:$AZ$200,$AO26,ID4D!$BB$3:$BB$200,2))</f>
        <v>0</v>
      </c>
      <c r="BA26" s="628">
        <f t="shared" si="10"/>
        <v>3</v>
      </c>
      <c r="BB26" s="628">
        <f>IF($AV$1,COUNTIFS(ID4D!$AU$3:$AU$200,$AO26,ID4D!$AS$3:$AS$200,2,ID4D!$IK$3:$IK$200,0),COUNTIFS(ID4D!$AU$3:$AU$200,$AO26,ID4D!$AS$3:$AS$200,2))</f>
        <v>0</v>
      </c>
      <c r="BC26" s="628">
        <f t="shared" si="11"/>
        <v>0</v>
      </c>
      <c r="BD26" s="628">
        <f>IF($AV$1,COUNTIFS(ID4D!$HM$3:$HM$200,$AO26,ID4D!$IK$3:$IK$200,0),COUNTIF(ID4D!$HM$3:$HM$200,$AO26))</f>
        <v>1</v>
      </c>
      <c r="BE26" s="628">
        <f t="shared" si="12"/>
        <v>10</v>
      </c>
      <c r="BF26" s="628">
        <f>IF($AV$1,COUNTIFS(ID4D!$HU$3:$HU$200,$AO26,ID4D!$IK$3:$IK$200,0),COUNTIF(ID4D!$HU$3:$HU$200,$AO26))</f>
        <v>2</v>
      </c>
      <c r="BG26" s="628">
        <f t="shared" si="13"/>
        <v>19</v>
      </c>
      <c r="CE26" s="626"/>
      <c r="CV26" s="620"/>
      <c r="DR26" s="736"/>
      <c r="DS26" s="736"/>
      <c r="DT26" s="736"/>
      <c r="DU26" s="736"/>
      <c r="DV26" s="736"/>
      <c r="DW26" s="736"/>
      <c r="DX26" s="736"/>
    </row>
    <row r="27" spans="2:129">
      <c r="T27" t="str">
        <f>IF($AV$1,"AFR (45)","AFR (48)")</f>
        <v>AFR (48)</v>
      </c>
      <c r="U27" s="594">
        <f>IF($AV$1,SUMIFS(ID4D!$DO$3:$DO$200, ID4D!$D$3:$D$200,V27,ID4D!$IK$3:$IK$200,0),SUMIF(ID4D!$D$3:$D$200,V27,ID4D!$DO$3:$DO$200))</f>
        <v>152595.033268</v>
      </c>
      <c r="V27" s="596" t="s">
        <v>406</v>
      </c>
      <c r="AO27" s="628">
        <v>1983</v>
      </c>
      <c r="AP27" s="628">
        <f>IF($AV$1,COUNTIFS(ID4D!$K$3:$K$200,$AO27,ID4D!$IK$3:$IK$200,0),COUNTIF(ID4D!$K$3:$K$200,$AO27))</f>
        <v>1</v>
      </c>
      <c r="AQ27" s="628">
        <f t="shared" si="8"/>
        <v>170</v>
      </c>
      <c r="AR27" s="628">
        <f>IF($AV$1,COUNTIFS(ID4D!$R$3:$R$200,$AO27,ID4D!$IK$3:$IK$200,0),COUNTIF(ID4D!$R$3:$R$200,$AO27))</f>
        <v>2</v>
      </c>
      <c r="AS27" s="628">
        <f t="shared" si="5"/>
        <v>51</v>
      </c>
      <c r="AT27" s="628">
        <f>IF($AV$1,COUNTIFS(ID4D!$AE$3:$AE$200,$AO27,ID4D!$IK$3:$IK$200,0),COUNTIF(ID4D!$AE$3:$AE$200,$AO27))</f>
        <v>0</v>
      </c>
      <c r="AU27" s="628">
        <f t="shared" si="6"/>
        <v>0</v>
      </c>
      <c r="AV27" s="628">
        <f>IF($AV$1,COUNTIFS(ID4D!$AZ$3:$AZ$200,$AO27,ID4D!$IK$3:$IK$200,0),COUNTIF(ID4D!$AZ$3:$AZ$200,$AO27))</f>
        <v>0</v>
      </c>
      <c r="AW27" s="628">
        <f t="shared" si="9"/>
        <v>10</v>
      </c>
      <c r="AX27" s="628">
        <f>IF($AV$1,COUNTIFS(ID4D!$BD$3:$BD$200,$AO27,ID4D!$IK$3:$IK$200,0),COUNTIF(ID4D!$BD$3:$BD$200,$AO27))</f>
        <v>0</v>
      </c>
      <c r="AY27" s="628">
        <f t="shared" si="7"/>
        <v>24</v>
      </c>
      <c r="AZ27" s="628">
        <f>IF($AV$1,COUNTIFS(ID4D!$AZ$3:$AZ$200,$AO27,ID4D!$BB$3:$BB$200,2,ID4D!$IK$3:$IK$200,0),COUNTIFS(ID4D!$AZ$3:$AZ$200,$AO27,ID4D!$BB$3:$BB$200,2))</f>
        <v>0</v>
      </c>
      <c r="BA27" s="628">
        <f t="shared" si="10"/>
        <v>3</v>
      </c>
      <c r="BB27" s="628">
        <f>IF($AV$1,COUNTIFS(ID4D!$AU$3:$AU$200,$AO27,ID4D!$AS$3:$AS$200,2,ID4D!$IK$3:$IK$200,0),COUNTIFS(ID4D!$AU$3:$AU$200,$AO27,ID4D!$AS$3:$AS$200,2))</f>
        <v>0</v>
      </c>
      <c r="BC27" s="628">
        <f t="shared" si="11"/>
        <v>0</v>
      </c>
      <c r="BD27" s="628">
        <f>IF($AV$1,COUNTIFS(ID4D!$HM$3:$HM$200,$AO27,ID4D!$IK$3:$IK$200,0),COUNTIF(ID4D!$HM$3:$HM$200,$AO27))</f>
        <v>2</v>
      </c>
      <c r="BE27" s="628">
        <f t="shared" si="12"/>
        <v>12</v>
      </c>
      <c r="BF27" s="628">
        <f>IF($AV$1,COUNTIFS(ID4D!$HU$3:$HU$200,$AO27,ID4D!$IK$3:$IK$200,0),COUNTIF(ID4D!$HU$3:$HU$200,$AO27))</f>
        <v>1</v>
      </c>
      <c r="BG27" s="628">
        <f t="shared" si="13"/>
        <v>20</v>
      </c>
      <c r="CV27" s="620"/>
      <c r="DQ27" t="str">
        <f>IF($ED$1,"145 countries","168 countries")</f>
        <v>168 countries</v>
      </c>
      <c r="DR27" s="736"/>
      <c r="DS27" s="736"/>
      <c r="DT27" s="736"/>
      <c r="DU27" s="736"/>
      <c r="DV27" s="736"/>
      <c r="DW27" s="736"/>
      <c r="DX27" s="736"/>
    </row>
    <row r="28" spans="2:129">
      <c r="T28" t="str">
        <f>IF($AV$1,"EAP (20)","EAP (29)")</f>
        <v>EAP (29)</v>
      </c>
      <c r="U28" s="594">
        <f>IF($AV$1,SUMIFS(ID4D!$DO$3:$DO$200, ID4D!$D$3:$D$200,V28,ID4D!$IK$3:$IK$200,0),SUMIF(ID4D!$D$3:$D$200,V28,ID4D!$DO$3:$DO$200))</f>
        <v>32028.700678000008</v>
      </c>
      <c r="V28" s="596" t="s">
        <v>407</v>
      </c>
      <c r="AO28" s="628">
        <v>1984</v>
      </c>
      <c r="AP28" s="628">
        <f>IF($AV$1,COUNTIFS(ID4D!$K$3:$K$200,$AO28,ID4D!$IK$3:$IK$200,0),COUNTIF(ID4D!$K$3:$K$200,$AO28))</f>
        <v>0</v>
      </c>
      <c r="AQ28" s="628">
        <f t="shared" si="8"/>
        <v>170</v>
      </c>
      <c r="AR28" s="628">
        <f>IF($AV$1,COUNTIFS(ID4D!$R$3:$R$200,$AO28,ID4D!$IK$3:$IK$200,0),COUNTIF(ID4D!$R$3:$R$200,$AO28))</f>
        <v>4</v>
      </c>
      <c r="AS28" s="628">
        <f t="shared" si="5"/>
        <v>55</v>
      </c>
      <c r="AT28" s="628">
        <f>IF($AV$1,COUNTIFS(ID4D!$AE$3:$AE$200,$AO28,ID4D!$IK$3:$IK$200,0),COUNTIF(ID4D!$AE$3:$AE$200,$AO28))</f>
        <v>0</v>
      </c>
      <c r="AU28" s="628">
        <f t="shared" si="6"/>
        <v>0</v>
      </c>
      <c r="AV28" s="628">
        <f>IF($AV$1,COUNTIFS(ID4D!$AZ$3:$AZ$200,$AO28,ID4D!$IK$3:$IK$200,0),COUNTIF(ID4D!$AZ$3:$AZ$200,$AO28))</f>
        <v>0</v>
      </c>
      <c r="AW28" s="628">
        <f t="shared" si="9"/>
        <v>10</v>
      </c>
      <c r="AX28" s="628">
        <f>IF($AV$1,COUNTIFS(ID4D!$BD$3:$BD$200,$AO28,ID4D!$IK$3:$IK$200,0),COUNTIF(ID4D!$BD$3:$BD$200,$AO28))</f>
        <v>0</v>
      </c>
      <c r="AY28" s="628">
        <f t="shared" si="7"/>
        <v>24</v>
      </c>
      <c r="AZ28" s="628">
        <f>IF($AV$1,COUNTIFS(ID4D!$AZ$3:$AZ$200,$AO28,ID4D!$BB$3:$BB$200,2,ID4D!$IK$3:$IK$200,0),COUNTIFS(ID4D!$AZ$3:$AZ$200,$AO28,ID4D!$BB$3:$BB$200,2))</f>
        <v>0</v>
      </c>
      <c r="BA28" s="628">
        <f t="shared" si="10"/>
        <v>3</v>
      </c>
      <c r="BB28" s="628">
        <f>IF($AV$1,COUNTIFS(ID4D!$AU$3:$AU$200,$AO28,ID4D!$AS$3:$AS$200,2,ID4D!$IK$3:$IK$200,0),COUNTIFS(ID4D!$AU$3:$AU$200,$AO28,ID4D!$AS$3:$AS$200,2))</f>
        <v>0</v>
      </c>
      <c r="BC28" s="628">
        <f t="shared" si="11"/>
        <v>0</v>
      </c>
      <c r="BD28" s="628">
        <f>IF($AV$1,COUNTIFS(ID4D!$HM$3:$HM$200,$AO28,ID4D!$IK$3:$IK$200,0),COUNTIF(ID4D!$HM$3:$HM$200,$AO28))</f>
        <v>1</v>
      </c>
      <c r="BE28" s="628">
        <f t="shared" si="12"/>
        <v>13</v>
      </c>
      <c r="BF28" s="628">
        <f>IF($AV$1,COUNTIFS(ID4D!$HU$3:$HU$200,$AO28,ID4D!$IK$3:$IK$200,0),COUNTIF(ID4D!$HU$3:$HU$200,$AO28))</f>
        <v>1</v>
      </c>
      <c r="BG28" s="628">
        <f t="shared" si="13"/>
        <v>21</v>
      </c>
      <c r="CV28" s="620"/>
      <c r="DQ28" t="s">
        <v>4470</v>
      </c>
      <c r="DR28" s="736">
        <f>IF($ED$1,COUNTIFS(ID4D!$D$3:$D$200,"&gt;A",ID4D!$IK$3:$IK$200,0,ID4D!$AG$3:$AG$200,0),COUNTIFS(ID4D!$D$3:$D$200,"&gt;A",ID4D!$AG$3:$AG$200,0))</f>
        <v>10</v>
      </c>
      <c r="DS28" s="736">
        <f>IF($ED$1,COUNTIFS(ID4D!$D$3:$D$200,"&gt;A",ID4D!$IK$3:$IK$200,0,ID4D!$AG$3:$AG$200,1,ID4D!$U$3:$U$200,2),COUNTIFS(ID4D!$D$3:$D$200,"&gt;A",ID4D!$AG$3:$AG$200,1,ID4D!$U$3:$U$200,2))</f>
        <v>23</v>
      </c>
      <c r="DT28" s="736">
        <f>IF($ED$1,COUNTIFS(ID4D!$D$3:$D$200,"&gt;A",ID4D!$IK$3:$IK$200,0,ID4D!$AG$3:$AG$200,1,ID4D!$U$3:$U$200,1),COUNTIFS(ID4D!$D$3:$D$200,"&gt;A",ID4D!$AG$3:$AG$200,1,ID4D!$U$3:$U$200,1))</f>
        <v>7</v>
      </c>
      <c r="DU28" s="736">
        <f>IF($ED$1,COUNTIFS(ID4D!$D$3:$D$200,"&gt;A",ID4D!$IK$3:$IK$200,0,ID4D!$AG$3:$AG$200,"&gt;1",ID4D!$U$3:$U$200,2),COUNTIFS(ID4D!$D$3:$D$200,"&gt;A",ID4D!$AG$3:$AG$200,"&gt;1",ID4D!$U$3:$U$200,2))</f>
        <v>26</v>
      </c>
      <c r="DV28" s="736">
        <f>IF($ED$1,COUNTIFS(ID4D!$D$3:$D$200,"&gt;A",ID4D!$IK$3:$IK$200,0,ID4D!$AG$3:$AG$200,"&gt;1",ID4D!$U$3:$U$200,1),COUNTIFS(ID4D!$D$3:$D$200,"&gt;A",ID4D!$AG$3:$AG$200,"&gt;1",ID4D!$U$3:$U$200,1))</f>
        <v>3</v>
      </c>
      <c r="DW28" s="736">
        <f>IF($ED$1,COUNTIFS(ID4D!$D$3:$D$200,"&gt;A",ID4D!$IK$3:$IK$200,0,ID4D!$AG$3:$AG$200,"2B",ID4D!$U$3:$U$200,2)+COUNTIFS(ID4D!$D$3:$D$200,"&gt;A",ID4D!$IK$3:$IK$200,0,ID4D!$AG$3:$AG$200,"3B",ID4D!$U$3:$U$200,2)+COUNTIFS(ID4D!$D$3:$D$200,"&gt;A",ID4D!$IK$3:$IK$200,0,ID4D!$AG$3:$AG$200,"4B",ID4D!$U$3:$U$200,2), COUNTIFS(ID4D!$D$3:$D$200,"&gt;A",ID4D!$AG$3:$AG$200,"2B",ID4D!$U$3:$U$200,2)+COUNTIFS(ID4D!$D$3:$D$200,"&gt;A",ID4D!$AG$3:$AG$200,"3B",ID4D!$U$3:$U$200,2)+COUNTIFS(ID4D!$D$3:$D$200,"&gt;A",ID4D!$AG$3:$AG$200,"4B",ID4D!$U$3:$U$200,2))</f>
        <v>91</v>
      </c>
      <c r="DX28" s="736">
        <f>IF($ED$1,COUNTIFS(ID4D!$D$3:$D$200,"&gt;A",ID4D!$IK$3:$IK$200,0,ID4D!$AG$3:$AG$200,"2B",ID4D!$U$3:$U$200,1)+COUNTIFS(ID4D!$D$3:$D$200,"&gt;A",ID4D!$IK$3:$IK$200,0,ID4D!$AG$3:$AG$200,"3B",ID4D!$U$3:$U$200,1)+COUNTIFS(ID4D!$D$3:$D$200,"&gt;A",ID4D!$IK$3:$IK$200,0,ID4D!$AG$3:$AG$200,"4B",ID4D!$U$3:$U$200,1), COUNTIFS(ID4D!$D$3:$D$200,"&gt;A",ID4D!$AG$3:$AG$200,"2B",ID4D!$U$3:$U$200,1)+COUNTIFS(ID4D!$D$3:$D$200,"&gt;A",ID4D!$AG$3:$AG$200,"3B",ID4D!$U$3:$U$200,1)+COUNTIFS(ID4D!$D$3:$D$200,"&gt;A",ID4D!$AG$3:$AG$200,"4B",ID4D!$U$3:$U$200,1))</f>
        <v>8</v>
      </c>
      <c r="DY28" s="739">
        <f>SUM(DR28:DX28)</f>
        <v>168</v>
      </c>
    </row>
    <row r="29" spans="2:129">
      <c r="T29" t="str">
        <f>IF($AV$1,"ECA (30)","ECA (30)")</f>
        <v>ECA (30)</v>
      </c>
      <c r="U29" s="594">
        <f>IF($AV$1,SUMIFS(ID4D!$DO$3:$DO$200, ID4D!$D$3:$D$200,V29,ID4D!$IK$3:$IK$200,0),SUMIF(ID4D!$D$3:$D$200,V29,ID4D!$DO$3:$DO$200))</f>
        <v>1511.529141999999</v>
      </c>
      <c r="V29" s="596" t="s">
        <v>408</v>
      </c>
      <c r="AO29" s="628">
        <v>1985</v>
      </c>
      <c r="AP29" s="628">
        <f>IF($AV$1,COUNTIFS(ID4D!$K$3:$K$200,$AO29,ID4D!$IK$3:$IK$200,0),COUNTIF(ID4D!$K$3:$K$200,$AO29))</f>
        <v>0</v>
      </c>
      <c r="AQ29" s="628">
        <f t="shared" si="8"/>
        <v>170</v>
      </c>
      <c r="AR29" s="628">
        <f>IF($AV$1,COUNTIFS(ID4D!$R$3:$R$200,$AO29,ID4D!$IK$3:$IK$200,0),COUNTIF(ID4D!$R$3:$R$200,$AO29))</f>
        <v>1</v>
      </c>
      <c r="AS29" s="628">
        <f t="shared" si="5"/>
        <v>56</v>
      </c>
      <c r="AT29" s="628">
        <f>IF($AV$1,COUNTIFS(ID4D!$AE$3:$AE$200,$AO29,ID4D!$IK$3:$IK$200,0),COUNTIF(ID4D!$AE$3:$AE$200,$AO29))</f>
        <v>0</v>
      </c>
      <c r="AU29" s="628">
        <f t="shared" si="6"/>
        <v>0</v>
      </c>
      <c r="AV29" s="628">
        <f>IF($AV$1,COUNTIFS(ID4D!$AZ$3:$AZ$200,$AO29,ID4D!$IK$3:$IK$200,0),COUNTIF(ID4D!$AZ$3:$AZ$200,$AO29))</f>
        <v>0</v>
      </c>
      <c r="AW29" s="628">
        <f t="shared" si="9"/>
        <v>10</v>
      </c>
      <c r="AX29" s="628">
        <f>IF($AV$1,COUNTIFS(ID4D!$BD$3:$BD$200,$AO29,ID4D!$IK$3:$IK$200,0),COUNTIF(ID4D!$BD$3:$BD$200,$AO29))</f>
        <v>1</v>
      </c>
      <c r="AY29" s="628">
        <f t="shared" si="7"/>
        <v>25</v>
      </c>
      <c r="AZ29" s="628">
        <f>IF($AV$1,COUNTIFS(ID4D!$AZ$3:$AZ$200,$AO29,ID4D!$BB$3:$BB$200,2,ID4D!$IK$3:$IK$200,0),COUNTIFS(ID4D!$AZ$3:$AZ$200,$AO29,ID4D!$BB$3:$BB$200,2))</f>
        <v>0</v>
      </c>
      <c r="BA29" s="628">
        <f t="shared" si="10"/>
        <v>3</v>
      </c>
      <c r="BB29" s="628">
        <f>IF($AV$1,COUNTIFS(ID4D!$AU$3:$AU$200,$AO29,ID4D!$AS$3:$AS$200,2,ID4D!$IK$3:$IK$200,0),COUNTIFS(ID4D!$AU$3:$AU$200,$AO29,ID4D!$AS$3:$AS$200,2))</f>
        <v>0</v>
      </c>
      <c r="BC29" s="628">
        <f t="shared" si="11"/>
        <v>0</v>
      </c>
      <c r="BD29" s="628">
        <f>IF($AV$1,COUNTIFS(ID4D!$HM$3:$HM$200,$AO29,ID4D!$IK$3:$IK$200,0),COUNTIF(ID4D!$HM$3:$HM$200,$AO29))</f>
        <v>0</v>
      </c>
      <c r="BE29" s="628">
        <f t="shared" si="12"/>
        <v>13</v>
      </c>
      <c r="BF29" s="628">
        <f>IF($AV$1,COUNTIFS(ID4D!$HU$3:$HU$200,$AO29,ID4D!$IK$3:$IK$200,0),COUNTIF(ID4D!$HU$3:$HU$200,$AO29))</f>
        <v>1</v>
      </c>
      <c r="BG29" s="628">
        <f t="shared" si="13"/>
        <v>22</v>
      </c>
      <c r="CV29" s="620"/>
    </row>
    <row r="30" spans="2:129">
      <c r="T30" t="str">
        <f>IF($AV$1,"LCR (23)","LCR (32)")</f>
        <v>LCR (32)</v>
      </c>
      <c r="U30" s="594">
        <f>IF($AV$1,SUMIFS(ID4D!$DO$3:$DO$200, ID4D!$D$3:$D$200,V30,ID4D!$IK$3:$IK$200,0),SUMIF(ID4D!$D$3:$D$200,V30,ID4D!$DO$3:$DO$200))</f>
        <v>8234.1873560000004</v>
      </c>
      <c r="V30" s="596" t="s">
        <v>409</v>
      </c>
      <c r="AO30" s="628">
        <v>1986</v>
      </c>
      <c r="AP30" s="628">
        <f>IF($AV$1,COUNTIFS(ID4D!$K$3:$K$200,$AO30,ID4D!$IK$3:$IK$200,0),COUNTIF(ID4D!$K$3:$K$200,$AO30))</f>
        <v>1</v>
      </c>
      <c r="AQ30" s="628">
        <f t="shared" si="8"/>
        <v>171</v>
      </c>
      <c r="AR30" s="628">
        <f>IF($AV$1,COUNTIFS(ID4D!$R$3:$R$200,$AO30,ID4D!$IK$3:$IK$200,0),COUNTIF(ID4D!$R$3:$R$200,$AO30))</f>
        <v>1</v>
      </c>
      <c r="AS30" s="628">
        <f t="shared" si="5"/>
        <v>57</v>
      </c>
      <c r="AT30" s="628">
        <f>IF($AV$1,COUNTIFS(ID4D!$AE$3:$AE$200,$AO30,ID4D!$IK$3:$IK$200,0),COUNTIF(ID4D!$AE$3:$AE$200,$AO30))</f>
        <v>0</v>
      </c>
      <c r="AU30" s="628">
        <f t="shared" si="6"/>
        <v>0</v>
      </c>
      <c r="AV30" s="628">
        <f>IF($AV$1,COUNTIFS(ID4D!$AZ$3:$AZ$200,$AO30,ID4D!$IK$3:$IK$200,0),COUNTIF(ID4D!$AZ$3:$AZ$200,$AO30))</f>
        <v>1</v>
      </c>
      <c r="AW30" s="628">
        <f t="shared" si="9"/>
        <v>11</v>
      </c>
      <c r="AX30" s="628">
        <f>IF($AV$1,COUNTIFS(ID4D!$BD$3:$BD$200,$AO30,ID4D!$IK$3:$IK$200,0),COUNTIF(ID4D!$BD$3:$BD$200,$AO30))</f>
        <v>0</v>
      </c>
      <c r="AY30" s="628">
        <f t="shared" si="7"/>
        <v>25</v>
      </c>
      <c r="AZ30" s="628">
        <f>IF($AV$1,COUNTIFS(ID4D!$AZ$3:$AZ$200,$AO30,ID4D!$BB$3:$BB$200,2,ID4D!$IK$3:$IK$200,0),COUNTIFS(ID4D!$AZ$3:$AZ$200,$AO30,ID4D!$BB$3:$BB$200,2))</f>
        <v>1</v>
      </c>
      <c r="BA30" s="628">
        <f t="shared" si="10"/>
        <v>4</v>
      </c>
      <c r="BB30" s="628">
        <f>IF($AV$1,COUNTIFS(ID4D!$AU$3:$AU$200,$AO30,ID4D!$AS$3:$AS$200,2,ID4D!$IK$3:$IK$200,0),COUNTIFS(ID4D!$AU$3:$AU$200,$AO30,ID4D!$AS$3:$AS$200,2))</f>
        <v>0</v>
      </c>
      <c r="BC30" s="628">
        <f t="shared" si="11"/>
        <v>0</v>
      </c>
      <c r="BD30" s="628">
        <f>IF($AV$1,COUNTIFS(ID4D!$HM$3:$HM$200,$AO30,ID4D!$IK$3:$IK$200,0),COUNTIF(ID4D!$HM$3:$HM$200,$AO30))</f>
        <v>0</v>
      </c>
      <c r="BE30" s="628">
        <f t="shared" si="12"/>
        <v>13</v>
      </c>
      <c r="BF30" s="628">
        <f>IF($AV$1,COUNTIFS(ID4D!$HU$3:$HU$200,$AO30,ID4D!$IK$3:$IK$200,0),COUNTIF(ID4D!$HU$3:$HU$200,$AO30))</f>
        <v>1</v>
      </c>
      <c r="BG30" s="628">
        <f t="shared" si="13"/>
        <v>23</v>
      </c>
      <c r="CV30" s="620"/>
      <c r="DQ30" s="53" t="s">
        <v>405</v>
      </c>
      <c r="DR30" s="735" t="s">
        <v>5183</v>
      </c>
      <c r="DS30" s="735" t="s">
        <v>1680</v>
      </c>
      <c r="DT30" s="735" t="s">
        <v>1614</v>
      </c>
      <c r="DU30" s="740" t="s">
        <v>5184</v>
      </c>
    </row>
    <row r="31" spans="2:129">
      <c r="T31" t="str">
        <f>IF($AV$1,"MNA (20)","MNA (21)")</f>
        <v>MNA (21)</v>
      </c>
      <c r="U31" s="594">
        <f>IF($AV$1,SUMIFS(ID4D!$DO$3:$DO$200, ID4D!$D$3:$D$200,V31,ID4D!$IK$3:$IK$200,0),SUMIF(ID4D!$D$3:$D$200,V31,ID4D!$DO$3:$DO$200))</f>
        <v>8438.866238999999</v>
      </c>
      <c r="V31" s="596" t="s">
        <v>410</v>
      </c>
      <c r="AO31" s="628">
        <v>1987</v>
      </c>
      <c r="AP31" s="628">
        <f>IF($AV$1,COUNTIFS(ID4D!$K$3:$K$200,$AO31,ID4D!$IK$3:$IK$200,0),COUNTIF(ID4D!$K$3:$K$200,$AO31))</f>
        <v>1</v>
      </c>
      <c r="AQ31" s="628">
        <f t="shared" si="8"/>
        <v>172</v>
      </c>
      <c r="AR31" s="628">
        <f>IF($AV$1,COUNTIFS(ID4D!$R$3:$R$200,$AO31,ID4D!$IK$3:$IK$200,0),COUNTIF(ID4D!$R$3:$R$200,$AO31))</f>
        <v>1</v>
      </c>
      <c r="AS31" s="628">
        <f t="shared" si="5"/>
        <v>58</v>
      </c>
      <c r="AT31" s="628">
        <f>IF($AV$1,COUNTIFS(ID4D!$AE$3:$AE$200,$AO31,ID4D!$IK$3:$IK$200,0),COUNTIF(ID4D!$AE$3:$AE$200,$AO31))</f>
        <v>0</v>
      </c>
      <c r="AU31" s="628">
        <f t="shared" si="6"/>
        <v>0</v>
      </c>
      <c r="AV31" s="628">
        <f>IF($AV$1,COUNTIFS(ID4D!$AZ$3:$AZ$200,$AO31,ID4D!$IK$3:$IK$200,0),COUNTIF(ID4D!$AZ$3:$AZ$200,$AO31))</f>
        <v>0</v>
      </c>
      <c r="AW31" s="628">
        <f t="shared" si="9"/>
        <v>11</v>
      </c>
      <c r="AX31" s="628">
        <f>IF($AV$1,COUNTIFS(ID4D!$BD$3:$BD$200,$AO31,ID4D!$IK$3:$IK$200,0),COUNTIF(ID4D!$BD$3:$BD$200,$AO31))</f>
        <v>1</v>
      </c>
      <c r="AY31" s="628">
        <f t="shared" si="7"/>
        <v>26</v>
      </c>
      <c r="AZ31" s="628">
        <f>IF($AV$1,COUNTIFS(ID4D!$AZ$3:$AZ$200,$AO31,ID4D!$BB$3:$BB$200,2,ID4D!$IK$3:$IK$200,0),COUNTIFS(ID4D!$AZ$3:$AZ$200,$AO31,ID4D!$BB$3:$BB$200,2))</f>
        <v>0</v>
      </c>
      <c r="BA31" s="628">
        <f t="shared" si="10"/>
        <v>4</v>
      </c>
      <c r="BB31" s="628">
        <f>IF($AV$1,COUNTIFS(ID4D!$AU$3:$AU$200,$AO31,ID4D!$AS$3:$AS$200,2,ID4D!$IK$3:$IK$200,0),COUNTIFS(ID4D!$AU$3:$AU$200,$AO31,ID4D!$AS$3:$AS$200,2))</f>
        <v>0</v>
      </c>
      <c r="BC31" s="628">
        <f t="shared" si="11"/>
        <v>0</v>
      </c>
      <c r="BD31" s="628">
        <f>IF($AV$1,COUNTIFS(ID4D!$HM$3:$HM$200,$AO31,ID4D!$IK$3:$IK$200,0),COUNTIF(ID4D!$HM$3:$HM$200,$AO31))</f>
        <v>1</v>
      </c>
      <c r="BE31" s="628">
        <f t="shared" si="12"/>
        <v>14</v>
      </c>
      <c r="BF31" s="628">
        <f>IF($AV$1,COUNTIFS(ID4D!$HU$3:$HU$200,$AO31,ID4D!$IK$3:$IK$200,0),COUNTIF(ID4D!$HU$3:$HU$200,$AO31))</f>
        <v>1</v>
      </c>
      <c r="BG31" s="628">
        <f t="shared" si="13"/>
        <v>24</v>
      </c>
      <c r="CV31" s="620"/>
      <c r="DQ31" t="str">
        <f>IF($ED$1,"AFR (45)","AFR (48)")</f>
        <v>AFR (48)</v>
      </c>
      <c r="DR31" s="736">
        <f t="shared" ref="DR31:DR36" si="22">DR20</f>
        <v>1</v>
      </c>
      <c r="DS31" s="736">
        <f t="shared" ref="DS31:DS36" si="23">DS20+DT20</f>
        <v>12</v>
      </c>
      <c r="DT31" s="736">
        <f t="shared" ref="DT31:DT36" si="24">DU20+DV20</f>
        <v>4</v>
      </c>
      <c r="DU31" s="736">
        <f t="shared" ref="DU31:DU36" si="25">DW20+DX20</f>
        <v>31</v>
      </c>
    </row>
    <row r="32" spans="2:129">
      <c r="T32" t="str">
        <f>IF($AV$1,"SAR (7)","SAR (8)")</f>
        <v>SAR (8)</v>
      </c>
      <c r="U32" s="594">
        <f>IF($AV$1,SUMIFS(ID4D!$DO$3:$DO$200, ID4D!$D$3:$D$200,V32,ID4D!$IK$3:$IK$200,0),SUMIF(ID4D!$D$3:$D$200,V32,ID4D!$DO$3:$DO$200))</f>
        <v>101169.093268</v>
      </c>
      <c r="V32" s="596" t="s">
        <v>411</v>
      </c>
      <c r="AO32" s="628">
        <v>1988</v>
      </c>
      <c r="AP32" s="628">
        <f>IF($AV$1,COUNTIFS(ID4D!$K$3:$K$200,$AO32,ID4D!$IK$3:$IK$200,0),COUNTIF(ID4D!$K$3:$K$200,$AO32))</f>
        <v>2</v>
      </c>
      <c r="AQ32" s="628">
        <f t="shared" si="8"/>
        <v>174</v>
      </c>
      <c r="AR32" s="628">
        <f>IF($AV$1,COUNTIFS(ID4D!$R$3:$R$200,$AO32,ID4D!$IK$3:$IK$200,0),COUNTIF(ID4D!$R$3:$R$200,$AO32))</f>
        <v>0</v>
      </c>
      <c r="AS32" s="628">
        <f t="shared" si="5"/>
        <v>58</v>
      </c>
      <c r="AT32" s="628">
        <f>IF($AV$1,COUNTIFS(ID4D!$AE$3:$AE$200,$AO32,ID4D!$IK$3:$IK$200,0),COUNTIF(ID4D!$AE$3:$AE$200,$AO32))</f>
        <v>0</v>
      </c>
      <c r="AU32" s="628">
        <f t="shared" si="6"/>
        <v>0</v>
      </c>
      <c r="AV32" s="628">
        <f>IF($AV$1,COUNTIFS(ID4D!$AZ$3:$AZ$200,$AO32,ID4D!$IK$3:$IK$200,0),COUNTIF(ID4D!$AZ$3:$AZ$200,$AO32))</f>
        <v>1</v>
      </c>
      <c r="AW32" s="628">
        <f t="shared" si="9"/>
        <v>12</v>
      </c>
      <c r="AX32" s="628">
        <f>IF($AV$1,COUNTIFS(ID4D!$BD$3:$BD$200,$AO32,ID4D!$IK$3:$IK$200,0),COUNTIF(ID4D!$BD$3:$BD$200,$AO32))</f>
        <v>2</v>
      </c>
      <c r="AY32" s="628">
        <f t="shared" si="7"/>
        <v>28</v>
      </c>
      <c r="AZ32" s="628">
        <f>IF($AV$1,COUNTIFS(ID4D!$AZ$3:$AZ$200,$AO32,ID4D!$BB$3:$BB$200,2,ID4D!$IK$3:$IK$200,0),COUNTIFS(ID4D!$AZ$3:$AZ$200,$AO32,ID4D!$BB$3:$BB$200,2))</f>
        <v>1</v>
      </c>
      <c r="BA32" s="628">
        <f t="shared" si="10"/>
        <v>5</v>
      </c>
      <c r="BB32" s="628">
        <f>IF($AV$1,COUNTIFS(ID4D!$AU$3:$AU$200,$AO32,ID4D!$AS$3:$AS$200,2,ID4D!$IK$3:$IK$200,0),COUNTIFS(ID4D!$AU$3:$AU$200,$AO32,ID4D!$AS$3:$AS$200,2))</f>
        <v>0</v>
      </c>
      <c r="BC32" s="628">
        <f t="shared" si="11"/>
        <v>0</v>
      </c>
      <c r="BD32" s="628">
        <f>IF($AV$1,COUNTIFS(ID4D!$HM$3:$HM$200,$AO32,ID4D!$IK$3:$IK$200,0),COUNTIF(ID4D!$HM$3:$HM$200,$AO32))</f>
        <v>3</v>
      </c>
      <c r="BE32" s="628">
        <f t="shared" si="12"/>
        <v>17</v>
      </c>
      <c r="BF32" s="628">
        <f>IF($AV$1,COUNTIFS(ID4D!$HU$3:$HU$200,$AO32,ID4D!$IK$3:$IK$200,0),COUNTIF(ID4D!$HU$3:$HU$200,$AO32))</f>
        <v>0</v>
      </c>
      <c r="BG32" s="628">
        <f t="shared" si="13"/>
        <v>24</v>
      </c>
      <c r="CV32" s="620"/>
      <c r="DQ32" t="str">
        <f>IF($ED$1,"EAP (20)","EAP (29)")</f>
        <v>EAP (29)</v>
      </c>
      <c r="DR32" s="736">
        <f t="shared" si="22"/>
        <v>7</v>
      </c>
      <c r="DS32" s="736">
        <f t="shared" si="23"/>
        <v>8</v>
      </c>
      <c r="DT32" s="736">
        <f t="shared" si="24"/>
        <v>1</v>
      </c>
      <c r="DU32" s="736">
        <f t="shared" si="25"/>
        <v>13</v>
      </c>
    </row>
    <row r="33" spans="20:129">
      <c r="U33" s="435"/>
      <c r="AO33" s="628">
        <v>1989</v>
      </c>
      <c r="AP33" s="628">
        <f>IF($AV$1,COUNTIFS(ID4D!$K$3:$K$200,$AO33,ID4D!$IK$3:$IK$200,0),COUNTIF(ID4D!$K$3:$K$200,$AO33))</f>
        <v>0</v>
      </c>
      <c r="AQ33" s="628">
        <f t="shared" si="8"/>
        <v>174</v>
      </c>
      <c r="AR33" s="628">
        <f>IF($AV$1,COUNTIFS(ID4D!$R$3:$R$200,$AO33,ID4D!$IK$3:$IK$200,0),COUNTIF(ID4D!$R$3:$R$200,$AO33))</f>
        <v>3</v>
      </c>
      <c r="AS33" s="628">
        <f t="shared" si="5"/>
        <v>61</v>
      </c>
      <c r="AT33" s="628">
        <f>IF($AV$1,COUNTIFS(ID4D!$AE$3:$AE$200,$AO33,ID4D!$IK$3:$IK$200,0),COUNTIF(ID4D!$AE$3:$AE$200,$AO33))</f>
        <v>0</v>
      </c>
      <c r="AU33" s="628">
        <f t="shared" si="6"/>
        <v>0</v>
      </c>
      <c r="AV33" s="628">
        <f>IF($AV$1,COUNTIFS(ID4D!$AZ$3:$AZ$200,$AO33,ID4D!$IK$3:$IK$200,0),COUNTIF(ID4D!$AZ$3:$AZ$200,$AO33))</f>
        <v>3</v>
      </c>
      <c r="AW33" s="628">
        <f t="shared" si="9"/>
        <v>15</v>
      </c>
      <c r="AX33" s="628">
        <f>IF($AV$1,COUNTIFS(ID4D!$BD$3:$BD$200,$AO33,ID4D!$IK$3:$IK$200,0),COUNTIF(ID4D!$BD$3:$BD$200,$AO33))</f>
        <v>0</v>
      </c>
      <c r="AY33" s="628">
        <f t="shared" si="7"/>
        <v>28</v>
      </c>
      <c r="AZ33" s="628">
        <f>IF($AV$1,COUNTIFS(ID4D!$AZ$3:$AZ$200,$AO33,ID4D!$BB$3:$BB$200,2,ID4D!$IK$3:$IK$200,0),COUNTIFS(ID4D!$AZ$3:$AZ$200,$AO33,ID4D!$BB$3:$BB$200,2))</f>
        <v>1</v>
      </c>
      <c r="BA33" s="628">
        <f t="shared" si="10"/>
        <v>6</v>
      </c>
      <c r="BB33" s="628">
        <f>IF($AV$1,COUNTIFS(ID4D!$AU$3:$AU$200,$AO33,ID4D!$AS$3:$AS$200,2,ID4D!$IK$3:$IK$200,0),COUNTIFS(ID4D!$AU$3:$AU$200,$AO33,ID4D!$AS$3:$AS$200,2))</f>
        <v>0</v>
      </c>
      <c r="BC33" s="628">
        <f t="shared" si="11"/>
        <v>0</v>
      </c>
      <c r="BD33" s="628">
        <f>IF($AV$1,COUNTIFS(ID4D!$HM$3:$HM$200,$AO33,ID4D!$IK$3:$IK$200,0),COUNTIF(ID4D!$HM$3:$HM$200,$AO33))</f>
        <v>1</v>
      </c>
      <c r="BE33" s="628">
        <f t="shared" si="12"/>
        <v>18</v>
      </c>
      <c r="BF33" s="628">
        <f>IF($AV$1,COUNTIFS(ID4D!$HU$3:$HU$200,$AO33,ID4D!$IK$3:$IK$200,0),COUNTIF(ID4D!$HU$3:$HU$200,$AO33))</f>
        <v>0</v>
      </c>
      <c r="BG33" s="628">
        <f t="shared" si="13"/>
        <v>24</v>
      </c>
      <c r="BJ33" s="617" t="str">
        <f>IF($CK$12,"Civil Identification Institutions (without small states)","Civil Identification Institutions")</f>
        <v>Civil Identification Institutions</v>
      </c>
      <c r="CV33" s="620"/>
      <c r="DQ33" t="str">
        <f>IF($ED$1,"ECA (30)","ECA (30)")</f>
        <v>ECA (30)</v>
      </c>
      <c r="DR33" s="736">
        <f t="shared" si="22"/>
        <v>1</v>
      </c>
      <c r="DS33" s="736">
        <f t="shared" si="23"/>
        <v>1</v>
      </c>
      <c r="DT33" s="736">
        <f t="shared" si="24"/>
        <v>13</v>
      </c>
      <c r="DU33" s="736">
        <f t="shared" si="25"/>
        <v>15</v>
      </c>
    </row>
    <row r="34" spans="20:129">
      <c r="T34" t="str">
        <f>IF($AV$1,"145 countries","168 countries")</f>
        <v>168 countries</v>
      </c>
      <c r="U34" s="435"/>
      <c r="AO34" s="628">
        <v>1990</v>
      </c>
      <c r="AP34" s="628">
        <f>IF($AV$1,COUNTIFS(ID4D!$K$3:$K$200,$AO34,ID4D!$IK$3:$IK$200,0),COUNTIF(ID4D!$K$3:$K$200,$AO34))</f>
        <v>2</v>
      </c>
      <c r="AQ34" s="628">
        <f t="shared" si="8"/>
        <v>176</v>
      </c>
      <c r="AR34" s="628">
        <f>IF($AV$1,COUNTIFS(ID4D!$R$3:$R$200,$AO34,ID4D!$IK$3:$IK$200,0),COUNTIF(ID4D!$R$3:$R$200,$AO34))</f>
        <v>1</v>
      </c>
      <c r="AS34" s="628">
        <f t="shared" si="5"/>
        <v>62</v>
      </c>
      <c r="AT34" s="628">
        <f>IF($AV$1,COUNTIFS(ID4D!$AE$3:$AE$200,$AO34,ID4D!$IK$3:$IK$200,0),COUNTIF(ID4D!$AE$3:$AE$200,$AO34))</f>
        <v>0</v>
      </c>
      <c r="AU34" s="628">
        <f t="shared" si="6"/>
        <v>0</v>
      </c>
      <c r="AV34" s="628">
        <f>IF($AV$1,COUNTIFS(ID4D!$AZ$3:$AZ$200,$AO34,ID4D!$IK$3:$IK$200,0),COUNTIF(ID4D!$AZ$3:$AZ$200,$AO34))</f>
        <v>1</v>
      </c>
      <c r="AW34" s="628">
        <f t="shared" si="9"/>
        <v>16</v>
      </c>
      <c r="AX34" s="628">
        <f>IF($AV$1,COUNTIFS(ID4D!$BD$3:$BD$200,$AO34,ID4D!$IK$3:$IK$200,0),COUNTIF(ID4D!$BD$3:$BD$200,$AO34))</f>
        <v>1</v>
      </c>
      <c r="AY34" s="628">
        <f t="shared" si="7"/>
        <v>29</v>
      </c>
      <c r="AZ34" s="628">
        <f>IF($AV$1,COUNTIFS(ID4D!$AZ$3:$AZ$200,$AO34,ID4D!$BB$3:$BB$200,2,ID4D!$IK$3:$IK$200,0),COUNTIFS(ID4D!$AZ$3:$AZ$200,$AO34,ID4D!$BB$3:$BB$200,2))</f>
        <v>1</v>
      </c>
      <c r="BA34" s="628">
        <f t="shared" si="10"/>
        <v>7</v>
      </c>
      <c r="BB34" s="628">
        <f>IF($AV$1,COUNTIFS(ID4D!$AU$3:$AU$200,$AO34,ID4D!$AS$3:$AS$200,2,ID4D!$IK$3:$IK$200,0),COUNTIFS(ID4D!$AU$3:$AU$200,$AO34,ID4D!$AS$3:$AS$200,2))</f>
        <v>0</v>
      </c>
      <c r="BC34" s="628">
        <f t="shared" si="11"/>
        <v>0</v>
      </c>
      <c r="BD34" s="628">
        <f>IF($AV$1,COUNTIFS(ID4D!$HM$3:$HM$200,$AO34,ID4D!$IK$3:$IK$200,0),COUNTIF(ID4D!$HM$3:$HM$200,$AO34))</f>
        <v>1</v>
      </c>
      <c r="BE34" s="628">
        <f t="shared" si="12"/>
        <v>19</v>
      </c>
      <c r="BF34" s="628">
        <f>IF($AV$1,COUNTIFS(ID4D!$HU$3:$HU$200,$AO34,ID4D!$IK$3:$IK$200,0),COUNTIF(ID4D!$HU$3:$HU$200,$AO34))</f>
        <v>1</v>
      </c>
      <c r="BG34" s="628">
        <f t="shared" si="13"/>
        <v>25</v>
      </c>
      <c r="BJ34" s="47" t="s">
        <v>4560</v>
      </c>
      <c r="BT34" s="47" t="s">
        <v>4561</v>
      </c>
      <c r="CV34" s="620"/>
      <c r="DQ34" t="str">
        <f>IF($ED$1,"LCR (23)","LCR (32)")</f>
        <v>LCR (32)</v>
      </c>
      <c r="DR34" s="736">
        <f t="shared" si="22"/>
        <v>1</v>
      </c>
      <c r="DS34" s="736">
        <f t="shared" si="23"/>
        <v>5</v>
      </c>
      <c r="DT34" s="736">
        <f t="shared" si="24"/>
        <v>8</v>
      </c>
      <c r="DU34" s="736">
        <f t="shared" si="25"/>
        <v>18</v>
      </c>
    </row>
    <row r="35" spans="20:129">
      <c r="T35" t="s">
        <v>4470</v>
      </c>
      <c r="U35" s="594">
        <f>IF($AV$1,SUMIFS(ID4D!$DO$3:$DO$200, ID4D!$D$3:$D$200,"&gt;A",ID4D!$IK$3:$IK$200,0),SUMIF(ID4D!$D$3:$D$200,"&gt;A",ID4D!$DO$3:$DO$200))</f>
        <v>303977.40995100007</v>
      </c>
      <c r="AO35" s="628">
        <v>1991</v>
      </c>
      <c r="AP35" s="628">
        <f>IF($AV$1,COUNTIFS(ID4D!$K$3:$K$200,$AO35,ID4D!$IK$3:$IK$200,0),COUNTIF(ID4D!$K$3:$K$200,$AO35))</f>
        <v>1</v>
      </c>
      <c r="AQ35" s="628">
        <f t="shared" si="8"/>
        <v>177</v>
      </c>
      <c r="AR35" s="628">
        <f>IF($AV$1,COUNTIFS(ID4D!$R$3:$R$200,$AO35,ID4D!$IK$3:$IK$200,0),COUNTIF(ID4D!$R$3:$R$200,$AO35))</f>
        <v>1</v>
      </c>
      <c r="AS35" s="628">
        <f t="shared" si="5"/>
        <v>63</v>
      </c>
      <c r="AT35" s="628">
        <f>IF($AV$1,COUNTIFS(ID4D!$AE$3:$AE$200,$AO35,ID4D!$IK$3:$IK$200,0),COUNTIF(ID4D!$AE$3:$AE$200,$AO35))</f>
        <v>0</v>
      </c>
      <c r="AU35" s="628">
        <f t="shared" si="6"/>
        <v>0</v>
      </c>
      <c r="AV35" s="628">
        <f>IF($AV$1,COUNTIFS(ID4D!$AZ$3:$AZ$200,$AO35,ID4D!$IK$3:$IK$200,0),COUNTIF(ID4D!$AZ$3:$AZ$200,$AO35))</f>
        <v>2</v>
      </c>
      <c r="AW35" s="628">
        <f t="shared" si="9"/>
        <v>18</v>
      </c>
      <c r="AX35" s="628">
        <f>IF($AV$1,COUNTIFS(ID4D!$BD$3:$BD$200,$AO35,ID4D!$IK$3:$IK$200,0),COUNTIF(ID4D!$BD$3:$BD$200,$AO35))</f>
        <v>2</v>
      </c>
      <c r="AY35" s="628">
        <f t="shared" si="7"/>
        <v>31</v>
      </c>
      <c r="AZ35" s="628">
        <f>IF($AV$1,COUNTIFS(ID4D!$AZ$3:$AZ$200,$AO35,ID4D!$BB$3:$BB$200,2,ID4D!$IK$3:$IK$200,0),COUNTIFS(ID4D!$AZ$3:$AZ$200,$AO35,ID4D!$BB$3:$BB$200,2))</f>
        <v>0</v>
      </c>
      <c r="BA35" s="628">
        <f t="shared" si="10"/>
        <v>7</v>
      </c>
      <c r="BB35" s="628">
        <f>IF($AV$1,COUNTIFS(ID4D!$AU$3:$AU$200,$AO35,ID4D!$AS$3:$AS$200,2,ID4D!$IK$3:$IK$200,0),COUNTIFS(ID4D!$AU$3:$AU$200,$AO35,ID4D!$AS$3:$AS$200,2))</f>
        <v>0</v>
      </c>
      <c r="BC35" s="628">
        <f t="shared" si="11"/>
        <v>0</v>
      </c>
      <c r="BD35" s="628">
        <f>IF($AV$1,COUNTIFS(ID4D!$HM$3:$HM$200,$AO35,ID4D!$IK$3:$IK$200,0),COUNTIF(ID4D!$HM$3:$HM$200,$AO35))</f>
        <v>1</v>
      </c>
      <c r="BE35" s="628">
        <f t="shared" si="12"/>
        <v>20</v>
      </c>
      <c r="BF35" s="628">
        <f>IF($AV$1,COUNTIFS(ID4D!$HU$3:$HU$200,$AO35,ID4D!$IK$3:$IK$200,0),COUNTIF(ID4D!$HU$3:$HU$200,$AO35))</f>
        <v>0</v>
      </c>
      <c r="BG35" s="628">
        <f t="shared" si="13"/>
        <v>25</v>
      </c>
      <c r="BJ35" s="597" t="s">
        <v>401</v>
      </c>
      <c r="BK35" s="598">
        <v>0</v>
      </c>
      <c r="BL35" s="599">
        <v>1</v>
      </c>
      <c r="BM35" s="599">
        <v>2</v>
      </c>
      <c r="BN35" s="632">
        <v>3</v>
      </c>
      <c r="BO35" s="599">
        <v>4</v>
      </c>
      <c r="BP35" s="632">
        <v>5</v>
      </c>
      <c r="BQ35" s="629">
        <v>6</v>
      </c>
      <c r="BR35" s="600" t="s">
        <v>4562</v>
      </c>
      <c r="BS35" s="33"/>
      <c r="BT35" s="597" t="s">
        <v>405</v>
      </c>
      <c r="BU35" s="598">
        <v>0</v>
      </c>
      <c r="BV35" s="599">
        <v>1</v>
      </c>
      <c r="BW35" s="599">
        <v>2</v>
      </c>
      <c r="BX35" s="632">
        <v>3</v>
      </c>
      <c r="BY35" s="599">
        <v>4</v>
      </c>
      <c r="BZ35" s="632">
        <v>5</v>
      </c>
      <c r="CA35" s="629">
        <v>6</v>
      </c>
      <c r="CB35" s="600" t="s">
        <v>4562</v>
      </c>
      <c r="CV35" s="620"/>
      <c r="DQ35" t="str">
        <f>IF($ED$1,"MNA (20)","MNA (21)")</f>
        <v>MNA (21)</v>
      </c>
      <c r="DR35" s="736">
        <f t="shared" si="22"/>
        <v>0</v>
      </c>
      <c r="DS35" s="736">
        <f t="shared" si="23"/>
        <v>3</v>
      </c>
      <c r="DT35" s="736">
        <f t="shared" si="24"/>
        <v>2</v>
      </c>
      <c r="DU35" s="736">
        <f t="shared" si="25"/>
        <v>16</v>
      </c>
    </row>
    <row r="36" spans="20:129">
      <c r="AO36" s="628">
        <v>1992</v>
      </c>
      <c r="AP36" s="628">
        <f>IF($AV$1,COUNTIFS(ID4D!$K$3:$K$200,$AO36,ID4D!$IK$3:$IK$200,0),COUNTIF(ID4D!$K$3:$K$200,$AO36))</f>
        <v>4</v>
      </c>
      <c r="AQ36" s="628">
        <f t="shared" si="8"/>
        <v>181</v>
      </c>
      <c r="AR36" s="628">
        <f>IF($AV$1,COUNTIFS(ID4D!$R$3:$R$200,$AO36,ID4D!$IK$3:$IK$200,0),COUNTIF(ID4D!$R$3:$R$200,$AO36))</f>
        <v>2</v>
      </c>
      <c r="AS36" s="628">
        <f t="shared" si="5"/>
        <v>65</v>
      </c>
      <c r="AT36" s="628">
        <f>IF($AV$1,COUNTIFS(ID4D!$AE$3:$AE$200,$AO36,ID4D!$IK$3:$IK$200,0),COUNTIF(ID4D!$AE$3:$AE$200,$AO36))</f>
        <v>0</v>
      </c>
      <c r="AU36" s="628">
        <f t="shared" si="6"/>
        <v>0</v>
      </c>
      <c r="AV36" s="628">
        <f>IF($AV$1,COUNTIFS(ID4D!$AZ$3:$AZ$200,$AO36,ID4D!$IK$3:$IK$200,0),COUNTIF(ID4D!$AZ$3:$AZ$200,$AO36))</f>
        <v>4</v>
      </c>
      <c r="AW36" s="628">
        <f t="shared" si="9"/>
        <v>22</v>
      </c>
      <c r="AX36" s="628">
        <f>IF($AV$1,COUNTIFS(ID4D!$BD$3:$BD$200,$AO36,ID4D!$IK$3:$IK$200,0),COUNTIF(ID4D!$BD$3:$BD$200,$AO36))</f>
        <v>1</v>
      </c>
      <c r="AY36" s="628">
        <f t="shared" si="7"/>
        <v>32</v>
      </c>
      <c r="AZ36" s="628">
        <f>IF($AV$1,COUNTIFS(ID4D!$AZ$3:$AZ$200,$AO36,ID4D!$BB$3:$BB$200,2,ID4D!$IK$3:$IK$200,0),COUNTIFS(ID4D!$AZ$3:$AZ$200,$AO36,ID4D!$BB$3:$BB$200,2))</f>
        <v>0</v>
      </c>
      <c r="BA36" s="628">
        <f t="shared" si="10"/>
        <v>7</v>
      </c>
      <c r="BB36" s="628">
        <f>IF($AV$1,COUNTIFS(ID4D!$AU$3:$AU$200,$AO36,ID4D!$AS$3:$AS$200,2,ID4D!$IK$3:$IK$200,0),COUNTIFS(ID4D!$AU$3:$AU$200,$AO36,ID4D!$AS$3:$AS$200,2))</f>
        <v>0</v>
      </c>
      <c r="BC36" s="628">
        <f t="shared" si="11"/>
        <v>0</v>
      </c>
      <c r="BD36" s="628">
        <f>IF($AV$1,COUNTIFS(ID4D!$HM$3:$HM$200,$AO36,ID4D!$IK$3:$IK$200,0),COUNTIF(ID4D!$HM$3:$HM$200,$AO36))</f>
        <v>6</v>
      </c>
      <c r="BE36" s="628">
        <f t="shared" si="12"/>
        <v>26</v>
      </c>
      <c r="BF36" s="628">
        <f>IF($AV$1,COUNTIFS(ID4D!$HU$3:$HU$200,$AO36,ID4D!$IK$3:$IK$200,0),COUNTIF(ID4D!$HU$3:$HU$200,$AO36))</f>
        <v>1</v>
      </c>
      <c r="BG36" s="628">
        <f t="shared" si="13"/>
        <v>26</v>
      </c>
      <c r="BJ36" s="602" t="s">
        <v>17</v>
      </c>
      <c r="BK36" s="39">
        <f>IF($CK$12,COUNTIFS(ID4D!$Q$3:$Q$200,BK$35,ID4D!$E$3:$E$200,$BJ36,ID4D!$IK$3:$IK$200,0),COUNTIFS(ID4D!$Q$3:$Q$200,BK$35,ID4D!$E$3:$E$200,$BJ36))</f>
        <v>9</v>
      </c>
      <c r="BL36" s="603">
        <f>IF($CK$12,COUNTIFS(ID4D!$Q$3:$Q$200,BL$35,ID4D!$E$3:$E$200,$BJ36,ID4D!$IK$3:$IK$200,0),COUNTIFS(ID4D!$Q$3:$Q$200,BL$35,ID4D!$E$3:$E$200,$BJ36))</f>
        <v>3</v>
      </c>
      <c r="BM36" s="603">
        <f>IF($CK$12,COUNTIFS(ID4D!$Q$3:$Q$200,BM$35,ID4D!$E$3:$E$200,$BJ36,ID4D!$IK$3:$IK$200,0),COUNTIFS(ID4D!$Q$3:$Q$200,BM$35,ID4D!$E$3:$E$200,$BJ36))</f>
        <v>33</v>
      </c>
      <c r="BN36" s="603">
        <f>IF($CK$12,COUNTIFS(ID4D!$Q$3:$Q$200,BN$35,ID4D!$E$3:$E$200,$BJ36,ID4D!$IK$3:$IK$200,0),COUNTIFS(ID4D!$Q$3:$Q$200,BN$35,ID4D!$E$3:$E$200,$BJ36))</f>
        <v>0</v>
      </c>
      <c r="BO36" s="603">
        <f>IF($CK$12,COUNTIFS(ID4D!$Q$3:$Q$200,BO$35,ID4D!$E$3:$E$200,$BJ36,ID4D!$IK$3:$IK$200,0),COUNTIFS(ID4D!$Q$3:$Q$200,BO$35,ID4D!$E$3:$E$200,$BJ36))</f>
        <v>2</v>
      </c>
      <c r="BP36" s="603">
        <f>IF($CK$12,COUNTIFS(ID4D!$Q$3:$Q$200,BP$35,ID4D!$E$3:$E$200,$BJ36,ID4D!$IK$3:$IK$200,0),COUNTIFS(ID4D!$Q$3:$Q$200,BP$35,ID4D!$E$3:$E$200,$BJ36))</f>
        <v>9</v>
      </c>
      <c r="BQ36" s="422">
        <f>IF($CK$12,COUNTIFS(ID4D!$Q$3:$Q$200,BQ$35,ID4D!$E$3:$E$200,$BJ36,ID4D!$IK$3:$IK$200,0),COUNTIFS(ID4D!$Q$3:$Q$200,BQ$35,ID4D!$E$3:$E$200,$BJ36))</f>
        <v>3</v>
      </c>
      <c r="BR36" s="8">
        <f>SUM(BK36:BQ36)</f>
        <v>59</v>
      </c>
      <c r="BS36" s="604"/>
      <c r="BT36" s="605" t="s">
        <v>406</v>
      </c>
      <c r="BU36" s="39">
        <f>IF($CK$12,COUNTIFS(ID4D!$Q$3:$Q$200,BU$35,ID4D!$D$3:$D$200,$BT36,ID4D!$IK$3:$IK$200,0),COUNTIFS(ID4D!$Q$3:$Q$200,BU$35,ID4D!$D$3:$D$200,$BT36))</f>
        <v>1</v>
      </c>
      <c r="BV36" s="603">
        <f>IF($CK$12,COUNTIFS(ID4D!$Q$3:$Q$200,BV$35,ID4D!$D$3:$D$200,$BT36,ID4D!$IK$3:$IK$200,0),COUNTIFS(ID4D!$Q$3:$Q$200,BV$35,ID4D!$D$3:$D$200,$BT36))</f>
        <v>8</v>
      </c>
      <c r="BW36" s="603">
        <f>IF($CK$12,COUNTIFS(ID4D!$Q$3:$Q$200,BW$35,ID4D!$D$3:$D$200,$BT36,ID4D!$IK$3:$IK$200,0),COUNTIFS(ID4D!$Q$3:$Q$200,BW$35,ID4D!$D$3:$D$200,$BT36))</f>
        <v>30</v>
      </c>
      <c r="BX36" s="603">
        <f>IF($CK$12,COUNTIFS(ID4D!$Q$3:$Q$200,BX$35,ID4D!$D$3:$D$200,$BT36,ID4D!$IK$3:$IK$200,0),COUNTIFS(ID4D!$Q$3:$Q$200,BX$35,ID4D!$D$3:$D$200,$BT36))</f>
        <v>0</v>
      </c>
      <c r="BY36" s="603">
        <f>IF($CK$12,COUNTIFS(ID4D!$Q$3:$Q$200,BY$35,ID4D!$D$3:$D$200,$BT36,ID4D!$IK$3:$IK$200,0),COUNTIFS(ID4D!$Q$3:$Q$200,BY$35,ID4D!$D$3:$D$200,$BT36))</f>
        <v>0</v>
      </c>
      <c r="BZ36" s="603">
        <f>IF($CK$12,COUNTIFS(ID4D!$Q$3:$Q$200,BZ$35,ID4D!$D$3:$D$200,$BT36,ID4D!$IK$3:$IK$200,0),COUNTIFS(ID4D!$Q$3:$Q$200,BZ$35,ID4D!$D$3:$D$200,$BT36))</f>
        <v>2</v>
      </c>
      <c r="CA36" s="422">
        <f>IF($CK$12,COUNTIFS(ID4D!$Q$3:$Q$200,CA$35,ID4D!$D$3:$D$200,$BT36,ID4D!$IK$3:$IK$200,0),COUNTIFS(ID4D!$Q$3:$Q$200,CA$35,ID4D!$D$3:$D$200,$BT36))</f>
        <v>7</v>
      </c>
      <c r="CB36" s="8">
        <f t="shared" ref="CB36:CB41" si="26">SUM(BU36:CA36)</f>
        <v>48</v>
      </c>
      <c r="CV36" s="620"/>
      <c r="DQ36" t="str">
        <f>IF($ED$1,"SAR (7)","SAR (8)")</f>
        <v>SAR (8)</v>
      </c>
      <c r="DR36" s="736">
        <f t="shared" si="22"/>
        <v>0</v>
      </c>
      <c r="DS36" s="736">
        <f t="shared" si="23"/>
        <v>1</v>
      </c>
      <c r="DT36" s="736">
        <f t="shared" si="24"/>
        <v>1</v>
      </c>
      <c r="DU36" s="736">
        <f t="shared" si="25"/>
        <v>6</v>
      </c>
    </row>
    <row r="37" spans="20:129">
      <c r="AO37" s="628">
        <v>1993</v>
      </c>
      <c r="AP37" s="628">
        <f>IF($AV$1,COUNTIFS(ID4D!$K$3:$K$200,$AO37,ID4D!$IK$3:$IK$200,0),COUNTIF(ID4D!$K$3:$K$200,$AO37))</f>
        <v>3</v>
      </c>
      <c r="AQ37" s="628">
        <f t="shared" si="8"/>
        <v>184</v>
      </c>
      <c r="AR37" s="628">
        <f>IF($AV$1,COUNTIFS(ID4D!$R$3:$R$200,$AO37,ID4D!$IK$3:$IK$200,0),COUNTIF(ID4D!$R$3:$R$200,$AO37))</f>
        <v>2</v>
      </c>
      <c r="AS37" s="628">
        <f t="shared" ref="AS37:AS60" si="27">AS36+AR37</f>
        <v>67</v>
      </c>
      <c r="AT37" s="628">
        <f>IF($AV$1,COUNTIFS(ID4D!$AE$3:$AE$200,$AO37,ID4D!$IK$3:$IK$200,0),COUNTIF(ID4D!$AE$3:$AE$200,$AO37))</f>
        <v>0</v>
      </c>
      <c r="AU37" s="628">
        <f t="shared" ref="AU37:AU60" si="28">AU36+AT37</f>
        <v>0</v>
      </c>
      <c r="AV37" s="628">
        <f>IF($AV$1,COUNTIFS(ID4D!$AZ$3:$AZ$200,$AO37,ID4D!$IK$3:$IK$200,0),COUNTIF(ID4D!$AZ$3:$AZ$200,$AO37))</f>
        <v>2</v>
      </c>
      <c r="AW37" s="628">
        <f t="shared" si="9"/>
        <v>24</v>
      </c>
      <c r="AX37" s="628">
        <f>IF($AV$1,COUNTIFS(ID4D!$BD$3:$BD$200,$AO37,ID4D!$IK$3:$IK$200,0),COUNTIF(ID4D!$BD$3:$BD$200,$AO37))</f>
        <v>4</v>
      </c>
      <c r="AY37" s="628">
        <f t="shared" ref="AY37:AY60" si="29">AY36+AX37</f>
        <v>36</v>
      </c>
      <c r="AZ37" s="628">
        <f>IF($AV$1,COUNTIFS(ID4D!$AZ$3:$AZ$200,$AO37,ID4D!$BB$3:$BB$200,2,ID4D!$IK$3:$IK$200,0),COUNTIFS(ID4D!$AZ$3:$AZ$200,$AO37,ID4D!$BB$3:$BB$200,2))</f>
        <v>0</v>
      </c>
      <c r="BA37" s="628">
        <f t="shared" si="10"/>
        <v>7</v>
      </c>
      <c r="BB37" s="628">
        <f>IF($AV$1,COUNTIFS(ID4D!$AU$3:$AU$200,$AO37,ID4D!$AS$3:$AS$200,2,ID4D!$IK$3:$IK$200,0),COUNTIFS(ID4D!$AU$3:$AU$200,$AO37,ID4D!$AS$3:$AS$200,2))</f>
        <v>0</v>
      </c>
      <c r="BC37" s="628">
        <f t="shared" si="11"/>
        <v>0</v>
      </c>
      <c r="BD37" s="628">
        <f>IF($AV$1,COUNTIFS(ID4D!$HM$3:$HM$200,$AO37,ID4D!$IK$3:$IK$200,0),COUNTIF(ID4D!$HM$3:$HM$200,$AO37))</f>
        <v>2</v>
      </c>
      <c r="BE37" s="628">
        <f t="shared" si="12"/>
        <v>28</v>
      </c>
      <c r="BF37" s="628">
        <f>IF($AV$1,COUNTIFS(ID4D!$HU$3:$HU$200,$AO37,ID4D!$IK$3:$IK$200,0),COUNTIF(ID4D!$HU$3:$HU$200,$AO37))</f>
        <v>1</v>
      </c>
      <c r="BG37" s="628">
        <f t="shared" si="13"/>
        <v>27</v>
      </c>
      <c r="BJ37" s="606" t="s">
        <v>12</v>
      </c>
      <c r="BK37" s="40">
        <f>IF($CK$12,COUNTIFS(ID4D!$Q$3:$Q$200,BK$35,ID4D!$E$3:$E$200,$BJ37,ID4D!$IK$3:$IK$200,0),COUNTIFS(ID4D!$Q$3:$Q$200,BK$35,ID4D!$E$3:$E$200,$BJ37))</f>
        <v>5</v>
      </c>
      <c r="BL37" s="355">
        <f>IF($CK$12,COUNTIFS(ID4D!$Q$3:$Q$200,BL$35,ID4D!$E$3:$E$200,$BJ37,ID4D!$IK$3:$IK$200,0),COUNTIFS(ID4D!$Q$3:$Q$200,BL$35,ID4D!$E$3:$E$200,$BJ37))</f>
        <v>4</v>
      </c>
      <c r="BM37" s="355">
        <f>IF($CK$12,COUNTIFS(ID4D!$Q$3:$Q$200,BM$35,ID4D!$E$3:$E$200,$BJ37,ID4D!$IK$3:$IK$200,0),COUNTIFS(ID4D!$Q$3:$Q$200,BM$35,ID4D!$E$3:$E$200,$BJ37))</f>
        <v>29</v>
      </c>
      <c r="BN37" s="355">
        <f>IF($CK$12,COUNTIFS(ID4D!$Q$3:$Q$200,BN$35,ID4D!$E$3:$E$200,$BJ37,ID4D!$IK$3:$IK$200,0),COUNTIFS(ID4D!$Q$3:$Q$200,BN$35,ID4D!$E$3:$E$200,$BJ37))</f>
        <v>0</v>
      </c>
      <c r="BO37" s="355">
        <f>IF($CK$12,COUNTIFS(ID4D!$Q$3:$Q$200,BO$35,ID4D!$E$3:$E$200,$BJ37,ID4D!$IK$3:$IK$200,0),COUNTIFS(ID4D!$Q$3:$Q$200,BO$35,ID4D!$E$3:$E$200,$BJ37))</f>
        <v>6</v>
      </c>
      <c r="BP37" s="355">
        <f>IF($CK$12,COUNTIFS(ID4D!$Q$3:$Q$200,BP$35,ID4D!$E$3:$E$200,$BJ37,ID4D!$IK$3:$IK$200,0),COUNTIFS(ID4D!$Q$3:$Q$200,BP$35,ID4D!$E$3:$E$200,$BJ37))</f>
        <v>0</v>
      </c>
      <c r="BQ37" s="423">
        <f>IF($CK$12,COUNTIFS(ID4D!$Q$3:$Q$200,BQ$35,ID4D!$E$3:$E$200,$BJ37,ID4D!$IK$3:$IK$200,0),COUNTIFS(ID4D!$Q$3:$Q$200,BQ$35,ID4D!$E$3:$E$200,$BJ37))</f>
        <v>11</v>
      </c>
      <c r="BR37" s="10">
        <f>SUM(BK37:BQ37)</f>
        <v>55</v>
      </c>
      <c r="BS37" s="604"/>
      <c r="BT37" s="607" t="s">
        <v>407</v>
      </c>
      <c r="BU37" s="40">
        <f>IF($CK$12,COUNTIFS(ID4D!$Q$3:$Q$200,BU$35,ID4D!$D$3:$D$200,$BT37,ID4D!$IK$3:$IK$200,0),COUNTIFS(ID4D!$Q$3:$Q$200,BU$35,ID4D!$D$3:$D$200,$BT37))</f>
        <v>7</v>
      </c>
      <c r="BV37" s="355">
        <f>IF($CK$12,COUNTIFS(ID4D!$Q$3:$Q$200,BV$35,ID4D!$D$3:$D$200,$BT37,ID4D!$IK$3:$IK$200,0),COUNTIFS(ID4D!$Q$3:$Q$200,BV$35,ID4D!$D$3:$D$200,$BT37))</f>
        <v>1</v>
      </c>
      <c r="BW37" s="355">
        <f>IF($CK$12,COUNTIFS(ID4D!$Q$3:$Q$200,BW$35,ID4D!$D$3:$D$200,$BT37,ID4D!$IK$3:$IK$200,0),COUNTIFS(ID4D!$Q$3:$Q$200,BW$35,ID4D!$D$3:$D$200,$BT37))</f>
        <v>13</v>
      </c>
      <c r="BX37" s="355">
        <f>IF($CK$12,COUNTIFS(ID4D!$Q$3:$Q$200,BX$35,ID4D!$D$3:$D$200,$BT37,ID4D!$IK$3:$IK$200,0),COUNTIFS(ID4D!$Q$3:$Q$200,BX$35,ID4D!$D$3:$D$200,$BT37))</f>
        <v>0</v>
      </c>
      <c r="BY37" s="355">
        <f>IF($CK$12,COUNTIFS(ID4D!$Q$3:$Q$200,BY$35,ID4D!$D$3:$D$200,$BT37,ID4D!$IK$3:$IK$200,0),COUNTIFS(ID4D!$Q$3:$Q$200,BY$35,ID4D!$D$3:$D$200,$BT37))</f>
        <v>1</v>
      </c>
      <c r="BZ37" s="355">
        <f>IF($CK$12,COUNTIFS(ID4D!$Q$3:$Q$200,BZ$35,ID4D!$D$3:$D$200,$BT37,ID4D!$IK$3:$IK$200,0),COUNTIFS(ID4D!$Q$3:$Q$200,BZ$35,ID4D!$D$3:$D$200,$BT37))</f>
        <v>1</v>
      </c>
      <c r="CA37" s="423">
        <f>IF($CK$12,COUNTIFS(ID4D!$Q$3:$Q$200,CA$35,ID4D!$D$3:$D$200,$BT37,ID4D!$IK$3:$IK$200,0),COUNTIFS(ID4D!$Q$3:$Q$200,CA$35,ID4D!$D$3:$D$200,$BT37))</f>
        <v>6</v>
      </c>
      <c r="CB37" s="10">
        <f t="shared" si="26"/>
        <v>29</v>
      </c>
      <c r="CV37" s="620"/>
    </row>
    <row r="38" spans="20:129">
      <c r="T38" s="91" t="s">
        <v>405</v>
      </c>
      <c r="U38" s="91" t="s">
        <v>6141</v>
      </c>
      <c r="AO38" s="628">
        <v>1994</v>
      </c>
      <c r="AP38" s="628">
        <f>IF($AV$1,COUNTIFS(ID4D!$K$3:$K$200,$AO38,ID4D!$IK$3:$IK$200,0),COUNTIF(ID4D!$K$3:$K$200,$AO38))</f>
        <v>0</v>
      </c>
      <c r="AQ38" s="628">
        <f t="shared" si="8"/>
        <v>184</v>
      </c>
      <c r="AR38" s="628">
        <f>IF($AV$1,COUNTIFS(ID4D!$R$3:$R$200,$AO38,ID4D!$IK$3:$IK$200,0),COUNTIF(ID4D!$R$3:$R$200,$AO38))</f>
        <v>4</v>
      </c>
      <c r="AS38" s="628">
        <f t="shared" si="27"/>
        <v>71</v>
      </c>
      <c r="AT38" s="628">
        <f>IF($AV$1,COUNTIFS(ID4D!$AE$3:$AE$200,$AO38,ID4D!$IK$3:$IK$200,0),COUNTIF(ID4D!$AE$3:$AE$200,$AO38))</f>
        <v>0</v>
      </c>
      <c r="AU38" s="628">
        <f t="shared" si="28"/>
        <v>0</v>
      </c>
      <c r="AV38" s="628">
        <f>IF($AV$1,COUNTIFS(ID4D!$AZ$3:$AZ$200,$AO38,ID4D!$IK$3:$IK$200,0),COUNTIF(ID4D!$AZ$3:$AZ$200,$AO38))</f>
        <v>6</v>
      </c>
      <c r="AW38" s="628">
        <f t="shared" si="9"/>
        <v>30</v>
      </c>
      <c r="AX38" s="628">
        <f>IF($AV$1,COUNTIFS(ID4D!$BD$3:$BD$200,$AO38,ID4D!$IK$3:$IK$200,0),COUNTIF(ID4D!$BD$3:$BD$200,$AO38))</f>
        <v>2</v>
      </c>
      <c r="AY38" s="628">
        <f t="shared" si="29"/>
        <v>38</v>
      </c>
      <c r="AZ38" s="628">
        <f>IF($AV$1,COUNTIFS(ID4D!$AZ$3:$AZ$200,$AO38,ID4D!$BB$3:$BB$200,2,ID4D!$IK$3:$IK$200,0),COUNTIFS(ID4D!$AZ$3:$AZ$200,$AO38,ID4D!$BB$3:$BB$200,2))</f>
        <v>1</v>
      </c>
      <c r="BA38" s="628">
        <f t="shared" si="10"/>
        <v>8</v>
      </c>
      <c r="BB38" s="628">
        <f>IF($AV$1,COUNTIFS(ID4D!$AU$3:$AU$200,$AO38,ID4D!$AS$3:$AS$200,2,ID4D!$IK$3:$IK$200,0),COUNTIFS(ID4D!$AU$3:$AU$200,$AO38,ID4D!$AS$3:$AS$200,2))</f>
        <v>0</v>
      </c>
      <c r="BC38" s="628">
        <f t="shared" si="11"/>
        <v>0</v>
      </c>
      <c r="BD38" s="628">
        <f>IF($AV$1,COUNTIFS(ID4D!$HM$3:$HM$200,$AO38,ID4D!$IK$3:$IK$200,0),COUNTIF(ID4D!$HM$3:$HM$200,$AO38))</f>
        <v>1</v>
      </c>
      <c r="BE38" s="628">
        <f t="shared" si="12"/>
        <v>29</v>
      </c>
      <c r="BF38" s="628">
        <f>IF($AV$1,COUNTIFS(ID4D!$HU$3:$HU$200,$AO38,ID4D!$IK$3:$IK$200,0),COUNTIF(ID4D!$HU$3:$HU$200,$AO38))</f>
        <v>2</v>
      </c>
      <c r="BG38" s="628">
        <f t="shared" si="13"/>
        <v>29</v>
      </c>
      <c r="BJ38" s="606" t="s">
        <v>20</v>
      </c>
      <c r="BK38" s="40">
        <f>IF($CK$12,COUNTIFS(ID4D!$Q$3:$Q$200,BK$35,ID4D!$E$3:$E$200,$BJ38,ID4D!$IK$3:$IK$200,0),COUNTIFS(ID4D!$Q$3:$Q$200,BK$35,ID4D!$E$3:$E$200,$BJ38))</f>
        <v>5</v>
      </c>
      <c r="BL38" s="355">
        <f>IF($CK$12,COUNTIFS(ID4D!$Q$3:$Q$200,BL$35,ID4D!$E$3:$E$200,$BJ38,ID4D!$IK$3:$IK$200,0),COUNTIFS(ID4D!$Q$3:$Q$200,BL$35,ID4D!$E$3:$E$200,$BJ38))</f>
        <v>2</v>
      </c>
      <c r="BM38" s="355">
        <f>IF($CK$12,COUNTIFS(ID4D!$Q$3:$Q$200,BM$35,ID4D!$E$3:$E$200,$BJ38,ID4D!$IK$3:$IK$200,0),COUNTIFS(ID4D!$Q$3:$Q$200,BM$35,ID4D!$E$3:$E$200,$BJ38))</f>
        <v>25</v>
      </c>
      <c r="BN38" s="355">
        <f>IF($CK$12,COUNTIFS(ID4D!$Q$3:$Q$200,BN$35,ID4D!$E$3:$E$200,$BJ38,ID4D!$IK$3:$IK$200,0),COUNTIFS(ID4D!$Q$3:$Q$200,BN$35,ID4D!$E$3:$E$200,$BJ38))</f>
        <v>0</v>
      </c>
      <c r="BO38" s="355">
        <f>IF($CK$12,COUNTIFS(ID4D!$Q$3:$Q$200,BO$35,ID4D!$E$3:$E$200,$BJ38,ID4D!$IK$3:$IK$200,0),COUNTIFS(ID4D!$Q$3:$Q$200,BO$35,ID4D!$E$3:$E$200,$BJ38))</f>
        <v>3</v>
      </c>
      <c r="BP38" s="355">
        <f>IF($CK$12,COUNTIFS(ID4D!$Q$3:$Q$200,BP$35,ID4D!$E$3:$E$200,$BJ38,ID4D!$IK$3:$IK$200,0),COUNTIFS(ID4D!$Q$3:$Q$200,BP$35,ID4D!$E$3:$E$200,$BJ38))</f>
        <v>3</v>
      </c>
      <c r="BQ38" s="423">
        <f>IF($CK$12,COUNTIFS(ID4D!$Q$3:$Q$200,BQ$35,ID4D!$E$3:$E$200,$BJ38,ID4D!$IK$3:$IK$200,0),COUNTIFS(ID4D!$Q$3:$Q$200,BQ$35,ID4D!$E$3:$E$200,$BJ38))</f>
        <v>12</v>
      </c>
      <c r="BR38" s="10">
        <f>SUM(BK38:BQ38)</f>
        <v>50</v>
      </c>
      <c r="BS38" s="604"/>
      <c r="BT38" s="607" t="s">
        <v>408</v>
      </c>
      <c r="BU38" s="40">
        <f>IF($CK$12,COUNTIFS(ID4D!$Q$3:$Q$200,BU$35,ID4D!$D$3:$D$200,$BT38,ID4D!$IK$3:$IK$200,0),COUNTIFS(ID4D!$Q$3:$Q$200,BU$35,ID4D!$D$3:$D$200,$BT38))</f>
        <v>1</v>
      </c>
      <c r="BV38" s="355">
        <f>IF($CK$12,COUNTIFS(ID4D!$Q$3:$Q$200,BV$35,ID4D!$D$3:$D$200,$BT38,ID4D!$IK$3:$IK$200,0),COUNTIFS(ID4D!$Q$3:$Q$200,BV$35,ID4D!$D$3:$D$200,$BT38))</f>
        <v>1</v>
      </c>
      <c r="BW38" s="355">
        <f>IF($CK$12,COUNTIFS(ID4D!$Q$3:$Q$200,BW$35,ID4D!$D$3:$D$200,$BT38,ID4D!$IK$3:$IK$200,0),COUNTIFS(ID4D!$Q$3:$Q$200,BW$35,ID4D!$D$3:$D$200,$BT38))</f>
        <v>24</v>
      </c>
      <c r="BX38" s="355">
        <f>IF($CK$12,COUNTIFS(ID4D!$Q$3:$Q$200,BX$35,ID4D!$D$3:$D$200,$BT38,ID4D!$IK$3:$IK$200,0),COUNTIFS(ID4D!$Q$3:$Q$200,BX$35,ID4D!$D$3:$D$200,$BT38))</f>
        <v>0</v>
      </c>
      <c r="BY38" s="355">
        <f>IF($CK$12,COUNTIFS(ID4D!$Q$3:$Q$200,BY$35,ID4D!$D$3:$D$200,$BT38,ID4D!$IK$3:$IK$200,0),COUNTIFS(ID4D!$Q$3:$Q$200,BY$35,ID4D!$D$3:$D$200,$BT38))</f>
        <v>0</v>
      </c>
      <c r="BZ38" s="355">
        <f>IF($CK$12,COUNTIFS(ID4D!$Q$3:$Q$200,BZ$35,ID4D!$D$3:$D$200,$BT38,ID4D!$IK$3:$IK$200,0),COUNTIFS(ID4D!$Q$3:$Q$200,BZ$35,ID4D!$D$3:$D$200,$BT38))</f>
        <v>2</v>
      </c>
      <c r="CA38" s="423">
        <f>IF($CK$12,COUNTIFS(ID4D!$Q$3:$Q$200,CA$35,ID4D!$D$3:$D$200,$BT38,ID4D!$IK$3:$IK$200,0),COUNTIFS(ID4D!$Q$3:$Q$200,CA$35,ID4D!$D$3:$D$200,$BT38))</f>
        <v>2</v>
      </c>
      <c r="CB38" s="10">
        <f t="shared" si="26"/>
        <v>30</v>
      </c>
      <c r="CV38" s="620"/>
    </row>
    <row r="39" spans="20:129">
      <c r="T39" t="str">
        <f>IF($AV$1,"AFR (45)","AFR (48)")</f>
        <v>AFR (48)</v>
      </c>
      <c r="U39" s="594">
        <f>IF($AV$1,SUMIFS(ID4D!$DD$3:$DD$200, ID4D!$D$3:$D$200,V39,ID4D!$IK$3:$IK$200,0),SUMIF(ID4D!$D$3:$D$200,V39,ID4D!$DD$3:$DD$200))</f>
        <v>437112.34599399997</v>
      </c>
      <c r="V39" s="596" t="s">
        <v>406</v>
      </c>
      <c r="AO39" s="628">
        <v>1995</v>
      </c>
      <c r="AP39" s="628">
        <f>IF($AV$1,COUNTIFS(ID4D!$K$3:$K$200,$AO39,ID4D!$IK$3:$IK$200,0),COUNTIF(ID4D!$K$3:$K$200,$AO39))</f>
        <v>1</v>
      </c>
      <c r="AQ39" s="628">
        <f t="shared" si="8"/>
        <v>185</v>
      </c>
      <c r="AR39" s="628">
        <f>IF($AV$1,COUNTIFS(ID4D!$R$3:$R$200,$AO39,ID4D!$IK$3:$IK$200,0),COUNTIF(ID4D!$R$3:$R$200,$AO39))</f>
        <v>3</v>
      </c>
      <c r="AS39" s="628">
        <f t="shared" si="27"/>
        <v>74</v>
      </c>
      <c r="AT39" s="628">
        <f>IF($AV$1,COUNTIFS(ID4D!$AE$3:$AE$200,$AO39,ID4D!$IK$3:$IK$200,0),COUNTIF(ID4D!$AE$3:$AE$200,$AO39))</f>
        <v>0</v>
      </c>
      <c r="AU39" s="628">
        <f t="shared" si="28"/>
        <v>0</v>
      </c>
      <c r="AV39" s="628">
        <f>IF($AV$1,COUNTIFS(ID4D!$AZ$3:$AZ$200,$AO39,ID4D!$IK$3:$IK$200,0),COUNTIF(ID4D!$AZ$3:$AZ$200,$AO39))</f>
        <v>5</v>
      </c>
      <c r="AW39" s="628">
        <f t="shared" si="9"/>
        <v>35</v>
      </c>
      <c r="AX39" s="628">
        <f>IF($AV$1,COUNTIFS(ID4D!$BD$3:$BD$200,$AO39,ID4D!$IK$3:$IK$200,0),COUNTIF(ID4D!$BD$3:$BD$200,$AO39))</f>
        <v>2</v>
      </c>
      <c r="AY39" s="628">
        <f t="shared" si="29"/>
        <v>40</v>
      </c>
      <c r="AZ39" s="628">
        <f>IF($AV$1,COUNTIFS(ID4D!$AZ$3:$AZ$200,$AO39,ID4D!$BB$3:$BB$200,2,ID4D!$IK$3:$IK$200,0),COUNTIFS(ID4D!$AZ$3:$AZ$200,$AO39,ID4D!$BB$3:$BB$200,2))</f>
        <v>3</v>
      </c>
      <c r="BA39" s="628">
        <f t="shared" si="10"/>
        <v>11</v>
      </c>
      <c r="BB39" s="628">
        <f>IF($AV$1,COUNTIFS(ID4D!$AU$3:$AU$200,$AO39,ID4D!$AS$3:$AS$200,2,ID4D!$IK$3:$IK$200,0),COUNTIFS(ID4D!$AU$3:$AU$200,$AO39,ID4D!$AS$3:$AS$200,2))</f>
        <v>0</v>
      </c>
      <c r="BC39" s="628">
        <f t="shared" si="11"/>
        <v>0</v>
      </c>
      <c r="BD39" s="628">
        <f>IF($AV$1,COUNTIFS(ID4D!$HM$3:$HM$200,$AO39,ID4D!$IK$3:$IK$200,0),COUNTIF(ID4D!$HM$3:$HM$200,$AO39))</f>
        <v>2</v>
      </c>
      <c r="BE39" s="628">
        <f t="shared" si="12"/>
        <v>31</v>
      </c>
      <c r="BF39" s="628">
        <f>IF($AV$1,COUNTIFS(ID4D!$HU$3:$HU$200,$AO39,ID4D!$IK$3:$IK$200,0),COUNTIF(ID4D!$HU$3:$HU$200,$AO39))</f>
        <v>0</v>
      </c>
      <c r="BG39" s="628">
        <f t="shared" si="13"/>
        <v>29</v>
      </c>
      <c r="BJ39" s="608" t="s">
        <v>9</v>
      </c>
      <c r="BK39" s="41">
        <f>IF($CK$12,COUNTIFS(ID4D!$Q$3:$Q$200,BK$35,ID4D!$E$3:$E$200,$BJ39,ID4D!$IK$3:$IK$200,0),COUNTIFS(ID4D!$Q$3:$Q$200,BK$35,ID4D!$E$3:$E$200,$BJ39))</f>
        <v>0</v>
      </c>
      <c r="BL39" s="36">
        <f>IF($CK$12,COUNTIFS(ID4D!$Q$3:$Q$200,BL$35,ID4D!$E$3:$E$200,$BJ39,ID4D!$IK$3:$IK$200,0),COUNTIFS(ID4D!$Q$3:$Q$200,BL$35,ID4D!$E$3:$E$200,$BJ39))</f>
        <v>6</v>
      </c>
      <c r="BM39" s="36">
        <f>IF($CK$12,COUNTIFS(ID4D!$Q$3:$Q$200,BM$35,ID4D!$E$3:$E$200,$BJ39,ID4D!$IK$3:$IK$200,0),COUNTIFS(ID4D!$Q$3:$Q$200,BM$35,ID4D!$E$3:$E$200,$BJ39))</f>
        <v>22</v>
      </c>
      <c r="BN39" s="36">
        <f>IF($CK$12,COUNTIFS(ID4D!$Q$3:$Q$200,BN$35,ID4D!$E$3:$E$200,$BJ39,ID4D!$IK$3:$IK$200,0),COUNTIFS(ID4D!$Q$3:$Q$200,BN$35,ID4D!$E$3:$E$200,$BJ39))</f>
        <v>0</v>
      </c>
      <c r="BO39" s="36">
        <f>IF($CK$12,COUNTIFS(ID4D!$Q$3:$Q$200,BO$35,ID4D!$E$3:$E$200,$BJ39,ID4D!$IK$3:$IK$200,0),COUNTIFS(ID4D!$Q$3:$Q$200,BO$35,ID4D!$E$3:$E$200,$BJ39))</f>
        <v>1</v>
      </c>
      <c r="BP39" s="36">
        <f>IF($CK$12,COUNTIFS(ID4D!$Q$3:$Q$200,BP$35,ID4D!$E$3:$E$200,$BJ39,ID4D!$IK$3:$IK$200,0),COUNTIFS(ID4D!$Q$3:$Q$200,BP$35,ID4D!$E$3:$E$200,$BJ39))</f>
        <v>1</v>
      </c>
      <c r="BQ39" s="425">
        <f>IF($CK$12,COUNTIFS(ID4D!$Q$3:$Q$200,BQ$35,ID4D!$E$3:$E$200,$BJ39,ID4D!$IK$3:$IK$200,0),COUNTIFS(ID4D!$Q$3:$Q$200,BQ$35,ID4D!$E$3:$E$200,$BJ39))</f>
        <v>4</v>
      </c>
      <c r="BR39" s="12">
        <f>SUM(BK39:BQ39)</f>
        <v>34</v>
      </c>
      <c r="BS39" s="604"/>
      <c r="BT39" s="607" t="s">
        <v>409</v>
      </c>
      <c r="BU39" s="40">
        <f>IF($CK$12,COUNTIFS(ID4D!$Q$3:$Q$200,BU$35,ID4D!$D$3:$D$200,$BT39,ID4D!$IK$3:$IK$200,0),COUNTIFS(ID4D!$Q$3:$Q$200,BU$35,ID4D!$D$3:$D$200,$BT39))</f>
        <v>2</v>
      </c>
      <c r="BV39" s="355">
        <f>IF($CK$12,COUNTIFS(ID4D!$Q$3:$Q$200,BV$35,ID4D!$D$3:$D$200,$BT39,ID4D!$IK$3:$IK$200,0),COUNTIFS(ID4D!$Q$3:$Q$200,BV$35,ID4D!$D$3:$D$200,$BT39))</f>
        <v>5</v>
      </c>
      <c r="BW39" s="355">
        <f>IF($CK$12,COUNTIFS(ID4D!$Q$3:$Q$200,BW$35,ID4D!$D$3:$D$200,$BT39,ID4D!$IK$3:$IK$200,0),COUNTIFS(ID4D!$Q$3:$Q$200,BW$35,ID4D!$D$3:$D$200,$BT39))</f>
        <v>8</v>
      </c>
      <c r="BX39" s="355">
        <f>IF($CK$12,COUNTIFS(ID4D!$Q$3:$Q$200,BX$35,ID4D!$D$3:$D$200,$BT39,ID4D!$IK$3:$IK$200,0),COUNTIFS(ID4D!$Q$3:$Q$200,BX$35,ID4D!$D$3:$D$200,$BT39))</f>
        <v>0</v>
      </c>
      <c r="BY39" s="355">
        <f>IF($CK$12,COUNTIFS(ID4D!$Q$3:$Q$200,BY$35,ID4D!$D$3:$D$200,$BT39,ID4D!$IK$3:$IK$200,0),COUNTIFS(ID4D!$Q$3:$Q$200,BY$35,ID4D!$D$3:$D$200,$BT39))</f>
        <v>10</v>
      </c>
      <c r="BZ39" s="355">
        <f>IF($CK$12,COUNTIFS(ID4D!$Q$3:$Q$200,BZ$35,ID4D!$D$3:$D$200,$BT39,ID4D!$IK$3:$IK$200,0),COUNTIFS(ID4D!$Q$3:$Q$200,BZ$35,ID4D!$D$3:$D$200,$BT39))</f>
        <v>1</v>
      </c>
      <c r="CA39" s="423">
        <f>IF($CK$12,COUNTIFS(ID4D!$Q$3:$Q$200,CA$35,ID4D!$D$3:$D$200,$BT39,ID4D!$IK$3:$IK$200,0),COUNTIFS(ID4D!$Q$3:$Q$200,CA$35,ID4D!$D$3:$D$200,$BT39))</f>
        <v>6</v>
      </c>
      <c r="CB39" s="10">
        <f t="shared" si="26"/>
        <v>32</v>
      </c>
      <c r="CV39" s="620"/>
      <c r="DQ39" s="53" t="s">
        <v>5189</v>
      </c>
      <c r="DR39" s="735" t="s">
        <v>5183</v>
      </c>
      <c r="DS39" s="735" t="s">
        <v>5177</v>
      </c>
      <c r="DT39" s="735" t="s">
        <v>5178</v>
      </c>
      <c r="DU39" s="735" t="s">
        <v>5179</v>
      </c>
      <c r="DV39" s="735" t="s">
        <v>5180</v>
      </c>
      <c r="DW39" s="735" t="s">
        <v>5181</v>
      </c>
      <c r="DX39" s="735" t="s">
        <v>5182</v>
      </c>
    </row>
    <row r="40" spans="20:129">
      <c r="T40" t="str">
        <f>IF($AV$1,"EAP (20)","EAP (29)")</f>
        <v>EAP (29)</v>
      </c>
      <c r="U40" s="594">
        <f>IF($AV$1,SUMIFS(ID4D!$DD$3:$DD$200, ID4D!$D$3:$D$200,V40,ID4D!$IK$3:$IK$200,0),SUMIF(ID4D!$D$3:$D$200,V40,ID4D!$DD$3:$DD$200))</f>
        <v>139258.93886700002</v>
      </c>
      <c r="V40" s="596" t="s">
        <v>407</v>
      </c>
      <c r="AO40" s="628">
        <v>1996</v>
      </c>
      <c r="AP40" s="628">
        <f>IF($AV$1,COUNTIFS(ID4D!$K$3:$K$200,$AO40,ID4D!$IK$3:$IK$200,0),COUNTIF(ID4D!$K$3:$K$200,$AO40))</f>
        <v>0</v>
      </c>
      <c r="AQ40" s="628">
        <f t="shared" si="8"/>
        <v>185</v>
      </c>
      <c r="AR40" s="628">
        <f>IF($AV$1,COUNTIFS(ID4D!$R$3:$R$200,$AO40,ID4D!$IK$3:$IK$200,0),COUNTIF(ID4D!$R$3:$R$200,$AO40))</f>
        <v>3</v>
      </c>
      <c r="AS40" s="628">
        <f t="shared" si="27"/>
        <v>77</v>
      </c>
      <c r="AT40" s="628">
        <f>IF($AV$1,COUNTIFS(ID4D!$AE$3:$AE$200,$AO40,ID4D!$IK$3:$IK$200,0),COUNTIF(ID4D!$AE$3:$AE$200,$AO40))</f>
        <v>0</v>
      </c>
      <c r="AU40" s="628">
        <f t="shared" si="28"/>
        <v>0</v>
      </c>
      <c r="AV40" s="628">
        <f>IF($AV$1,COUNTIFS(ID4D!$AZ$3:$AZ$200,$AO40,ID4D!$IK$3:$IK$200,0),COUNTIF(ID4D!$AZ$3:$AZ$200,$AO40))</f>
        <v>2</v>
      </c>
      <c r="AW40" s="628">
        <f t="shared" si="9"/>
        <v>37</v>
      </c>
      <c r="AX40" s="628">
        <f>IF($AV$1,COUNTIFS(ID4D!$BD$3:$BD$200,$AO40,ID4D!$IK$3:$IK$200,0),COUNTIF(ID4D!$BD$3:$BD$200,$AO40))</f>
        <v>4</v>
      </c>
      <c r="AY40" s="628">
        <f t="shared" si="29"/>
        <v>44</v>
      </c>
      <c r="AZ40" s="628">
        <f>IF($AV$1,COUNTIFS(ID4D!$AZ$3:$AZ$200,$AO40,ID4D!$BB$3:$BB$200,2,ID4D!$IK$3:$IK$200,0),COUNTIFS(ID4D!$AZ$3:$AZ$200,$AO40,ID4D!$BB$3:$BB$200,2))</f>
        <v>2</v>
      </c>
      <c r="BA40" s="628">
        <f t="shared" si="10"/>
        <v>13</v>
      </c>
      <c r="BB40" s="628">
        <f>IF($AV$1,COUNTIFS(ID4D!$AU$3:$AU$200,$AO40,ID4D!$AS$3:$AS$200,2,ID4D!$IK$3:$IK$200,0),COUNTIFS(ID4D!$AU$3:$AU$200,$AO40,ID4D!$AS$3:$AS$200,2))</f>
        <v>0</v>
      </c>
      <c r="BC40" s="628">
        <f t="shared" si="11"/>
        <v>0</v>
      </c>
      <c r="BD40" s="628">
        <f>IF($AV$1,COUNTIFS(ID4D!$HM$3:$HM$200,$AO40,ID4D!$IK$3:$IK$200,0),COUNTIF(ID4D!$HM$3:$HM$200,$AO40))</f>
        <v>3</v>
      </c>
      <c r="BE40" s="628">
        <f t="shared" si="12"/>
        <v>34</v>
      </c>
      <c r="BF40" s="628">
        <f>IF($AV$1,COUNTIFS(ID4D!$HU$3:$HU$200,$AO40,ID4D!$IK$3:$IK$200,0),COUNTIF(ID4D!$HU$3:$HU$200,$AO40))</f>
        <v>3</v>
      </c>
      <c r="BG40" s="628">
        <f t="shared" si="13"/>
        <v>32</v>
      </c>
      <c r="BJ40" s="609" t="s">
        <v>4562</v>
      </c>
      <c r="BK40" s="610">
        <f t="shared" ref="BK40:BR40" si="30">SUM(BK36:BK39)</f>
        <v>19</v>
      </c>
      <c r="BL40" s="611">
        <f t="shared" si="30"/>
        <v>15</v>
      </c>
      <c r="BM40" s="611">
        <f t="shared" si="30"/>
        <v>109</v>
      </c>
      <c r="BN40" s="633">
        <f t="shared" si="30"/>
        <v>0</v>
      </c>
      <c r="BO40" s="611">
        <f t="shared" si="30"/>
        <v>12</v>
      </c>
      <c r="BP40" s="633">
        <f t="shared" si="30"/>
        <v>13</v>
      </c>
      <c r="BQ40" s="630">
        <f t="shared" si="30"/>
        <v>30</v>
      </c>
      <c r="BR40" s="612">
        <f t="shared" si="30"/>
        <v>198</v>
      </c>
      <c r="BS40" s="530"/>
      <c r="BT40" s="613" t="s">
        <v>410</v>
      </c>
      <c r="BU40" s="614">
        <f>IF($CK$12,COUNTIFS(ID4D!$Q$3:$Q$200,BU$35,ID4D!$D$3:$D$200,$BT40,ID4D!$IK$3:$IK$200,0),COUNTIFS(ID4D!$Q$3:$Q$200,BU$35,ID4D!$D$3:$D$200,$BT40))</f>
        <v>0</v>
      </c>
      <c r="BV40" s="42">
        <f>IF($CK$12,COUNTIFS(ID4D!$Q$3:$Q$200,BV$35,ID4D!$D$3:$D$200,$BT40,ID4D!$IK$3:$IK$200,0),COUNTIFS(ID4D!$Q$3:$Q$200,BV$35,ID4D!$D$3:$D$200,$BT40))</f>
        <v>0</v>
      </c>
      <c r="BW40" s="42">
        <f>IF($CK$12,COUNTIFS(ID4D!$Q$3:$Q$200,BW$35,ID4D!$D$3:$D$200,$BT40,ID4D!$IK$3:$IK$200,0),COUNTIFS(ID4D!$Q$3:$Q$200,BW$35,ID4D!$D$3:$D$200,$BT40))</f>
        <v>16</v>
      </c>
      <c r="BX40" s="42">
        <f>IF($CK$12,COUNTIFS(ID4D!$Q$3:$Q$200,BX$35,ID4D!$D$3:$D$200,$BT40,ID4D!$IK$3:$IK$200,0),COUNTIFS(ID4D!$Q$3:$Q$200,BX$35,ID4D!$D$3:$D$200,$BT40))</f>
        <v>0</v>
      </c>
      <c r="BY40" s="42">
        <f>IF($CK$12,COUNTIFS(ID4D!$Q$3:$Q$200,BY$35,ID4D!$D$3:$D$200,$BT40,ID4D!$IK$3:$IK$200,0),COUNTIFS(ID4D!$Q$3:$Q$200,BY$35,ID4D!$D$3:$D$200,$BT40))</f>
        <v>0</v>
      </c>
      <c r="BZ40" s="42">
        <f>IF($CK$12,COUNTIFS(ID4D!$Q$3:$Q$200,BZ$35,ID4D!$D$3:$D$200,$BT40,ID4D!$IK$3:$IK$200,0),COUNTIFS(ID4D!$Q$3:$Q$200,BZ$35,ID4D!$D$3:$D$200,$BT40))</f>
        <v>2</v>
      </c>
      <c r="CA40" s="631">
        <f>IF($CK$12,COUNTIFS(ID4D!$Q$3:$Q$200,CA$35,ID4D!$D$3:$D$200,$BT40,ID4D!$IK$3:$IK$200,0),COUNTIFS(ID4D!$Q$3:$Q$200,CA$35,ID4D!$D$3:$D$200,$BT40))</f>
        <v>3</v>
      </c>
      <c r="CB40" s="522">
        <f t="shared" si="26"/>
        <v>21</v>
      </c>
      <c r="CV40" s="620"/>
      <c r="DQ40" t="s">
        <v>5190</v>
      </c>
      <c r="DR40" s="736">
        <f>IF($ED$1,COUNTIFS(ID4D!$GD$3:$GD$200,$DY40,ID4D!$AG$3:$AG$200,0,ID4D!$IK$3:$IK$200,0),COUNTIFS(ID4D!$GD$3:$GD$200,$DY40,ID4D!$AG$3:$AG$200,0))</f>
        <v>5</v>
      </c>
      <c r="DS40" s="736">
        <f>IF($ED$1,COUNTIFS(ID4D!$GD$3:$GD$200,$DY40,ID4D!$AG$3:$AG$200,1,ID4D!$U$3:$U$200,2,ID4D!$IK$3:$IK$200,0),COUNTIFS(ID4D!$GD$3:$GD$200,$DY40,ID4D!$AG$3:$AG$200,1,ID4D!$U$3:$U$200,2))</f>
        <v>14</v>
      </c>
      <c r="DT40" s="736">
        <f>IF($ED$1,COUNTIFS(ID4D!$GD$3:$GD$200,$DY40,ID4D!$AG$3:$AG$200,1,ID4D!$U$3:$U$200,1,ID4D!$IK$3:$IK$200,0),COUNTIFS(ID4D!$GD$3:$GD$200,$DY40,ID4D!$AG$3:$AG$200,1,ID4D!$U$3:$U$200,1))</f>
        <v>3</v>
      </c>
      <c r="DU40" s="736">
        <f>IF($ED$1,COUNTIFS(ID4D!$GD$3:$GD$200,$DY40,ID4D!$AG$3:$AG$200,"&gt;1",ID4D!$U$3:$U$200,2,ID4D!$IK$3:$IK$200,0),COUNTIFS(ID4D!$GD$3:$GD$200,$DY40,ID4D!$AG$3:$AG$200,"&gt;1",ID4D!$U$3:$U$200,2))</f>
        <v>24</v>
      </c>
      <c r="DV40" s="736">
        <f>IF($ED$1,COUNTIFS(ID4D!$GD$3:$GD$200,$DY40,ID4D!$AG$3:$AG$200,"&gt;1",ID4D!$U$3:$U$200,1,ID4D!$IK$3:$IK$200,0),COUNTIFS(ID4D!$GD$3:$GD$200,$DY40,ID4D!$AG$3:$AG$200,"&gt;1",ID4D!$U$3:$U$200,1))</f>
        <v>4</v>
      </c>
      <c r="DW40" s="736">
        <f>IF($ED$1,COUNTIFS(ID4D!$GD$3:$GD$200,$DY40,ID4D!$AG$3:$AG$200,"2B",ID4D!$U$3:$U$200,2,ID4D!$IK$3:$IK$200,0)+COUNTIFS(ID4D!$GD$3:$GD$200,$DY40,ID4D!$AG$3:$AG$200,"3B",ID4D!$U$3:$U$200,2,ID4D!$IK$3:$IK$200,0)+COUNTIFS(ID4D!$GD$3:$GD$200,$DY40,ID4D!$AG$3:$AG$200,"4B",ID4D!$U$3:$U$200,2,ID4D!$IK$3:$IK$200,0), COUNTIFS(ID4D!$GD$3:$GD$200,$DY40,ID4D!$AG$3:$AG$200,"2B",ID4D!$U$3:$U$200,2)+COUNTIFS(ID4D!$GD$3:$GD$200,$DY40,ID4D!$AG$3:$AG$200,"3B",ID4D!$U$3:$U$200,2)+COUNTIFS(ID4D!$GD$3:$GD$200,$DY40,ID4D!$AG$3:$AG$200,"4B",ID4D!$U$3:$U$200,2))</f>
        <v>56</v>
      </c>
      <c r="DX40" s="736">
        <f>IF($ED$1,COUNTIFS(ID4D!$GD$3:$GD$200,$DY40,ID4D!$AG$3:$AG$200,"2B",ID4D!$U$3:$U$200,1,ID4D!$IK$3:$IK$200,0)+COUNTIFS(ID4D!$GD$3:$GD$200,$DY40,ID4D!$AG$3:$AG$200,"3B",ID4D!$U$3:$U$200,1,ID4D!$IK$3:$IK$200,0)+COUNTIFS(ID4D!$GD$3:$GD$200,$DY40,ID4D!$AG$3:$AG$200,"4B",ID4D!$U$3:$U$200,1,ID4D!$IK$3:$IK$200,0), COUNTIFS(ID4D!$GD$3:$GD$200,$DY40,ID4D!$AG$3:$AG$200,"2B",ID4D!$U$3:$U$200,1)+COUNTIFS(ID4D!$GD$3:$GD$200,$DY40,ID4D!$AG$3:$AG$200,"3B",ID4D!$U$3:$U$200,1)+COUNTIFS(ID4D!$GD$3:$GD$200,$DY40,ID4D!$AG$3:$AG$200,"4B",ID4D!$U$3:$U$200,1))</f>
        <v>10</v>
      </c>
      <c r="DY40" s="742">
        <v>1</v>
      </c>
    </row>
    <row r="41" spans="20:129">
      <c r="T41" t="str">
        <f>IF($AV$1,"ECA (30)","ECA (30)")</f>
        <v>ECA (30)</v>
      </c>
      <c r="U41" s="594">
        <f>IF($AV$1,SUMIFS(ID4D!$DD$3:$DD$200, ID4D!$D$3:$D$200,V41,ID4D!$IK$3:$IK$200,0),SUMIF(ID4D!$D$3:$D$200,V41,ID4D!$DD$3:$DD$200))</f>
        <v>34323.979987999985</v>
      </c>
      <c r="V41" s="596" t="s">
        <v>408</v>
      </c>
      <c r="AO41" s="628">
        <v>1997</v>
      </c>
      <c r="AP41" s="628">
        <f>IF($AV$1,COUNTIFS(ID4D!$K$3:$K$200,$AO41,ID4D!$IK$3:$IK$200,0),COUNTIF(ID4D!$K$3:$K$200,$AO41))</f>
        <v>0</v>
      </c>
      <c r="AQ41" s="628">
        <f t="shared" si="8"/>
        <v>185</v>
      </c>
      <c r="AR41" s="628">
        <f>IF($AV$1,COUNTIFS(ID4D!$R$3:$R$200,$AO41,ID4D!$IK$3:$IK$200,0),COUNTIF(ID4D!$R$3:$R$200,$AO41))</f>
        <v>4</v>
      </c>
      <c r="AS41" s="628">
        <f t="shared" si="27"/>
        <v>81</v>
      </c>
      <c r="AT41" s="628">
        <f>IF($AV$1,COUNTIFS(ID4D!$AE$3:$AE$200,$AO41,ID4D!$IK$3:$IK$200,0),COUNTIF(ID4D!$AE$3:$AE$200,$AO41))</f>
        <v>0</v>
      </c>
      <c r="AU41" s="628">
        <f t="shared" si="28"/>
        <v>0</v>
      </c>
      <c r="AV41" s="628">
        <f>IF($AV$1,COUNTIFS(ID4D!$AZ$3:$AZ$200,$AO41,ID4D!$IK$3:$IK$200,0),COUNTIF(ID4D!$AZ$3:$AZ$200,$AO41))</f>
        <v>3</v>
      </c>
      <c r="AW41" s="628">
        <f t="shared" si="9"/>
        <v>40</v>
      </c>
      <c r="AX41" s="628">
        <f>IF($AV$1,COUNTIFS(ID4D!$BD$3:$BD$200,$AO41,ID4D!$IK$3:$IK$200,0),COUNTIF(ID4D!$BD$3:$BD$200,$AO41))</f>
        <v>2</v>
      </c>
      <c r="AY41" s="628">
        <f t="shared" si="29"/>
        <v>46</v>
      </c>
      <c r="AZ41" s="628">
        <f>IF($AV$1,COUNTIFS(ID4D!$AZ$3:$AZ$200,$AO41,ID4D!$BB$3:$BB$200,2,ID4D!$IK$3:$IK$200,0),COUNTIFS(ID4D!$AZ$3:$AZ$200,$AO41,ID4D!$BB$3:$BB$200,2))</f>
        <v>1</v>
      </c>
      <c r="BA41" s="628">
        <f t="shared" si="10"/>
        <v>14</v>
      </c>
      <c r="BB41" s="628">
        <f>IF($AV$1,COUNTIFS(ID4D!$AU$3:$AU$200,$AO41,ID4D!$AS$3:$AS$200,2,ID4D!$IK$3:$IK$200,0),COUNTIFS(ID4D!$AU$3:$AU$200,$AO41,ID4D!$AS$3:$AS$200,2))</f>
        <v>0</v>
      </c>
      <c r="BC41" s="628">
        <f t="shared" si="11"/>
        <v>0</v>
      </c>
      <c r="BD41" s="628">
        <f>IF($AV$1,COUNTIFS(ID4D!$HM$3:$HM$200,$AO41,ID4D!$IK$3:$IK$200,0),COUNTIF(ID4D!$HM$3:$HM$200,$AO41))</f>
        <v>3</v>
      </c>
      <c r="BE41" s="628">
        <f t="shared" si="12"/>
        <v>37</v>
      </c>
      <c r="BF41" s="628">
        <f>IF($AV$1,COUNTIFS(ID4D!$HU$3:$HU$200,$AO41,ID4D!$IK$3:$IK$200,0),COUNTIF(ID4D!$HU$3:$HU$200,$AO41))</f>
        <v>3</v>
      </c>
      <c r="BG41" s="628">
        <f t="shared" si="13"/>
        <v>35</v>
      </c>
      <c r="BJ41" s="354"/>
      <c r="BK41" s="615">
        <f>BK40/$BR$40</f>
        <v>9.5959595959595953E-2</v>
      </c>
      <c r="BL41" s="615">
        <f t="shared" ref="BL41:BQ41" si="31">BL40/$BR$40</f>
        <v>7.575757575757576E-2</v>
      </c>
      <c r="BM41" s="615">
        <f t="shared" si="31"/>
        <v>0.5505050505050505</v>
      </c>
      <c r="BN41" s="615">
        <f t="shared" si="31"/>
        <v>0</v>
      </c>
      <c r="BO41" s="615">
        <f t="shared" si="31"/>
        <v>6.0606060606060608E-2</v>
      </c>
      <c r="BP41" s="615">
        <f t="shared" si="31"/>
        <v>6.5656565656565663E-2</v>
      </c>
      <c r="BQ41" s="615">
        <f t="shared" si="31"/>
        <v>0.15151515151515152</v>
      </c>
      <c r="BR41" s="354"/>
      <c r="BS41" s="354"/>
      <c r="BT41" s="616" t="s">
        <v>411</v>
      </c>
      <c r="BU41" s="41">
        <f>IF($CK$12,COUNTIFS(ID4D!$Q$3:$Q$200,BU$35,ID4D!$D$3:$D$200,$BT41,ID4D!$IK$3:$IK$200,0),COUNTIFS(ID4D!$Q$3:$Q$200,BU$35,ID4D!$D$3:$D$200,$BT41))</f>
        <v>0</v>
      </c>
      <c r="BV41" s="36">
        <f>IF($CK$12,COUNTIFS(ID4D!$Q$3:$Q$200,BV$35,ID4D!$D$3:$D$200,$BT41,ID4D!$IK$3:$IK$200,0),COUNTIFS(ID4D!$Q$3:$Q$200,BV$35,ID4D!$D$3:$D$200,$BT41))</f>
        <v>0</v>
      </c>
      <c r="BW41" s="36">
        <f>IF($CK$12,COUNTIFS(ID4D!$Q$3:$Q$200,BW$35,ID4D!$D$3:$D$200,$BT41,ID4D!$IK$3:$IK$200,0),COUNTIFS(ID4D!$Q$3:$Q$200,BW$35,ID4D!$D$3:$D$200,$BT41))</f>
        <v>4</v>
      </c>
      <c r="BX41" s="36">
        <f>IF($CK$12,COUNTIFS(ID4D!$Q$3:$Q$200,BX$35,ID4D!$D$3:$D$200,$BT41,ID4D!$IK$3:$IK$200,0),COUNTIFS(ID4D!$Q$3:$Q$200,BX$35,ID4D!$D$3:$D$200,$BT41))</f>
        <v>0</v>
      </c>
      <c r="BY41" s="36">
        <f>IF($CK$12,COUNTIFS(ID4D!$Q$3:$Q$200,BY$35,ID4D!$D$3:$D$200,$BT41,ID4D!$IK$3:$IK$200,0),COUNTIFS(ID4D!$Q$3:$Q$200,BY$35,ID4D!$D$3:$D$200,$BT41))</f>
        <v>1</v>
      </c>
      <c r="BZ41" s="36">
        <f>IF($CK$12,COUNTIFS(ID4D!$Q$3:$Q$200,BZ$35,ID4D!$D$3:$D$200,$BT41,ID4D!$IK$3:$IK$200,0),COUNTIFS(ID4D!$Q$3:$Q$200,BZ$35,ID4D!$D$3:$D$200,$BT41))</f>
        <v>0</v>
      </c>
      <c r="CA41" s="425">
        <f>IF($CK$12,COUNTIFS(ID4D!$Q$3:$Q$200,CA$35,ID4D!$D$3:$D$200,$BT41,ID4D!$IK$3:$IK$200,0),COUNTIFS(ID4D!$Q$3:$Q$200,CA$35,ID4D!$D$3:$D$200,$BT41))</f>
        <v>3</v>
      </c>
      <c r="CB41" s="12">
        <f t="shared" si="26"/>
        <v>8</v>
      </c>
      <c r="CV41" s="620"/>
      <c r="DQ41" t="s">
        <v>5191</v>
      </c>
      <c r="DR41" s="736">
        <f>IF($ED$1,COUNTIFS(ID4D!$GD$3:$GD$200,$DY41,ID4D!$AG$3:$AG$200,0,ID4D!$IK$3:$IK$200,0),COUNTIFS(ID4D!$GD$3:$GD$200,$DY41,ID4D!$AG$3:$AG$200,0))</f>
        <v>12</v>
      </c>
      <c r="DS41" s="736">
        <f>IF($ED$1,COUNTIFS(ID4D!$GD$3:$GD$200,$DY41,ID4D!$AG$3:$AG$200,1,ID4D!$U$3:$U$200,2,ID4D!$IK$3:$IK$200,0),COUNTIFS(ID4D!$GD$3:$GD$200,$DY41,ID4D!$AG$3:$AG$200,1,ID4D!$U$3:$U$200,2))</f>
        <v>8</v>
      </c>
      <c r="DT41" s="736">
        <f>IF($ED$1,COUNTIFS(ID4D!$GD$3:$GD$200,$DY41,ID4D!$AG$3:$AG$200,1,ID4D!$U$3:$U$200,1,ID4D!$IK$3:$IK$200,0),COUNTIFS(ID4D!$GD$3:$GD$200,$DY41,ID4D!$AG$3:$AG$200,1,ID4D!$U$3:$U$200,1))</f>
        <v>4</v>
      </c>
      <c r="DU41" s="736">
        <f>IF($ED$1,COUNTIFS(ID4D!$GD$3:$GD$200,$DY41,ID4D!$AG$3:$AG$200,"&gt;1",ID4D!$U$3:$U$200,2,ID4D!$IK$3:$IK$200,0),COUNTIFS(ID4D!$GD$3:$GD$200,$DY41,ID4D!$AG$3:$AG$200,"&gt;1",ID4D!$U$3:$U$200,2))</f>
        <v>3</v>
      </c>
      <c r="DV41" s="736">
        <f>IF($ED$1,COUNTIFS(ID4D!$GD$3:$GD$200,$DY41,ID4D!$AG$3:$AG$200,"&gt;1",ID4D!$U$3:$U$200,1,ID4D!$IK$3:$IK$200,0),COUNTIFS(ID4D!$GD$3:$GD$200,$DY41,ID4D!$AG$3:$AG$200,"&gt;1",ID4D!$U$3:$U$200,1))</f>
        <v>3</v>
      </c>
      <c r="DW41" s="736">
        <f>IF($ED$1,COUNTIFS(ID4D!$GD$3:$GD$200,$DY41,ID4D!$AG$3:$AG$200,"2B",ID4D!$U$3:$U$200,2,ID4D!$IK$3:$IK$200,0)+COUNTIFS(ID4D!$GD$3:$GD$200,$DY41,ID4D!$AG$3:$AG$200,"3B",ID4D!$U$3:$U$200,2,ID4D!$IK$3:$IK$200,0)+COUNTIFS(ID4D!$GD$3:$GD$200,$DY41,ID4D!$AG$3:$AG$200,"4B",ID4D!$U$3:$U$200,2,ID4D!$IK$3:$IK$200,0), COUNTIFS(ID4D!$GD$3:$GD$200,$DY41,ID4D!$AG$3:$AG$200,"2B",ID4D!$U$3:$U$200,2)+COUNTIFS(ID4D!$GD$3:$GD$200,$DY41,ID4D!$AG$3:$AG$200,"3B",ID4D!$U$3:$U$200,2)+COUNTIFS(ID4D!$GD$3:$GD$200,$DY41,ID4D!$AG$3:$AG$200,"4B",ID4D!$U$3:$U$200,2))</f>
        <v>22</v>
      </c>
      <c r="DX41" s="736">
        <f>IF($ED$1,COUNTIFS(ID4D!$GD$3:$GD$200,$DY41,ID4D!$AG$3:$AG$200,"2B",ID4D!$U$3:$U$200,1,ID4D!$IK$3:$IK$200,0)+COUNTIFS(ID4D!$GD$3:$GD$200,$DY41,ID4D!$AG$3:$AG$200,"3B",ID4D!$U$3:$U$200,1,ID4D!$IK$3:$IK$200,0)+COUNTIFS(ID4D!$GD$3:$GD$200,$DY41,ID4D!$AG$3:$AG$200,"4B",ID4D!$U$3:$U$200,1,ID4D!$IK$3:$IK$200,0), COUNTIFS(ID4D!$GD$3:$GD$200,$DY41,ID4D!$AG$3:$AG$200,"2B",ID4D!$U$3:$U$200,1)+COUNTIFS(ID4D!$GD$3:$GD$200,$DY41,ID4D!$AG$3:$AG$200,"3B",ID4D!$U$3:$U$200,1)+COUNTIFS(ID4D!$GD$3:$GD$200,$DY41,ID4D!$AG$3:$AG$200,"4B",ID4D!$U$3:$U$200,1))</f>
        <v>3</v>
      </c>
      <c r="DY41" s="742">
        <v>2</v>
      </c>
    </row>
    <row r="42" spans="20:129">
      <c r="T42" t="str">
        <f>IF($AV$1,"LCR (23)","LCR (32)")</f>
        <v>LCR (32)</v>
      </c>
      <c r="U42" s="594">
        <f>IF($AV$1,SUMIFS(ID4D!$DD$3:$DD$200, ID4D!$D$3:$D$200,V42,ID4D!$IK$3:$IK$200,0),SUMIF(ID4D!$D$3:$D$200,V42,ID4D!$DD$3:$DD$200))</f>
        <v>65901.570066999993</v>
      </c>
      <c r="V42" s="596" t="s">
        <v>409</v>
      </c>
      <c r="AO42" s="628">
        <v>1998</v>
      </c>
      <c r="AP42" s="628">
        <f>IF($AV$1,COUNTIFS(ID4D!$K$3:$K$200,$AO42,ID4D!$IK$3:$IK$200,0),COUNTIF(ID4D!$K$3:$K$200,$AO42))</f>
        <v>0</v>
      </c>
      <c r="AQ42" s="628">
        <f t="shared" si="8"/>
        <v>185</v>
      </c>
      <c r="AR42" s="628">
        <f>IF($AV$1,COUNTIFS(ID4D!$R$3:$R$200,$AO42,ID4D!$IK$3:$IK$200,0),COUNTIF(ID4D!$R$3:$R$200,$AO42))</f>
        <v>1</v>
      </c>
      <c r="AS42" s="628">
        <f t="shared" si="27"/>
        <v>82</v>
      </c>
      <c r="AT42" s="628">
        <f>IF($AV$1,COUNTIFS(ID4D!$AE$3:$AE$200,$AO42,ID4D!$IK$3:$IK$200,0),COUNTIF(ID4D!$AE$3:$AE$200,$AO42))</f>
        <v>1</v>
      </c>
      <c r="AU42" s="628">
        <f t="shared" si="28"/>
        <v>1</v>
      </c>
      <c r="AV42" s="628">
        <f>IF($AV$1,COUNTIFS(ID4D!$AZ$3:$AZ$200,$AO42,ID4D!$IK$3:$IK$200,0),COUNTIF(ID4D!$AZ$3:$AZ$200,$AO42))</f>
        <v>0</v>
      </c>
      <c r="AW42" s="628">
        <f t="shared" si="9"/>
        <v>40</v>
      </c>
      <c r="AX42" s="628">
        <f>IF($AV$1,COUNTIFS(ID4D!$BD$3:$BD$200,$AO42,ID4D!$IK$3:$IK$200,0),COUNTIF(ID4D!$BD$3:$BD$200,$AO42))</f>
        <v>2</v>
      </c>
      <c r="AY42" s="628">
        <f t="shared" si="29"/>
        <v>48</v>
      </c>
      <c r="AZ42" s="628">
        <f>IF($AV$1,COUNTIFS(ID4D!$AZ$3:$AZ$200,$AO42,ID4D!$BB$3:$BB$200,2,ID4D!$IK$3:$IK$200,0),COUNTIFS(ID4D!$AZ$3:$AZ$200,$AO42,ID4D!$BB$3:$BB$200,2))</f>
        <v>0</v>
      </c>
      <c r="BA42" s="628">
        <f t="shared" si="10"/>
        <v>14</v>
      </c>
      <c r="BB42" s="628">
        <f>IF($AV$1,COUNTIFS(ID4D!$AU$3:$AU$200,$AO42,ID4D!$AS$3:$AS$200,2,ID4D!$IK$3:$IK$200,0),COUNTIFS(ID4D!$AU$3:$AU$200,$AO42,ID4D!$AS$3:$AS$200,2))</f>
        <v>0</v>
      </c>
      <c r="BC42" s="628">
        <f t="shared" si="11"/>
        <v>0</v>
      </c>
      <c r="BD42" s="628">
        <f>IF($AV$1,COUNTIFS(ID4D!$HM$3:$HM$200,$AO42,ID4D!$IK$3:$IK$200,0),COUNTIF(ID4D!$HM$3:$HM$200,$AO42))</f>
        <v>1</v>
      </c>
      <c r="BE42" s="628">
        <f t="shared" si="12"/>
        <v>38</v>
      </c>
      <c r="BF42" s="628">
        <f>IF($AV$1,COUNTIFS(ID4D!$HU$3:$HU$200,$AO42,ID4D!$IK$3:$IK$200,0),COUNTIF(ID4D!$HU$3:$HU$200,$AO42))</f>
        <v>2</v>
      </c>
      <c r="BG42" s="628">
        <f t="shared" si="13"/>
        <v>37</v>
      </c>
      <c r="BK42" s="57"/>
      <c r="BT42" s="609" t="s">
        <v>4562</v>
      </c>
      <c r="BU42" s="610">
        <f t="shared" ref="BU42:CB42" si="32">SUM(BU36:BU41)</f>
        <v>11</v>
      </c>
      <c r="BV42" s="611">
        <f t="shared" si="32"/>
        <v>15</v>
      </c>
      <c r="BW42" s="611">
        <f t="shared" si="32"/>
        <v>95</v>
      </c>
      <c r="BX42" s="633">
        <f t="shared" si="32"/>
        <v>0</v>
      </c>
      <c r="BY42" s="611">
        <f t="shared" si="32"/>
        <v>12</v>
      </c>
      <c r="BZ42" s="633">
        <f t="shared" si="32"/>
        <v>8</v>
      </c>
      <c r="CA42" s="630">
        <f t="shared" si="32"/>
        <v>27</v>
      </c>
      <c r="CB42" s="612">
        <f t="shared" si="32"/>
        <v>168</v>
      </c>
      <c r="CV42" s="620"/>
      <c r="DQ42" t="s">
        <v>5192</v>
      </c>
      <c r="DR42" s="736">
        <f>IF($ED$1,COUNTIFS(ID4D!$GD$3:$GD$200,$DY42,ID4D!$AG$3:$AG$200,0,ID4D!$IK$3:$IK$200,0),COUNTIFS(ID4D!$GD$3:$GD$200,$DY42,ID4D!$AG$3:$AG$200,0))</f>
        <v>0</v>
      </c>
      <c r="DS42" s="736">
        <f>IF($ED$1,COUNTIFS(ID4D!$GD$3:$GD$200,$DY42,ID4D!$AG$3:$AG$200,1,ID4D!$U$3:$U$200,2,ID4D!$IK$3:$IK$200,0),COUNTIFS(ID4D!$GD$3:$GD$200,$DY42,ID4D!$AG$3:$AG$200,1,ID4D!$U$3:$U$200,2))</f>
        <v>3</v>
      </c>
      <c r="DT42" s="736">
        <f>IF($ED$1,COUNTIFS(ID4D!$GD$3:$GD$200,$DY42,ID4D!$AG$3:$AG$200,1,ID4D!$U$3:$U$200,1,ID4D!$IK$3:$IK$200,0),COUNTIFS(ID4D!$GD$3:$GD$200,$DY42,ID4D!$AG$3:$AG$200,1,ID4D!$U$3:$U$200,1))</f>
        <v>1</v>
      </c>
      <c r="DU42" s="736">
        <f>IF($ED$1,COUNTIFS(ID4D!$GD$3:$GD$200,$DY42,ID4D!$AG$3:$AG$200,"&gt;1",ID4D!$U$3:$U$200,2,ID4D!$IK$3:$IK$200,0),COUNTIFS(ID4D!$GD$3:$GD$200,$DY42,ID4D!$AG$3:$AG$200,"&gt;1",ID4D!$U$3:$U$200,2))</f>
        <v>3</v>
      </c>
      <c r="DV42" s="736">
        <f>IF($ED$1,COUNTIFS(ID4D!$GD$3:$GD$200,$DY42,ID4D!$AG$3:$AG$200,"&gt;1",ID4D!$U$3:$U$200,1,ID4D!$IK$3:$IK$200,0),COUNTIFS(ID4D!$GD$3:$GD$200,$DY42,ID4D!$AG$3:$AG$200,"&gt;1",ID4D!$U$3:$U$200,1))</f>
        <v>0</v>
      </c>
      <c r="DW42" s="736">
        <f>IF($ED$1,COUNTIFS(ID4D!$GD$3:$GD$200,$DY42,ID4D!$AG$3:$AG$200,"2B",ID4D!$U$3:$U$200,2,ID4D!$IK$3:$IK$200,0)+COUNTIFS(ID4D!$GD$3:$GD$200,$DY42,ID4D!$AG$3:$AG$200,"3B",ID4D!$U$3:$U$200,2,ID4D!$IK$3:$IK$200,0)+COUNTIFS(ID4D!$GD$3:$GD$200,$DY42,ID4D!$AG$3:$AG$200,"4B",ID4D!$U$3:$U$200,2,ID4D!$IK$3:$IK$200,0), COUNTIFS(ID4D!$GD$3:$GD$200,$DY42,ID4D!$AG$3:$AG$200,"2B",ID4D!$U$3:$U$200,2)+COUNTIFS(ID4D!$GD$3:$GD$200,$DY42,ID4D!$AG$3:$AG$200,"3B",ID4D!$U$3:$U$200,2)+COUNTIFS(ID4D!$GD$3:$GD$200,$DY42,ID4D!$AG$3:$AG$200,"4B",ID4D!$U$3:$U$200,2))</f>
        <v>19</v>
      </c>
      <c r="DX42" s="736">
        <f>IF($ED$1,COUNTIFS(ID4D!$GD$3:$GD$200,$DY42,ID4D!$AG$3:$AG$200,"2B",ID4D!$U$3:$U$200,1,ID4D!$IK$3:$IK$200,0)+COUNTIFS(ID4D!$GD$3:$GD$200,$DY42,ID4D!$AG$3:$AG$200,"3B",ID4D!$U$3:$U$200,1,ID4D!$IK$3:$IK$200,0)+COUNTIFS(ID4D!$GD$3:$GD$200,$DY42,ID4D!$AG$3:$AG$200,"4B",ID4D!$U$3:$U$200,1,ID4D!$IK$3:$IK$200,0), COUNTIFS(ID4D!$GD$3:$GD$200,$DY42,ID4D!$AG$3:$AG$200,"2B",ID4D!$U$3:$U$200,1)+COUNTIFS(ID4D!$GD$3:$GD$200,$DY42,ID4D!$AG$3:$AG$200,"3B",ID4D!$U$3:$U$200,1)+COUNTIFS(ID4D!$GD$3:$GD$200,$DY42,ID4D!$AG$3:$AG$200,"4B",ID4D!$U$3:$U$200,1))</f>
        <v>1</v>
      </c>
      <c r="DY42" s="742">
        <v>3</v>
      </c>
    </row>
    <row r="43" spans="20:129">
      <c r="T43" t="str">
        <f>IF($AV$1,"MNA (20)","MNA (21)")</f>
        <v>MNA (21)</v>
      </c>
      <c r="U43" s="594">
        <f>IF($AV$1,SUMIFS(ID4D!$DD$3:$DD$200, ID4D!$D$3:$D$200,V43,ID4D!$IK$3:$IK$200,0),SUMIF(ID4D!$D$3:$D$200,V43,ID4D!$DD$3:$DD$200))</f>
        <v>97724.23273399999</v>
      </c>
      <c r="V43" s="596" t="s">
        <v>410</v>
      </c>
      <c r="AO43" s="628">
        <v>1999</v>
      </c>
      <c r="AP43" s="628">
        <f>IF($AV$1,COUNTIFS(ID4D!$K$3:$K$200,$AO43,ID4D!$IK$3:$IK$200,0),COUNTIF(ID4D!$K$3:$K$200,$AO43))</f>
        <v>0</v>
      </c>
      <c r="AQ43" s="628">
        <f t="shared" si="8"/>
        <v>185</v>
      </c>
      <c r="AR43" s="628">
        <f>IF($AV$1,COUNTIFS(ID4D!$R$3:$R$200,$AO43,ID4D!$IK$3:$IK$200,0),COUNTIF(ID4D!$R$3:$R$200,$AO43))</f>
        <v>9</v>
      </c>
      <c r="AS43" s="628">
        <f t="shared" si="27"/>
        <v>91</v>
      </c>
      <c r="AT43" s="628">
        <f>IF($AV$1,COUNTIFS(ID4D!$AE$3:$AE$200,$AO43,ID4D!$IK$3:$IK$200,0),COUNTIF(ID4D!$AE$3:$AE$200,$AO43))</f>
        <v>1</v>
      </c>
      <c r="AU43" s="628">
        <f t="shared" si="28"/>
        <v>2</v>
      </c>
      <c r="AV43" s="628">
        <f>IF($AV$1,COUNTIFS(ID4D!$AZ$3:$AZ$200,$AO43,ID4D!$IK$3:$IK$200,0),COUNTIF(ID4D!$AZ$3:$AZ$200,$AO43))</f>
        <v>4</v>
      </c>
      <c r="AW43" s="628">
        <f t="shared" si="9"/>
        <v>44</v>
      </c>
      <c r="AX43" s="628">
        <f>IF($AV$1,COUNTIFS(ID4D!$BD$3:$BD$200,$AO43,ID4D!$IK$3:$IK$200,0),COUNTIF(ID4D!$BD$3:$BD$200,$AO43))</f>
        <v>0</v>
      </c>
      <c r="AY43" s="628">
        <f t="shared" si="29"/>
        <v>48</v>
      </c>
      <c r="AZ43" s="628">
        <f>IF($AV$1,COUNTIFS(ID4D!$AZ$3:$AZ$200,$AO43,ID4D!$BB$3:$BB$200,2,ID4D!$IK$3:$IK$200,0),COUNTIFS(ID4D!$AZ$3:$AZ$200,$AO43,ID4D!$BB$3:$BB$200,2))</f>
        <v>1</v>
      </c>
      <c r="BA43" s="628">
        <f t="shared" si="10"/>
        <v>15</v>
      </c>
      <c r="BB43" s="628">
        <f>IF($AV$1,COUNTIFS(ID4D!$AU$3:$AU$200,$AO43,ID4D!$AS$3:$AS$200,2,ID4D!$IK$3:$IK$200,0),COUNTIFS(ID4D!$AU$3:$AU$200,$AO43,ID4D!$AS$3:$AS$200,2))</f>
        <v>0</v>
      </c>
      <c r="BC43" s="628">
        <f t="shared" si="11"/>
        <v>0</v>
      </c>
      <c r="BD43" s="628">
        <f>IF($AV$1,COUNTIFS(ID4D!$HM$3:$HM$200,$AO43,ID4D!$IK$3:$IK$200,0),COUNTIF(ID4D!$HM$3:$HM$200,$AO43))</f>
        <v>2</v>
      </c>
      <c r="BE43" s="628">
        <f t="shared" si="12"/>
        <v>40</v>
      </c>
      <c r="BF43" s="628">
        <f>IF($AV$1,COUNTIFS(ID4D!$HU$3:$HU$200,$AO43,ID4D!$IK$3:$IK$200,0),COUNTIF(ID4D!$HU$3:$HU$200,$AO43))</f>
        <v>6</v>
      </c>
      <c r="BG43" s="628">
        <f t="shared" si="13"/>
        <v>43</v>
      </c>
      <c r="BK43" s="57"/>
      <c r="BS43" s="620"/>
      <c r="BT43" s="354"/>
      <c r="BU43" s="615">
        <f>BU42/$CB$42</f>
        <v>6.5476190476190479E-2</v>
      </c>
      <c r="BV43" s="615">
        <f t="shared" ref="BV43:CA43" si="33">BV42/$CB$42</f>
        <v>8.9285714285714288E-2</v>
      </c>
      <c r="BW43" s="615">
        <f t="shared" si="33"/>
        <v>0.56547619047619047</v>
      </c>
      <c r="BX43" s="615">
        <f t="shared" si="33"/>
        <v>0</v>
      </c>
      <c r="BY43" s="615">
        <f t="shared" si="33"/>
        <v>7.1428571428571425E-2</v>
      </c>
      <c r="BZ43" s="615">
        <f t="shared" si="33"/>
        <v>4.7619047619047616E-2</v>
      </c>
      <c r="CA43" s="615">
        <f t="shared" si="33"/>
        <v>0.16071428571428573</v>
      </c>
      <c r="CB43" s="354"/>
      <c r="DR43" s="736"/>
      <c r="DS43" s="736"/>
      <c r="DT43" s="736"/>
      <c r="DU43" s="736"/>
      <c r="DV43" s="736"/>
      <c r="DW43" s="736"/>
      <c r="DX43" s="736"/>
    </row>
    <row r="44" spans="20:129">
      <c r="T44" t="str">
        <f>IF($AV$1,"SAR (7)","SAR (8)")</f>
        <v>SAR (8)</v>
      </c>
      <c r="U44" s="594">
        <f>IF($AV$1,SUMIFS(ID4D!$DD$3:$DD$200, ID4D!$D$3:$D$200,V44,ID4D!$IK$3:$IK$200,0),SUMIF(ID4D!$D$3:$D$200,V44,ID4D!$DD$3:$DD$200))</f>
        <v>629507.41760799999</v>
      </c>
      <c r="V44" s="596" t="s">
        <v>411</v>
      </c>
      <c r="AO44" s="628">
        <v>2000</v>
      </c>
      <c r="AP44" s="628">
        <f>IF($AV$1,COUNTIFS(ID4D!$K$3:$K$200,$AO44,ID4D!$IK$3:$IK$200,0),COUNTIF(ID4D!$K$3:$K$200,$AO44))</f>
        <v>2</v>
      </c>
      <c r="AQ44" s="628">
        <f t="shared" si="8"/>
        <v>187</v>
      </c>
      <c r="AR44" s="628">
        <f>IF($AV$1,COUNTIFS(ID4D!$R$3:$R$200,$AO44,ID4D!$IK$3:$IK$200,0),COUNTIF(ID4D!$R$3:$R$200,$AO44))</f>
        <v>3</v>
      </c>
      <c r="AS44" s="628">
        <f t="shared" si="27"/>
        <v>94</v>
      </c>
      <c r="AT44" s="628">
        <f>IF($AV$1,COUNTIFS(ID4D!$AE$3:$AE$200,$AO44,ID4D!$IK$3:$IK$200,0),COUNTIF(ID4D!$AE$3:$AE$200,$AO44))</f>
        <v>1</v>
      </c>
      <c r="AU44" s="628">
        <f t="shared" si="28"/>
        <v>3</v>
      </c>
      <c r="AV44" s="628">
        <f>IF($AV$1,COUNTIFS(ID4D!$AZ$3:$AZ$200,$AO44,ID4D!$IK$3:$IK$200,0),COUNTIF(ID4D!$AZ$3:$AZ$200,$AO44))</f>
        <v>9</v>
      </c>
      <c r="AW44" s="628">
        <f t="shared" si="9"/>
        <v>53</v>
      </c>
      <c r="AX44" s="628">
        <f>IF($AV$1,COUNTIFS(ID4D!$BD$3:$BD$200,$AO44,ID4D!$IK$3:$IK$200,0),COUNTIF(ID4D!$BD$3:$BD$200,$AO44))</f>
        <v>8</v>
      </c>
      <c r="AY44" s="628">
        <f t="shared" si="29"/>
        <v>56</v>
      </c>
      <c r="AZ44" s="628">
        <f>IF($AV$1,COUNTIFS(ID4D!$AZ$3:$AZ$200,$AO44,ID4D!$BB$3:$BB$200,2,ID4D!$IK$3:$IK$200,0),COUNTIFS(ID4D!$AZ$3:$AZ$200,$AO44,ID4D!$BB$3:$BB$200,2))</f>
        <v>1</v>
      </c>
      <c r="BA44" s="628">
        <f t="shared" si="10"/>
        <v>16</v>
      </c>
      <c r="BB44" s="628">
        <f>IF($AV$1,COUNTIFS(ID4D!$AU$3:$AU$200,$AO44,ID4D!$AS$3:$AS$200,2,ID4D!$IK$3:$IK$200,0),COUNTIFS(ID4D!$AU$3:$AU$200,$AO44,ID4D!$AS$3:$AS$200,2))</f>
        <v>0</v>
      </c>
      <c r="BC44" s="628">
        <f t="shared" si="11"/>
        <v>0</v>
      </c>
      <c r="BD44" s="628">
        <f>IF($AV$1,COUNTIFS(ID4D!$HM$3:$HM$200,$AO44,ID4D!$IK$3:$IK$200,0),COUNTIF(ID4D!$HM$3:$HM$200,$AO44))</f>
        <v>3</v>
      </c>
      <c r="BE44" s="628">
        <f t="shared" si="12"/>
        <v>43</v>
      </c>
      <c r="BF44" s="628">
        <f>IF($AV$1,COUNTIFS(ID4D!$HU$3:$HU$200,$AO44,ID4D!$IK$3:$IK$200,0),COUNTIF(ID4D!$HU$3:$HU$200,$AO44))</f>
        <v>7</v>
      </c>
      <c r="BG44" s="628">
        <f t="shared" si="13"/>
        <v>50</v>
      </c>
      <c r="BJ44" s="617" t="str">
        <f>IF($CK$12,"Civil Identification Institutions (without small states)","Civil Identification Institutions")</f>
        <v>Civil Identification Institutions</v>
      </c>
      <c r="DQ44" t="str">
        <f>IF($ED$1,"169 economies","198 economies")</f>
        <v>198 economies</v>
      </c>
      <c r="DR44" s="736"/>
      <c r="DS44" s="736"/>
      <c r="DT44" s="736"/>
      <c r="DU44" s="736"/>
      <c r="DV44" s="736"/>
      <c r="DW44" s="736"/>
      <c r="DX44" s="736"/>
    </row>
    <row r="45" spans="20:129">
      <c r="U45" s="435"/>
      <c r="AO45" s="628">
        <v>2001</v>
      </c>
      <c r="AP45" s="628">
        <f>IF($AV$1,COUNTIFS(ID4D!$K$3:$K$200,$AO45,ID4D!$IK$3:$IK$200,0),COUNTIF(ID4D!$K$3:$K$200,$AO45))</f>
        <v>0</v>
      </c>
      <c r="AQ45" s="628">
        <f t="shared" si="8"/>
        <v>187</v>
      </c>
      <c r="AR45" s="628">
        <f>IF($AV$1,COUNTIFS(ID4D!$R$3:$R$200,$AO45,ID4D!$IK$3:$IK$200,0),COUNTIF(ID4D!$R$3:$R$200,$AO45))</f>
        <v>9</v>
      </c>
      <c r="AS45" s="628">
        <f t="shared" si="27"/>
        <v>103</v>
      </c>
      <c r="AT45" s="628">
        <f>IF($AV$1,COUNTIFS(ID4D!$AE$3:$AE$200,$AO45,ID4D!$IK$3:$IK$200,0),COUNTIF(ID4D!$AE$3:$AE$200,$AO45))</f>
        <v>7</v>
      </c>
      <c r="AU45" s="628">
        <f t="shared" si="28"/>
        <v>10</v>
      </c>
      <c r="AV45" s="628">
        <f>IF($AV$1,COUNTIFS(ID4D!$AZ$3:$AZ$200,$AO45,ID4D!$IK$3:$IK$200,0),COUNTIF(ID4D!$AZ$3:$AZ$200,$AO45))</f>
        <v>6</v>
      </c>
      <c r="AW45" s="628">
        <f t="shared" si="9"/>
        <v>59</v>
      </c>
      <c r="AX45" s="628">
        <f>IF($AV$1,COUNTIFS(ID4D!$BD$3:$BD$200,$AO45,ID4D!$IK$3:$IK$200,0),COUNTIF(ID4D!$BD$3:$BD$200,$AO45))</f>
        <v>2</v>
      </c>
      <c r="AY45" s="628">
        <f t="shared" si="29"/>
        <v>58</v>
      </c>
      <c r="AZ45" s="628">
        <f>IF($AV$1,COUNTIFS(ID4D!$AZ$3:$AZ$200,$AO45,ID4D!$BB$3:$BB$200,2,ID4D!$IK$3:$IK$200,0),COUNTIFS(ID4D!$AZ$3:$AZ$200,$AO45,ID4D!$BB$3:$BB$200,2))</f>
        <v>1</v>
      </c>
      <c r="BA45" s="628">
        <f t="shared" si="10"/>
        <v>17</v>
      </c>
      <c r="BB45" s="628">
        <f>IF($AV$1,COUNTIFS(ID4D!$AU$3:$AU$200,$AO45,ID4D!$AS$3:$AS$200,2,ID4D!$IK$3:$IK$200,0),COUNTIFS(ID4D!$AU$3:$AU$200,$AO45,ID4D!$AS$3:$AS$200,2))</f>
        <v>0</v>
      </c>
      <c r="BC45" s="628">
        <f t="shared" si="11"/>
        <v>0</v>
      </c>
      <c r="BD45" s="628">
        <f>IF($AV$1,COUNTIFS(ID4D!$HM$3:$HM$200,$AO45,ID4D!$IK$3:$IK$200,0),COUNTIF(ID4D!$HM$3:$HM$200,$AO45))</f>
        <v>5</v>
      </c>
      <c r="BE45" s="628">
        <f t="shared" si="12"/>
        <v>48</v>
      </c>
      <c r="BF45" s="628">
        <f>IF($AV$1,COUNTIFS(ID4D!$HU$3:$HU$200,$AO45,ID4D!$IK$3:$IK$200,0),COUNTIF(ID4D!$HU$3:$HU$200,$AO45))</f>
        <v>2</v>
      </c>
      <c r="BG45" s="628">
        <f t="shared" si="13"/>
        <v>52</v>
      </c>
      <c r="BU45" s="49">
        <v>0</v>
      </c>
      <c r="BV45" t="s">
        <v>4620</v>
      </c>
      <c r="DQ45" t="s">
        <v>4470</v>
      </c>
      <c r="DR45" s="736">
        <f>IF($ED$1,COUNTIFS(ID4D!$GD$3:$GD$200,"&gt;0",ID4D!$IK$3:$IK$200,0,ID4D!$AG$3:$AG$200,0),COUNTIFS(ID4D!$GD$3:$GD$200,"&gt;0",ID4D!$AG$3:$AG$200,0))</f>
        <v>17</v>
      </c>
      <c r="DS45" s="736">
        <f>IF($ED$1,COUNTIFS(ID4D!$GD$3:$GD$200,"&gt;0",ID4D!$IK$3:$IK$200,0,ID4D!$AG$3:$AG$200,1,ID4D!$U$3:$U$200,2),COUNTIFS(ID4D!$GD$3:$GD$200,"&gt;0",ID4D!$AG$3:$AG$200,1,ID4D!$U$3:$U$200,2))</f>
        <v>25</v>
      </c>
      <c r="DT45" s="736">
        <f>IF($ED$1,COUNTIFS(ID4D!$GD$3:$GD$200,"&gt;0",ID4D!$IK$3:$IK$200,0,ID4D!$AG$3:$AG$200,1,ID4D!$U$3:$U$200,1),COUNTIFS(ID4D!$GD$3:$GD$200,"&gt;0",ID4D!$AG$3:$AG$200,1,ID4D!$U$3:$U$200,1))</f>
        <v>8</v>
      </c>
      <c r="DU45" s="736">
        <f>IF($ED$1,COUNTIFS(ID4D!$GD$3:$GD$200,"&gt;0",ID4D!$IK$3:$IK$200,0,ID4D!$AG$3:$AG$200,"&gt;1",ID4D!$U$3:$U$200,2),COUNTIFS(ID4D!$GD$3:$GD$200,"&gt;0",ID4D!$AG$3:$AG$200,"&gt;1",ID4D!$U$3:$U$200,2))</f>
        <v>30</v>
      </c>
      <c r="DV45" s="736">
        <f>IF($ED$1,COUNTIFS(ID4D!$GD$3:$GD$200,"&gt;0",ID4D!$IK$3:$IK$200,0,ID4D!$AG$3:$AG$200,"&gt;1",ID4D!$U$3:$U$200,1),COUNTIFS(ID4D!$GD$3:$GD$200,"&gt;0",ID4D!$AG$3:$AG$200,"&gt;1",ID4D!$U$3:$U$200,1))</f>
        <v>7</v>
      </c>
      <c r="DW45" s="736">
        <f>IF($ED$1,COUNTIFS(ID4D!$GD$3:$GD$200,"&gt;0",ID4D!$IK$3:$IK$200,0,ID4D!$AG$3:$AG$200,"2B",ID4D!$U$3:$U$200,2)+COUNTIFS(ID4D!$GD$3:$GD$200,"&gt;0",ID4D!$IK$3:$IK$200,0,ID4D!$AG$3:$AG$200,"3B",ID4D!$U$3:$U$200,2)+COUNTIFS(ID4D!$GD$3:$GD$200,"&gt;0",ID4D!$IK$3:$IK$200,0,ID4D!$AG$3:$AG$200,"4B",ID4D!$U$3:$U$200,2), COUNTIFS(ID4D!$GD$3:$GD$200,"&gt;0",ID4D!$AG$3:$AG$200,"2B",ID4D!$U$3:$U$200,2)+COUNTIFS(ID4D!$GD$3:$GD$200,"&gt;0",ID4D!$AG$3:$AG$200,"3B",ID4D!$U$3:$U$200,2)+COUNTIFS(ID4D!$GD$3:$GD$200,"&gt;0",ID4D!$AG$3:$AG$200,"4B",ID4D!$U$3:$U$200,2))</f>
        <v>97</v>
      </c>
      <c r="DX45" s="736">
        <f>IF($ED$1,COUNTIFS(ID4D!$GD$3:$GD$200,"&gt;0",ID4D!$IK$3:$IK$200,0,ID4D!$AG$3:$AG$200,"2B",ID4D!$U$3:$U$200,1)+COUNTIFS(ID4D!$GD$3:$GD$200,"&gt;0",ID4D!$IK$3:$IK$200,0,ID4D!$AG$3:$AG$200,"3B",ID4D!$U$3:$U$200,1)+COUNTIFS(ID4D!$GD$3:$GD$200,"&gt;0",ID4D!$IK$3:$IK$200,0,ID4D!$AG$3:$AG$200,"4B",ID4D!$U$3:$U$200,1), COUNTIFS(ID4D!$GD$3:$GD$200,"&gt;0",ID4D!$AG$3:$AG$200,"2B",ID4D!$U$3:$U$200,1)+COUNTIFS(ID4D!$GD$3:$GD$200,"&gt;0",ID4D!$AG$3:$AG$200,"3B",ID4D!$U$3:$U$200,1)+COUNTIFS(ID4D!$GD$3:$GD$200,"&gt;0",ID4D!$AG$3:$AG$200,"4B",ID4D!$U$3:$U$200,1))</f>
        <v>14</v>
      </c>
      <c r="DY45" s="739">
        <f>SUM(DR45:DX45)</f>
        <v>198</v>
      </c>
    </row>
    <row r="46" spans="20:129">
      <c r="T46" t="str">
        <f>IF($AV$1,"145 countries","168 countries")</f>
        <v>168 countries</v>
      </c>
      <c r="U46" s="435"/>
      <c r="AO46" s="628">
        <v>2002</v>
      </c>
      <c r="AP46" s="628">
        <f>IF($AV$1,COUNTIFS(ID4D!$K$3:$K$200,$AO46,ID4D!$IK$3:$IK$200,0),COUNTIF(ID4D!$K$3:$K$200,$AO46))</f>
        <v>3</v>
      </c>
      <c r="AQ46" s="628">
        <f t="shared" si="8"/>
        <v>190</v>
      </c>
      <c r="AR46" s="628">
        <f>IF($AV$1,COUNTIFS(ID4D!$R$3:$R$200,$AO46,ID4D!$IK$3:$IK$200,0),COUNTIF(ID4D!$R$3:$R$200,$AO46))</f>
        <v>2</v>
      </c>
      <c r="AS46" s="628">
        <f t="shared" si="27"/>
        <v>105</v>
      </c>
      <c r="AT46" s="628">
        <f>IF($AV$1,COUNTIFS(ID4D!$AE$3:$AE$200,$AO46,ID4D!$IK$3:$IK$200,0),COUNTIF(ID4D!$AE$3:$AE$200,$AO46))</f>
        <v>3</v>
      </c>
      <c r="AU46" s="628">
        <f t="shared" si="28"/>
        <v>13</v>
      </c>
      <c r="AV46" s="628">
        <f>IF($AV$1,COUNTIFS(ID4D!$AZ$3:$AZ$200,$AO46,ID4D!$IK$3:$IK$200,0),COUNTIF(ID4D!$AZ$3:$AZ$200,$AO46))</f>
        <v>9</v>
      </c>
      <c r="AW46" s="628">
        <f t="shared" si="9"/>
        <v>68</v>
      </c>
      <c r="AX46" s="628">
        <f>IF($AV$1,COUNTIFS(ID4D!$BD$3:$BD$200,$AO46,ID4D!$IK$3:$IK$200,0),COUNTIF(ID4D!$BD$3:$BD$200,$AO46))</f>
        <v>5</v>
      </c>
      <c r="AY46" s="628">
        <f t="shared" si="29"/>
        <v>63</v>
      </c>
      <c r="AZ46" s="628">
        <f>IF($AV$1,COUNTIFS(ID4D!$AZ$3:$AZ$200,$AO46,ID4D!$BB$3:$BB$200,2,ID4D!$IK$3:$IK$200,0),COUNTIFS(ID4D!$AZ$3:$AZ$200,$AO46,ID4D!$BB$3:$BB$200,2))</f>
        <v>3</v>
      </c>
      <c r="BA46" s="628">
        <f t="shared" si="10"/>
        <v>20</v>
      </c>
      <c r="BB46" s="628">
        <f>IF($AV$1,COUNTIFS(ID4D!$AU$3:$AU$200,$AO46,ID4D!$AS$3:$AS$200,2,ID4D!$IK$3:$IK$200,0),COUNTIFS(ID4D!$AU$3:$AU$200,$AO46,ID4D!$AS$3:$AS$200,2))</f>
        <v>0</v>
      </c>
      <c r="BC46" s="628">
        <f t="shared" si="11"/>
        <v>0</v>
      </c>
      <c r="BD46" s="628">
        <f>IF($AV$1,COUNTIFS(ID4D!$HM$3:$HM$200,$AO46,ID4D!$IK$3:$IK$200,0),COUNTIF(ID4D!$HM$3:$HM$200,$AO46))</f>
        <v>5</v>
      </c>
      <c r="BE46" s="628">
        <f t="shared" si="12"/>
        <v>53</v>
      </c>
      <c r="BF46" s="628">
        <f>IF($AV$1,COUNTIFS(ID4D!$HU$3:$HU$200,$AO46,ID4D!$IK$3:$IK$200,0),COUNTIF(ID4D!$HU$3:$HU$200,$AO46))</f>
        <v>8</v>
      </c>
      <c r="BG46" s="628">
        <f t="shared" si="13"/>
        <v>60</v>
      </c>
      <c r="BU46" s="49">
        <v>1</v>
      </c>
      <c r="BV46" t="s">
        <v>4621</v>
      </c>
    </row>
    <row r="47" spans="20:129">
      <c r="T47" t="s">
        <v>4470</v>
      </c>
      <c r="U47" s="594">
        <f>IF($AV$1,SUMIFS(ID4D!$DD$3:$DD$200, ID4D!$D$3:$D$200,"&gt;A",ID4D!$IK$3:$IK$200,0),SUMIF(ID4D!$D$3:$D$200,"&gt;A",ID4D!$DD$3:$DD$200))</f>
        <v>1403828.4852580007</v>
      </c>
      <c r="AO47" s="628">
        <v>2003</v>
      </c>
      <c r="AP47" s="628">
        <f>IF($AV$1,COUNTIFS(ID4D!$K$3:$K$200,$AO47,ID4D!$IK$3:$IK$200,0),COUNTIF(ID4D!$K$3:$K$200,$AO47))</f>
        <v>0</v>
      </c>
      <c r="AQ47" s="628">
        <f t="shared" si="8"/>
        <v>190</v>
      </c>
      <c r="AR47" s="628">
        <f>IF($AV$1,COUNTIFS(ID4D!$R$3:$R$200,$AO47,ID4D!$IK$3:$IK$200,0),COUNTIF(ID4D!$R$3:$R$200,$AO47))</f>
        <v>5</v>
      </c>
      <c r="AS47" s="628">
        <f t="shared" si="27"/>
        <v>110</v>
      </c>
      <c r="AT47" s="628">
        <f>IF($AV$1,COUNTIFS(ID4D!$AE$3:$AE$200,$AO47,ID4D!$IK$3:$IK$200,0),COUNTIF(ID4D!$AE$3:$AE$200,$AO47))</f>
        <v>5</v>
      </c>
      <c r="AU47" s="628">
        <f t="shared" si="28"/>
        <v>18</v>
      </c>
      <c r="AV47" s="628">
        <f>IF($AV$1,COUNTIFS(ID4D!$AZ$3:$AZ$200,$AO47,ID4D!$IK$3:$IK$200,0),COUNTIF(ID4D!$AZ$3:$AZ$200,$AO47))</f>
        <v>6</v>
      </c>
      <c r="AW47" s="628">
        <f t="shared" si="9"/>
        <v>74</v>
      </c>
      <c r="AX47" s="628">
        <f>IF($AV$1,COUNTIFS(ID4D!$BD$3:$BD$200,$AO47,ID4D!$IK$3:$IK$200,0),COUNTIF(ID4D!$BD$3:$BD$200,$AO47))</f>
        <v>4</v>
      </c>
      <c r="AY47" s="628">
        <f t="shared" si="29"/>
        <v>67</v>
      </c>
      <c r="AZ47" s="628">
        <f>IF($AV$1,COUNTIFS(ID4D!$AZ$3:$AZ$200,$AO47,ID4D!$BB$3:$BB$200,2,ID4D!$IK$3:$IK$200,0),COUNTIFS(ID4D!$AZ$3:$AZ$200,$AO47,ID4D!$BB$3:$BB$200,2))</f>
        <v>1</v>
      </c>
      <c r="BA47" s="628">
        <f t="shared" si="10"/>
        <v>21</v>
      </c>
      <c r="BB47" s="628">
        <f>IF($AV$1,COUNTIFS(ID4D!$AU$3:$AU$200,$AO47,ID4D!$AS$3:$AS$200,2,ID4D!$IK$3:$IK$200,0),COUNTIFS(ID4D!$AU$3:$AU$200,$AO47,ID4D!$AS$3:$AS$200,2))</f>
        <v>0</v>
      </c>
      <c r="BC47" s="628">
        <f t="shared" si="11"/>
        <v>0</v>
      </c>
      <c r="BD47" s="628">
        <f>IF($AV$1,COUNTIFS(ID4D!$HM$3:$HM$200,$AO47,ID4D!$IK$3:$IK$200,0),COUNTIF(ID4D!$HM$3:$HM$200,$AO47))</f>
        <v>8</v>
      </c>
      <c r="BE47" s="628">
        <f t="shared" si="12"/>
        <v>61</v>
      </c>
      <c r="BF47" s="628">
        <f>IF($AV$1,COUNTIFS(ID4D!$HU$3:$HU$200,$AO47,ID4D!$IK$3:$IK$200,0),COUNTIF(ID4D!$HU$3:$HU$200,$AO47))</f>
        <v>8</v>
      </c>
      <c r="BG47" s="628">
        <f t="shared" si="13"/>
        <v>68</v>
      </c>
      <c r="BU47" s="49">
        <v>2</v>
      </c>
      <c r="BV47" t="s">
        <v>4622</v>
      </c>
      <c r="DQ47" s="53" t="s">
        <v>5189</v>
      </c>
      <c r="DR47" s="735" t="s">
        <v>5183</v>
      </c>
      <c r="DS47" s="735" t="s">
        <v>1680</v>
      </c>
      <c r="DT47" s="735" t="s">
        <v>1614</v>
      </c>
      <c r="DU47" s="740" t="s">
        <v>5184</v>
      </c>
    </row>
    <row r="48" spans="20:129">
      <c r="AO48" s="628">
        <v>2004</v>
      </c>
      <c r="AP48" s="628">
        <f>IF($AV$1,COUNTIFS(ID4D!$K$3:$K$200,$AO48,ID4D!$IK$3:$IK$200,0),COUNTIF(ID4D!$K$3:$K$200,$AO48))</f>
        <v>1</v>
      </c>
      <c r="AQ48" s="628">
        <f t="shared" si="8"/>
        <v>191</v>
      </c>
      <c r="AR48" s="628">
        <f>IF($AV$1,COUNTIFS(ID4D!$R$3:$R$200,$AO48,ID4D!$IK$3:$IK$200,0),COUNTIF(ID4D!$R$3:$R$200,$AO48))</f>
        <v>4</v>
      </c>
      <c r="AS48" s="628">
        <f t="shared" si="27"/>
        <v>114</v>
      </c>
      <c r="AT48" s="628">
        <f>IF($AV$1,COUNTIFS(ID4D!$AE$3:$AE$200,$AO48,ID4D!$IK$3:$IK$200,0),COUNTIF(ID4D!$AE$3:$AE$200,$AO48))</f>
        <v>4</v>
      </c>
      <c r="AU48" s="628">
        <f t="shared" si="28"/>
        <v>22</v>
      </c>
      <c r="AV48" s="628">
        <f>IF($AV$1,COUNTIFS(ID4D!$AZ$3:$AZ$200,$AO48,ID4D!$IK$3:$IK$200,0),COUNTIF(ID4D!$AZ$3:$AZ$200,$AO48))</f>
        <v>9</v>
      </c>
      <c r="AW48" s="628">
        <f t="shared" si="9"/>
        <v>83</v>
      </c>
      <c r="AX48" s="628">
        <f>IF($AV$1,COUNTIFS(ID4D!$BD$3:$BD$200,$AO48,ID4D!$IK$3:$IK$200,0),COUNTIF(ID4D!$BD$3:$BD$200,$AO48))</f>
        <v>5</v>
      </c>
      <c r="AY48" s="628">
        <f t="shared" si="29"/>
        <v>72</v>
      </c>
      <c r="AZ48" s="628">
        <f>IF($AV$1,COUNTIFS(ID4D!$AZ$3:$AZ$200,$AO48,ID4D!$BB$3:$BB$200,2,ID4D!$IK$3:$IK$200,0),COUNTIFS(ID4D!$AZ$3:$AZ$200,$AO48,ID4D!$BB$3:$BB$200,2))</f>
        <v>2</v>
      </c>
      <c r="BA48" s="628">
        <f t="shared" si="10"/>
        <v>23</v>
      </c>
      <c r="BB48" s="628">
        <f>IF($AV$1,COUNTIFS(ID4D!$AU$3:$AU$200,$AO48,ID4D!$AS$3:$AS$200,2,ID4D!$IK$3:$IK$200,0),COUNTIFS(ID4D!$AU$3:$AU$200,$AO48,ID4D!$AS$3:$AS$200,2))</f>
        <v>3</v>
      </c>
      <c r="BC48" s="628">
        <f t="shared" si="11"/>
        <v>3</v>
      </c>
      <c r="BD48" s="628">
        <f>IF($AV$1,COUNTIFS(ID4D!$HM$3:$HM$200,$AO48,ID4D!$IK$3:$IK$200,0),COUNTIF(ID4D!$HM$3:$HM$200,$AO48))</f>
        <v>3</v>
      </c>
      <c r="BE48" s="628">
        <f t="shared" si="12"/>
        <v>64</v>
      </c>
      <c r="BF48" s="628">
        <f>IF($AV$1,COUNTIFS(ID4D!$HU$3:$HU$200,$AO48,ID4D!$IK$3:$IK$200,0),COUNTIF(ID4D!$HU$3:$HU$200,$AO48))</f>
        <v>6</v>
      </c>
      <c r="BG48" s="628">
        <f t="shared" si="13"/>
        <v>74</v>
      </c>
      <c r="BU48" s="49">
        <v>3</v>
      </c>
      <c r="BV48" t="s">
        <v>980</v>
      </c>
      <c r="DQ48" t="str">
        <f>IF($ED$1,"Civil (106)","Civil (116)")</f>
        <v>Civil (116)</v>
      </c>
      <c r="DR48" s="736">
        <f>DR40</f>
        <v>5</v>
      </c>
      <c r="DS48" s="736">
        <f>DS40+DT40</f>
        <v>17</v>
      </c>
      <c r="DT48" s="736">
        <f>DU40+DV40</f>
        <v>28</v>
      </c>
      <c r="DU48" s="736">
        <f>DW40+DX40</f>
        <v>66</v>
      </c>
    </row>
    <row r="49" spans="20:129">
      <c r="AO49" s="628">
        <v>2005</v>
      </c>
      <c r="AP49" s="628">
        <f>IF($AV$1,COUNTIFS(ID4D!$K$3:$K$200,$AO49,ID4D!$IK$3:$IK$200,0),COUNTIF(ID4D!$K$3:$K$200,$AO49))</f>
        <v>1</v>
      </c>
      <c r="AQ49" s="628">
        <f t="shared" si="8"/>
        <v>192</v>
      </c>
      <c r="AR49" s="628">
        <f>IF($AV$1,COUNTIFS(ID4D!$R$3:$R$200,$AO49,ID4D!$IK$3:$IK$200,0),COUNTIF(ID4D!$R$3:$R$200,$AO49))</f>
        <v>6</v>
      </c>
      <c r="AS49" s="628">
        <f t="shared" si="27"/>
        <v>120</v>
      </c>
      <c r="AT49" s="628">
        <f>IF($AV$1,COUNTIFS(ID4D!$AE$3:$AE$200,$AO49,ID4D!$IK$3:$IK$200,0),COUNTIF(ID4D!$AE$3:$AE$200,$AO49))</f>
        <v>5</v>
      </c>
      <c r="AU49" s="628">
        <f t="shared" si="28"/>
        <v>27</v>
      </c>
      <c r="AV49" s="628">
        <f>IF($AV$1,COUNTIFS(ID4D!$AZ$3:$AZ$200,$AO49,ID4D!$IK$3:$IK$200,0),COUNTIF(ID4D!$AZ$3:$AZ$200,$AO49))</f>
        <v>10</v>
      </c>
      <c r="AW49" s="628">
        <f t="shared" si="9"/>
        <v>93</v>
      </c>
      <c r="AX49" s="628">
        <f>IF($AV$1,COUNTIFS(ID4D!$BD$3:$BD$200,$AO49,ID4D!$IK$3:$IK$200,0),COUNTIF(ID4D!$BD$3:$BD$200,$AO49))</f>
        <v>7</v>
      </c>
      <c r="AY49" s="628">
        <f t="shared" si="29"/>
        <v>79</v>
      </c>
      <c r="AZ49" s="628">
        <f>IF($AV$1,COUNTIFS(ID4D!$AZ$3:$AZ$200,$AO49,ID4D!$BB$3:$BB$200,2,ID4D!$IK$3:$IK$200,0),COUNTIFS(ID4D!$AZ$3:$AZ$200,$AO49,ID4D!$BB$3:$BB$200,2))</f>
        <v>2</v>
      </c>
      <c r="BA49" s="628">
        <f t="shared" si="10"/>
        <v>25</v>
      </c>
      <c r="BB49" s="628">
        <f>IF($AV$1,COUNTIFS(ID4D!$AU$3:$AU$200,$AO49,ID4D!$AS$3:$AS$200,2,ID4D!$IK$3:$IK$200,0),COUNTIFS(ID4D!$AU$3:$AU$200,$AO49,ID4D!$AS$3:$AS$200,2))</f>
        <v>7</v>
      </c>
      <c r="BC49" s="628">
        <f t="shared" si="11"/>
        <v>10</v>
      </c>
      <c r="BD49" s="628">
        <f>IF($AV$1,COUNTIFS(ID4D!$HM$3:$HM$200,$AO49,ID4D!$IK$3:$IK$200,0),COUNTIF(ID4D!$HM$3:$HM$200,$AO49))</f>
        <v>3</v>
      </c>
      <c r="BE49" s="628">
        <f t="shared" si="12"/>
        <v>67</v>
      </c>
      <c r="BF49" s="628">
        <f>IF($AV$1,COUNTIFS(ID4D!$HU$3:$HU$200,$AO49,ID4D!$IK$3:$IK$200,0),COUNTIF(ID4D!$HU$3:$HU$200,$AO49))</f>
        <v>6</v>
      </c>
      <c r="BG49" s="628">
        <f t="shared" si="13"/>
        <v>80</v>
      </c>
      <c r="BU49" s="49">
        <v>4</v>
      </c>
      <c r="BV49" t="s">
        <v>4623</v>
      </c>
      <c r="DQ49" t="str">
        <f>IF($ED$1,"Common (38)","Common (55)")</f>
        <v>Common (55)</v>
      </c>
      <c r="DR49" s="736">
        <f>DR41</f>
        <v>12</v>
      </c>
      <c r="DS49" s="736">
        <f>DS41+DT41</f>
        <v>12</v>
      </c>
      <c r="DT49" s="736">
        <f>DU41+DV41</f>
        <v>6</v>
      </c>
      <c r="DU49" s="736">
        <f>DW41+DX41</f>
        <v>25</v>
      </c>
    </row>
    <row r="50" spans="20:129">
      <c r="AO50" s="628">
        <v>2006</v>
      </c>
      <c r="AP50" s="628">
        <f>IF($AV$1,COUNTIFS(ID4D!$K$3:$K$200,$AO50,ID4D!$IK$3:$IK$200,0),COUNTIF(ID4D!$K$3:$K$200,$AO50))</f>
        <v>0</v>
      </c>
      <c r="AQ50" s="628">
        <f t="shared" si="8"/>
        <v>192</v>
      </c>
      <c r="AR50" s="628">
        <f>IF($AV$1,COUNTIFS(ID4D!$R$3:$R$200,$AO50,ID4D!$IK$3:$IK$200,0),COUNTIF(ID4D!$R$3:$R$200,$AO50))</f>
        <v>4</v>
      </c>
      <c r="AS50" s="628">
        <f t="shared" si="27"/>
        <v>124</v>
      </c>
      <c r="AT50" s="628">
        <f>IF($AV$1,COUNTIFS(ID4D!$AE$3:$AE$200,$AO50,ID4D!$IK$3:$IK$200,0),COUNTIF(ID4D!$AE$3:$AE$200,$AO50))</f>
        <v>4</v>
      </c>
      <c r="AU50" s="628">
        <f t="shared" si="28"/>
        <v>31</v>
      </c>
      <c r="AV50" s="628">
        <f>IF($AV$1,COUNTIFS(ID4D!$AZ$3:$AZ$200,$AO50,ID4D!$IK$3:$IK$200,0),COUNTIF(ID4D!$AZ$3:$AZ$200,$AO50))</f>
        <v>7</v>
      </c>
      <c r="AW50" s="628">
        <f t="shared" si="9"/>
        <v>100</v>
      </c>
      <c r="AX50" s="628">
        <f>IF($AV$1,COUNTIFS(ID4D!$BD$3:$BD$200,$AO50,ID4D!$IK$3:$IK$200,0),COUNTIF(ID4D!$BD$3:$BD$200,$AO50))</f>
        <v>9</v>
      </c>
      <c r="AY50" s="628">
        <f t="shared" si="29"/>
        <v>88</v>
      </c>
      <c r="AZ50" s="628">
        <f>IF($AV$1,COUNTIFS(ID4D!$AZ$3:$AZ$200,$AO50,ID4D!$BB$3:$BB$200,2,ID4D!$IK$3:$IK$200,0),COUNTIFS(ID4D!$AZ$3:$AZ$200,$AO50,ID4D!$BB$3:$BB$200,2))</f>
        <v>2</v>
      </c>
      <c r="BA50" s="628">
        <f t="shared" si="10"/>
        <v>27</v>
      </c>
      <c r="BB50" s="628">
        <f>IF($AV$1,COUNTIFS(ID4D!$AU$3:$AU$200,$AO50,ID4D!$AS$3:$AS$200,2,ID4D!$IK$3:$IK$200,0),COUNTIFS(ID4D!$AU$3:$AU$200,$AO50,ID4D!$AS$3:$AS$200,2))</f>
        <v>26</v>
      </c>
      <c r="BC50" s="628">
        <f t="shared" si="11"/>
        <v>36</v>
      </c>
      <c r="BD50" s="628">
        <f>IF($AV$1,COUNTIFS(ID4D!$HM$3:$HM$200,$AO50,ID4D!$IK$3:$IK$200,0),COUNTIF(ID4D!$HM$3:$HM$200,$AO50))</f>
        <v>2</v>
      </c>
      <c r="BE50" s="628">
        <f t="shared" si="12"/>
        <v>69</v>
      </c>
      <c r="BF50" s="628">
        <f>IF($AV$1,COUNTIFS(ID4D!$HU$3:$HU$200,$AO50,ID4D!$IK$3:$IK$200,0),COUNTIF(ID4D!$HU$3:$HU$200,$AO50))</f>
        <v>3</v>
      </c>
      <c r="BG50" s="628">
        <f t="shared" si="13"/>
        <v>83</v>
      </c>
      <c r="BU50" s="49">
        <v>5</v>
      </c>
      <c r="BV50" t="s">
        <v>4624</v>
      </c>
      <c r="DQ50" t="str">
        <f>IF($ED$1,"Religious (25)","Religious (27)")</f>
        <v>Religious (27)</v>
      </c>
      <c r="DR50" s="736">
        <f>DR42</f>
        <v>0</v>
      </c>
      <c r="DS50" s="736">
        <f>DS42+DT42</f>
        <v>4</v>
      </c>
      <c r="DT50" s="736">
        <f>DU42+DV42</f>
        <v>3</v>
      </c>
      <c r="DU50" s="736">
        <f>DW42+DX42</f>
        <v>20</v>
      </c>
    </row>
    <row r="51" spans="20:129">
      <c r="AO51" s="628">
        <v>2007</v>
      </c>
      <c r="AP51" s="628">
        <f>IF($AV$1,COUNTIFS(ID4D!$K$3:$K$200,$AO51,ID4D!$IK$3:$IK$200,0),COUNTIF(ID4D!$K$3:$K$200,$AO51))</f>
        <v>0</v>
      </c>
      <c r="AQ51" s="628">
        <f t="shared" si="8"/>
        <v>192</v>
      </c>
      <c r="AR51" s="628">
        <f>IF($AV$1,COUNTIFS(ID4D!$R$3:$R$200,$AO51,ID4D!$IK$3:$IK$200,0),COUNTIF(ID4D!$R$3:$R$200,$AO51))</f>
        <v>5</v>
      </c>
      <c r="AS51" s="628">
        <f t="shared" si="27"/>
        <v>129</v>
      </c>
      <c r="AT51" s="628">
        <f>IF($AV$1,COUNTIFS(ID4D!$AE$3:$AE$200,$AO51,ID4D!$IK$3:$IK$200,0),COUNTIF(ID4D!$AE$3:$AE$200,$AO51))</f>
        <v>2</v>
      </c>
      <c r="AU51" s="628">
        <f t="shared" si="28"/>
        <v>33</v>
      </c>
      <c r="AV51" s="628">
        <f>IF($AV$1,COUNTIFS(ID4D!$AZ$3:$AZ$200,$AO51,ID4D!$IK$3:$IK$200,0),COUNTIF(ID4D!$AZ$3:$AZ$200,$AO51))</f>
        <v>12</v>
      </c>
      <c r="AW51" s="628">
        <f t="shared" si="9"/>
        <v>112</v>
      </c>
      <c r="AX51" s="628">
        <f>IF($AV$1,COUNTIFS(ID4D!$BD$3:$BD$200,$AO51,ID4D!$IK$3:$IK$200,0),COUNTIF(ID4D!$BD$3:$BD$200,$AO51))</f>
        <v>7</v>
      </c>
      <c r="AY51" s="628">
        <f t="shared" si="29"/>
        <v>95</v>
      </c>
      <c r="AZ51" s="628">
        <f>IF($AV$1,COUNTIFS(ID4D!$AZ$3:$AZ$200,$AO51,ID4D!$BB$3:$BB$200,2,ID4D!$IK$3:$IK$200,0),COUNTIFS(ID4D!$AZ$3:$AZ$200,$AO51,ID4D!$BB$3:$BB$200,2))</f>
        <v>4</v>
      </c>
      <c r="BA51" s="628">
        <f t="shared" si="10"/>
        <v>31</v>
      </c>
      <c r="BB51" s="628">
        <f>IF($AV$1,COUNTIFS(ID4D!$AU$3:$AU$200,$AO51,ID4D!$AS$3:$AS$200,2,ID4D!$IK$3:$IK$200,0),COUNTIFS(ID4D!$AU$3:$AU$200,$AO51,ID4D!$AS$3:$AS$200,2))</f>
        <v>10</v>
      </c>
      <c r="BC51" s="628">
        <f t="shared" si="11"/>
        <v>46</v>
      </c>
      <c r="BD51" s="628">
        <f>IF($AV$1,COUNTIFS(ID4D!$HM$3:$HM$200,$AO51,ID4D!$IK$3:$IK$200,0),COUNTIF(ID4D!$HM$3:$HM$200,$AO51))</f>
        <v>3</v>
      </c>
      <c r="BE51" s="628">
        <f t="shared" si="12"/>
        <v>72</v>
      </c>
      <c r="BF51" s="628">
        <f>IF($AV$1,COUNTIFS(ID4D!$HU$3:$HU$200,$AO51,ID4D!$IK$3:$IK$200,0),COUNTIF(ID4D!$HU$3:$HU$200,$AO51))</f>
        <v>5</v>
      </c>
      <c r="BG51" s="628">
        <f t="shared" si="13"/>
        <v>88</v>
      </c>
      <c r="BU51" s="49">
        <v>6</v>
      </c>
      <c r="BV51" t="s">
        <v>4625</v>
      </c>
      <c r="DR51" s="736"/>
      <c r="DS51" s="736"/>
      <c r="DT51" s="736"/>
      <c r="DU51" s="736"/>
    </row>
    <row r="52" spans="20:129">
      <c r="T52" s="53" t="s">
        <v>4471</v>
      </c>
      <c r="U52" s="53" t="s">
        <v>6139</v>
      </c>
      <c r="AO52" s="628">
        <v>2008</v>
      </c>
      <c r="AP52" s="628">
        <f>IF($AV$1,COUNTIFS(ID4D!$K$3:$K$200,$AO52,ID4D!$IK$3:$IK$200,0),COUNTIF(ID4D!$K$3:$K$200,$AO52))</f>
        <v>1</v>
      </c>
      <c r="AQ52" s="628">
        <f t="shared" si="8"/>
        <v>193</v>
      </c>
      <c r="AR52" s="628">
        <f>IF($AV$1,COUNTIFS(ID4D!$R$3:$R$200,$AO52,ID4D!$IK$3:$IK$200,0),COUNTIF(ID4D!$R$3:$R$200,$AO52))</f>
        <v>7</v>
      </c>
      <c r="AS52" s="628">
        <f t="shared" si="27"/>
        <v>136</v>
      </c>
      <c r="AT52" s="628">
        <f>IF($AV$1,COUNTIFS(ID4D!$AE$3:$AE$200,$AO52,ID4D!$IK$3:$IK$200,0),COUNTIF(ID4D!$AE$3:$AE$200,$AO52))</f>
        <v>5</v>
      </c>
      <c r="AU52" s="628">
        <f t="shared" si="28"/>
        <v>38</v>
      </c>
      <c r="AV52" s="628">
        <f>IF($AV$1,COUNTIFS(ID4D!$AZ$3:$AZ$200,$AO52,ID4D!$IK$3:$IK$200,0),COUNTIF(ID4D!$AZ$3:$AZ$200,$AO52))</f>
        <v>14</v>
      </c>
      <c r="AW52" s="628">
        <f t="shared" si="9"/>
        <v>126</v>
      </c>
      <c r="AX52" s="628">
        <f>IF($AV$1,COUNTIFS(ID4D!$BD$3:$BD$200,$AO52,ID4D!$IK$3:$IK$200,0),COUNTIF(ID4D!$BD$3:$BD$200,$AO52))</f>
        <v>15</v>
      </c>
      <c r="AY52" s="628">
        <f t="shared" si="29"/>
        <v>110</v>
      </c>
      <c r="AZ52" s="628">
        <f>IF($AV$1,COUNTIFS(ID4D!$AZ$3:$AZ$200,$AO52,ID4D!$BB$3:$BB$200,2,ID4D!$IK$3:$IK$200,0),COUNTIFS(ID4D!$AZ$3:$AZ$200,$AO52,ID4D!$BB$3:$BB$200,2))</f>
        <v>3</v>
      </c>
      <c r="BA52" s="628">
        <f t="shared" si="10"/>
        <v>34</v>
      </c>
      <c r="BB52" s="628">
        <f>IF($AV$1,COUNTIFS(ID4D!$AU$3:$AU$200,$AO52,ID4D!$AS$3:$AS$200,2,ID4D!$IK$3:$IK$200,0),COUNTIFS(ID4D!$AU$3:$AU$200,$AO52,ID4D!$AS$3:$AS$200,2))</f>
        <v>13</v>
      </c>
      <c r="BC52" s="628">
        <f t="shared" si="11"/>
        <v>59</v>
      </c>
      <c r="BD52" s="628">
        <f>IF($AV$1,COUNTIFS(ID4D!$HM$3:$HM$200,$AO52,ID4D!$IK$3:$IK$200,0),COUNTIF(ID4D!$HM$3:$HM$200,$AO52))</f>
        <v>6</v>
      </c>
      <c r="BE52" s="628">
        <f t="shared" si="12"/>
        <v>78</v>
      </c>
      <c r="BF52" s="628">
        <f>IF($AV$1,COUNTIFS(ID4D!$HU$3:$HU$200,$AO52,ID4D!$IK$3:$IK$200,0),COUNTIF(ID4D!$HU$3:$HU$200,$AO52))</f>
        <v>9</v>
      </c>
      <c r="BG52" s="628">
        <f t="shared" si="13"/>
        <v>97</v>
      </c>
    </row>
    <row r="53" spans="20:129">
      <c r="T53" t="str">
        <f>IF($AV$1,"LIC (34)","LIC (34)")</f>
        <v>LIC (34)</v>
      </c>
      <c r="U53" s="593">
        <f>IF($AV$1,AVERAGEIFS(ID4D!$CG$3:$CG$200, ID4D!$E$3:$E$200,V53,ID4D!$IK$3:$IK$200,0),AVERAGEIF(ID4D!$E$3:$E$200,V53,ID4D!$CG$3:$CG$200))</f>
        <v>51.517647058823542</v>
      </c>
      <c r="V53" s="596" t="s">
        <v>9</v>
      </c>
      <c r="AO53" s="628">
        <v>2009</v>
      </c>
      <c r="AP53" s="628">
        <f>IF($AV$1,COUNTIFS(ID4D!$K$3:$K$200,$AO53,ID4D!$IK$3:$IK$200,0),COUNTIF(ID4D!$K$3:$K$200,$AO53))</f>
        <v>1</v>
      </c>
      <c r="AQ53" s="628">
        <f t="shared" si="8"/>
        <v>194</v>
      </c>
      <c r="AR53" s="628">
        <f>IF($AV$1,COUNTIFS(ID4D!$R$3:$R$200,$AO53,ID4D!$IK$3:$IK$200,0),COUNTIF(ID4D!$R$3:$R$200,$AO53))</f>
        <v>11</v>
      </c>
      <c r="AS53" s="628">
        <f t="shared" si="27"/>
        <v>147</v>
      </c>
      <c r="AT53" s="628">
        <f>IF($AV$1,COUNTIFS(ID4D!$AE$3:$AE$200,$AO53,ID4D!$IK$3:$IK$200,0),COUNTIF(ID4D!$AE$3:$AE$200,$AO53))</f>
        <v>11</v>
      </c>
      <c r="AU53" s="628">
        <f t="shared" si="28"/>
        <v>49</v>
      </c>
      <c r="AV53" s="628">
        <f>IF($AV$1,COUNTIFS(ID4D!$AZ$3:$AZ$200,$AO53,ID4D!$IK$3:$IK$200,0),COUNTIF(ID4D!$AZ$3:$AZ$200,$AO53))</f>
        <v>8</v>
      </c>
      <c r="AW53" s="628">
        <f t="shared" si="9"/>
        <v>134</v>
      </c>
      <c r="AX53" s="628">
        <f>IF($AV$1,COUNTIFS(ID4D!$BD$3:$BD$200,$AO53,ID4D!$IK$3:$IK$200,0),COUNTIF(ID4D!$BD$3:$BD$200,$AO53))</f>
        <v>4</v>
      </c>
      <c r="AY53" s="628">
        <f t="shared" si="29"/>
        <v>114</v>
      </c>
      <c r="AZ53" s="628">
        <f>IF($AV$1,COUNTIFS(ID4D!$AZ$3:$AZ$200,$AO53,ID4D!$BB$3:$BB$200,2,ID4D!$IK$3:$IK$200,0),COUNTIFS(ID4D!$AZ$3:$AZ$200,$AO53,ID4D!$BB$3:$BB$200,2))</f>
        <v>1</v>
      </c>
      <c r="BA53" s="628">
        <f t="shared" si="10"/>
        <v>35</v>
      </c>
      <c r="BB53" s="628">
        <f>IF($AV$1,COUNTIFS(ID4D!$AU$3:$AU$200,$AO53,ID4D!$AS$3:$AS$200,2,ID4D!$IK$3:$IK$200,0),COUNTIFS(ID4D!$AU$3:$AU$200,$AO53,ID4D!$AS$3:$AS$200,2))</f>
        <v>12</v>
      </c>
      <c r="BC53" s="628">
        <f t="shared" si="11"/>
        <v>71</v>
      </c>
      <c r="BD53" s="628">
        <f>IF($AV$1,COUNTIFS(ID4D!$HM$3:$HM$200,$AO53,ID4D!$IK$3:$IK$200,0),COUNTIF(ID4D!$HM$3:$HM$200,$AO53))</f>
        <v>3</v>
      </c>
      <c r="BE53" s="628">
        <f t="shared" si="12"/>
        <v>81</v>
      </c>
      <c r="BF53" s="628">
        <f>IF($AV$1,COUNTIFS(ID4D!$HU$3:$HU$200,$AO53,ID4D!$IK$3:$IK$200,0),COUNTIF(ID4D!$HU$3:$HU$200,$AO53))</f>
        <v>1</v>
      </c>
      <c r="BG53" s="628">
        <f t="shared" si="13"/>
        <v>98</v>
      </c>
      <c r="DQ53" s="53" t="s">
        <v>5193</v>
      </c>
      <c r="DR53" s="735" t="s">
        <v>5183</v>
      </c>
      <c r="DS53" s="735" t="s">
        <v>5177</v>
      </c>
      <c r="DT53" s="735" t="s">
        <v>5178</v>
      </c>
      <c r="DU53" s="735" t="s">
        <v>5179</v>
      </c>
      <c r="DV53" s="735" t="s">
        <v>5180</v>
      </c>
      <c r="DW53" s="735" t="s">
        <v>5181</v>
      </c>
      <c r="DX53" s="735" t="s">
        <v>5182</v>
      </c>
    </row>
    <row r="54" spans="20:129">
      <c r="T54" t="str">
        <f>IF($AV$1,"LMIC (44)","LMIC (50)")</f>
        <v>LMIC (50)</v>
      </c>
      <c r="U54" s="593">
        <f>IF($AV$1,AVERAGEIFS(ID4D!$CG$3:$CG$200, ID4D!$E$3:$E$200,V54,ID4D!$IK$3:$IK$200,0),AVERAGEIF(ID4D!$E$3:$E$200,V54,ID4D!$CG$3:$CG$200))</f>
        <v>75.535999999999987</v>
      </c>
      <c r="V54" s="596" t="s">
        <v>20</v>
      </c>
      <c r="AO54" s="628">
        <v>2010</v>
      </c>
      <c r="AP54" s="628">
        <f>IF($AV$1,COUNTIFS(ID4D!$K$3:$K$200,$AO54,ID4D!$IK$3:$IK$200,0),COUNTIF(ID4D!$K$3:$K$200,$AO54))</f>
        <v>1</v>
      </c>
      <c r="AQ54" s="628">
        <f t="shared" si="8"/>
        <v>195</v>
      </c>
      <c r="AR54" s="628">
        <f>IF($AV$1,COUNTIFS(ID4D!$R$3:$R$200,$AO54,ID4D!$IK$3:$IK$200,0),COUNTIF(ID4D!$R$3:$R$200,$AO54))</f>
        <v>6</v>
      </c>
      <c r="AS54" s="628">
        <f t="shared" si="27"/>
        <v>153</v>
      </c>
      <c r="AT54" s="628">
        <f>IF($AV$1,COUNTIFS(ID4D!$AE$3:$AE$200,$AO54,ID4D!$IK$3:$IK$200,0),COUNTIF(ID4D!$AE$3:$AE$200,$AO54))</f>
        <v>13</v>
      </c>
      <c r="AU54" s="628">
        <f t="shared" si="28"/>
        <v>62</v>
      </c>
      <c r="AV54" s="628">
        <f>IF($AV$1,COUNTIFS(ID4D!$AZ$3:$AZ$200,$AO54,ID4D!$IK$3:$IK$200,0),COUNTIF(ID4D!$AZ$3:$AZ$200,$AO54))</f>
        <v>13</v>
      </c>
      <c r="AW54" s="628">
        <f t="shared" si="9"/>
        <v>147</v>
      </c>
      <c r="AX54" s="628">
        <f>IF($AV$1,COUNTIFS(ID4D!$BD$3:$BD$200,$AO54,ID4D!$IK$3:$IK$200,0),COUNTIF(ID4D!$BD$3:$BD$200,$AO54))</f>
        <v>4</v>
      </c>
      <c r="AY54" s="628">
        <f t="shared" si="29"/>
        <v>118</v>
      </c>
      <c r="AZ54" s="628">
        <f>IF($AV$1,COUNTIFS(ID4D!$AZ$3:$AZ$200,$AO54,ID4D!$BB$3:$BB$200,2,ID4D!$IK$3:$IK$200,0),COUNTIFS(ID4D!$AZ$3:$AZ$200,$AO54,ID4D!$BB$3:$BB$200,2))</f>
        <v>2</v>
      </c>
      <c r="BA54" s="628">
        <f t="shared" si="10"/>
        <v>37</v>
      </c>
      <c r="BB54" s="628">
        <f>IF($AV$1,COUNTIFS(ID4D!$AU$3:$AU$200,$AO54,ID4D!$AS$3:$AS$200,2,ID4D!$IK$3:$IK$200,0),COUNTIFS(ID4D!$AU$3:$AU$200,$AO54,ID4D!$AS$3:$AS$200,2))</f>
        <v>16</v>
      </c>
      <c r="BC54" s="628">
        <f t="shared" si="11"/>
        <v>87</v>
      </c>
      <c r="BD54" s="628">
        <f>IF($AV$1,COUNTIFS(ID4D!$HM$3:$HM$200,$AO54,ID4D!$IK$3:$IK$200,0),COUNTIF(ID4D!$HM$3:$HM$200,$AO54))</f>
        <v>6</v>
      </c>
      <c r="BE54" s="628">
        <f t="shared" si="12"/>
        <v>87</v>
      </c>
      <c r="BF54" s="628">
        <f>IF($AV$1,COUNTIFS(ID4D!$HU$3:$HU$200,$AO54,ID4D!$IK$3:$IK$200,0),COUNTIF(ID4D!$HU$3:$HU$200,$AO54))</f>
        <v>2</v>
      </c>
      <c r="BG54" s="628">
        <f t="shared" si="13"/>
        <v>100</v>
      </c>
      <c r="DQ54" t="s">
        <v>5185</v>
      </c>
      <c r="DR54" s="736">
        <f>IF($ED$1,COUNTIFS(ID4D!$GF$3:$GF$200,$DY54,ID4D!$AG$3:$AG$200,0,ID4D!$IK$3:$IK$200,0),COUNTIFS(ID4D!$GF$3:$GF$200,$DY54,ID4D!$AG$3:$AG$200,0))</f>
        <v>15</v>
      </c>
      <c r="DS54" s="736">
        <f>IF($ED$1,COUNTIFS(ID4D!$GF$3:$GF$200,$DY54,ID4D!$AG$3:$AG$200,1,ID4D!$U$3:$U$200,2,ID4D!$IK$3:$IK$200,0),COUNTIFS(ID4D!$GF$3:$GF$200,$DY54,ID4D!$AG$3:$AG$200,1,ID4D!$U$3:$U$200,2))</f>
        <v>10</v>
      </c>
      <c r="DT54" s="736">
        <f>IF($ED$1,COUNTIFS(ID4D!$GF$3:$GF$200,$DY54,ID4D!$AG$3:$AG$200,1,ID4D!$U$3:$U$200,1,ID4D!$IK$3:$IK$200,0),COUNTIFS(ID4D!$GF$3:$GF$200,$DY54,ID4D!$AG$3:$AG$200,1,ID4D!$U$3:$U$200,1))</f>
        <v>4</v>
      </c>
      <c r="DU54" s="736">
        <f>IF($ED$1,COUNTIFS(ID4D!$GF$3:$GF$200,$DY54,ID4D!$AG$3:$AG$200,"&gt;1",ID4D!$U$3:$U$200,2,ID4D!$IK$3:$IK$200,0),COUNTIFS(ID4D!$GF$3:$GF$200,$DY54,ID4D!$AG$3:$AG$200,"&gt;1",ID4D!$U$3:$U$200,2))</f>
        <v>16</v>
      </c>
      <c r="DV54" s="736">
        <f>IF($ED$1,COUNTIFS(ID4D!$GF$3:$GF$200,$DY54,ID4D!$AG$3:$AG$200,"&gt;1",ID4D!$U$3:$U$200,1,ID4D!$IK$3:$IK$200,0),COUNTIFS(ID4D!$GF$3:$GF$200,$DY54,ID4D!$AG$3:$AG$200,"&gt;1",ID4D!$U$3:$U$200,1))</f>
        <v>6</v>
      </c>
      <c r="DW54" s="736">
        <f>IF($ED$1,COUNTIFS(ID4D!$GF$3:$GF$200,$DY54,ID4D!$AG$3:$AG$200,"2B",ID4D!$U$3:$U$200,2,ID4D!$IK$3:$IK$200,0)+COUNTIFS(ID4D!$GF$3:$GF$200,$DY54,ID4D!$AG$3:$AG$200,"3B",ID4D!$U$3:$U$200,2,ID4D!$IK$3:$IK$200,0)+COUNTIFS(ID4D!$GF$3:$GF$200,$DY54,ID4D!$AG$3:$AG$200,"4B",ID4D!$U$3:$U$200,2,ID4D!$IK$3:$IK$200,0), COUNTIFS(ID4D!$GF$3:$GF$200,$DY54,ID4D!$AG$3:$AG$200,"2B",ID4D!$U$3:$U$200,2)+COUNTIFS(ID4D!$GF$3:$GF$200,$DY54,ID4D!$AG$3:$AG$200,"3B",ID4D!$U$3:$U$200,2)+COUNTIFS(ID4D!$GF$3:$GF$200,$DY54,ID4D!$AG$3:$AG$200,"4B",ID4D!$U$3:$U$200,2))</f>
        <v>28</v>
      </c>
      <c r="DX54" s="736">
        <f>IF($ED$1,COUNTIFS(ID4D!$GF$3:$GF$200,$DY54,ID4D!$AG$3:$AG$200,"2B",ID4D!$U$3:$U$200,1,ID4D!$IK$3:$IK$200,0)+COUNTIFS(ID4D!$GF$3:$GF$200,$DY54,ID4D!$AG$3:$AG$200,"3B",ID4D!$U$3:$U$200,1,ID4D!$IK$3:$IK$200,0)+COUNTIFS(ID4D!$GF$3:$GF$200,$DY54,ID4D!$AG$3:$AG$200,"4B",ID4D!$U$3:$U$200,1,ID4D!$IK$3:$IK$200,0), COUNTIFS(ID4D!$GF$3:$GF$200,$DY54,ID4D!$AG$3:$AG$200,"2B",ID4D!$U$3:$U$200,1)+COUNTIFS(ID4D!$GF$3:$GF$200,$DY54,ID4D!$AG$3:$AG$200,"3B",ID4D!$U$3:$U$200,1)+COUNTIFS(ID4D!$GF$3:$GF$200,$DY54,ID4D!$AG$3:$AG$200,"4B",ID4D!$U$3:$U$200,1))</f>
        <v>9</v>
      </c>
      <c r="DY54" s="742" t="s">
        <v>10</v>
      </c>
    </row>
    <row r="55" spans="20:129">
      <c r="T55" t="str">
        <f>IF($AV$1,"UMIC (43)","UMIC (55)")</f>
        <v>UMIC (55)</v>
      </c>
      <c r="U55" s="593">
        <f>IF($AV$1,AVERAGEIFS(ID4D!$CG$3:$CG$200, ID4D!$E$3:$E$200,V55,ID4D!$IK$3:$IK$200,0),AVERAGEIF(ID4D!$E$3:$E$200,V55,ID4D!$CG$3:$CG$200))</f>
        <v>92.687272727272699</v>
      </c>
      <c r="V55" s="596" t="s">
        <v>12</v>
      </c>
      <c r="AO55" s="628">
        <v>2011</v>
      </c>
      <c r="AP55" s="628">
        <f>IF($AV$1,COUNTIFS(ID4D!$K$3:$K$200,$AO55,ID4D!$IK$3:$IK$200,0),COUNTIF(ID4D!$K$3:$K$200,$AO55))</f>
        <v>1</v>
      </c>
      <c r="AQ55" s="628">
        <f t="shared" si="8"/>
        <v>196</v>
      </c>
      <c r="AR55" s="628">
        <f>IF($AV$1,COUNTIFS(ID4D!$R$3:$R$200,$AO55,ID4D!$IK$3:$IK$200,0),COUNTIF(ID4D!$R$3:$R$200,$AO55))</f>
        <v>10</v>
      </c>
      <c r="AS55" s="628">
        <f t="shared" si="27"/>
        <v>163</v>
      </c>
      <c r="AT55" s="628">
        <f>IF($AV$1,COUNTIFS(ID4D!$AE$3:$AE$200,$AO55,ID4D!$IK$3:$IK$200,0),COUNTIF(ID4D!$AE$3:$AE$200,$AO55))</f>
        <v>8</v>
      </c>
      <c r="AU55" s="628">
        <f t="shared" si="28"/>
        <v>70</v>
      </c>
      <c r="AV55" s="628">
        <f>IF($AV$1,COUNTIFS(ID4D!$AZ$3:$AZ$200,$AO55,ID4D!$IK$3:$IK$200,0),COUNTIF(ID4D!$AZ$3:$AZ$200,$AO55))</f>
        <v>11</v>
      </c>
      <c r="AW55" s="628">
        <f t="shared" si="9"/>
        <v>158</v>
      </c>
      <c r="AX55" s="628">
        <f>IF($AV$1,COUNTIFS(ID4D!$BD$3:$BD$200,$AO55,ID4D!$IK$3:$IK$200,0),COUNTIF(ID4D!$BD$3:$BD$200,$AO55))</f>
        <v>6</v>
      </c>
      <c r="AY55" s="628">
        <f t="shared" si="29"/>
        <v>124</v>
      </c>
      <c r="AZ55" s="628">
        <f>IF($AV$1,COUNTIFS(ID4D!$AZ$3:$AZ$200,$AO55,ID4D!$BB$3:$BB$200,2,ID4D!$IK$3:$IK$200,0),COUNTIFS(ID4D!$AZ$3:$AZ$200,$AO55,ID4D!$BB$3:$BB$200,2))</f>
        <v>4</v>
      </c>
      <c r="BA55" s="628">
        <f t="shared" si="10"/>
        <v>41</v>
      </c>
      <c r="BB55" s="628">
        <f>IF($AV$1,COUNTIFS(ID4D!$AU$3:$AU$200,$AO55,ID4D!$AS$3:$AS$200,2,ID4D!$IK$3:$IK$200,0),COUNTIFS(ID4D!$AU$3:$AU$200,$AO55,ID4D!$AS$3:$AS$200,2))</f>
        <v>6</v>
      </c>
      <c r="BC55" s="628">
        <f t="shared" si="11"/>
        <v>93</v>
      </c>
      <c r="BD55" s="628">
        <f>IF($AV$1,COUNTIFS(ID4D!$HM$3:$HM$200,$AO55,ID4D!$IK$3:$IK$200,0),COUNTIF(ID4D!$HM$3:$HM$200,$AO55))</f>
        <v>11</v>
      </c>
      <c r="BE55" s="628">
        <f t="shared" si="12"/>
        <v>98</v>
      </c>
      <c r="BF55" s="628">
        <f>IF($AV$1,COUNTIFS(ID4D!$HU$3:$HU$200,$AO55,ID4D!$IK$3:$IK$200,0),COUNTIF(ID4D!$HU$3:$HU$200,$AO55))</f>
        <v>7</v>
      </c>
      <c r="BG55" s="628">
        <f t="shared" si="13"/>
        <v>107</v>
      </c>
      <c r="DQ55" t="s">
        <v>5186</v>
      </c>
      <c r="DR55" s="736">
        <f>IF($ED$1,COUNTIFS(ID4D!$GF$3:$GF$200,$DY55,ID4D!$AG$3:$AG$200,0,ID4D!$IK$3:$IK$200,0),COUNTIFS(ID4D!$GF$3:$GF$200,$DY55,ID4D!$AG$3:$AG$200,0))</f>
        <v>1</v>
      </c>
      <c r="DS55" s="736">
        <f>IF($ED$1,COUNTIFS(ID4D!$GF$3:$GF$200,$DY55,ID4D!$AG$3:$AG$200,1,ID4D!$U$3:$U$200,2,ID4D!$IK$3:$IK$200,0),COUNTIFS(ID4D!$GF$3:$GF$200,$DY55,ID4D!$AG$3:$AG$200,1,ID4D!$U$3:$U$200,2))</f>
        <v>9</v>
      </c>
      <c r="DT55" s="736">
        <f>IF($ED$1,COUNTIFS(ID4D!$GF$3:$GF$200,$DY55,ID4D!$AG$3:$AG$200,1,ID4D!$U$3:$U$200,1,ID4D!$IK$3:$IK$200,0),COUNTIFS(ID4D!$GF$3:$GF$200,$DY55,ID4D!$AG$3:$AG$200,1,ID4D!$U$3:$U$200,1))</f>
        <v>1</v>
      </c>
      <c r="DU55" s="736">
        <f>IF($ED$1,COUNTIFS(ID4D!$GF$3:$GF$200,$DY55,ID4D!$AG$3:$AG$200,"&gt;1",ID4D!$U$3:$U$200,2,ID4D!$IK$3:$IK$200,0),COUNTIFS(ID4D!$GF$3:$GF$200,$DY55,ID4D!$AG$3:$AG$200,"&gt;1",ID4D!$U$3:$U$200,2))</f>
        <v>9</v>
      </c>
      <c r="DV55" s="736">
        <f>IF($ED$1,COUNTIFS(ID4D!$GF$3:$GF$200,$DY55,ID4D!$AG$3:$AG$200,"&gt;1",ID4D!$U$3:$U$200,1,ID4D!$IK$3:$IK$200,0),COUNTIFS(ID4D!$GF$3:$GF$200,$DY55,ID4D!$AG$3:$AG$200,"&gt;1",ID4D!$U$3:$U$200,1))</f>
        <v>1</v>
      </c>
      <c r="DW55" s="736">
        <f>IF($ED$1,COUNTIFS(ID4D!$GF$3:$GF$200,$DY55,ID4D!$AG$3:$AG$200,"2B",ID4D!$U$3:$U$200,2,ID4D!$IK$3:$IK$200,0)+COUNTIFS(ID4D!$GF$3:$GF$200,$DY55,ID4D!$AG$3:$AG$200,"3B",ID4D!$U$3:$U$200,2,ID4D!$IK$3:$IK$200,0)+COUNTIFS(ID4D!$GF$3:$GF$200,$DY55,ID4D!$AG$3:$AG$200,"4B",ID4D!$U$3:$U$200,2,ID4D!$IK$3:$IK$200,0), COUNTIFS(ID4D!$GF$3:$GF$200,$DY55,ID4D!$AG$3:$AG$200,"2B",ID4D!$U$3:$U$200,2)+COUNTIFS(ID4D!$GF$3:$GF$200,$DY55,ID4D!$AG$3:$AG$200,"3B",ID4D!$U$3:$U$200,2)+COUNTIFS(ID4D!$GF$3:$GF$200,$DY55,ID4D!$AG$3:$AG$200,"4B",ID4D!$U$3:$U$200,2))</f>
        <v>37</v>
      </c>
      <c r="DX55" s="736">
        <f>IF($ED$1,COUNTIFS(ID4D!$GF$3:$GF$200,$DY55,ID4D!$AG$3:$AG$200,"2B",ID4D!$U$3:$U$200,1,ID4D!$IK$3:$IK$200,0)+COUNTIFS(ID4D!$GF$3:$GF$200,$DY55,ID4D!$AG$3:$AG$200,"3B",ID4D!$U$3:$U$200,1,ID4D!$IK$3:$IK$200,0)+COUNTIFS(ID4D!$GF$3:$GF$200,$DY55,ID4D!$AG$3:$AG$200,"4B",ID4D!$U$3:$U$200,1,ID4D!$IK$3:$IK$200,0), COUNTIFS(ID4D!$GF$3:$GF$200,$DY55,ID4D!$AG$3:$AG$200,"2B",ID4D!$U$3:$U$200,1)+COUNTIFS(ID4D!$GF$3:$GF$200,$DY55,ID4D!$AG$3:$AG$200,"3B",ID4D!$U$3:$U$200,1)+COUNTIFS(ID4D!$GF$3:$GF$200,$DY55,ID4D!$AG$3:$AG$200,"4B",ID4D!$U$3:$U$200,1))</f>
        <v>3</v>
      </c>
      <c r="DY55" s="742" t="s">
        <v>590</v>
      </c>
    </row>
    <row r="56" spans="20:129">
      <c r="T56" t="str">
        <f>IF($AV$1,"HIC (48)","HIC (59)")</f>
        <v>HIC (59)</v>
      </c>
      <c r="U56" s="593">
        <f>IF($AV$1,AVERAGEIFS(ID4D!$CG$3:$CG$200, ID4D!$E$3:$E$200,V56,ID4D!$IK$3:$IK$200,0),AVERAGEIF(ID4D!$E$3:$E$200,V56,ID4D!$CG$3:$CG$200))</f>
        <v>97.127118644067792</v>
      </c>
      <c r="V56" s="596" t="s">
        <v>17</v>
      </c>
      <c r="AO56" s="628">
        <v>2012</v>
      </c>
      <c r="AP56" s="628">
        <f>IF($AV$1,COUNTIFS(ID4D!$K$3:$K$200,$AO56,ID4D!$IK$3:$IK$200,0),COUNTIF(ID4D!$K$3:$K$200,$AO56))</f>
        <v>2</v>
      </c>
      <c r="AQ56" s="628">
        <f t="shared" si="8"/>
        <v>198</v>
      </c>
      <c r="AR56" s="628">
        <f>IF($AV$1,COUNTIFS(ID4D!$R$3:$R$200,$AO56,ID4D!$IK$3:$IK$200,0),COUNTIF(ID4D!$R$3:$R$200,$AO56))</f>
        <v>4</v>
      </c>
      <c r="AS56" s="628">
        <f t="shared" si="27"/>
        <v>167</v>
      </c>
      <c r="AT56" s="628">
        <f>IF($AV$1,COUNTIFS(ID4D!$AE$3:$AE$200,$AO56,ID4D!$IK$3:$IK$200,0),COUNTIF(ID4D!$AE$3:$AE$200,$AO56))</f>
        <v>15</v>
      </c>
      <c r="AU56" s="628">
        <f t="shared" si="28"/>
        <v>85</v>
      </c>
      <c r="AV56" s="628">
        <f>IF($AV$1,COUNTIFS(ID4D!$AZ$3:$AZ$200,$AO56,ID4D!$IK$3:$IK$200,0),COUNTIF(ID4D!$AZ$3:$AZ$200,$AO56))</f>
        <v>19</v>
      </c>
      <c r="AW56" s="628">
        <f t="shared" si="9"/>
        <v>177</v>
      </c>
      <c r="AX56" s="628">
        <f>IF($AV$1,COUNTIFS(ID4D!$BD$3:$BD$200,$AO56,ID4D!$IK$3:$IK$200,0),COUNTIF(ID4D!$BD$3:$BD$200,$AO56))</f>
        <v>9</v>
      </c>
      <c r="AY56" s="628">
        <f t="shared" si="29"/>
        <v>133</v>
      </c>
      <c r="AZ56" s="628">
        <f>IF($AV$1,COUNTIFS(ID4D!$AZ$3:$AZ$200,$AO56,ID4D!$BB$3:$BB$200,2,ID4D!$IK$3:$IK$200,0),COUNTIFS(ID4D!$AZ$3:$AZ$200,$AO56,ID4D!$BB$3:$BB$200,2))</f>
        <v>5</v>
      </c>
      <c r="BA56" s="628">
        <f t="shared" si="10"/>
        <v>46</v>
      </c>
      <c r="BB56" s="628">
        <f>IF($AV$1,COUNTIFS(ID4D!$AU$3:$AU$200,$AO56,ID4D!$AS$3:$AS$200,2,ID4D!$IK$3:$IK$200,0),COUNTIFS(ID4D!$AU$3:$AU$200,$AO56,ID4D!$AS$3:$AS$200,2))</f>
        <v>7</v>
      </c>
      <c r="BC56" s="628">
        <f t="shared" si="11"/>
        <v>100</v>
      </c>
      <c r="BD56" s="628">
        <f>IF($AV$1,COUNTIFS(ID4D!$HM$3:$HM$200,$AO56,ID4D!$IK$3:$IK$200,0),COUNTIF(ID4D!$HM$3:$HM$200,$AO56))</f>
        <v>10</v>
      </c>
      <c r="BE56" s="628">
        <f t="shared" si="12"/>
        <v>108</v>
      </c>
      <c r="BF56" s="628">
        <f>IF($AV$1,COUNTIFS(ID4D!$HU$3:$HU$200,$AO56,ID4D!$IK$3:$IK$200,0),COUNTIF(ID4D!$HU$3:$HU$200,$AO56))</f>
        <v>3</v>
      </c>
      <c r="BG56" s="628">
        <f t="shared" si="13"/>
        <v>110</v>
      </c>
      <c r="DQ56" t="s">
        <v>5187</v>
      </c>
      <c r="DR56" s="736">
        <f>IF($ED$1,COUNTIFS(ID4D!$GF$3:$GF$200,$DY56,ID4D!$AG$3:$AG$200,0,ID4D!$IK$3:$IK$200,0),COUNTIFS(ID4D!$GF$3:$GF$200,$DY56,ID4D!$AG$3:$AG$200,0))</f>
        <v>1</v>
      </c>
      <c r="DS56" s="736">
        <f>IF($ED$1,COUNTIFS(ID4D!$GF$3:$GF$200,$DY56,ID4D!$AG$3:$AG$200,1,ID4D!$U$3:$U$200,2,ID4D!$IK$3:$IK$200,0),COUNTIFS(ID4D!$GF$3:$GF$200,$DY56,ID4D!$AG$3:$AG$200,1,ID4D!$U$3:$U$200,2))</f>
        <v>6</v>
      </c>
      <c r="DT56" s="736">
        <f>IF($ED$1,COUNTIFS(ID4D!$GF$3:$GF$200,$DY56,ID4D!$AG$3:$AG$200,1,ID4D!$U$3:$U$200,1,ID4D!$IK$3:$IK$200,0),COUNTIFS(ID4D!$GF$3:$GF$200,$DY56,ID4D!$AG$3:$AG$200,1,ID4D!$U$3:$U$200,1))</f>
        <v>3</v>
      </c>
      <c r="DU56" s="736">
        <f>IF($ED$1,COUNTIFS(ID4D!$GF$3:$GF$200,$DY56,ID4D!$AG$3:$AG$200,"&gt;1",ID4D!$U$3:$U$200,2,ID4D!$IK$3:$IK$200,0),COUNTIFS(ID4D!$GF$3:$GF$200,$DY56,ID4D!$AG$3:$AG$200,"&gt;1",ID4D!$U$3:$U$200,2))</f>
        <v>5</v>
      </c>
      <c r="DV56" s="736">
        <f>IF($ED$1,COUNTIFS(ID4D!$GF$3:$GF$200,$DY56,ID4D!$AG$3:$AG$200,"&gt;1",ID4D!$U$3:$U$200,1,ID4D!$IK$3:$IK$200,0),COUNTIFS(ID4D!$GF$3:$GF$200,$DY56,ID4D!$AG$3:$AG$200,"&gt;1",ID4D!$U$3:$U$200,1))</f>
        <v>0</v>
      </c>
      <c r="DW56" s="736">
        <f>IF($ED$1,COUNTIFS(ID4D!$GF$3:$GF$200,$DY56,ID4D!$AG$3:$AG$200,"2B",ID4D!$U$3:$U$200,2,ID4D!$IK$3:$IK$200,0)+COUNTIFS(ID4D!$GF$3:$GF$200,$DY56,ID4D!$AG$3:$AG$200,"3B",ID4D!$U$3:$U$200,2,ID4D!$IK$3:$IK$200,0)+COUNTIFS(ID4D!$GF$3:$GF$200,$DY56,ID4D!$AG$3:$AG$200,"4B",ID4D!$U$3:$U$200,2,ID4D!$IK$3:$IK$200,0), COUNTIFS(ID4D!$GF$3:$GF$200,$DY56,ID4D!$AG$3:$AG$200,"2B",ID4D!$U$3:$U$200,2)+COUNTIFS(ID4D!$GF$3:$GF$200,$DY56,ID4D!$AG$3:$AG$200,"3B",ID4D!$U$3:$U$200,2)+COUNTIFS(ID4D!$GF$3:$GF$200,$DY56,ID4D!$AG$3:$AG$200,"4B",ID4D!$U$3:$U$200,2))</f>
        <v>32</v>
      </c>
      <c r="DX56" s="736">
        <f>IF($ED$1,COUNTIFS(ID4D!$GF$3:$GF$200,$DY56,ID4D!$AG$3:$AG$200,"2B",ID4D!$U$3:$U$200,1,ID4D!$IK$3:$IK$200,0)+COUNTIFS(ID4D!$GF$3:$GF$200,$DY56,ID4D!$AG$3:$AG$200,"3B",ID4D!$U$3:$U$200,1,ID4D!$IK$3:$IK$200,0)+COUNTIFS(ID4D!$GF$3:$GF$200,$DY56,ID4D!$AG$3:$AG$200,"4B",ID4D!$U$3:$U$200,1,ID4D!$IK$3:$IK$200,0), COUNTIFS(ID4D!$GF$3:$GF$200,$DY56,ID4D!$AG$3:$AG$200,"2B",ID4D!$U$3:$U$200,1)+COUNTIFS(ID4D!$GF$3:$GF$200,$DY56,ID4D!$AG$3:$AG$200,"3B",ID4D!$U$3:$U$200,1)+COUNTIFS(ID4D!$GF$3:$GF$200,$DY56,ID4D!$AG$3:$AG$200,"4B",ID4D!$U$3:$U$200,1))</f>
        <v>2</v>
      </c>
      <c r="DY56" s="742" t="s">
        <v>580</v>
      </c>
    </row>
    <row r="57" spans="20:129">
      <c r="AO57" s="628">
        <v>2013</v>
      </c>
      <c r="AP57" s="628">
        <f>IF($AV$1,COUNTIFS(ID4D!$K$3:$K$200,$AO57,ID4D!$IK$3:$IK$200,0),COUNTIF(ID4D!$K$3:$K$200,$AO57))</f>
        <v>0</v>
      </c>
      <c r="AQ57" s="628">
        <f t="shared" si="8"/>
        <v>198</v>
      </c>
      <c r="AR57" s="628">
        <f>IF($AV$1,COUNTIFS(ID4D!$R$3:$R$200,$AO57,ID4D!$IK$3:$IK$200,0),COUNTIF(ID4D!$R$3:$R$200,$AO57))</f>
        <v>6</v>
      </c>
      <c r="AS57" s="628">
        <f t="shared" si="27"/>
        <v>173</v>
      </c>
      <c r="AT57" s="628">
        <f>IF($AV$1,COUNTIFS(ID4D!$AE$3:$AE$200,$AO57,ID4D!$IK$3:$IK$200,0),COUNTIF(ID4D!$AE$3:$AE$200,$AO57))</f>
        <v>15</v>
      </c>
      <c r="AU57" s="628">
        <f t="shared" si="28"/>
        <v>100</v>
      </c>
      <c r="AV57" s="628">
        <f>IF($AV$1,COUNTIFS(ID4D!$AZ$3:$AZ$200,$AO57,ID4D!$IK$3:$IK$200,0),COUNTIF(ID4D!$AZ$3:$AZ$200,$AO57))</f>
        <v>11</v>
      </c>
      <c r="AW57" s="628">
        <f t="shared" si="9"/>
        <v>188</v>
      </c>
      <c r="AX57" s="628">
        <f>IF($AV$1,COUNTIFS(ID4D!$BD$3:$BD$200,$AO57,ID4D!$IK$3:$IK$200,0),COUNTIF(ID4D!$BD$3:$BD$200,$AO57))</f>
        <v>10</v>
      </c>
      <c r="AY57" s="628">
        <f t="shared" si="29"/>
        <v>143</v>
      </c>
      <c r="AZ57" s="628">
        <f>IF($AV$1,COUNTIFS(ID4D!$AZ$3:$AZ$200,$AO57,ID4D!$BB$3:$BB$200,2,ID4D!$IK$3:$IK$200,0),COUNTIFS(ID4D!$AZ$3:$AZ$200,$AO57,ID4D!$BB$3:$BB$200,2))</f>
        <v>5</v>
      </c>
      <c r="BA57" s="628">
        <f t="shared" si="10"/>
        <v>51</v>
      </c>
      <c r="BB57" s="628">
        <f>IF($AV$1,COUNTIFS(ID4D!$AU$3:$AU$200,$AO57,ID4D!$AS$3:$AS$200,2,ID4D!$IK$3:$IK$200,0),COUNTIFS(ID4D!$AU$3:$AU$200,$AO57,ID4D!$AS$3:$AS$200,2))</f>
        <v>7</v>
      </c>
      <c r="BC57" s="628">
        <f t="shared" si="11"/>
        <v>107</v>
      </c>
      <c r="BD57" s="628">
        <f>IF($AV$1,COUNTIFS(ID4D!$HM$3:$HM$200,$AO57,ID4D!$IK$3:$IK$200,0),COUNTIF(ID4D!$HM$3:$HM$200,$AO57))</f>
        <v>5</v>
      </c>
      <c r="BE57" s="628">
        <f t="shared" si="12"/>
        <v>113</v>
      </c>
      <c r="BF57" s="628">
        <f>IF($AV$1,COUNTIFS(ID4D!$HU$3:$HU$200,$AO57,ID4D!$IK$3:$IK$200,0),COUNTIF(ID4D!$HU$3:$HU$200,$AO57))</f>
        <v>6</v>
      </c>
      <c r="BG57" s="628">
        <f t="shared" si="13"/>
        <v>116</v>
      </c>
      <c r="DR57" s="736"/>
      <c r="DS57" s="736"/>
      <c r="DT57" s="736"/>
      <c r="DU57" s="736"/>
      <c r="DV57" s="736"/>
      <c r="DW57" s="736"/>
      <c r="DX57" s="736"/>
    </row>
    <row r="58" spans="20:129">
      <c r="T58" t="str">
        <f>IF($AV$1,"169 economies","198 economies")</f>
        <v>198 economies</v>
      </c>
      <c r="AO58" s="628">
        <v>2014</v>
      </c>
      <c r="AP58" s="628">
        <f>IF($AV$1,COUNTIFS(ID4D!$K$3:$K$200,$AO58,ID4D!$IK$3:$IK$200,0),COUNTIF(ID4D!$K$3:$K$200,$AO58))</f>
        <v>0</v>
      </c>
      <c r="AQ58" s="628">
        <f t="shared" si="8"/>
        <v>198</v>
      </c>
      <c r="AR58" s="628">
        <f>IF($AV$1,COUNTIFS(ID4D!$R$3:$R$200,$AO58,ID4D!$IK$3:$IK$200,0),COUNTIF(ID4D!$R$3:$R$200,$AO58))</f>
        <v>8</v>
      </c>
      <c r="AS58" s="628">
        <f t="shared" si="27"/>
        <v>181</v>
      </c>
      <c r="AT58" s="628">
        <f>IF($AV$1,COUNTIFS(ID4D!$AE$3:$AE$200,$AO58,ID4D!$IK$3:$IK$200,0),COUNTIF(ID4D!$AE$3:$AE$200,$AO58))</f>
        <v>13</v>
      </c>
      <c r="AU58" s="628">
        <f t="shared" si="28"/>
        <v>113</v>
      </c>
      <c r="AV58" s="628">
        <f>IF($AV$1,COUNTIFS(ID4D!$AZ$3:$AZ$200,$AO58,ID4D!$IK$3:$IK$200,0),COUNTIF(ID4D!$AZ$3:$AZ$200,$AO58))</f>
        <v>6</v>
      </c>
      <c r="AW58" s="628">
        <f t="shared" si="9"/>
        <v>194</v>
      </c>
      <c r="AX58" s="628">
        <f>IF($AV$1,COUNTIFS(ID4D!$BD$3:$BD$200,$AO58,ID4D!$IK$3:$IK$200,0),COUNTIF(ID4D!$BD$3:$BD$200,$AO58))</f>
        <v>1</v>
      </c>
      <c r="AY58" s="628">
        <f t="shared" si="29"/>
        <v>144</v>
      </c>
      <c r="AZ58" s="628">
        <f>IF($AV$1,COUNTIFS(ID4D!$AZ$3:$AZ$200,$AO58,ID4D!$BB$3:$BB$200,2,ID4D!$IK$3:$IK$200,0),COUNTIFS(ID4D!$AZ$3:$AZ$200,$AO58,ID4D!$BB$3:$BB$200,2))</f>
        <v>2</v>
      </c>
      <c r="BA58" s="628">
        <f t="shared" si="10"/>
        <v>53</v>
      </c>
      <c r="BB58" s="628">
        <f>IF($AV$1,COUNTIFS(ID4D!$AU$3:$AU$200,$AO58,ID4D!$AS$3:$AS$200,2,ID4D!$IK$3:$IK$200,0),COUNTIFS(ID4D!$AU$3:$AU$200,$AO58,ID4D!$AS$3:$AS$200,2))</f>
        <v>10</v>
      </c>
      <c r="BC58" s="628">
        <f t="shared" si="11"/>
        <v>117</v>
      </c>
      <c r="BD58" s="628">
        <f>IF($AV$1,COUNTIFS(ID4D!$HM$3:$HM$200,$AO58,ID4D!$IK$3:$IK$200,0),COUNTIF(ID4D!$HM$3:$HM$200,$AO58))</f>
        <v>2</v>
      </c>
      <c r="BE58" s="628">
        <f t="shared" si="12"/>
        <v>115</v>
      </c>
      <c r="BF58" s="628">
        <f>IF($AV$1,COUNTIFS(ID4D!$HU$3:$HU$200,$AO58,ID4D!$IK$3:$IK$200,0),COUNTIF(ID4D!$HU$3:$HU$200,$AO58))</f>
        <v>4</v>
      </c>
      <c r="BG58" s="628">
        <f t="shared" si="13"/>
        <v>120</v>
      </c>
      <c r="DQ58" t="str">
        <f>IF($ED$1,"169 economies","198 economies")</f>
        <v>198 economies</v>
      </c>
      <c r="DR58" s="736"/>
      <c r="DS58" s="736"/>
      <c r="DT58" s="736"/>
      <c r="DU58" s="736"/>
      <c r="DV58" s="736"/>
      <c r="DW58" s="736"/>
      <c r="DX58" s="736"/>
    </row>
    <row r="59" spans="20:129">
      <c r="T59" t="s">
        <v>4469</v>
      </c>
      <c r="U59" s="593">
        <f>IF($AV$1, AVERAGEIFS(ID4D!$CG$3:$CG$200,ID4D!$E$3:$E$200,"&gt;A",ID4D!$IK$3:$IK$200,0),AVERAGEIF(ID4D!$E$3:$E$200,"&gt;A",ID4D!$CG$3:$CG$200))</f>
        <v>82.609595959595964</v>
      </c>
      <c r="AO59" s="628">
        <v>2015</v>
      </c>
      <c r="AP59" s="628">
        <f>IF($AV$1,COUNTIFS(ID4D!$K$3:$K$200,$AO59,ID4D!$IK$3:$IK$200,0),COUNTIF(ID4D!$K$3:$K$200,$AO59))</f>
        <v>0</v>
      </c>
      <c r="AQ59" s="628">
        <f t="shared" si="8"/>
        <v>198</v>
      </c>
      <c r="AR59" s="628">
        <f>IF($AV$1,COUNTIFS(ID4D!$R$3:$R$200,$AO59,ID4D!$IK$3:$IK$200,0),COUNTIF(ID4D!$R$3:$R$200,$AO59))</f>
        <v>0</v>
      </c>
      <c r="AS59" s="628">
        <f t="shared" si="27"/>
        <v>181</v>
      </c>
      <c r="AT59" s="628">
        <f>IF($AV$1,COUNTIFS(ID4D!$AE$3:$AE$200,$AO59,ID4D!$IK$3:$IK$200,0),COUNTIF(ID4D!$AE$3:$AE$200,$AO59))</f>
        <v>22</v>
      </c>
      <c r="AU59" s="628">
        <f t="shared" si="28"/>
        <v>135</v>
      </c>
      <c r="AV59" s="628">
        <f>IF($AV$1,COUNTIFS(ID4D!$AZ$3:$AZ$200,$AO59,ID4D!$IK$3:$IK$200,0),COUNTIF(ID4D!$AZ$3:$AZ$200,$AO59))</f>
        <v>1</v>
      </c>
      <c r="AW59" s="628">
        <f t="shared" si="9"/>
        <v>195</v>
      </c>
      <c r="AX59" s="628">
        <f>IF($AV$1,COUNTIFS(ID4D!$BD$3:$BD$200,$AO59,ID4D!$IK$3:$IK$200,0),COUNTIF(ID4D!$BD$3:$BD$200,$AO59))</f>
        <v>0</v>
      </c>
      <c r="AY59" s="628">
        <f t="shared" si="29"/>
        <v>144</v>
      </c>
      <c r="AZ59" s="628">
        <f>IF($AV$1,COUNTIFS(ID4D!$AZ$3:$AZ$200,$AO59,ID4D!$BB$3:$BB$200,2,ID4D!$IK$3:$IK$200,0),COUNTIFS(ID4D!$AZ$3:$AZ$200,$AO59,ID4D!$BB$3:$BB$200,2))</f>
        <v>0</v>
      </c>
      <c r="BA59" s="628">
        <f t="shared" si="10"/>
        <v>53</v>
      </c>
      <c r="BB59" s="628">
        <f>IF($AV$1,COUNTIFS(ID4D!$AU$3:$AU$200,$AO59,ID4D!$AS$3:$AS$200,2,ID4D!$IK$3:$IK$200,0),COUNTIFS(ID4D!$AU$3:$AU$200,$AO59,ID4D!$AS$3:$AS$200,2))</f>
        <v>2</v>
      </c>
      <c r="BC59" s="628">
        <f t="shared" si="11"/>
        <v>119</v>
      </c>
      <c r="BD59" s="628">
        <f>IF($AV$1,COUNTIFS(ID4D!$HM$3:$HM$200,$AO59,ID4D!$IK$3:$IK$200,0),COUNTIF(ID4D!$HM$3:$HM$200,$AO59))</f>
        <v>0</v>
      </c>
      <c r="BE59" s="628">
        <f t="shared" si="12"/>
        <v>115</v>
      </c>
      <c r="BF59" s="628">
        <f>IF($AV$1,COUNTIFS(ID4D!$HU$3:$HU$200,$AO59,ID4D!$IK$3:$IK$200,0),COUNTIF(ID4D!$HU$3:$HU$200,$AO59))</f>
        <v>0</v>
      </c>
      <c r="BG59" s="628">
        <f t="shared" si="13"/>
        <v>120</v>
      </c>
      <c r="DQ59" t="s">
        <v>4470</v>
      </c>
      <c r="DR59" s="736">
        <f>IF($ED$1,COUNTIFS(ID4D!$GF$3:$GF$200,"&gt;A",ID4D!$IK$3:$IK$200,0,ID4D!$AG$3:$AG$200,0),COUNTIFS(ID4D!$GF$3:$GF$200,"&gt;A",ID4D!$AG$3:$AG$200,0))</f>
        <v>17</v>
      </c>
      <c r="DS59" s="736">
        <f>IF($ED$1,COUNTIFS(ID4D!$GF$3:$GF$200,"&gt;A",ID4D!$IK$3:$IK$200,0,ID4D!$AG$3:$AG$200,1,ID4D!$U$3:$U$200,2),COUNTIFS(ID4D!$GF$3:$GF$200,"&gt;A",ID4D!$AG$3:$AG$200,1,ID4D!$U$3:$U$200,2))</f>
        <v>25</v>
      </c>
      <c r="DT59" s="736">
        <f>IF($ED$1,COUNTIFS(ID4D!$GF$3:$GF$200,"&gt;A",ID4D!$IK$3:$IK$200,0,ID4D!$AG$3:$AG$200,1,ID4D!$U$3:$U$200,1),COUNTIFS(ID4D!$GF$3:$GF$200,"&gt;A",ID4D!$AG$3:$AG$200,1,ID4D!$U$3:$U$200,1))</f>
        <v>8</v>
      </c>
      <c r="DU59" s="736">
        <f>IF($ED$1,COUNTIFS(ID4D!$GF$3:$GF$200,"&gt;A",ID4D!$IK$3:$IK$200,0,ID4D!$AG$3:$AG$200,"&gt;1",ID4D!$U$3:$U$200,2),COUNTIFS(ID4D!$GF$3:$GF$200,"&gt;A",ID4D!$AG$3:$AG$200,"&gt;1",ID4D!$U$3:$U$200,2))</f>
        <v>30</v>
      </c>
      <c r="DV59" s="736">
        <f>IF($ED$1,COUNTIFS(ID4D!$GF$3:$GF$200,"&gt;A",ID4D!$IK$3:$IK$200,0,ID4D!$AG$3:$AG$200,"&gt;1",ID4D!$U$3:$U$200,1),COUNTIFS(ID4D!$GF$3:$GF$200,"&gt;A",ID4D!$AG$3:$AG$200,"&gt;1",ID4D!$U$3:$U$200,1))</f>
        <v>7</v>
      </c>
      <c r="DW59" s="736">
        <f>IF($ED$1,COUNTIFS(ID4D!$GF$3:$GF$200,"&gt;A",ID4D!$IK$3:$IK$200,0,ID4D!$AG$3:$AG$200,"2B",ID4D!$U$3:$U$200,2)+COUNTIFS(ID4D!$GF$3:$GF$200,"&gt;A",ID4D!$IK$3:$IK$200,0,ID4D!$AG$3:$AG$200,"3B",ID4D!$U$3:$U$200,2)+COUNTIFS(ID4D!$GF$3:$GF$200,"&gt;A",ID4D!$IK$3:$IK$200,0,ID4D!$AG$3:$AG$200,"4B",ID4D!$U$3:$U$200,2), COUNTIFS(ID4D!$GF$3:$GF$200,"&gt;A",ID4D!$AG$3:$AG$200,"2B",ID4D!$U$3:$U$200,2)+COUNTIFS(ID4D!$GF$3:$GF$200,"&gt;A",ID4D!$AG$3:$AG$200,"3B",ID4D!$U$3:$U$200,2)+COUNTIFS(ID4D!$GF$3:$GF$200,"&gt;A",ID4D!$AG$3:$AG$200,"4B",ID4D!$U$3:$U$200,2))</f>
        <v>97</v>
      </c>
      <c r="DX59" s="736">
        <f>IF($ED$1,COUNTIFS(ID4D!$GF$3:$GF$200,"&gt;A",ID4D!$IK$3:$IK$200,0,ID4D!$AG$3:$AG$200,"2B",ID4D!$U$3:$U$200,1)+COUNTIFS(ID4D!$GF$3:$GF$200,"&gt;A",ID4D!$IK$3:$IK$200,0,ID4D!$AG$3:$AG$200,"3B",ID4D!$U$3:$U$200,1)+COUNTIFS(ID4D!$GF$3:$GF$200,"&gt;A",ID4D!$IK$3:$IK$200,0,ID4D!$AG$3:$AG$200,"4B",ID4D!$U$3:$U$200,1), COUNTIFS(ID4D!$GF$3:$GF$200,"&gt;A",ID4D!$AG$3:$AG$200,"2B",ID4D!$U$3:$U$200,1)+COUNTIFS(ID4D!$GF$3:$GF$200,"&gt;A",ID4D!$AG$3:$AG$200,"3B",ID4D!$U$3:$U$200,1)+COUNTIFS(ID4D!$GF$3:$GF$200,"&gt;A",ID4D!$AG$3:$AG$200,"4B",ID4D!$U$3:$U$200,1))</f>
        <v>14</v>
      </c>
      <c r="DY59" s="739">
        <f>SUM(DR59:DX59)</f>
        <v>198</v>
      </c>
    </row>
    <row r="60" spans="20:129">
      <c r="AO60" s="628">
        <v>2016</v>
      </c>
      <c r="AP60" s="628">
        <f>IF($AV$1,COUNTIFS(ID4D!$K$3:$K$200,$AO60,ID4D!$IK$3:$IK$200,0),COUNTIF(ID4D!$K$3:$K$200,$AO60))</f>
        <v>0</v>
      </c>
      <c r="AQ60" s="628">
        <f t="shared" si="8"/>
        <v>198</v>
      </c>
      <c r="AR60" s="628">
        <f>IF($AV$1,COUNTIFS(ID4D!$R$3:$R$200,$AO60,ID4D!$IK$3:$IK$200,0),COUNTIF(ID4D!$R$3:$R$200,$AO60))</f>
        <v>1</v>
      </c>
      <c r="AS60" s="628">
        <f t="shared" si="27"/>
        <v>182</v>
      </c>
      <c r="AT60" s="628">
        <f>IF($AV$1,COUNTIFS(ID4D!$AE$3:$AE$200,$AO60,ID4D!$IK$3:$IK$200,0),COUNTIF(ID4D!$AE$3:$AE$200,$AO60))</f>
        <v>13</v>
      </c>
      <c r="AU60" s="628">
        <f t="shared" si="28"/>
        <v>148</v>
      </c>
      <c r="AV60" s="628">
        <f>IF($AV$1,COUNTIFS(ID4D!$AZ$3:$AZ$200,$AO60,ID4D!$IK$3:$IK$200,0),COUNTIF(ID4D!$AZ$3:$AZ$200,$AO60))</f>
        <v>1</v>
      </c>
      <c r="AW60" s="628">
        <f t="shared" si="9"/>
        <v>196</v>
      </c>
      <c r="AX60" s="628">
        <f>IF($AV$1,COUNTIFS(ID4D!$BD$3:$BD$200,$AO60,ID4D!$IK$3:$IK$200,0),COUNTIF(ID4D!$BD$3:$BD$200,$AO60))</f>
        <v>1</v>
      </c>
      <c r="AY60" s="628">
        <f t="shared" si="29"/>
        <v>145</v>
      </c>
      <c r="AZ60" s="628">
        <f>IF($AV$1,COUNTIFS(ID4D!$AZ$3:$AZ$200,$AO60,ID4D!$BB$3:$BB$200,2,ID4D!$IK$3:$IK$200,0),COUNTIFS(ID4D!$AZ$3:$AZ$200,$AO60,ID4D!$BB$3:$BB$200,2))</f>
        <v>0</v>
      </c>
      <c r="BA60" s="628">
        <f t="shared" si="10"/>
        <v>53</v>
      </c>
      <c r="BB60" s="628">
        <f>IF($AV$1,COUNTIFS(ID4D!$AU$3:$AU$200,$AO60,ID4D!$AS$3:$AS$200,2,ID4D!$IK$3:$IK$200,0),COUNTIFS(ID4D!$AU$3:$AU$200,$AO60,ID4D!$AS$3:$AS$200,2))</f>
        <v>0</v>
      </c>
      <c r="BC60" s="628">
        <f t="shared" si="11"/>
        <v>119</v>
      </c>
      <c r="BD60" s="628">
        <f>IF($AV$1,COUNTIFS(ID4D!$HM$3:$HM$200,$AO60,ID4D!$IK$3:$IK$200,0),COUNTIF(ID4D!$HM$3:$HM$200,$AO60))</f>
        <v>0</v>
      </c>
      <c r="BE60" s="628">
        <f t="shared" si="12"/>
        <v>115</v>
      </c>
      <c r="BF60" s="628">
        <f>IF($AV$1,COUNTIFS(ID4D!$HU$3:$HU$200,$AO60,ID4D!$IK$3:$IK$200,0),COUNTIF(ID4D!$HU$3:$HU$200,$AO60))</f>
        <v>0</v>
      </c>
      <c r="BG60" s="628">
        <f t="shared" si="13"/>
        <v>120</v>
      </c>
    </row>
    <row r="61" spans="20:129">
      <c r="AO61" s="628">
        <v>2017</v>
      </c>
      <c r="AP61" s="628"/>
      <c r="AQ61" s="628"/>
      <c r="AR61" s="628"/>
      <c r="AS61" s="628"/>
      <c r="AT61" s="628"/>
      <c r="AU61" s="628"/>
      <c r="AV61" s="628"/>
      <c r="AW61" s="628"/>
      <c r="AX61" s="628"/>
      <c r="AY61" s="628"/>
      <c r="AZ61" s="628"/>
      <c r="BA61" s="628"/>
      <c r="BB61" s="628"/>
      <c r="BC61" s="628"/>
      <c r="BD61" s="628"/>
      <c r="BE61" s="628"/>
      <c r="BF61" s="628"/>
      <c r="BG61" s="628"/>
      <c r="DQ61" s="53" t="s">
        <v>5193</v>
      </c>
      <c r="DR61" s="735" t="s">
        <v>5183</v>
      </c>
      <c r="DS61" s="735" t="s">
        <v>1680</v>
      </c>
      <c r="DT61" s="735" t="s">
        <v>1614</v>
      </c>
      <c r="DU61" s="740" t="s">
        <v>5184</v>
      </c>
    </row>
    <row r="62" spans="20:129">
      <c r="AO62" s="628">
        <v>2018</v>
      </c>
      <c r="AP62" s="628"/>
      <c r="AQ62" s="628"/>
      <c r="AR62" s="628"/>
      <c r="AS62" s="628"/>
      <c r="AT62" s="628"/>
      <c r="AU62" s="628"/>
      <c r="AV62" s="628"/>
      <c r="AW62" s="628"/>
      <c r="AX62" s="628"/>
      <c r="AY62" s="628"/>
      <c r="AZ62" s="628"/>
      <c r="BA62" s="628"/>
      <c r="BB62" s="628"/>
      <c r="BC62" s="628"/>
      <c r="BD62" s="628"/>
      <c r="BE62" s="628"/>
      <c r="BF62" s="628"/>
      <c r="BG62" s="628"/>
      <c r="DQ62" t="str">
        <f>IF($ED$1,"Free (62)","Free (88)")</f>
        <v>Free (88)</v>
      </c>
      <c r="DR62" s="736">
        <f>DR54</f>
        <v>15</v>
      </c>
      <c r="DS62" s="736">
        <f>DS54+DT54</f>
        <v>14</v>
      </c>
      <c r="DT62" s="736">
        <f>DU54+DV54</f>
        <v>22</v>
      </c>
      <c r="DU62" s="736">
        <f>DW54+DX54</f>
        <v>37</v>
      </c>
    </row>
    <row r="63" spans="20:129">
      <c r="T63" s="53" t="s">
        <v>4471</v>
      </c>
      <c r="U63" s="53" t="s">
        <v>6138</v>
      </c>
      <c r="AO63" s="628">
        <v>2019</v>
      </c>
      <c r="AP63" s="628"/>
      <c r="AQ63" s="628"/>
      <c r="AR63" s="628"/>
      <c r="AS63" s="628"/>
      <c r="AT63" s="628"/>
      <c r="AU63" s="628"/>
      <c r="AV63" s="628"/>
      <c r="AW63" s="628"/>
      <c r="AX63" s="628"/>
      <c r="AY63" s="628"/>
      <c r="AZ63" s="628"/>
      <c r="BA63" s="628"/>
      <c r="BB63" s="628"/>
      <c r="BC63" s="628"/>
      <c r="BD63" s="628"/>
      <c r="BE63" s="628"/>
      <c r="BF63" s="628"/>
      <c r="BG63" s="628"/>
      <c r="DQ63" t="str">
        <f>IF($ED$1,"Partially Free (59)","Partially Free (61)")</f>
        <v>Partially Free (61)</v>
      </c>
      <c r="DR63" s="736">
        <f>DR55</f>
        <v>1</v>
      </c>
      <c r="DS63" s="736">
        <f>DS55+DT55</f>
        <v>10</v>
      </c>
      <c r="DT63" s="736">
        <f>DU55+DV55</f>
        <v>10</v>
      </c>
      <c r="DU63" s="736">
        <f>DW55+DX55</f>
        <v>40</v>
      </c>
    </row>
    <row r="64" spans="20:129">
      <c r="T64" t="str">
        <f>IF($AV$1,"LIC (34)","LIC (34)")</f>
        <v>LIC (34)</v>
      </c>
      <c r="U64" s="594">
        <f>IF($AV$1,SUMIFS(ID4D!$DS$3:$DS$200, ID4D!$E$3:$E$200,V64,ID4D!$IK$3:$IK$200,0),SUMIF(ID4D!$E$3:$E$200,V64,ID4D!$DS$3:$DS$200))</f>
        <v>76348.125551000019</v>
      </c>
      <c r="V64" s="596" t="s">
        <v>9</v>
      </c>
      <c r="AO64" s="628">
        <v>2020</v>
      </c>
      <c r="AP64" s="628"/>
      <c r="AQ64" s="628"/>
      <c r="AR64" s="628"/>
      <c r="AS64" s="628"/>
      <c r="AT64" s="628"/>
      <c r="AU64" s="628"/>
      <c r="AV64" s="628"/>
      <c r="AW64" s="628"/>
      <c r="AX64" s="628"/>
      <c r="AY64" s="628"/>
      <c r="AZ64" s="628"/>
      <c r="BA64" s="628"/>
      <c r="BB64" s="628"/>
      <c r="BC64" s="628"/>
      <c r="BD64" s="628"/>
      <c r="BE64" s="628"/>
      <c r="BF64" s="628"/>
      <c r="BG64" s="628"/>
      <c r="BJ64" s="617" t="str">
        <f>IF($CK$12,"e-Passport Institutions (without small states)","e-Passport Institutions")</f>
        <v>e-Passport Institutions</v>
      </c>
      <c r="DQ64" t="str">
        <f>IF($ED$1,"Not Free (48)","Not Free (49)")</f>
        <v>Not Free (49)</v>
      </c>
      <c r="DR64" s="736">
        <f>DR56</f>
        <v>1</v>
      </c>
      <c r="DS64" s="736">
        <f>DS56+DT56</f>
        <v>9</v>
      </c>
      <c r="DT64" s="736">
        <f>DU56+DV56</f>
        <v>5</v>
      </c>
      <c r="DU64" s="736">
        <f>DW56+DX56</f>
        <v>34</v>
      </c>
    </row>
    <row r="65" spans="20:129">
      <c r="T65" t="str">
        <f>IF($AV$1,"LMIC (44)","LMIC (50)")</f>
        <v>LMIC (50)</v>
      </c>
      <c r="U65" s="594">
        <f>IF($AV$1,SUMIFS(ID4D!$DS$3:$DS$200, ID4D!$E$3:$E$200,V65,ID4D!$IK$3:$IK$200,0),SUMIF(ID4D!$E$3:$E$200,V65,ID4D!$DS$3:$DS$200))</f>
        <v>84231.269535000029</v>
      </c>
      <c r="V65" s="596" t="s">
        <v>20</v>
      </c>
      <c r="BJ65" s="47" t="s">
        <v>4560</v>
      </c>
      <c r="BT65" s="47" t="s">
        <v>4561</v>
      </c>
    </row>
    <row r="66" spans="20:129">
      <c r="T66" t="str">
        <f>IF($AV$1,"UMIC (43)","UMIC (55)")</f>
        <v>UMIC (55)</v>
      </c>
      <c r="U66" s="594">
        <f>IF($AV$1,SUMIFS(ID4D!$DS$3:$DS$200, ID4D!$E$3:$E$200,V66,ID4D!$IK$3:$IK$200,0),SUMIF(ID4D!$E$3:$E$200,V66,ID4D!$DS$3:$DS$200))</f>
        <v>10820.282825</v>
      </c>
      <c r="V66" s="596" t="s">
        <v>12</v>
      </c>
      <c r="AP66" s="28">
        <f>SUM(AP4:AP65)</f>
        <v>198</v>
      </c>
      <c r="AR66" s="28">
        <f>SUM(AR4:AR65)</f>
        <v>182</v>
      </c>
      <c r="AT66" s="28">
        <f>SUM(AT4:AT65)</f>
        <v>148</v>
      </c>
      <c r="AV66" s="28">
        <f>SUM(AV4:AV65)</f>
        <v>196</v>
      </c>
      <c r="AX66" s="28">
        <f>SUM(AX4:AX65)</f>
        <v>145</v>
      </c>
      <c r="AZ66" s="28">
        <f>SUM(AZ4:AZ65)</f>
        <v>53</v>
      </c>
      <c r="BB66" s="28">
        <f>SUM(BB4:BB65)</f>
        <v>119</v>
      </c>
      <c r="BD66" s="28">
        <f>SUM(BD4:BD65)</f>
        <v>115</v>
      </c>
      <c r="BF66" s="28">
        <f>SUM(BF4:BF65)</f>
        <v>120</v>
      </c>
      <c r="BJ66" s="597" t="s">
        <v>401</v>
      </c>
      <c r="BK66" s="598">
        <v>0</v>
      </c>
      <c r="BL66" s="599">
        <v>1</v>
      </c>
      <c r="BM66" s="599">
        <v>2</v>
      </c>
      <c r="BN66" s="632">
        <v>3</v>
      </c>
      <c r="BO66" s="599">
        <v>4</v>
      </c>
      <c r="BP66" s="632">
        <v>5</v>
      </c>
      <c r="BQ66" s="629">
        <v>6</v>
      </c>
      <c r="BR66" s="600" t="s">
        <v>4562</v>
      </c>
      <c r="BS66" s="33"/>
      <c r="BT66" s="597" t="s">
        <v>405</v>
      </c>
      <c r="BU66" s="598">
        <v>0</v>
      </c>
      <c r="BV66" s="599">
        <v>1</v>
      </c>
      <c r="BW66" s="599">
        <v>2</v>
      </c>
      <c r="BX66" s="632">
        <v>3</v>
      </c>
      <c r="BY66" s="599">
        <v>4</v>
      </c>
      <c r="BZ66" s="632">
        <v>5</v>
      </c>
      <c r="CA66" s="629">
        <v>6</v>
      </c>
      <c r="CB66" s="600" t="s">
        <v>4562</v>
      </c>
    </row>
    <row r="67" spans="20:129">
      <c r="T67" t="str">
        <f>IF($AV$1,"HIC (48)","HIC (59)")</f>
        <v>HIC (59)</v>
      </c>
      <c r="U67" s="594">
        <f>IF($AV$1,SUMIFS(ID4D!$DS$3:$DS$200, ID4D!$E$3:$E$200,V67,ID4D!$IK$3:$IK$200,0),SUMIF(ID4D!$E$3:$E$200,V67,ID4D!$DS$3:$DS$200))</f>
        <v>1028.5383079999999</v>
      </c>
      <c r="V67" s="596" t="s">
        <v>17</v>
      </c>
      <c r="BJ67" s="602" t="s">
        <v>17</v>
      </c>
      <c r="BK67" s="39">
        <f>IF($CK$12,COUNTIFS(ID4D!$AT$3:$AT$200,BK$35,ID4D!$E$3:$E$200,$BJ67,ID4D!$IK$3:$IK$200,0),COUNTIFS(ID4D!$AT$3:$AT$200,BK$35,ID4D!$E$3:$E$200,$BJ67))</f>
        <v>0</v>
      </c>
      <c r="BL67" s="603">
        <f>IF($CK$12,COUNTIFS(ID4D!$AT$3:$AT$200,BL$35,ID4D!$E$3:$E$200,$BJ67,ID4D!$IK$3:$IK$200,0),COUNTIFS(ID4D!$AT$3:$AT$200,BL$35,ID4D!$E$3:$E$200,$BJ67))</f>
        <v>0</v>
      </c>
      <c r="BM67" s="603">
        <f>IF($CK$12,COUNTIFS(ID4D!$AT$3:$AT$200,BM$35,ID4D!$E$3:$E$200,$BJ67,ID4D!$IK$3:$IK$200,0),COUNTIFS(ID4D!$AT$3:$AT$200,BM$35,ID4D!$E$3:$E$200,$BJ67))</f>
        <v>36</v>
      </c>
      <c r="BN67" s="603">
        <f>IF($CK$12,COUNTIFS(ID4D!$AT$3:$AT$200,BN$35,ID4D!$E$3:$E$200,$BJ67,ID4D!$IK$3:$IK$200,0),COUNTIFS(ID4D!$AT$3:$AT$200,BN$35,ID4D!$E$3:$E$200,$BJ67))</f>
        <v>16</v>
      </c>
      <c r="BO67" s="603">
        <f>IF($CK$12,COUNTIFS(ID4D!$AT$3:$AT$200,BO$35,ID4D!$E$3:$E$200,$BJ67,ID4D!$IK$3:$IK$200,0),COUNTIFS(ID4D!$AT$3:$AT$200,BO$35,ID4D!$E$3:$E$200,$BJ67))</f>
        <v>0</v>
      </c>
      <c r="BP67" s="603">
        <f>IF($CK$12,COUNTIFS(ID4D!$AT$3:$AT$200,BP$35,ID4D!$E$3:$E$200,$BJ67,ID4D!$IK$3:$IK$200,0),COUNTIFS(ID4D!$AT$3:$AT$200,BP$35,ID4D!$E$3:$E$200,$BJ67))</f>
        <v>5</v>
      </c>
      <c r="BQ67" s="422">
        <f>IF($CK$12,COUNTIFS(ID4D!$AT$3:$AT$200,BQ$35,ID4D!$E$3:$E$200,$BJ67,ID4D!$IK$3:$IK$200,0),COUNTIFS(ID4D!$AT$3:$AT$200,BQ$35,ID4D!$E$3:$E$200,$BJ67))</f>
        <v>2</v>
      </c>
      <c r="BR67" s="8">
        <f>SUM(BK67:BQ67)</f>
        <v>59</v>
      </c>
      <c r="BS67" s="604"/>
      <c r="BT67" s="605" t="s">
        <v>406</v>
      </c>
      <c r="BU67" s="39">
        <f>IF($CK$12,COUNTIFS(ID4D!$AT$3:$AT$200,BU$35,ID4D!$D$3:$D$200,$BT67,ID4D!$IK$3:$IK$200,0),COUNTIFS(ID4D!$AT$3:$AT$200,BU$35,ID4D!$D$3:$D$200,$BT67))</f>
        <v>0</v>
      </c>
      <c r="BV67" s="603">
        <f>IF($CK$12,COUNTIFS(ID4D!$AT$3:$AT$200,BV$35,ID4D!$D$3:$D$200,$BT67,ID4D!$IK$3:$IK$200,0),COUNTIFS(ID4D!$AT$3:$AT$200,BV$35,ID4D!$D$3:$D$200,$BT67))</f>
        <v>1</v>
      </c>
      <c r="BW67" s="603">
        <f>IF($CK$12,COUNTIFS(ID4D!$AT$3:$AT$200,BW$35,ID4D!$D$3:$D$200,$BT67,ID4D!$IK$3:$IK$200,0),COUNTIFS(ID4D!$AT$3:$AT$200,BW$35,ID4D!$D$3:$D$200,$BT67))</f>
        <v>29</v>
      </c>
      <c r="BX67" s="603">
        <f>IF($CK$12,COUNTIFS(ID4D!$AT$3:$AT$200,BX$35,ID4D!$D$3:$D$200,$BT67,ID4D!$IK$3:$IK$200,0),COUNTIFS(ID4D!$AT$3:$AT$200,BX$35,ID4D!$D$3:$D$200,$BT67))</f>
        <v>15</v>
      </c>
      <c r="BY67" s="603">
        <f>IF($CK$12,COUNTIFS(ID4D!$AT$3:$AT$200,BY$35,ID4D!$D$3:$D$200,$BT67,ID4D!$IK$3:$IK$200,0),COUNTIFS(ID4D!$AT$3:$AT$200,BY$35,ID4D!$D$3:$D$200,$BT67))</f>
        <v>0</v>
      </c>
      <c r="BZ67" s="603">
        <f>IF($CK$12,COUNTIFS(ID4D!$AT$3:$AT$200,BZ$35,ID4D!$D$3:$D$200,$BT67,ID4D!$IK$3:$IK$200,0),COUNTIFS(ID4D!$AT$3:$AT$200,BZ$35,ID4D!$D$3:$D$200,$BT67))</f>
        <v>2</v>
      </c>
      <c r="CA67" s="422">
        <f>IF($CK$12,COUNTIFS(ID4D!$AT$3:$AT$200,CA$35,ID4D!$D$3:$D$200,$BT67,ID4D!$IK$3:$IK$200,0),COUNTIFS(ID4D!$AT$3:$AT$200,CA$35,ID4D!$D$3:$D$200,$BT67))</f>
        <v>1</v>
      </c>
      <c r="CB67" s="8">
        <f t="shared" ref="CB67:CB72" si="34">SUM(BU67:CA67)</f>
        <v>48</v>
      </c>
      <c r="DQ67" s="53" t="s">
        <v>5194</v>
      </c>
      <c r="DR67" s="735" t="s">
        <v>5183</v>
      </c>
      <c r="DS67" s="735" t="s">
        <v>5177</v>
      </c>
      <c r="DT67" s="735" t="s">
        <v>5178</v>
      </c>
      <c r="DU67" s="735" t="s">
        <v>5179</v>
      </c>
      <c r="DV67" s="735" t="s">
        <v>5180</v>
      </c>
      <c r="DW67" s="735" t="s">
        <v>5181</v>
      </c>
      <c r="DX67" s="735" t="s">
        <v>5182</v>
      </c>
    </row>
    <row r="68" spans="20:129">
      <c r="U68" s="435"/>
      <c r="BJ68" s="606" t="s">
        <v>12</v>
      </c>
      <c r="BK68" s="40">
        <f>IF($CK$12,COUNTIFS(ID4D!$AT$3:$AT$200,BK$35,ID4D!$E$3:$E$200,$BJ68,ID4D!$IK$3:$IK$200,0),COUNTIFS(ID4D!$AT$3:$AT$200,BK$35,ID4D!$E$3:$E$200,$BJ68))</f>
        <v>0</v>
      </c>
      <c r="BL68" s="355">
        <f>IF($CK$12,COUNTIFS(ID4D!$AT$3:$AT$200,BL$35,ID4D!$E$3:$E$200,$BJ68,ID4D!$IK$3:$IK$200,0),COUNTIFS(ID4D!$AT$3:$AT$200,BL$35,ID4D!$E$3:$E$200,$BJ68))</f>
        <v>2</v>
      </c>
      <c r="BM68" s="355">
        <f>IF($CK$12,COUNTIFS(ID4D!$AT$3:$AT$200,BM$35,ID4D!$E$3:$E$200,$BJ68,ID4D!$IK$3:$IK$200,0),COUNTIFS(ID4D!$AT$3:$AT$200,BM$35,ID4D!$E$3:$E$200,$BJ68))</f>
        <v>28</v>
      </c>
      <c r="BN68" s="355">
        <f>IF($CK$12,COUNTIFS(ID4D!$AT$3:$AT$200,BN$35,ID4D!$E$3:$E$200,$BJ68,ID4D!$IK$3:$IK$200,0),COUNTIFS(ID4D!$AT$3:$AT$200,BN$35,ID4D!$E$3:$E$200,$BJ68))</f>
        <v>17</v>
      </c>
      <c r="BO68" s="355">
        <f>IF($CK$12,COUNTIFS(ID4D!$AT$3:$AT$200,BO$35,ID4D!$E$3:$E$200,$BJ68,ID4D!$IK$3:$IK$200,0),COUNTIFS(ID4D!$AT$3:$AT$200,BO$35,ID4D!$E$3:$E$200,$BJ68))</f>
        <v>0</v>
      </c>
      <c r="BP68" s="355">
        <f>IF($CK$12,COUNTIFS(ID4D!$AT$3:$AT$200,BP$35,ID4D!$E$3:$E$200,$BJ68,ID4D!$IK$3:$IK$200,0),COUNTIFS(ID4D!$AT$3:$AT$200,BP$35,ID4D!$E$3:$E$200,$BJ68))</f>
        <v>6</v>
      </c>
      <c r="BQ68" s="423">
        <f>IF($CK$12,COUNTIFS(ID4D!$AT$3:$AT$200,BQ$35,ID4D!$E$3:$E$200,$BJ68,ID4D!$IK$3:$IK$200,0),COUNTIFS(ID4D!$AT$3:$AT$200,BQ$35,ID4D!$E$3:$E$200,$BJ68))</f>
        <v>2</v>
      </c>
      <c r="BR68" s="10">
        <f>SUM(BK68:BQ68)</f>
        <v>55</v>
      </c>
      <c r="BS68" s="604"/>
      <c r="BT68" s="607" t="s">
        <v>407</v>
      </c>
      <c r="BU68" s="40">
        <f>IF($CK$12,COUNTIFS(ID4D!$AT$3:$AT$200,BU$35,ID4D!$D$3:$D$200,$BT68,ID4D!$IK$3:$IK$200,0),COUNTIFS(ID4D!$AT$3:$AT$200,BU$35,ID4D!$D$3:$D$200,$BT68))</f>
        <v>0</v>
      </c>
      <c r="BV68" s="355">
        <f>IF($CK$12,COUNTIFS(ID4D!$AT$3:$AT$200,BV$35,ID4D!$D$3:$D$200,$BT68,ID4D!$IK$3:$IK$200,0),COUNTIFS(ID4D!$AT$3:$AT$200,BV$35,ID4D!$D$3:$D$200,$BT68))</f>
        <v>3</v>
      </c>
      <c r="BW68" s="355">
        <f>IF($CK$12,COUNTIFS(ID4D!$AT$3:$AT$200,BW$35,ID4D!$D$3:$D$200,$BT68,ID4D!$IK$3:$IK$200,0),COUNTIFS(ID4D!$AT$3:$AT$200,BW$35,ID4D!$D$3:$D$200,$BT68))</f>
        <v>15</v>
      </c>
      <c r="BX68" s="355">
        <f>IF($CK$12,COUNTIFS(ID4D!$AT$3:$AT$200,BX$35,ID4D!$D$3:$D$200,$BT68,ID4D!$IK$3:$IK$200,0),COUNTIFS(ID4D!$AT$3:$AT$200,BX$35,ID4D!$D$3:$D$200,$BT68))</f>
        <v>9</v>
      </c>
      <c r="BY68" s="355">
        <f>IF($CK$12,COUNTIFS(ID4D!$AT$3:$AT$200,BY$35,ID4D!$D$3:$D$200,$BT68,ID4D!$IK$3:$IK$200,0),COUNTIFS(ID4D!$AT$3:$AT$200,BY$35,ID4D!$D$3:$D$200,$BT68))</f>
        <v>0</v>
      </c>
      <c r="BZ68" s="355">
        <f>IF($CK$12,COUNTIFS(ID4D!$AT$3:$AT$200,BZ$35,ID4D!$D$3:$D$200,$BT68,ID4D!$IK$3:$IK$200,0),COUNTIFS(ID4D!$AT$3:$AT$200,BZ$35,ID4D!$D$3:$D$200,$BT68))</f>
        <v>1</v>
      </c>
      <c r="CA68" s="423">
        <f>IF($CK$12,COUNTIFS(ID4D!$AT$3:$AT$200,CA$35,ID4D!$D$3:$D$200,$BT68,ID4D!$IK$3:$IK$200,0),COUNTIFS(ID4D!$AT$3:$AT$200,CA$35,ID4D!$D$3:$D$200,$BT68))</f>
        <v>1</v>
      </c>
      <c r="CB68" s="10">
        <f t="shared" si="34"/>
        <v>29</v>
      </c>
      <c r="DQ68" t="s">
        <v>5185</v>
      </c>
      <c r="DR68" s="736">
        <f>IF($ED$1,COUNTIFS(ID4D!$GI$3:$GI$200,$DY68,ID4D!$AG$3:$AG$200,0,ID4D!$IK$3:$IK$200,0),COUNTIFS(ID4D!$GI$3:$GI$200,$DY68,ID4D!$AG$3:$AG$200,0))</f>
        <v>3</v>
      </c>
      <c r="DS68" s="736">
        <f>IF($ED$1,COUNTIFS(ID4D!$GI$3:$GI$200,$DY68,ID4D!$AG$3:$AG$200,1,ID4D!$U$3:$U$200,2,ID4D!$IK$3:$IK$200,0),COUNTIFS(ID4D!$GI$3:$GI$200,$DY68,ID4D!$AG$3:$AG$200,1,ID4D!$U$3:$U$200,2))</f>
        <v>1</v>
      </c>
      <c r="DT68" s="736">
        <f>IF($ED$1,COUNTIFS(ID4D!$GI$3:$GI$200,$DY68,ID4D!$AG$3:$AG$200,1,ID4D!$U$3:$U$200,1,ID4D!$IK$3:$IK$200,0),COUNTIFS(ID4D!$GI$3:$GI$200,$DY68,ID4D!$AG$3:$AG$200,1,ID4D!$U$3:$U$200,1))</f>
        <v>1</v>
      </c>
      <c r="DU68" s="736">
        <f>IF($ED$1,COUNTIFS(ID4D!$GI$3:$GI$200,$DY68,ID4D!$AG$3:$AG$200,"&gt;1",ID4D!$U$3:$U$200,2,ID4D!$IK$3:$IK$200,0),COUNTIFS(ID4D!$GI$3:$GI$200,$DY68,ID4D!$AG$3:$AG$200,"&gt;1",ID4D!$U$3:$U$200,2))</f>
        <v>1</v>
      </c>
      <c r="DV68" s="736">
        <f>IF($ED$1,COUNTIFS(ID4D!$GI$3:$GI$200,$DY68,ID4D!$AG$3:$AG$200,"&gt;1",ID4D!$U$3:$U$200,1,ID4D!$IK$3:$IK$200,0),COUNTIFS(ID4D!$GI$3:$GI$200,$DY68,ID4D!$AG$3:$AG$200,"&gt;1",ID4D!$U$3:$U$200,1))</f>
        <v>0</v>
      </c>
      <c r="DW68" s="736">
        <f>IF($ED$1,COUNTIFS(ID4D!$GI$3:$GI$200,$DY68,ID4D!$AG$3:$AG$200,"2B",ID4D!$U$3:$U$200,2,ID4D!$IK$3:$IK$200,0)+COUNTIFS(ID4D!$GI$3:$GI$200,$DY68,ID4D!$AG$3:$AG$200,"3B",ID4D!$U$3:$U$200,2,ID4D!$IK$3:$IK$200,0)+COUNTIFS(ID4D!$GI$3:$GI$200,$DY68,ID4D!$AG$3:$AG$200,"4B",ID4D!$U$3:$U$200,2,ID4D!$IK$3:$IK$200,0), COUNTIFS(ID4D!$GI$3:$GI$200,$DY68,ID4D!$AG$3:$AG$200,"2B",ID4D!$U$3:$U$200,2)+COUNTIFS(ID4D!$GI$3:$GI$200,$DY68,ID4D!$AG$3:$AG$200,"3B",ID4D!$U$3:$U$200,2)+COUNTIFS(ID4D!$GI$3:$GI$200,$DY68,ID4D!$AG$3:$AG$200,"4B",ID4D!$U$3:$U$200,2))</f>
        <v>9</v>
      </c>
      <c r="DX68" s="736">
        <f>IF($ED$1,COUNTIFS(ID4D!$GI$3:$GI$200,$DY68,ID4D!$AG$3:$AG$200,"2B",ID4D!$U$3:$U$200,1,ID4D!$IK$3:$IK$200,0)+COUNTIFS(ID4D!$GI$3:$GI$200,$DY68,ID4D!$AG$3:$AG$200,"3B",ID4D!$U$3:$U$200,1,ID4D!$IK$3:$IK$200,0)+COUNTIFS(ID4D!$GI$3:$GI$200,$DY68,ID4D!$AG$3:$AG$200,"4B",ID4D!$U$3:$U$200,1,ID4D!$IK$3:$IK$200,0), COUNTIFS(ID4D!$GI$3:$GI$200,$DY68,ID4D!$AG$3:$AG$200,"2B",ID4D!$U$3:$U$200,1)+COUNTIFS(ID4D!$GI$3:$GI$200,$DY68,ID4D!$AG$3:$AG$200,"3B",ID4D!$U$3:$U$200,1)+COUNTIFS(ID4D!$GI$3:$GI$200,$DY68,ID4D!$AG$3:$AG$200,"4B",ID4D!$U$3:$U$200,1))</f>
        <v>4</v>
      </c>
      <c r="DY68" s="742" t="s">
        <v>10</v>
      </c>
    </row>
    <row r="69" spans="20:129">
      <c r="T69" t="str">
        <f>IF($AV$1,"169 economies","198 economies")</f>
        <v>198 economies</v>
      </c>
      <c r="U69" s="435"/>
      <c r="BJ69" s="606" t="s">
        <v>20</v>
      </c>
      <c r="BK69" s="40">
        <f>IF($CK$12,COUNTIFS(ID4D!$AT$3:$AT$200,BK$35,ID4D!$E$3:$E$200,$BJ69,ID4D!$IK$3:$IK$200,0),COUNTIFS(ID4D!$AT$3:$AT$200,BK$35,ID4D!$E$3:$E$200,$BJ69))</f>
        <v>0</v>
      </c>
      <c r="BL69" s="355">
        <f>IF($CK$12,COUNTIFS(ID4D!$AT$3:$AT$200,BL$35,ID4D!$E$3:$E$200,$BJ69,ID4D!$IK$3:$IK$200,0),COUNTIFS(ID4D!$AT$3:$AT$200,BL$35,ID4D!$E$3:$E$200,$BJ69))</f>
        <v>3</v>
      </c>
      <c r="BM69" s="355">
        <f>IF($CK$12,COUNTIFS(ID4D!$AT$3:$AT$200,BM$35,ID4D!$E$3:$E$200,$BJ69,ID4D!$IK$3:$IK$200,0),COUNTIFS(ID4D!$AT$3:$AT$200,BM$35,ID4D!$E$3:$E$200,$BJ69))</f>
        <v>24</v>
      </c>
      <c r="BN69" s="355">
        <f>IF($CK$12,COUNTIFS(ID4D!$AT$3:$AT$200,BN$35,ID4D!$E$3:$E$200,$BJ69,ID4D!$IK$3:$IK$200,0),COUNTIFS(ID4D!$AT$3:$AT$200,BN$35,ID4D!$E$3:$E$200,$BJ69))</f>
        <v>19</v>
      </c>
      <c r="BO69" s="355">
        <f>IF($CK$12,COUNTIFS(ID4D!$AT$3:$AT$200,BO$35,ID4D!$E$3:$E$200,$BJ69,ID4D!$IK$3:$IK$200,0),COUNTIFS(ID4D!$AT$3:$AT$200,BO$35,ID4D!$E$3:$E$200,$BJ69))</f>
        <v>0</v>
      </c>
      <c r="BP69" s="355">
        <f>IF($CK$12,COUNTIFS(ID4D!$AT$3:$AT$200,BP$35,ID4D!$E$3:$E$200,$BJ69,ID4D!$IK$3:$IK$200,0),COUNTIFS(ID4D!$AT$3:$AT$200,BP$35,ID4D!$E$3:$E$200,$BJ69))</f>
        <v>2</v>
      </c>
      <c r="BQ69" s="423">
        <f>IF($CK$12,COUNTIFS(ID4D!$AT$3:$AT$200,BQ$35,ID4D!$E$3:$E$200,$BJ69,ID4D!$IK$3:$IK$200,0),COUNTIFS(ID4D!$AT$3:$AT$200,BQ$35,ID4D!$E$3:$E$200,$BJ69))</f>
        <v>2</v>
      </c>
      <c r="BR69" s="10">
        <f>SUM(BK69:BQ69)</f>
        <v>50</v>
      </c>
      <c r="BS69" s="604"/>
      <c r="BT69" s="607" t="s">
        <v>408</v>
      </c>
      <c r="BU69" s="40">
        <f>IF($CK$12,COUNTIFS(ID4D!$AT$3:$AT$200,BU$35,ID4D!$D$3:$D$200,$BT69,ID4D!$IK$3:$IK$200,0),COUNTIFS(ID4D!$AT$3:$AT$200,BU$35,ID4D!$D$3:$D$200,$BT69))</f>
        <v>0</v>
      </c>
      <c r="BV69" s="355">
        <f>IF($CK$12,COUNTIFS(ID4D!$AT$3:$AT$200,BV$35,ID4D!$D$3:$D$200,$BT69,ID4D!$IK$3:$IK$200,0),COUNTIFS(ID4D!$AT$3:$AT$200,BV$35,ID4D!$D$3:$D$200,$BT69))</f>
        <v>1</v>
      </c>
      <c r="BW69" s="355">
        <f>IF($CK$12,COUNTIFS(ID4D!$AT$3:$AT$200,BW$35,ID4D!$D$3:$D$200,$BT69,ID4D!$IK$3:$IK$200,0),COUNTIFS(ID4D!$AT$3:$AT$200,BW$35,ID4D!$D$3:$D$200,$BT69))</f>
        <v>21</v>
      </c>
      <c r="BX69" s="355">
        <f>IF($CK$12,COUNTIFS(ID4D!$AT$3:$AT$200,BX$35,ID4D!$D$3:$D$200,$BT69,ID4D!$IK$3:$IK$200,0),COUNTIFS(ID4D!$AT$3:$AT$200,BX$35,ID4D!$D$3:$D$200,$BT69))</f>
        <v>5</v>
      </c>
      <c r="BY69" s="355">
        <f>IF($CK$12,COUNTIFS(ID4D!$AT$3:$AT$200,BY$35,ID4D!$D$3:$D$200,$BT69,ID4D!$IK$3:$IK$200,0),COUNTIFS(ID4D!$AT$3:$AT$200,BY$35,ID4D!$D$3:$D$200,$BT69))</f>
        <v>0</v>
      </c>
      <c r="BZ69" s="355">
        <f>IF($CK$12,COUNTIFS(ID4D!$AT$3:$AT$200,BZ$35,ID4D!$D$3:$D$200,$BT69,ID4D!$IK$3:$IK$200,0),COUNTIFS(ID4D!$AT$3:$AT$200,BZ$35,ID4D!$D$3:$D$200,$BT69))</f>
        <v>3</v>
      </c>
      <c r="CA69" s="423">
        <f>IF($CK$12,COUNTIFS(ID4D!$AT$3:$AT$200,CA$35,ID4D!$D$3:$D$200,$BT69,ID4D!$IK$3:$IK$200,0),COUNTIFS(ID4D!$AT$3:$AT$200,CA$35,ID4D!$D$3:$D$200,$BT69))</f>
        <v>0</v>
      </c>
      <c r="CB69" s="10">
        <f t="shared" si="34"/>
        <v>30</v>
      </c>
      <c r="DQ69" t="s">
        <v>5186</v>
      </c>
      <c r="DR69" s="736">
        <f>IF($ED$1,COUNTIFS(ID4D!$GI$3:$GI$200,$DY69,ID4D!$AG$3:$AG$200,0,ID4D!$IK$3:$IK$200,0),COUNTIFS(ID4D!$GI$3:$GI$200,$DY69,ID4D!$AG$3:$AG$200,0))</f>
        <v>0</v>
      </c>
      <c r="DS69" s="736">
        <f>IF($ED$1,COUNTIFS(ID4D!$GI$3:$GI$200,$DY69,ID4D!$AG$3:$AG$200,1,ID4D!$U$3:$U$200,2,ID4D!$IK$3:$IK$200,0),COUNTIFS(ID4D!$GI$3:$GI$200,$DY69,ID4D!$AG$3:$AG$200,1,ID4D!$U$3:$U$200,2))</f>
        <v>3</v>
      </c>
      <c r="DT69" s="736">
        <f>IF($ED$1,COUNTIFS(ID4D!$GI$3:$GI$200,$DY69,ID4D!$AG$3:$AG$200,1,ID4D!$U$3:$U$200,1,ID4D!$IK$3:$IK$200,0),COUNTIFS(ID4D!$GI$3:$GI$200,$DY69,ID4D!$AG$3:$AG$200,1,ID4D!$U$3:$U$200,1))</f>
        <v>0</v>
      </c>
      <c r="DU69" s="736">
        <f>IF($ED$1,COUNTIFS(ID4D!$GI$3:$GI$200,$DY69,ID4D!$AG$3:$AG$200,"&gt;1",ID4D!$U$3:$U$200,2,ID4D!$IK$3:$IK$200,0),COUNTIFS(ID4D!$GI$3:$GI$200,$DY69,ID4D!$AG$3:$AG$200,"&gt;1",ID4D!$U$3:$U$200,2))</f>
        <v>2</v>
      </c>
      <c r="DV69" s="736">
        <f>IF($ED$1,COUNTIFS(ID4D!$GI$3:$GI$200,$DY69,ID4D!$AG$3:$AG$200,"&gt;1",ID4D!$U$3:$U$200,1,ID4D!$IK$3:$IK$200,0),COUNTIFS(ID4D!$GI$3:$GI$200,$DY69,ID4D!$AG$3:$AG$200,"&gt;1",ID4D!$U$3:$U$200,1))</f>
        <v>0</v>
      </c>
      <c r="DW69" s="736">
        <f>IF($ED$1,COUNTIFS(ID4D!$GI$3:$GI$200,$DY69,ID4D!$AG$3:$AG$200,"2B",ID4D!$U$3:$U$200,2,ID4D!$IK$3:$IK$200,0)+COUNTIFS(ID4D!$GI$3:$GI$200,$DY69,ID4D!$AG$3:$AG$200,"3B",ID4D!$U$3:$U$200,2,ID4D!$IK$3:$IK$200,0)+COUNTIFS(ID4D!$GI$3:$GI$200,$DY69,ID4D!$AG$3:$AG$200,"4B",ID4D!$U$3:$U$200,2,ID4D!$IK$3:$IK$200,0), COUNTIFS(ID4D!$GI$3:$GI$200,$DY69,ID4D!$AG$3:$AG$200,"2B",ID4D!$U$3:$U$200,2)+COUNTIFS(ID4D!$GI$3:$GI$200,$DY69,ID4D!$AG$3:$AG$200,"3B",ID4D!$U$3:$U$200,2)+COUNTIFS(ID4D!$GI$3:$GI$200,$DY69,ID4D!$AG$3:$AG$200,"4B",ID4D!$U$3:$U$200,2))</f>
        <v>23</v>
      </c>
      <c r="DX69" s="736">
        <f>IF($ED$1,COUNTIFS(ID4D!$GI$3:$GI$200,$DY69,ID4D!$AG$3:$AG$200,"2B",ID4D!$U$3:$U$200,1,ID4D!$IK$3:$IK$200,0)+COUNTIFS(ID4D!$GI$3:$GI$200,$DY69,ID4D!$AG$3:$AG$200,"3B",ID4D!$U$3:$U$200,1,ID4D!$IK$3:$IK$200,0)+COUNTIFS(ID4D!$GI$3:$GI$200,$DY69,ID4D!$AG$3:$AG$200,"4B",ID4D!$U$3:$U$200,1,ID4D!$IK$3:$IK$200,0), COUNTIFS(ID4D!$GI$3:$GI$200,$DY69,ID4D!$AG$3:$AG$200,"2B",ID4D!$U$3:$U$200,1)+COUNTIFS(ID4D!$GI$3:$GI$200,$DY69,ID4D!$AG$3:$AG$200,"3B",ID4D!$U$3:$U$200,1)+COUNTIFS(ID4D!$GI$3:$GI$200,$DY69,ID4D!$AG$3:$AG$200,"4B",ID4D!$U$3:$U$200,1))</f>
        <v>3</v>
      </c>
      <c r="DY69" s="742" t="s">
        <v>590</v>
      </c>
    </row>
    <row r="70" spans="20:129">
      <c r="T70" t="s">
        <v>4470</v>
      </c>
      <c r="U70" s="594">
        <f>IF($AV$1,SUMIFS(ID4D!$DS$3:$DS$200, ID4D!$E$3:$E$200,"&gt;A",ID4D!$IK$3:$IK$200,0),SUMIF(ID4D!$E$3:$E$200,"&gt;A",ID4D!$DS$3:$DS$200))</f>
        <v>172428.21621899997</v>
      </c>
      <c r="BJ70" s="608" t="s">
        <v>9</v>
      </c>
      <c r="BK70" s="41">
        <f>IF($CK$12,COUNTIFS(ID4D!$AT$3:$AT$200,BK$35,ID4D!$E$3:$E$200,$BJ70,ID4D!$IK$3:$IK$200,0),COUNTIFS(ID4D!$AT$3:$AT$200,BK$35,ID4D!$E$3:$E$200,$BJ70))</f>
        <v>0</v>
      </c>
      <c r="BL70" s="36">
        <f>IF($CK$12,COUNTIFS(ID4D!$AT$3:$AT$200,BL$35,ID4D!$E$3:$E$200,$BJ70,ID4D!$IK$3:$IK$200,0),COUNTIFS(ID4D!$AT$3:$AT$200,BL$35,ID4D!$E$3:$E$200,$BJ70))</f>
        <v>0</v>
      </c>
      <c r="BM70" s="36">
        <f>IF($CK$12,COUNTIFS(ID4D!$AT$3:$AT$200,BM$35,ID4D!$E$3:$E$200,$BJ70,ID4D!$IK$3:$IK$200,0),COUNTIFS(ID4D!$AT$3:$AT$200,BM$35,ID4D!$E$3:$E$200,$BJ70))</f>
        <v>19</v>
      </c>
      <c r="BN70" s="36">
        <f>IF($CK$12,COUNTIFS(ID4D!$AT$3:$AT$200,BN$35,ID4D!$E$3:$E$200,$BJ70,ID4D!$IK$3:$IK$200,0),COUNTIFS(ID4D!$AT$3:$AT$200,BN$35,ID4D!$E$3:$E$200,$BJ70))</f>
        <v>14</v>
      </c>
      <c r="BO70" s="36">
        <f>IF($CK$12,COUNTIFS(ID4D!$AT$3:$AT$200,BO$35,ID4D!$E$3:$E$200,$BJ70,ID4D!$IK$3:$IK$200,0),COUNTIFS(ID4D!$AT$3:$AT$200,BO$35,ID4D!$E$3:$E$200,$BJ70))</f>
        <v>0</v>
      </c>
      <c r="BP70" s="36">
        <f>IF($CK$12,COUNTIFS(ID4D!$AT$3:$AT$200,BP$35,ID4D!$E$3:$E$200,$BJ70,ID4D!$IK$3:$IK$200,0),COUNTIFS(ID4D!$AT$3:$AT$200,BP$35,ID4D!$E$3:$E$200,$BJ70))</f>
        <v>0</v>
      </c>
      <c r="BQ70" s="425">
        <f>IF($CK$12,COUNTIFS(ID4D!$AT$3:$AT$200,BQ$35,ID4D!$E$3:$E$200,$BJ70,ID4D!$IK$3:$IK$200,0),COUNTIFS(ID4D!$AT$3:$AT$200,BQ$35,ID4D!$E$3:$E$200,$BJ70))</f>
        <v>1</v>
      </c>
      <c r="BR70" s="12">
        <f>SUM(BK70:BQ70)</f>
        <v>34</v>
      </c>
      <c r="BS70" s="604"/>
      <c r="BT70" s="607" t="s">
        <v>409</v>
      </c>
      <c r="BU70" s="40">
        <f>IF($CK$12,COUNTIFS(ID4D!$AT$3:$AT$200,BU$35,ID4D!$D$3:$D$200,$BT70,ID4D!$IK$3:$IK$200,0),COUNTIFS(ID4D!$AT$3:$AT$200,BU$35,ID4D!$D$3:$D$200,$BT70))</f>
        <v>0</v>
      </c>
      <c r="BV70" s="355">
        <f>IF($CK$12,COUNTIFS(ID4D!$AT$3:$AT$200,BV$35,ID4D!$D$3:$D$200,$BT70,ID4D!$IK$3:$IK$200,0),COUNTIFS(ID4D!$AT$3:$AT$200,BV$35,ID4D!$D$3:$D$200,$BT70))</f>
        <v>0</v>
      </c>
      <c r="BW70" s="355">
        <f>IF($CK$12,COUNTIFS(ID4D!$AT$3:$AT$200,BW$35,ID4D!$D$3:$D$200,$BT70,ID4D!$IK$3:$IK$200,0),COUNTIFS(ID4D!$AT$3:$AT$200,BW$35,ID4D!$D$3:$D$200,$BT70))</f>
        <v>11</v>
      </c>
      <c r="BX70" s="355">
        <f>IF($CK$12,COUNTIFS(ID4D!$AT$3:$AT$200,BX$35,ID4D!$D$3:$D$200,$BT70,ID4D!$IK$3:$IK$200,0),COUNTIFS(ID4D!$AT$3:$AT$200,BX$35,ID4D!$D$3:$D$200,$BT70))</f>
        <v>16</v>
      </c>
      <c r="BY70" s="355">
        <f>IF($CK$12,COUNTIFS(ID4D!$AT$3:$AT$200,BY$35,ID4D!$D$3:$D$200,$BT70,ID4D!$IK$3:$IK$200,0),COUNTIFS(ID4D!$AT$3:$AT$200,BY$35,ID4D!$D$3:$D$200,$BT70))</f>
        <v>0</v>
      </c>
      <c r="BZ70" s="355">
        <f>IF($CK$12,COUNTIFS(ID4D!$AT$3:$AT$200,BZ$35,ID4D!$D$3:$D$200,$BT70,ID4D!$IK$3:$IK$200,0),COUNTIFS(ID4D!$AT$3:$AT$200,BZ$35,ID4D!$D$3:$D$200,$BT70))</f>
        <v>2</v>
      </c>
      <c r="CA70" s="423">
        <f>IF($CK$12,COUNTIFS(ID4D!$AT$3:$AT$200,CA$35,ID4D!$D$3:$D$200,$BT70,ID4D!$IK$3:$IK$200,0),COUNTIFS(ID4D!$AT$3:$AT$200,CA$35,ID4D!$D$3:$D$200,$BT70))</f>
        <v>3</v>
      </c>
      <c r="CB70" s="10">
        <f t="shared" si="34"/>
        <v>32</v>
      </c>
      <c r="DQ70" t="s">
        <v>5187</v>
      </c>
      <c r="DR70" s="736">
        <f>IF($ED$1,COUNTIFS(ID4D!$GI$3:$GI$200,$DY70,ID4D!$AG$3:$AG$200,0,ID4D!$IK$3:$IK$200,0),COUNTIFS(ID4D!$GI$3:$GI$200,$DY70,ID4D!$AG$3:$AG$200,0))</f>
        <v>0</v>
      </c>
      <c r="DS70" s="736">
        <f>IF($ED$1,COUNTIFS(ID4D!$GI$3:$GI$200,$DY70,ID4D!$AG$3:$AG$200,1,ID4D!$U$3:$U$200,2,ID4D!$IK$3:$IK$200,0),COUNTIFS(ID4D!$GI$3:$GI$200,$DY70,ID4D!$AG$3:$AG$200,1,ID4D!$U$3:$U$200,2))</f>
        <v>2</v>
      </c>
      <c r="DT70" s="736">
        <f>IF($ED$1,COUNTIFS(ID4D!$GI$3:$GI$200,$DY70,ID4D!$AG$3:$AG$200,1,ID4D!$U$3:$U$200,1,ID4D!$IK$3:$IK$200,0),COUNTIFS(ID4D!$GI$3:$GI$200,$DY70,ID4D!$AG$3:$AG$200,1,ID4D!$U$3:$U$200,1))</f>
        <v>1</v>
      </c>
      <c r="DU70" s="736">
        <f>IF($ED$1,COUNTIFS(ID4D!$GI$3:$GI$200,$DY70,ID4D!$AG$3:$AG$200,"&gt;1",ID4D!$U$3:$U$200,2,ID4D!$IK$3:$IK$200,0),COUNTIFS(ID4D!$GI$3:$GI$200,$DY70,ID4D!$AG$3:$AG$200,"&gt;1",ID4D!$U$3:$U$200,2))</f>
        <v>2</v>
      </c>
      <c r="DV70" s="736">
        <f>IF($ED$1,COUNTIFS(ID4D!$GI$3:$GI$200,$DY70,ID4D!$AG$3:$AG$200,"&gt;1",ID4D!$U$3:$U$200,1,ID4D!$IK$3:$IK$200,0),COUNTIFS(ID4D!$GI$3:$GI$200,$DY70,ID4D!$AG$3:$AG$200,"&gt;1",ID4D!$U$3:$U$200,1))</f>
        <v>0</v>
      </c>
      <c r="DW70" s="736">
        <f>IF($ED$1,COUNTIFS(ID4D!$GI$3:$GI$200,$DY70,ID4D!$AG$3:$AG$200,"2B",ID4D!$U$3:$U$200,2,ID4D!$IK$3:$IK$200,0)+COUNTIFS(ID4D!$GI$3:$GI$200,$DY70,ID4D!$AG$3:$AG$200,"3B",ID4D!$U$3:$U$200,2,ID4D!$IK$3:$IK$200,0)+COUNTIFS(ID4D!$GI$3:$GI$200,$DY70,ID4D!$AG$3:$AG$200,"4B",ID4D!$U$3:$U$200,2,ID4D!$IK$3:$IK$200,0), COUNTIFS(ID4D!$GI$3:$GI$200,$DY70,ID4D!$AG$3:$AG$200,"2B",ID4D!$U$3:$U$200,2)+COUNTIFS(ID4D!$GI$3:$GI$200,$DY70,ID4D!$AG$3:$AG$200,"3B",ID4D!$U$3:$U$200,2)+COUNTIFS(ID4D!$GI$3:$GI$200,$DY70,ID4D!$AG$3:$AG$200,"4B",ID4D!$U$3:$U$200,2))</f>
        <v>10</v>
      </c>
      <c r="DX70" s="736">
        <f>IF($ED$1,COUNTIFS(ID4D!$GI$3:$GI$200,$DY70,ID4D!$AG$3:$AG$200,"2B",ID4D!$U$3:$U$200,1,ID4D!$IK$3:$IK$200,0)+COUNTIFS(ID4D!$GI$3:$GI$200,$DY70,ID4D!$AG$3:$AG$200,"3B",ID4D!$U$3:$U$200,1,ID4D!$IK$3:$IK$200,0)+COUNTIFS(ID4D!$GI$3:$GI$200,$DY70,ID4D!$AG$3:$AG$200,"4B",ID4D!$U$3:$U$200,1,ID4D!$IK$3:$IK$200,0), COUNTIFS(ID4D!$GI$3:$GI$200,$DY70,ID4D!$AG$3:$AG$200,"2B",ID4D!$U$3:$U$200,1)+COUNTIFS(ID4D!$GI$3:$GI$200,$DY70,ID4D!$AG$3:$AG$200,"3B",ID4D!$U$3:$U$200,1)+COUNTIFS(ID4D!$GI$3:$GI$200,$DY70,ID4D!$AG$3:$AG$200,"4B",ID4D!$U$3:$U$200,1))</f>
        <v>0</v>
      </c>
      <c r="DY70" s="742" t="s">
        <v>580</v>
      </c>
    </row>
    <row r="71" spans="20:129">
      <c r="BJ71" s="609" t="s">
        <v>4562</v>
      </c>
      <c r="BK71" s="610">
        <f t="shared" ref="BK71:BR71" si="35">SUM(BK67:BK70)</f>
        <v>0</v>
      </c>
      <c r="BL71" s="611">
        <f t="shared" si="35"/>
        <v>5</v>
      </c>
      <c r="BM71" s="611">
        <f t="shared" si="35"/>
        <v>107</v>
      </c>
      <c r="BN71" s="633">
        <f t="shared" si="35"/>
        <v>66</v>
      </c>
      <c r="BO71" s="611">
        <f t="shared" si="35"/>
        <v>0</v>
      </c>
      <c r="BP71" s="633">
        <f t="shared" si="35"/>
        <v>13</v>
      </c>
      <c r="BQ71" s="630">
        <f t="shared" si="35"/>
        <v>7</v>
      </c>
      <c r="BR71" s="612">
        <f t="shared" si="35"/>
        <v>198</v>
      </c>
      <c r="BS71" s="530"/>
      <c r="BT71" s="613" t="s">
        <v>410</v>
      </c>
      <c r="BU71" s="614">
        <f>IF($CK$12,COUNTIFS(ID4D!$AT$3:$AT$200,BU$35,ID4D!$D$3:$D$200,$BT71,ID4D!$IK$3:$IK$200,0),COUNTIFS(ID4D!$AT$3:$AT$200,BU$35,ID4D!$D$3:$D$200,$BT71))</f>
        <v>0</v>
      </c>
      <c r="BV71" s="42">
        <f>IF($CK$12,COUNTIFS(ID4D!$AT$3:$AT$200,BV$35,ID4D!$D$3:$D$200,$BT71,ID4D!$IK$3:$IK$200,0),COUNTIFS(ID4D!$AT$3:$AT$200,BV$35,ID4D!$D$3:$D$200,$BT71))</f>
        <v>0</v>
      </c>
      <c r="BW71" s="42">
        <f>IF($CK$12,COUNTIFS(ID4D!$AT$3:$AT$200,BW$35,ID4D!$D$3:$D$200,$BT71,ID4D!$IK$3:$IK$200,0),COUNTIFS(ID4D!$AT$3:$AT$200,BW$35,ID4D!$D$3:$D$200,$BT71))</f>
        <v>13</v>
      </c>
      <c r="BX71" s="42">
        <f>IF($CK$12,COUNTIFS(ID4D!$AT$3:$AT$200,BX$35,ID4D!$D$3:$D$200,$BT71,ID4D!$IK$3:$IK$200,0),COUNTIFS(ID4D!$AT$3:$AT$200,BX$35,ID4D!$D$3:$D$200,$BT71))</f>
        <v>7</v>
      </c>
      <c r="BY71" s="42">
        <f>IF($CK$12,COUNTIFS(ID4D!$AT$3:$AT$200,BY$35,ID4D!$D$3:$D$200,$BT71,ID4D!$IK$3:$IK$200,0),COUNTIFS(ID4D!$AT$3:$AT$200,BY$35,ID4D!$D$3:$D$200,$BT71))</f>
        <v>0</v>
      </c>
      <c r="BZ71" s="42">
        <f>IF($CK$12,COUNTIFS(ID4D!$AT$3:$AT$200,BZ$35,ID4D!$D$3:$D$200,$BT71,ID4D!$IK$3:$IK$200,0),COUNTIFS(ID4D!$AT$3:$AT$200,BZ$35,ID4D!$D$3:$D$200,$BT71))</f>
        <v>1</v>
      </c>
      <c r="CA71" s="631">
        <f>IF($CK$12,COUNTIFS(ID4D!$AT$3:$AT$200,CA$35,ID4D!$D$3:$D$200,$BT71,ID4D!$IK$3:$IK$200,0),COUNTIFS(ID4D!$AT$3:$AT$200,CA$35,ID4D!$D$3:$D$200,$BT71))</f>
        <v>0</v>
      </c>
      <c r="CB71" s="522">
        <f t="shared" si="34"/>
        <v>21</v>
      </c>
      <c r="DR71" s="736"/>
      <c r="DS71" s="736"/>
      <c r="DT71" s="736"/>
      <c r="DU71" s="736"/>
      <c r="DV71" s="736"/>
      <c r="DW71" s="736"/>
      <c r="DX71" s="736"/>
    </row>
    <row r="72" spans="20:129">
      <c r="BJ72" s="354"/>
      <c r="BK72" s="615">
        <f>BK71/$BR$40</f>
        <v>0</v>
      </c>
      <c r="BL72" s="615">
        <f t="shared" ref="BL72:BQ72" si="36">BL71/$BR$40</f>
        <v>2.5252525252525252E-2</v>
      </c>
      <c r="BM72" s="615">
        <f t="shared" si="36"/>
        <v>0.54040404040404044</v>
      </c>
      <c r="BN72" s="615">
        <f t="shared" si="36"/>
        <v>0.33333333333333331</v>
      </c>
      <c r="BO72" s="615">
        <f t="shared" si="36"/>
        <v>0</v>
      </c>
      <c r="BP72" s="615">
        <f t="shared" si="36"/>
        <v>6.5656565656565663E-2</v>
      </c>
      <c r="BQ72" s="615">
        <f t="shared" si="36"/>
        <v>3.5353535353535352E-2</v>
      </c>
      <c r="BR72" s="354"/>
      <c r="BS72" s="354"/>
      <c r="BT72" s="616" t="s">
        <v>411</v>
      </c>
      <c r="BU72" s="41">
        <f>IF($CK$12,COUNTIFS(ID4D!$AT$3:$AT$200,BU$35,ID4D!$D$3:$D$200,$BT72,ID4D!$IK$3:$IK$200,0),COUNTIFS(ID4D!$AT$3:$AT$200,BU$35,ID4D!$D$3:$D$200,$BT72))</f>
        <v>0</v>
      </c>
      <c r="BV72" s="36">
        <f>IF($CK$12,COUNTIFS(ID4D!$AT$3:$AT$200,BV$35,ID4D!$D$3:$D$200,$BT72,ID4D!$IK$3:$IK$200,0),COUNTIFS(ID4D!$AT$3:$AT$200,BV$35,ID4D!$D$3:$D$200,$BT72))</f>
        <v>0</v>
      </c>
      <c r="BW72" s="36">
        <f>IF($CK$12,COUNTIFS(ID4D!$AT$3:$AT$200,BW$35,ID4D!$D$3:$D$200,$BT72,ID4D!$IK$3:$IK$200,0),COUNTIFS(ID4D!$AT$3:$AT$200,BW$35,ID4D!$D$3:$D$200,$BT72))</f>
        <v>2</v>
      </c>
      <c r="BX72" s="36">
        <f>IF($CK$12,COUNTIFS(ID4D!$AT$3:$AT$200,BX$35,ID4D!$D$3:$D$200,$BT72,ID4D!$IK$3:$IK$200,0),COUNTIFS(ID4D!$AT$3:$AT$200,BX$35,ID4D!$D$3:$D$200,$BT72))</f>
        <v>4</v>
      </c>
      <c r="BY72" s="36">
        <f>IF($CK$12,COUNTIFS(ID4D!$AT$3:$AT$200,BY$35,ID4D!$D$3:$D$200,$BT72,ID4D!$IK$3:$IK$200,0),COUNTIFS(ID4D!$AT$3:$AT$200,BY$35,ID4D!$D$3:$D$200,$BT72))</f>
        <v>0</v>
      </c>
      <c r="BZ72" s="36">
        <f>IF($CK$12,COUNTIFS(ID4D!$AT$3:$AT$200,BZ$35,ID4D!$D$3:$D$200,$BT72,ID4D!$IK$3:$IK$200,0),COUNTIFS(ID4D!$AT$3:$AT$200,BZ$35,ID4D!$D$3:$D$200,$BT72))</f>
        <v>1</v>
      </c>
      <c r="CA72" s="425">
        <f>IF($CK$12,COUNTIFS(ID4D!$AT$3:$AT$200,CA$35,ID4D!$D$3:$D$200,$BT72,ID4D!$IK$3:$IK$200,0),COUNTIFS(ID4D!$AT$3:$AT$200,CA$35,ID4D!$D$3:$D$200,$BT72))</f>
        <v>1</v>
      </c>
      <c r="CB72" s="12">
        <f t="shared" si="34"/>
        <v>8</v>
      </c>
      <c r="DQ72" t="str">
        <f>IF($ED$1,"64 economies","65 economies")</f>
        <v>65 economies</v>
      </c>
      <c r="DR72" s="736"/>
      <c r="DS72" s="736"/>
      <c r="DT72" s="736"/>
      <c r="DU72" s="736"/>
      <c r="DV72" s="736"/>
      <c r="DW72" s="736"/>
      <c r="DX72" s="736"/>
    </row>
    <row r="73" spans="20:129">
      <c r="BK73" s="57"/>
      <c r="BT73" s="609" t="s">
        <v>4562</v>
      </c>
      <c r="BU73" s="610">
        <f t="shared" ref="BU73:CB73" si="37">SUM(BU67:BU72)</f>
        <v>0</v>
      </c>
      <c r="BV73" s="611">
        <f t="shared" si="37"/>
        <v>5</v>
      </c>
      <c r="BW73" s="611">
        <f t="shared" si="37"/>
        <v>91</v>
      </c>
      <c r="BX73" s="633">
        <f t="shared" si="37"/>
        <v>56</v>
      </c>
      <c r="BY73" s="611">
        <f t="shared" si="37"/>
        <v>0</v>
      </c>
      <c r="BZ73" s="633">
        <f t="shared" si="37"/>
        <v>10</v>
      </c>
      <c r="CA73" s="630">
        <f t="shared" si="37"/>
        <v>6</v>
      </c>
      <c r="CB73" s="612">
        <f t="shared" si="37"/>
        <v>168</v>
      </c>
      <c r="DQ73" t="s">
        <v>4470</v>
      </c>
      <c r="DR73" s="736">
        <f>IF($ED$1,COUNTIFS(ID4D!$GI$3:$GI$200,"&gt;A",ID4D!$IK$3:$IK$200,0,ID4D!$AG$3:$AG$200,0),COUNTIFS(ID4D!$GI$3:$GI$200,"&gt;A",ID4D!$AG$3:$AG$200,0))</f>
        <v>3</v>
      </c>
      <c r="DS73" s="736">
        <f>IF($ED$1,COUNTIFS(ID4D!$GI$3:$GI$200,"&gt;A",ID4D!$IK$3:$IK$200,0,ID4D!$AG$3:$AG$200,1,ID4D!$U$3:$U$200,2),COUNTIFS(ID4D!$GI$3:$GI$200,"&gt;A",ID4D!$AG$3:$AG$200,1,ID4D!$U$3:$U$200,2))</f>
        <v>6</v>
      </c>
      <c r="DT73" s="736">
        <f>IF($ED$1,COUNTIFS(ID4D!$GI$3:$GI$200,"&gt;A",ID4D!$IK$3:$IK$200,0,ID4D!$AG$3:$AG$200,1,ID4D!$U$3:$U$200,1),COUNTIFS(ID4D!$GI$3:$GI$200,"&gt;A",ID4D!$AG$3:$AG$200,1,ID4D!$U$3:$U$200,1))</f>
        <v>2</v>
      </c>
      <c r="DU73" s="736">
        <f>IF($ED$1,COUNTIFS(ID4D!$GI$3:$GI$200,"&gt;A",ID4D!$IK$3:$IK$200,0,ID4D!$AG$3:$AG$200,"&gt;1",ID4D!$U$3:$U$200,2),COUNTIFS(ID4D!$GI$3:$GI$200,"&gt;A",ID4D!$AG$3:$AG$200,"&gt;1",ID4D!$U$3:$U$200,2))</f>
        <v>5</v>
      </c>
      <c r="DV73" s="736">
        <f>IF($ED$1,COUNTIFS(ID4D!$GI$3:$GI$200,"&gt;A",ID4D!$IK$3:$IK$200,0,ID4D!$AG$3:$AG$200,"&gt;1",ID4D!$U$3:$U$200,1),COUNTIFS(ID4D!$GI$3:$GI$200,"&gt;A",ID4D!$AG$3:$AG$200,"&gt;1",ID4D!$U$3:$U$200,1))</f>
        <v>0</v>
      </c>
      <c r="DW73" s="736">
        <f>IF($ED$1,COUNTIFS(ID4D!$GI$3:$GI$200,"&gt;A",ID4D!$IK$3:$IK$200,0,ID4D!$AG$3:$AG$200,"2B",ID4D!$U$3:$U$200,2)+COUNTIFS(ID4D!$GI$3:$GI$200,"&gt;A",ID4D!$IK$3:$IK$200,0,ID4D!$AG$3:$AG$200,"3B",ID4D!$U$3:$U$200,2)+COUNTIFS(ID4D!$GI$3:$GI$200,"&gt;A",ID4D!$IK$3:$IK$200,0,ID4D!$AG$3:$AG$200,"4B",ID4D!$U$3:$U$200,2), COUNTIFS(ID4D!$GI$3:$GI$200,"&gt;A",ID4D!$AG$3:$AG$200,"2B",ID4D!$U$3:$U$200,2)+COUNTIFS(ID4D!$GI$3:$GI$200,"&gt;A",ID4D!$AG$3:$AG$200,"3B",ID4D!$U$3:$U$200,2)+COUNTIFS(ID4D!$GI$3:$GI$200,"&gt;A",ID4D!$AG$3:$AG$200,"4B",ID4D!$U$3:$U$200,2))</f>
        <v>42</v>
      </c>
      <c r="DX73" s="736">
        <f>IF($ED$1,COUNTIFS(ID4D!$GI$3:$GI$200,"&gt;A",ID4D!$IK$3:$IK$200,0,ID4D!$AG$3:$AG$200,"2B",ID4D!$U$3:$U$200,1)+COUNTIFS(ID4D!$GI$3:$GI$200,"&gt;A",ID4D!$IK$3:$IK$200,0,ID4D!$AG$3:$AG$200,"3B",ID4D!$U$3:$U$200,1)+COUNTIFS(ID4D!$GI$3:$GI$200,"&gt;A",ID4D!$IK$3:$IK$200,0,ID4D!$AG$3:$AG$200,"4B",ID4D!$U$3:$U$200,1), COUNTIFS(ID4D!$GI$3:$GI$200,"&gt;A",ID4D!$AG$3:$AG$200,"2B",ID4D!$U$3:$U$200,1)+COUNTIFS(ID4D!$GI$3:$GI$200,"&gt;A",ID4D!$AG$3:$AG$200,"3B",ID4D!$U$3:$U$200,1)+COUNTIFS(ID4D!$GI$3:$GI$200,"&gt;A",ID4D!$AG$3:$AG$200,"4B",ID4D!$U$3:$U$200,1))</f>
        <v>7</v>
      </c>
      <c r="DY73" s="739">
        <f>SUM(DR73:DX73)</f>
        <v>65</v>
      </c>
    </row>
    <row r="74" spans="20:129">
      <c r="T74" s="53" t="s">
        <v>4471</v>
      </c>
      <c r="U74" s="53" t="s">
        <v>6140</v>
      </c>
      <c r="BK74" s="57"/>
      <c r="BS74" s="620"/>
      <c r="BT74" s="354"/>
      <c r="BU74" s="615">
        <f>BU73/$CB$42</f>
        <v>0</v>
      </c>
      <c r="BV74" s="615">
        <f t="shared" ref="BV74:CA74" si="38">BV73/$CB$42</f>
        <v>2.976190476190476E-2</v>
      </c>
      <c r="BW74" s="615">
        <f t="shared" si="38"/>
        <v>0.54166666666666663</v>
      </c>
      <c r="BX74" s="615">
        <f t="shared" si="38"/>
        <v>0.33333333333333331</v>
      </c>
      <c r="BY74" s="615">
        <f t="shared" si="38"/>
        <v>0</v>
      </c>
      <c r="BZ74" s="615">
        <f t="shared" si="38"/>
        <v>5.9523809523809521E-2</v>
      </c>
      <c r="CA74" s="615">
        <f t="shared" si="38"/>
        <v>3.5714285714285712E-2</v>
      </c>
      <c r="CB74" s="354"/>
    </row>
    <row r="75" spans="20:129">
      <c r="T75" t="str">
        <f>IF($AV$1,"LIC (34)","LIC (34)")</f>
        <v>LIC (34)</v>
      </c>
      <c r="U75" s="594">
        <f>IF($AV$1,SUMIFS(ID4D!$DO$3:$DO$200, ID4D!$E$3:$E$200,V75,ID4D!$IK$3:$IK$200,0),SUMIF(ID4D!$E$3:$E$200,V75,ID4D!$DO$3:$DO$200))</f>
        <v>133105.95329999996</v>
      </c>
      <c r="V75" s="596" t="s">
        <v>9</v>
      </c>
      <c r="BJ75" s="617" t="str">
        <f>IF($CK$12,"e-Passport Institutions (without small states)","e-Passport Institutions")</f>
        <v>e-Passport Institutions</v>
      </c>
      <c r="DQ75" s="53" t="s">
        <v>5194</v>
      </c>
      <c r="DR75" s="735" t="s">
        <v>5183</v>
      </c>
      <c r="DS75" s="735" t="s">
        <v>1680</v>
      </c>
      <c r="DT75" s="735" t="s">
        <v>1614</v>
      </c>
      <c r="DU75" s="740" t="s">
        <v>5184</v>
      </c>
    </row>
    <row r="76" spans="20:129">
      <c r="T76" t="str">
        <f>IF($AV$1,"LMIC (44)","LMIC (50)")</f>
        <v>LMIC (50)</v>
      </c>
      <c r="U76" s="594">
        <f>IF($AV$1,SUMIFS(ID4D!$DO$3:$DO$200, ID4D!$E$3:$E$200,V76,ID4D!$IK$3:$IK$200,0),SUMIF(ID4D!$E$3:$E$200,V76,ID4D!$DO$3:$DO$200))</f>
        <v>148945.73296799997</v>
      </c>
      <c r="V76" s="596" t="s">
        <v>20</v>
      </c>
      <c r="BU76" s="49">
        <v>1</v>
      </c>
      <c r="BV76" t="s">
        <v>4621</v>
      </c>
      <c r="DQ76" t="str">
        <f>IF($ED$1,"Free (18)","Free (19)")</f>
        <v>Free (19)</v>
      </c>
      <c r="DR76" s="736">
        <f>DR68</f>
        <v>3</v>
      </c>
      <c r="DS76" s="736">
        <f>DS68+DT68</f>
        <v>2</v>
      </c>
      <c r="DT76" s="736">
        <f>DU68+DV68</f>
        <v>1</v>
      </c>
      <c r="DU76" s="736">
        <f>DW68+DX68</f>
        <v>13</v>
      </c>
    </row>
    <row r="77" spans="20:129">
      <c r="T77" t="str">
        <f>IF($AV$1,"UMIC (43)","UMIC (55)")</f>
        <v>UMIC (55)</v>
      </c>
      <c r="U77" s="594">
        <f>IF($AV$1,SUMIFS(ID4D!$DO$3:$DO$200, ID4D!$E$3:$E$200,V77,ID4D!$IK$3:$IK$200,0),SUMIF(ID4D!$E$3:$E$200,V77,ID4D!$DO$3:$DO$200))</f>
        <v>20032.628251000009</v>
      </c>
      <c r="V77" s="596" t="s">
        <v>12</v>
      </c>
      <c r="BU77" s="49">
        <v>2</v>
      </c>
      <c r="BV77" t="s">
        <v>4622</v>
      </c>
      <c r="DQ77" t="str">
        <f>IF($ED$1,"Partially Free (31)","Partially Free (31)")</f>
        <v>Partially Free (31)</v>
      </c>
      <c r="DR77" s="736">
        <f>DR69</f>
        <v>0</v>
      </c>
      <c r="DS77" s="736">
        <f>DS69+DT69</f>
        <v>3</v>
      </c>
      <c r="DT77" s="736">
        <f>DU69+DV69</f>
        <v>2</v>
      </c>
      <c r="DU77" s="736">
        <f>DW69+DX69</f>
        <v>26</v>
      </c>
    </row>
    <row r="78" spans="20:129">
      <c r="T78" t="str">
        <f>IF($AV$1,"HIC (48)","HIC (59)")</f>
        <v>HIC (59)</v>
      </c>
      <c r="U78" s="594">
        <f>IF($AV$1,SUMIFS(ID4D!$DO$3:$DO$200, ID4D!$E$3:$E$200,V78,ID4D!$IK$3:$IK$200,0),SUMIF(ID4D!$E$3:$E$200,V78,ID4D!$DO$3:$DO$200))</f>
        <v>1899.4962319999997</v>
      </c>
      <c r="V78" s="596" t="s">
        <v>17</v>
      </c>
      <c r="BU78" s="49">
        <v>3</v>
      </c>
      <c r="BV78" t="s">
        <v>4934</v>
      </c>
      <c r="DQ78" t="str">
        <f>IF($ED$1,"Not Free (15)","Not Free (15)")</f>
        <v>Not Free (15)</v>
      </c>
      <c r="DR78" s="736">
        <f>DR70</f>
        <v>0</v>
      </c>
      <c r="DS78" s="736">
        <f>DS70+DT70</f>
        <v>3</v>
      </c>
      <c r="DT78" s="736">
        <f>DU70+DV70</f>
        <v>2</v>
      </c>
      <c r="DU78" s="736">
        <f>DW70+DX70</f>
        <v>10</v>
      </c>
    </row>
    <row r="79" spans="20:129">
      <c r="U79" s="435"/>
      <c r="BU79" s="49">
        <v>4</v>
      </c>
      <c r="BV79" t="s">
        <v>4623</v>
      </c>
    </row>
    <row r="80" spans="20:129">
      <c r="T80" t="str">
        <f>IF($AV$1,"169 economies","198 economies")</f>
        <v>198 economies</v>
      </c>
      <c r="U80" s="435"/>
      <c r="BU80" s="49">
        <v>5</v>
      </c>
      <c r="BV80" t="s">
        <v>4624</v>
      </c>
    </row>
    <row r="81" spans="20:129">
      <c r="T81" t="s">
        <v>4470</v>
      </c>
      <c r="U81" s="594">
        <f>IF($AV$1,SUMIFS(ID4D!$DO$3:$DO$200, ID4D!$E$3:$E$200,"&gt;A",ID4D!$IK$3:$IK$200,0),SUMIF(ID4D!$E$3:$E$200,"&gt;A",ID4D!$DO$3:$DO$200))</f>
        <v>303983.81075100007</v>
      </c>
      <c r="BU81" s="49">
        <v>6</v>
      </c>
      <c r="BV81" t="s">
        <v>4625</v>
      </c>
      <c r="DQ81" s="53" t="s">
        <v>5195</v>
      </c>
      <c r="DR81" s="735" t="s">
        <v>5183</v>
      </c>
      <c r="DS81" s="735" t="s">
        <v>5177</v>
      </c>
      <c r="DT81" s="735" t="s">
        <v>5178</v>
      </c>
      <c r="DU81" s="735" t="s">
        <v>5179</v>
      </c>
      <c r="DV81" s="735" t="s">
        <v>5180</v>
      </c>
      <c r="DW81" s="735" t="s">
        <v>5181</v>
      </c>
      <c r="DX81" s="735" t="s">
        <v>5182</v>
      </c>
    </row>
    <row r="82" spans="20:129">
      <c r="DQ82" t="s">
        <v>5185</v>
      </c>
      <c r="DR82" s="736">
        <f>IF($ED$1,COUNTIFS(ID4D!$GN$3:$GN$200,$DY82,ID4D!$AG$3:$AG$200,0,ID4D!$IK$3:$IK$200,0),COUNTIFS(ID4D!$GN$3:$GN$200,$DY82,ID4D!$AG$3:$AG$200,0))</f>
        <v>14</v>
      </c>
      <c r="DS82" s="736">
        <f>IF($ED$1,COUNTIFS(ID4D!$GN$3:$GN$200,$DY82,ID4D!$AG$3:$AG$200,1,ID4D!$U$3:$U$200,2,ID4D!$IK$3:$IK$200,0),COUNTIFS(ID4D!$GN$3:$GN$200,$DY82,ID4D!$AG$3:$AG$200,1,ID4D!$U$3:$U$200,2))</f>
        <v>7</v>
      </c>
      <c r="DT82" s="736">
        <f>IF($ED$1,COUNTIFS(ID4D!$GN$3:$GN$200,$DY82,ID4D!$AG$3:$AG$200,1,ID4D!$U$3:$U$200,1,ID4D!$IK$3:$IK$200,0),COUNTIFS(ID4D!$GN$3:$GN$200,$DY82,ID4D!$AG$3:$AG$200,1,ID4D!$U$3:$U$200,1))</f>
        <v>4</v>
      </c>
      <c r="DU82" s="736">
        <f>IF($ED$1,COUNTIFS(ID4D!$GN$3:$GN$200,$DY82,ID4D!$AG$3:$AG$200,"&gt;1",ID4D!$U$3:$U$200,2,ID4D!$IK$3:$IK$200,0),COUNTIFS(ID4D!$GN$3:$GN$200,$DY82,ID4D!$AG$3:$AG$200,"&gt;1",ID4D!$U$3:$U$200,2))</f>
        <v>9</v>
      </c>
      <c r="DV82" s="736">
        <f>IF($ED$1,COUNTIFS(ID4D!$GN$3:$GN$200,$DY82,ID4D!$AG$3:$AG$200,"&gt;1",ID4D!$U$3:$U$200,1,ID4D!$IK$3:$IK$200,0),COUNTIFS(ID4D!$GN$3:$GN$200,$DY82,ID4D!$AG$3:$AG$200,"&gt;1",ID4D!$U$3:$U$200,1))</f>
        <v>6</v>
      </c>
      <c r="DW82" s="736">
        <f>IF($ED$1,COUNTIFS(ID4D!$GN$3:$GN$200,$DY82,ID4D!$AG$3:$AG$200,"2B",ID4D!$U$3:$U$200,2,ID4D!$IK$3:$IK$200,0)+COUNTIFS(ID4D!$GN$3:$GN$200,$DY82,ID4D!$AG$3:$AG$200,"3B",ID4D!$U$3:$U$200,2,ID4D!$IK$3:$IK$200,0)+COUNTIFS(ID4D!$GN$3:$GN$200,$DY82,ID4D!$AG$3:$AG$200,"4B",ID4D!$U$3:$U$200,2,ID4D!$IK$3:$IK$200,0), COUNTIFS(ID4D!$GN$3:$GN$200,$DY82,ID4D!$AG$3:$AG$200,"2B",ID4D!$U$3:$U$200,2)+COUNTIFS(ID4D!$GN$3:$GN$200,$DY82,ID4D!$AG$3:$AG$200,"3B",ID4D!$U$3:$U$200,2)+COUNTIFS(ID4D!$GN$3:$GN$200,$DY82,ID4D!$AG$3:$AG$200,"4B",ID4D!$U$3:$U$200,2))</f>
        <v>15</v>
      </c>
      <c r="DX82" s="736">
        <f>IF($ED$1,COUNTIFS(ID4D!$GN$3:$GN$200,$DY82,ID4D!$AG$3:$AG$200,"2B",ID4D!$U$3:$U$200,1,ID4D!$IK$3:$IK$200,0)+COUNTIFS(ID4D!$GN$3:$GN$200,$DY82,ID4D!$AG$3:$AG$200,"3B",ID4D!$U$3:$U$200,1,ID4D!$IK$3:$IK$200,0)+COUNTIFS(ID4D!$GN$3:$GN$200,$DY82,ID4D!$AG$3:$AG$200,"4B",ID4D!$U$3:$U$200,1,ID4D!$IK$3:$IK$200,0), COUNTIFS(ID4D!$GN$3:$GN$200,$DY82,ID4D!$AG$3:$AG$200,"2B",ID4D!$U$3:$U$200,1)+COUNTIFS(ID4D!$GN$3:$GN$200,$DY82,ID4D!$AG$3:$AG$200,"3B",ID4D!$U$3:$U$200,1)+COUNTIFS(ID4D!$GN$3:$GN$200,$DY82,ID4D!$AG$3:$AG$200,"4B",ID4D!$U$3:$U$200,1))</f>
        <v>8</v>
      </c>
      <c r="DY82" s="742" t="s">
        <v>10</v>
      </c>
    </row>
    <row r="83" spans="20:129">
      <c r="DQ83" t="s">
        <v>5186</v>
      </c>
      <c r="DR83" s="736">
        <f>IF($ED$1,COUNTIFS(ID4D!$GN$3:$GN$200,$DY83,ID4D!$AG$3:$AG$200,0,ID4D!$IK$3:$IK$200,0),COUNTIFS(ID4D!$GN$3:$GN$200,$DY83,ID4D!$AG$3:$AG$200,0))</f>
        <v>2</v>
      </c>
      <c r="DS83" s="736">
        <f>IF($ED$1,COUNTIFS(ID4D!$GN$3:$GN$200,$DY83,ID4D!$AG$3:$AG$200,1,ID4D!$U$3:$U$200,2,ID4D!$IK$3:$IK$200,0),COUNTIFS(ID4D!$GN$3:$GN$200,$DY83,ID4D!$AG$3:$AG$200,1,ID4D!$U$3:$U$200,2))</f>
        <v>10</v>
      </c>
      <c r="DT83" s="736">
        <f>IF($ED$1,COUNTIFS(ID4D!$GN$3:$GN$200,$DY83,ID4D!$AG$3:$AG$200,1,ID4D!$U$3:$U$200,1,ID4D!$IK$3:$IK$200,0),COUNTIFS(ID4D!$GN$3:$GN$200,$DY83,ID4D!$AG$3:$AG$200,1,ID4D!$U$3:$U$200,1))</f>
        <v>0</v>
      </c>
      <c r="DU83" s="736">
        <f>IF($ED$1,COUNTIFS(ID4D!$GN$3:$GN$200,$DY83,ID4D!$AG$3:$AG$200,"&gt;1",ID4D!$U$3:$U$200,2,ID4D!$IK$3:$IK$200,0),COUNTIFS(ID4D!$GN$3:$GN$200,$DY83,ID4D!$AG$3:$AG$200,"&gt;1",ID4D!$U$3:$U$200,2))</f>
        <v>14</v>
      </c>
      <c r="DV83" s="736">
        <f>IF($ED$1,COUNTIFS(ID4D!$GN$3:$GN$200,$DY83,ID4D!$AG$3:$AG$200,"&gt;1",ID4D!$U$3:$U$200,1,ID4D!$IK$3:$IK$200,0),COUNTIFS(ID4D!$GN$3:$GN$200,$DY83,ID4D!$AG$3:$AG$200,"&gt;1",ID4D!$U$3:$U$200,1))</f>
        <v>1</v>
      </c>
      <c r="DW83" s="736">
        <f>IF($ED$1,COUNTIFS(ID4D!$GN$3:$GN$200,$DY83,ID4D!$AG$3:$AG$200,"2B",ID4D!$U$3:$U$200,2,ID4D!$IK$3:$IK$200,0)+COUNTIFS(ID4D!$GN$3:$GN$200,$DY83,ID4D!$AG$3:$AG$200,"3B",ID4D!$U$3:$U$200,2,ID4D!$IK$3:$IK$200,0)+COUNTIFS(ID4D!$GN$3:$GN$200,$DY83,ID4D!$AG$3:$AG$200,"4B",ID4D!$U$3:$U$200,2,ID4D!$IK$3:$IK$200,0), COUNTIFS(ID4D!$GN$3:$GN$200,$DY83,ID4D!$AG$3:$AG$200,"2B",ID4D!$U$3:$U$200,2)+COUNTIFS(ID4D!$GN$3:$GN$200,$DY83,ID4D!$AG$3:$AG$200,"3B",ID4D!$U$3:$U$200,2)+COUNTIFS(ID4D!$GN$3:$GN$200,$DY83,ID4D!$AG$3:$AG$200,"4B",ID4D!$U$3:$U$200,2))</f>
        <v>39</v>
      </c>
      <c r="DX83" s="736">
        <f>IF($ED$1,COUNTIFS(ID4D!$GN$3:$GN$200,$DY83,ID4D!$AG$3:$AG$200,"2B",ID4D!$U$3:$U$200,1,ID4D!$IK$3:$IK$200,0)+COUNTIFS(ID4D!$GN$3:$GN$200,$DY83,ID4D!$AG$3:$AG$200,"3B",ID4D!$U$3:$U$200,1,ID4D!$IK$3:$IK$200,0)+COUNTIFS(ID4D!$GN$3:$GN$200,$DY83,ID4D!$AG$3:$AG$200,"4B",ID4D!$U$3:$U$200,1,ID4D!$IK$3:$IK$200,0), COUNTIFS(ID4D!$GN$3:$GN$200,$DY83,ID4D!$AG$3:$AG$200,"2B",ID4D!$U$3:$U$200,1)+COUNTIFS(ID4D!$GN$3:$GN$200,$DY83,ID4D!$AG$3:$AG$200,"3B",ID4D!$U$3:$U$200,1)+COUNTIFS(ID4D!$GN$3:$GN$200,$DY83,ID4D!$AG$3:$AG$200,"4B",ID4D!$U$3:$U$200,1))</f>
        <v>3</v>
      </c>
      <c r="DY83" s="742" t="s">
        <v>590</v>
      </c>
    </row>
    <row r="84" spans="20:129">
      <c r="DQ84" t="s">
        <v>5187</v>
      </c>
      <c r="DR84" s="736">
        <f>IF($ED$1,COUNTIFS(ID4D!$GN$3:$GN$200,$DY84,ID4D!$AG$3:$AG$200,0,ID4D!$IK$3:$IK$200,0),COUNTIFS(ID4D!$GN$3:$GN$200,$DY84,ID4D!$AG$3:$AG$200,0))</f>
        <v>1</v>
      </c>
      <c r="DS84" s="736">
        <f>IF($ED$1,COUNTIFS(ID4D!$GN$3:$GN$200,$DY84,ID4D!$AG$3:$AG$200,1,ID4D!$U$3:$U$200,2,ID4D!$IK$3:$IK$200,0),COUNTIFS(ID4D!$GN$3:$GN$200,$DY84,ID4D!$AG$3:$AG$200,1,ID4D!$U$3:$U$200,2))</f>
        <v>8</v>
      </c>
      <c r="DT84" s="736">
        <f>IF($ED$1,COUNTIFS(ID4D!$GN$3:$GN$200,$DY84,ID4D!$AG$3:$AG$200,1,ID4D!$U$3:$U$200,1,ID4D!$IK$3:$IK$200,0),COUNTIFS(ID4D!$GN$3:$GN$200,$DY84,ID4D!$AG$3:$AG$200,1,ID4D!$U$3:$U$200,1))</f>
        <v>4</v>
      </c>
      <c r="DU84" s="736">
        <f>IF($ED$1,COUNTIFS(ID4D!$GN$3:$GN$200,$DY84,ID4D!$AG$3:$AG$200,"&gt;1",ID4D!$U$3:$U$200,2,ID4D!$IK$3:$IK$200,0),COUNTIFS(ID4D!$GN$3:$GN$200,$DY84,ID4D!$AG$3:$AG$200,"&gt;1",ID4D!$U$3:$U$200,2))</f>
        <v>7</v>
      </c>
      <c r="DV84" s="736">
        <f>IF($ED$1,COUNTIFS(ID4D!$GN$3:$GN$200,$DY84,ID4D!$AG$3:$AG$200,"&gt;1",ID4D!$U$3:$U$200,1,ID4D!$IK$3:$IK$200,0),COUNTIFS(ID4D!$GN$3:$GN$200,$DY84,ID4D!$AG$3:$AG$200,"&gt;1",ID4D!$U$3:$U$200,1))</f>
        <v>0</v>
      </c>
      <c r="DW84" s="736">
        <f>IF($ED$1,COUNTIFS(ID4D!$GN$3:$GN$200,$DY84,ID4D!$AG$3:$AG$200,"2B",ID4D!$U$3:$U$200,2,ID4D!$IK$3:$IK$200,0)+COUNTIFS(ID4D!$GN$3:$GN$200,$DY84,ID4D!$AG$3:$AG$200,"3B",ID4D!$U$3:$U$200,2,ID4D!$IK$3:$IK$200,0)+COUNTIFS(ID4D!$GN$3:$GN$200,$DY84,ID4D!$AG$3:$AG$200,"4B",ID4D!$U$3:$U$200,2,ID4D!$IK$3:$IK$200,0), COUNTIFS(ID4D!$GN$3:$GN$200,$DY84,ID4D!$AG$3:$AG$200,"2B",ID4D!$U$3:$U$200,2)+COUNTIFS(ID4D!$GN$3:$GN$200,$DY84,ID4D!$AG$3:$AG$200,"3B",ID4D!$U$3:$U$200,2)+COUNTIFS(ID4D!$GN$3:$GN$200,$DY84,ID4D!$AG$3:$AG$200,"4B",ID4D!$U$3:$U$200,2))</f>
        <v>43</v>
      </c>
      <c r="DX84" s="736">
        <f>IF($ED$1,COUNTIFS(ID4D!$GN$3:$GN$200,$DY84,ID4D!$AG$3:$AG$200,"2B",ID4D!$U$3:$U$200,1,ID4D!$IK$3:$IK$200,0)+COUNTIFS(ID4D!$GN$3:$GN$200,$DY84,ID4D!$AG$3:$AG$200,"3B",ID4D!$U$3:$U$200,1,ID4D!$IK$3:$IK$200,0)+COUNTIFS(ID4D!$GN$3:$GN$200,$DY84,ID4D!$AG$3:$AG$200,"4B",ID4D!$U$3:$U$200,1,ID4D!$IK$3:$IK$200,0), COUNTIFS(ID4D!$GN$3:$GN$200,$DY84,ID4D!$AG$3:$AG$200,"2B",ID4D!$U$3:$U$200,1)+COUNTIFS(ID4D!$GN$3:$GN$200,$DY84,ID4D!$AG$3:$AG$200,"3B",ID4D!$U$3:$U$200,1)+COUNTIFS(ID4D!$GN$3:$GN$200,$DY84,ID4D!$AG$3:$AG$200,"4B",ID4D!$U$3:$U$200,1))</f>
        <v>3</v>
      </c>
      <c r="DY84" s="742" t="s">
        <v>580</v>
      </c>
    </row>
    <row r="85" spans="20:129">
      <c r="T85" s="53" t="s">
        <v>4471</v>
      </c>
      <c r="U85" s="53" t="s">
        <v>6141</v>
      </c>
      <c r="DR85" s="736"/>
      <c r="DS85" s="736"/>
      <c r="DT85" s="736"/>
      <c r="DU85" s="736"/>
      <c r="DV85" s="736"/>
      <c r="DW85" s="736"/>
      <c r="DX85" s="736"/>
    </row>
    <row r="86" spans="20:129">
      <c r="T86" t="str">
        <f>IF($AV$1,"LIC (34)","LIC (34)")</f>
        <v>LIC (34)</v>
      </c>
      <c r="U86" s="594">
        <f>IF($AV$1,SUMIFS(ID4D!$DD$3:$DD$200, ID4D!$E$3:$E$200,V86,ID4D!$IK$3:$IK$200,0),SUMIF(ID4D!$E$3:$E$200,V86,ID4D!$DD$3:$DD$200))</f>
        <v>347857.28685099992</v>
      </c>
      <c r="V86" s="596" t="s">
        <v>9</v>
      </c>
      <c r="DQ86" t="str">
        <f>IF($ED$1,"169 economies","198 economies")</f>
        <v>198 economies</v>
      </c>
      <c r="DR86" s="736"/>
      <c r="DS86" s="736"/>
      <c r="DT86" s="736"/>
      <c r="DU86" s="736"/>
      <c r="DV86" s="736"/>
      <c r="DW86" s="736"/>
      <c r="DX86" s="736"/>
    </row>
    <row r="87" spans="20:129">
      <c r="T87" t="str">
        <f>IF($AV$1,"LMIC (44)","LMIC (50)")</f>
        <v>LMIC (50)</v>
      </c>
      <c r="U87" s="594">
        <f>IF($AV$1,SUMIFS(ID4D!$DD$3:$DD$200, ID4D!$E$3:$E$200,V87,ID4D!$IK$3:$IK$200,0),SUMIF(ID4D!$E$3:$E$200,V87,ID4D!$DD$3:$DD$200))</f>
        <v>841099.8084369998</v>
      </c>
      <c r="V87" s="596" t="s">
        <v>20</v>
      </c>
      <c r="DQ87" t="s">
        <v>4470</v>
      </c>
      <c r="DR87" s="736">
        <f>IF($ED$1,COUNTIFS(ID4D!$GN$3:$GN$200,"&gt;A",ID4D!$IK$3:$IK$200,0,ID4D!$AG$3:$AG$200,0),COUNTIFS(ID4D!$GN$3:$GN$200,"&gt;A",ID4D!$AG$3:$AG$200,0))</f>
        <v>17</v>
      </c>
      <c r="DS87" s="736">
        <f>IF($ED$1,COUNTIFS(ID4D!$GN$3:$GN$200,"&gt;A",ID4D!$IK$3:$IK$200,0,ID4D!$AG$3:$AG$200,1,ID4D!$U$3:$U$200,2),COUNTIFS(ID4D!$GN$3:$GN$200,"&gt;A",ID4D!$AG$3:$AG$200,1,ID4D!$U$3:$U$200,2))</f>
        <v>25</v>
      </c>
      <c r="DT87" s="736">
        <f>IF($ED$1,COUNTIFS(ID4D!$GN$3:$GN$200,"&gt;A",ID4D!$IK$3:$IK$200,0,ID4D!$AG$3:$AG$200,1,ID4D!$U$3:$U$200,1),COUNTIFS(ID4D!$GN$3:$GN$200,"&gt;A",ID4D!$AG$3:$AG$200,1,ID4D!$U$3:$U$200,1))</f>
        <v>8</v>
      </c>
      <c r="DU87" s="736">
        <f>IF($ED$1,COUNTIFS(ID4D!$GN$3:$GN$200,"&gt;A",ID4D!$IK$3:$IK$200,0,ID4D!$AG$3:$AG$200,"&gt;1",ID4D!$U$3:$U$200,2),COUNTIFS(ID4D!$GN$3:$GN$200,"&gt;A",ID4D!$AG$3:$AG$200,"&gt;1",ID4D!$U$3:$U$200,2))</f>
        <v>30</v>
      </c>
      <c r="DV87" s="736">
        <f>IF($ED$1,COUNTIFS(ID4D!$GN$3:$GN$200,"&gt;A",ID4D!$IK$3:$IK$200,0,ID4D!$AG$3:$AG$200,"&gt;1",ID4D!$U$3:$U$200,1),COUNTIFS(ID4D!$GN$3:$GN$200,"&gt;A",ID4D!$AG$3:$AG$200,"&gt;1",ID4D!$U$3:$U$200,1))</f>
        <v>7</v>
      </c>
      <c r="DW87" s="736">
        <f>IF($ED$1,COUNTIFS(ID4D!$GN$3:$GN$200,"&gt;A",ID4D!$IK$3:$IK$200,0,ID4D!$AG$3:$AG$200,"2B",ID4D!$U$3:$U$200,2)+COUNTIFS(ID4D!$GN$3:$GN$200,"&gt;A",ID4D!$IK$3:$IK$200,0,ID4D!$AG$3:$AG$200,"3B",ID4D!$U$3:$U$200,2)+COUNTIFS(ID4D!$GN$3:$GN$200,"&gt;A",ID4D!$IK$3:$IK$200,0,ID4D!$AG$3:$AG$200,"4B",ID4D!$U$3:$U$200,2), COUNTIFS(ID4D!$GN$3:$GN$200,"&gt;A",ID4D!$AG$3:$AG$200,"2B",ID4D!$U$3:$U$200,2)+COUNTIFS(ID4D!$GN$3:$GN$200,"&gt;A",ID4D!$AG$3:$AG$200,"3B",ID4D!$U$3:$U$200,2)+COUNTIFS(ID4D!$GN$3:$GN$200,"&gt;A",ID4D!$AG$3:$AG$200,"4B",ID4D!$U$3:$U$200,2))</f>
        <v>97</v>
      </c>
      <c r="DX87" s="736">
        <f>IF($ED$1,COUNTIFS(ID4D!$GN$3:$GN$200,"&gt;A",ID4D!$IK$3:$IK$200,0,ID4D!$AG$3:$AG$200,"2B",ID4D!$U$3:$U$200,1)+COUNTIFS(ID4D!$GN$3:$GN$200,"&gt;A",ID4D!$IK$3:$IK$200,0,ID4D!$AG$3:$AG$200,"3B",ID4D!$U$3:$U$200,1)+COUNTIFS(ID4D!$GN$3:$GN$200,"&gt;A",ID4D!$IK$3:$IK$200,0,ID4D!$AG$3:$AG$200,"4B",ID4D!$U$3:$U$200,1), COUNTIFS(ID4D!$GN$3:$GN$200,"&gt;A",ID4D!$AG$3:$AG$200,"2B",ID4D!$U$3:$U$200,1)+COUNTIFS(ID4D!$GN$3:$GN$200,"&gt;A",ID4D!$AG$3:$AG$200,"3B",ID4D!$U$3:$U$200,1)+COUNTIFS(ID4D!$GN$3:$GN$200,"&gt;A",ID4D!$AG$3:$AG$200,"4B",ID4D!$U$3:$U$200,1))</f>
        <v>14</v>
      </c>
      <c r="DY87" s="739">
        <f>SUM(DR87:DX87)</f>
        <v>198</v>
      </c>
    </row>
    <row r="88" spans="20:129">
      <c r="T88" t="str">
        <f>IF($AV$1,"UMIC (43)","UMIC (55)")</f>
        <v>UMIC (55)</v>
      </c>
      <c r="U88" s="594">
        <f>IF($AV$1,SUMIFS(ID4D!$DD$3:$DD$200, ID4D!$E$3:$E$200,V88,ID4D!$IK$3:$IK$200,0),SUMIF(ID4D!$E$3:$E$200,V88,ID4D!$DD$3:$DD$200))</f>
        <v>159117.20657999997</v>
      </c>
      <c r="V88" s="596" t="s">
        <v>12</v>
      </c>
    </row>
    <row r="89" spans="20:129">
      <c r="T89" t="str">
        <f>IF($AV$1,"HIC (48)","HIC (59)")</f>
        <v>HIC (59)</v>
      </c>
      <c r="U89" s="594">
        <f>IF($AV$1,SUMIFS(ID4D!$DD$3:$DD$200, ID4D!$E$3:$E$200,V89,ID4D!$IK$3:$IK$200,0),SUMIF(ID4D!$E$3:$E$200,V89,ID4D!$DD$3:$DD$200))</f>
        <v>146287.58538999996</v>
      </c>
      <c r="V89" s="596" t="s">
        <v>17</v>
      </c>
      <c r="DQ89" s="53" t="s">
        <v>5195</v>
      </c>
      <c r="DR89" s="735" t="s">
        <v>5183</v>
      </c>
      <c r="DS89" s="735" t="s">
        <v>1680</v>
      </c>
      <c r="DT89" s="735" t="s">
        <v>1614</v>
      </c>
      <c r="DU89" s="740" t="s">
        <v>5184</v>
      </c>
    </row>
    <row r="90" spans="20:129">
      <c r="U90" s="435"/>
      <c r="DQ90" t="str">
        <f>IF($ED$1,"Free (39)","Free (63)")</f>
        <v>Free (63)</v>
      </c>
      <c r="DR90" s="736">
        <f>DR82</f>
        <v>14</v>
      </c>
      <c r="DS90" s="736">
        <f>DS82+DT82</f>
        <v>11</v>
      </c>
      <c r="DT90" s="736">
        <f>DU82+DV82</f>
        <v>15</v>
      </c>
      <c r="DU90" s="736">
        <f>DW82+DX82</f>
        <v>23</v>
      </c>
    </row>
    <row r="91" spans="20:129">
      <c r="T91" t="str">
        <f>IF($AV$1,"169 economies","198 economies")</f>
        <v>198 economies</v>
      </c>
      <c r="U91" s="435"/>
      <c r="DQ91" t="str">
        <f>IF($ED$1,"Partially Free (65)","Partially Free (69)")</f>
        <v>Partially Free (69)</v>
      </c>
      <c r="DR91" s="736">
        <f>DR83</f>
        <v>2</v>
      </c>
      <c r="DS91" s="736">
        <f>DS83+DT83</f>
        <v>10</v>
      </c>
      <c r="DT91" s="736">
        <f>DU83+DV83</f>
        <v>15</v>
      </c>
      <c r="DU91" s="736">
        <f>DW83+DX83</f>
        <v>42</v>
      </c>
    </row>
    <row r="92" spans="20:129">
      <c r="T92" t="s">
        <v>4470</v>
      </c>
      <c r="U92" s="594">
        <f>IF($AV$1,SUMIFS(ID4D!$DD$3:$DD$200, ID4D!$E$3:$E$200,"&gt;A",ID4D!$IK$3:$IK$200,0),SUMIF(ID4D!$E$3:$E$200,"&gt;A",ID4D!$DD$3:$DD$200))</f>
        <v>1494361.8872580004</v>
      </c>
      <c r="DQ92" t="str">
        <f>IF($ED$1,"Not Free (65)","Not Free (66)")</f>
        <v>Not Free (66)</v>
      </c>
      <c r="DR92" s="736">
        <f>DR84</f>
        <v>1</v>
      </c>
      <c r="DS92" s="736">
        <f>DS84+DT84</f>
        <v>12</v>
      </c>
      <c r="DT92" s="736">
        <f>DU84+DV84</f>
        <v>7</v>
      </c>
      <c r="DU92" s="736">
        <f>DW84+DX84</f>
        <v>46</v>
      </c>
    </row>
    <row r="97" spans="121:129">
      <c r="DQ97" s="53" t="s">
        <v>5213</v>
      </c>
      <c r="DR97" s="735" t="s">
        <v>5183</v>
      </c>
      <c r="DS97" s="735" t="s">
        <v>5177</v>
      </c>
      <c r="DT97" s="735" t="s">
        <v>5178</v>
      </c>
      <c r="DU97" s="735" t="s">
        <v>5179</v>
      </c>
      <c r="DV97" s="735" t="s">
        <v>5180</v>
      </c>
      <c r="DW97" s="735" t="s">
        <v>5181</v>
      </c>
      <c r="DX97" s="735" t="s">
        <v>5182</v>
      </c>
    </row>
    <row r="98" spans="121:129">
      <c r="DQ98" t="str">
        <f>IF($ED$1,"LIC (34)","LIC (34)")</f>
        <v>LIC (34)</v>
      </c>
      <c r="DR98" s="736">
        <f>IF($ED$1,COUNTIFS(ID4D!$E$3:$E$200,$DY98,ID4D!$AG$3:$AG$200,0,ID4D!$HM$3:$HM$200,"&gt;1",ID4D!$IK$3:$IK$200,0),COUNTIFS(ID4D!$E$3:$E$200,$DY98,ID4D!$AG$3:$AG$200,0,ID4D!$HM$3:$HM$200,"&gt;1"))</f>
        <v>0</v>
      </c>
      <c r="DS98" s="736">
        <f>IF($ED$1,COUNTIFS(ID4D!$E$3:$E$200,$DY98,ID4D!$AG$3:$AG$200,1,ID4D!$U$3:$U$200,2,ID4D!$HM$3:$HM$200,"&gt;1",ID4D!$IK$3:$IK$200,0),COUNTIFS(ID4D!$E$3:$E$200,$DY98,ID4D!$AG$3:$AG$200,1,ID4D!$U$3:$U$200,2,ID4D!$HM$3:$HM$200,"&gt;1"))</f>
        <v>4</v>
      </c>
      <c r="DT98" s="736">
        <f>IF($ED$1,COUNTIFS(ID4D!$E$3:$E$200,$DY98,ID4D!$AG$3:$AG$200,1,ID4D!$U$3:$U$200,1,ID4D!$HM$3:$HM$200,"&gt;1",ID4D!$IK$3:$IK$200,0),COUNTIFS(ID4D!$E$3:$E$200,$DY98,ID4D!$AG$3:$AG$200,1,ID4D!$HM$3:$HM$200,"&gt;1",ID4D!$U$3:$U$200,1))</f>
        <v>0</v>
      </c>
      <c r="DU98" s="736">
        <f>IF($ED$1,COUNTIFS(ID4D!$E$3:$E$200,$DY98,ID4D!$AG$3:$AG$200,"&gt;1",ID4D!$U$3:$U$200,2,ID4D!$HM$3:$HM$200,"&gt;1",ID4D!$IK$3:$IK$200,0),COUNTIFS(ID4D!$E$3:$E$200,$DY98,ID4D!$AG$3:$AG$200,"&gt;1",ID4D!$HM$3:$HM$200,"&gt;1",ID4D!$U$3:$U$200,2))</f>
        <v>0</v>
      </c>
      <c r="DV98" s="736">
        <f>IF($ED$1,COUNTIFS(ID4D!$E$3:$E$200,$DY98,ID4D!$AG$3:$AG$200,"&gt;1",ID4D!$U$3:$U$200,1,ID4D!$HM$3:$HM$200,"&gt;1",ID4D!$IK$3:$IK$200,0),COUNTIFS(ID4D!$E$3:$E$200,$DY98,ID4D!$AG$3:$AG$200,"&gt;1",ID4D!$HM$3:$HM$200,"&gt;1",ID4D!$U$3:$U$200,1))</f>
        <v>1</v>
      </c>
      <c r="DW98" s="736">
        <f>IF($ED$1,COUNTIFS(ID4D!$E$3:$E$200,$DY98,ID4D!$AG$3:$AG$200,"2B",ID4D!$U$3:$U$200,2,ID4D!$HM$3:$HM$200,"&gt;1",ID4D!$IK$3:$IK$200,0)+COUNTIFS(ID4D!$E$3:$E$200,$DY98,ID4D!$AG$3:$AG$200,"3B",ID4D!$U$3:$U$200,2,ID4D!$HM$3:$HM$200,"&gt;1",ID4D!$IK$3:$IK$200,0)+COUNTIFS(ID4D!$E$3:$E$200,$DY98,ID4D!$AG$3:$AG$200,"4B",ID4D!$U$3:$U$200,2,ID4D!$HM$3:$HM$200,"&gt;1",ID4D!$IK$3:$IK$200,0), COUNTIFS(ID4D!$E$3:$E$200,$DY98,ID4D!$AG$3:$AG$200,"2B",ID4D!$HM$3:$HM$200,"&gt;1",ID4D!$U$3:$U$200,2)+COUNTIFS(ID4D!$E$3:$E$200,$DY98,ID4D!$AG$3:$AG$200,"3B",ID4D!$HM$3:$HM$200,"&gt;1",ID4D!$U$3:$U$200,2)+COUNTIFS(ID4D!$E$3:$E$200,$DY98,ID4D!$AG$3:$AG$200,"4B",ID4D!$HM$3:$HM$200,"&gt;1",ID4D!$U$3:$U$200,2))</f>
        <v>6</v>
      </c>
      <c r="DX98" s="736">
        <f>IF($ED$1,COUNTIFS(ID4D!$E$3:$E$200,$DY98,ID4D!$AG$3:$AG$200,"2B",ID4D!$U$3:$U$200,1,ID4D!$HM$3:$HM$200,"&gt;1",ID4D!$IK$3:$IK$200,0)+COUNTIFS(ID4D!$E$3:$E$200,$DY98,ID4D!$AG$3:$AG$200,"3B",ID4D!$U$3:$U$200,1,ID4D!$HM$3:$HM$200,"&gt;1",ID4D!$IK$3:$IK$200,0)+COUNTIFS(ID4D!$E$3:$E$200,$DY98,ID4D!$AG$3:$AG$200,"4B",ID4D!$U$3:$U$200,1,ID4D!$HM$3:$HM$200,"&gt;1",ID4D!$IK$3:$IK$200,0), COUNTIFS(ID4D!$E$3:$E$200,$DY98,ID4D!$AG$3:$AG$200,"2B",ID4D!$U$3:$U$200,1,ID4D!$HM$3:$HM$200,"&gt;1")+COUNTIFS(ID4D!$E$3:$E$200,$DY98,ID4D!$AG$3:$AG$200,"3B",ID4D!$U$3:$U$200,1,ID4D!$HM$3:$HM$200,"&gt;1")+COUNTIFS(ID4D!$E$3:$E$200,$DY98,ID4D!$AG$3:$AG$200,"4B",ID4D!$U$3:$U$200,1,ID4D!$HM$3:$HM$200,"&gt;1"))</f>
        <v>0</v>
      </c>
      <c r="DY98" s="596" t="s">
        <v>9</v>
      </c>
    </row>
    <row r="99" spans="121:129">
      <c r="DQ99" t="str">
        <f>IF($ED$1,"LMIC (44)","LMIC (50)")</f>
        <v>LMIC (50)</v>
      </c>
      <c r="DR99" s="736">
        <f>IF($ED$1,COUNTIFS(ID4D!$E$3:$E$200,$DY99,ID4D!$AG$3:$AG$200,0,ID4D!$HM$3:$HM$200,"&gt;1",ID4D!$IK$3:$IK$200,0),COUNTIFS(ID4D!$E$3:$E$200,$DY99,ID4D!$AG$3:$AG$200,0,ID4D!$HM$3:$HM$200,"&gt;1"))</f>
        <v>1</v>
      </c>
      <c r="DS99" s="736">
        <f>IF($ED$1,COUNTIFS(ID4D!$E$3:$E$200,$DY99,ID4D!$AG$3:$AG$200,1,ID4D!$U$3:$U$200,2,ID4D!$HM$3:$HM$200,"&gt;1",ID4D!$IK$3:$IK$200,0),COUNTIFS(ID4D!$E$3:$E$200,$DY99,ID4D!$AG$3:$AG$200,1,ID4D!$U$3:$U$200,2,ID4D!$HM$3:$HM$200,"&gt;1"))</f>
        <v>3</v>
      </c>
      <c r="DT99" s="736">
        <f>IF($ED$1,COUNTIFS(ID4D!$E$3:$E$200,$DY99,ID4D!$AG$3:$AG$200,1,ID4D!$U$3:$U$200,1,ID4D!$HM$3:$HM$200,"&gt;1",ID4D!$IK$3:$IK$200,0),COUNTIFS(ID4D!$E$3:$E$200,$DY99,ID4D!$AG$3:$AG$200,1,ID4D!$HM$3:$HM$200,"&gt;1",ID4D!$U$3:$U$200,1))</f>
        <v>0</v>
      </c>
      <c r="DU99" s="736">
        <f>IF($ED$1,COUNTIFS(ID4D!$E$3:$E$200,$DY99,ID4D!$AG$3:$AG$200,"&gt;1",ID4D!$U$3:$U$200,2,ID4D!$HM$3:$HM$200,"&gt;1",ID4D!$IK$3:$IK$200,0),COUNTIFS(ID4D!$E$3:$E$200,$DY99,ID4D!$AG$3:$AG$200,"&gt;1",ID4D!$HM$3:$HM$200,"&gt;1",ID4D!$U$3:$U$200,2))</f>
        <v>3</v>
      </c>
      <c r="DV99" s="736">
        <f>IF($ED$1,COUNTIFS(ID4D!$E$3:$E$200,$DY99,ID4D!$AG$3:$AG$200,"&gt;1",ID4D!$U$3:$U$200,1,ID4D!$HM$3:$HM$200,"&gt;1",ID4D!$IK$3:$IK$200,0),COUNTIFS(ID4D!$E$3:$E$200,$DY99,ID4D!$AG$3:$AG$200,"&gt;1",ID4D!$HM$3:$HM$200,"&gt;1",ID4D!$U$3:$U$200,1))</f>
        <v>0</v>
      </c>
      <c r="DW99" s="736">
        <f>IF($ED$1,COUNTIFS(ID4D!$E$3:$E$200,$DY99,ID4D!$AG$3:$AG$200,"2B",ID4D!$U$3:$U$200,2,ID4D!$HM$3:$HM$200,"&gt;1",ID4D!$IK$3:$IK$200,0)+COUNTIFS(ID4D!$E$3:$E$200,$DY99,ID4D!$AG$3:$AG$200,"3B",ID4D!$U$3:$U$200,2,ID4D!$HM$3:$HM$200,"&gt;1",ID4D!$IK$3:$IK$200,0)+COUNTIFS(ID4D!$E$3:$E$200,$DY99,ID4D!$AG$3:$AG$200,"4B",ID4D!$U$3:$U$200,2,ID4D!$HM$3:$HM$200,"&gt;1",ID4D!$IK$3:$IK$200,0), COUNTIFS(ID4D!$E$3:$E$200,$DY99,ID4D!$AG$3:$AG$200,"2B",ID4D!$HM$3:$HM$200,"&gt;1",ID4D!$U$3:$U$200,2)+COUNTIFS(ID4D!$E$3:$E$200,$DY99,ID4D!$AG$3:$AG$200,"3B",ID4D!$HM$3:$HM$200,"&gt;1",ID4D!$U$3:$U$200,2)+COUNTIFS(ID4D!$E$3:$E$200,$DY99,ID4D!$AG$3:$AG$200,"4B",ID4D!$HM$3:$HM$200,"&gt;1",ID4D!$U$3:$U$200,2))</f>
        <v>14</v>
      </c>
      <c r="DX99" s="736">
        <f>IF($ED$1,COUNTIFS(ID4D!$E$3:$E$200,$DY99,ID4D!$AG$3:$AG$200,"2B",ID4D!$U$3:$U$200,1,ID4D!$HM$3:$HM$200,"&gt;1",ID4D!$IK$3:$IK$200,0)+COUNTIFS(ID4D!$E$3:$E$200,$DY99,ID4D!$AG$3:$AG$200,"3B",ID4D!$U$3:$U$200,1,ID4D!$HM$3:$HM$200,"&gt;1",ID4D!$IK$3:$IK$200,0)+COUNTIFS(ID4D!$E$3:$E$200,$DY99,ID4D!$AG$3:$AG$200,"4B",ID4D!$U$3:$U$200,1,ID4D!$HM$3:$HM$200,"&gt;1",ID4D!$IK$3:$IK$200,0), COUNTIFS(ID4D!$E$3:$E$200,$DY99,ID4D!$AG$3:$AG$200,"2B",ID4D!$U$3:$U$200,1,ID4D!$HM$3:$HM$200,"&gt;1")+COUNTIFS(ID4D!$E$3:$E$200,$DY99,ID4D!$AG$3:$AG$200,"3B",ID4D!$U$3:$U$200,1,ID4D!$HM$3:$HM$200,"&gt;1")+COUNTIFS(ID4D!$E$3:$E$200,$DY99,ID4D!$AG$3:$AG$200,"4B",ID4D!$U$3:$U$200,1,ID4D!$HM$3:$HM$200,"&gt;1"))</f>
        <v>0</v>
      </c>
      <c r="DY99" s="596" t="s">
        <v>20</v>
      </c>
    </row>
    <row r="100" spans="121:129">
      <c r="DQ100" t="str">
        <f>IF($ED$1,"UMIC (43)","UMIC (55)")</f>
        <v>UMIC (55)</v>
      </c>
      <c r="DR100" s="736">
        <f>IF($ED$1,COUNTIFS(ID4D!$E$3:$E$200,$DY100,ID4D!$AG$3:$AG$200,0,ID4D!$HM$3:$HM$200,"&gt;1",ID4D!$IK$3:$IK$200,0),COUNTIFS(ID4D!$E$3:$E$200,$DY100,ID4D!$AG$3:$AG$200,0,ID4D!$HM$3:$HM$200,"&gt;1"))</f>
        <v>0</v>
      </c>
      <c r="DS100" s="736">
        <f>IF($ED$1,COUNTIFS(ID4D!$E$3:$E$200,$DY100,ID4D!$AG$3:$AG$200,1,ID4D!$U$3:$U$200,2,ID4D!$HM$3:$HM$200,"&gt;1",ID4D!$IK$3:$IK$200,0),COUNTIFS(ID4D!$E$3:$E$200,$DY100,ID4D!$AG$3:$AG$200,1,ID4D!$U$3:$U$200,2,ID4D!$HM$3:$HM$200,"&gt;1"))</f>
        <v>1</v>
      </c>
      <c r="DT100" s="736">
        <f>IF($ED$1,COUNTIFS(ID4D!$E$3:$E$200,$DY100,ID4D!$AG$3:$AG$200,1,ID4D!$U$3:$U$200,1,ID4D!$HM$3:$HM$200,"&gt;1",ID4D!$IK$3:$IK$200,0),COUNTIFS(ID4D!$E$3:$E$200,$DY100,ID4D!$AG$3:$AG$200,1,ID4D!$HM$3:$HM$200,"&gt;1",ID4D!$U$3:$U$200,1))</f>
        <v>0</v>
      </c>
      <c r="DU100" s="736">
        <f>IF($ED$1,COUNTIFS(ID4D!$E$3:$E$200,$DY100,ID4D!$AG$3:$AG$200,"&gt;1",ID4D!$U$3:$U$200,2,ID4D!$HM$3:$HM$200,"&gt;1",ID4D!$IK$3:$IK$200,0),COUNTIFS(ID4D!$E$3:$E$200,$DY100,ID4D!$AG$3:$AG$200,"&gt;1",ID4D!$HM$3:$HM$200,"&gt;1",ID4D!$U$3:$U$200,2))</f>
        <v>5</v>
      </c>
      <c r="DV100" s="736">
        <f>IF($ED$1,COUNTIFS(ID4D!$E$3:$E$200,$DY100,ID4D!$AG$3:$AG$200,"&gt;1",ID4D!$U$3:$U$200,1,ID4D!$HM$3:$HM$200,"&gt;1",ID4D!$IK$3:$IK$200,0),COUNTIFS(ID4D!$E$3:$E$200,$DY100,ID4D!$AG$3:$AG$200,"&gt;1",ID4D!$HM$3:$HM$200,"&gt;1",ID4D!$U$3:$U$200,1))</f>
        <v>2</v>
      </c>
      <c r="DW100" s="736">
        <f>IF($ED$1,COUNTIFS(ID4D!$E$3:$E$200,$DY100,ID4D!$AG$3:$AG$200,"2B",ID4D!$U$3:$U$200,2,ID4D!$HM$3:$HM$200,"&gt;1",ID4D!$IK$3:$IK$200,0)+COUNTIFS(ID4D!$E$3:$E$200,$DY100,ID4D!$AG$3:$AG$200,"3B",ID4D!$U$3:$U$200,2,ID4D!$HM$3:$HM$200,"&gt;1",ID4D!$IK$3:$IK$200,0)+COUNTIFS(ID4D!$E$3:$E$200,$DY100,ID4D!$AG$3:$AG$200,"4B",ID4D!$U$3:$U$200,2,ID4D!$HM$3:$HM$200,"&gt;1",ID4D!$IK$3:$IK$200,0), COUNTIFS(ID4D!$E$3:$E$200,$DY100,ID4D!$AG$3:$AG$200,"2B",ID4D!$HM$3:$HM$200,"&gt;1",ID4D!$U$3:$U$200,2)+COUNTIFS(ID4D!$E$3:$E$200,$DY100,ID4D!$AG$3:$AG$200,"3B",ID4D!$HM$3:$HM$200,"&gt;1",ID4D!$U$3:$U$200,2)+COUNTIFS(ID4D!$E$3:$E$200,$DY100,ID4D!$AG$3:$AG$200,"4B",ID4D!$HM$3:$HM$200,"&gt;1",ID4D!$U$3:$U$200,2))</f>
        <v>22</v>
      </c>
      <c r="DX100" s="736">
        <f>IF($ED$1,COUNTIFS(ID4D!$E$3:$E$200,$DY100,ID4D!$AG$3:$AG$200,"2B",ID4D!$U$3:$U$200,1,ID4D!$HM$3:$HM$200,"&gt;1",ID4D!$IK$3:$IK$200,0)+COUNTIFS(ID4D!$E$3:$E$200,$DY100,ID4D!$AG$3:$AG$200,"3B",ID4D!$U$3:$U$200,1,ID4D!$HM$3:$HM$200,"&gt;1",ID4D!$IK$3:$IK$200,0)+COUNTIFS(ID4D!$E$3:$E$200,$DY100,ID4D!$AG$3:$AG$200,"4B",ID4D!$U$3:$U$200,1,ID4D!$HM$3:$HM$200,"&gt;1",ID4D!$IK$3:$IK$200,0), COUNTIFS(ID4D!$E$3:$E$200,$DY100,ID4D!$AG$3:$AG$200,"2B",ID4D!$U$3:$U$200,1,ID4D!$HM$3:$HM$200,"&gt;1")+COUNTIFS(ID4D!$E$3:$E$200,$DY100,ID4D!$AG$3:$AG$200,"3B",ID4D!$U$3:$U$200,1,ID4D!$HM$3:$HM$200,"&gt;1")+COUNTIFS(ID4D!$E$3:$E$200,$DY100,ID4D!$AG$3:$AG$200,"4B",ID4D!$U$3:$U$200,1,ID4D!$HM$3:$HM$200,"&gt;1"))</f>
        <v>1</v>
      </c>
      <c r="DY100" s="596" t="s">
        <v>12</v>
      </c>
    </row>
    <row r="101" spans="121:129">
      <c r="DQ101" t="str">
        <f>IF($ED$1,"HIC (48)","HIC (59)")</f>
        <v>HIC (59)</v>
      </c>
      <c r="DR101" s="736">
        <f>IF($ED$1,COUNTIFS(ID4D!$E$3:$E$200,$DY101,ID4D!$AG$3:$AG$200,0,ID4D!$HM$3:$HM$200,"&gt;1",ID4D!$IK$3:$IK$200,0),COUNTIFS(ID4D!$E$3:$E$200,$DY101,ID4D!$AG$3:$AG$200,0,ID4D!$HM$3:$HM$200,"&gt;1"))</f>
        <v>8</v>
      </c>
      <c r="DS101" s="736">
        <f>IF($ED$1,COUNTIFS(ID4D!$E$3:$E$200,$DY101,ID4D!$AG$3:$AG$200,1,ID4D!$U$3:$U$200,2,ID4D!$HM$3:$HM$200,"&gt;1",ID4D!$IK$3:$IK$200,0),COUNTIFS(ID4D!$E$3:$E$200,$DY101,ID4D!$AG$3:$AG$200,1,ID4D!$U$3:$U$200,2,ID4D!$HM$3:$HM$200,"&gt;1"))</f>
        <v>4</v>
      </c>
      <c r="DT101" s="736">
        <f>IF($ED$1,COUNTIFS(ID4D!$E$3:$E$200,$DY101,ID4D!$AG$3:$AG$200,1,ID4D!$U$3:$U$200,1,ID4D!$HM$3:$HM$200,"&gt;1",ID4D!$IK$3:$IK$200,0),COUNTIFS(ID4D!$E$3:$E$200,$DY101,ID4D!$AG$3:$AG$200,1,ID4D!$HM$3:$HM$200,"&gt;1",ID4D!$U$3:$U$200,1))</f>
        <v>2</v>
      </c>
      <c r="DU101" s="736">
        <f>IF($ED$1,COUNTIFS(ID4D!$E$3:$E$200,$DY101,ID4D!$AG$3:$AG$200,"&gt;1",ID4D!$U$3:$U$200,2,ID4D!$HM$3:$HM$200,"&gt;1",ID4D!$IK$3:$IK$200,0),COUNTIFS(ID4D!$E$3:$E$200,$DY101,ID4D!$AG$3:$AG$200,"&gt;1",ID4D!$HM$3:$HM$200,"&gt;1",ID4D!$U$3:$U$200,2))</f>
        <v>10</v>
      </c>
      <c r="DV101" s="736">
        <f>IF($ED$1,COUNTIFS(ID4D!$E$3:$E$200,$DY101,ID4D!$AG$3:$AG$200,"&gt;1",ID4D!$U$3:$U$200,1,ID4D!$HM$3:$HM$200,"&gt;1",ID4D!$IK$3:$IK$200,0),COUNTIFS(ID4D!$E$3:$E$200,$DY101,ID4D!$AG$3:$AG$200,"&gt;1",ID4D!$HM$3:$HM$200,"&gt;1",ID4D!$U$3:$U$200,1))</f>
        <v>4</v>
      </c>
      <c r="DW101" s="736">
        <f>IF($ED$1,COUNTIFS(ID4D!$E$3:$E$200,$DY101,ID4D!$AG$3:$AG$200,"2B",ID4D!$U$3:$U$200,2,ID4D!$HM$3:$HM$200,"&gt;1",ID4D!$IK$3:$IK$200,0)+COUNTIFS(ID4D!$E$3:$E$200,$DY101,ID4D!$AG$3:$AG$200,"3B",ID4D!$U$3:$U$200,2,ID4D!$HM$3:$HM$200,"&gt;1",ID4D!$IK$3:$IK$200,0)+COUNTIFS(ID4D!$E$3:$E$200,$DY101,ID4D!$AG$3:$AG$200,"4B",ID4D!$U$3:$U$200,2,ID4D!$HM$3:$HM$200,"&gt;1",ID4D!$IK$3:$IK$200,0), COUNTIFS(ID4D!$E$3:$E$200,$DY101,ID4D!$AG$3:$AG$200,"2B",ID4D!$HM$3:$HM$200,"&gt;1",ID4D!$U$3:$U$200,2)+COUNTIFS(ID4D!$E$3:$E$200,$DY101,ID4D!$AG$3:$AG$200,"3B",ID4D!$HM$3:$HM$200,"&gt;1",ID4D!$U$3:$U$200,2)+COUNTIFS(ID4D!$E$3:$E$200,$DY101,ID4D!$AG$3:$AG$200,"4B",ID4D!$HM$3:$HM$200,"&gt;1",ID4D!$U$3:$U$200,2))</f>
        <v>15</v>
      </c>
      <c r="DX101" s="736">
        <f>IF($ED$1,COUNTIFS(ID4D!$E$3:$E$200,$DY101,ID4D!$AG$3:$AG$200,"2B",ID4D!$U$3:$U$200,1,ID4D!$HM$3:$HM$200,"&gt;1",ID4D!$IK$3:$IK$200,0)+COUNTIFS(ID4D!$E$3:$E$200,$DY101,ID4D!$AG$3:$AG$200,"3B",ID4D!$U$3:$U$200,1,ID4D!$HM$3:$HM$200,"&gt;1",ID4D!$IK$3:$IK$200,0)+COUNTIFS(ID4D!$E$3:$E$200,$DY101,ID4D!$AG$3:$AG$200,"4B",ID4D!$U$3:$U$200,1,ID4D!$HM$3:$HM$200,"&gt;1",ID4D!$IK$3:$IK$200,0), COUNTIFS(ID4D!$E$3:$E$200,$DY101,ID4D!$AG$3:$AG$200,"2B",ID4D!$U$3:$U$200,1,ID4D!$HM$3:$HM$200,"&gt;1")+COUNTIFS(ID4D!$E$3:$E$200,$DY101,ID4D!$AG$3:$AG$200,"3B",ID4D!$U$3:$U$200,1,ID4D!$HM$3:$HM$200,"&gt;1")+COUNTIFS(ID4D!$E$3:$E$200,$DY101,ID4D!$AG$3:$AG$200,"4B",ID4D!$U$3:$U$200,1,ID4D!$HM$3:$HM$200,"&gt;1"))</f>
        <v>9</v>
      </c>
      <c r="DY101" s="596" t="s">
        <v>17</v>
      </c>
    </row>
    <row r="102" spans="121:129">
      <c r="DR102" s="736"/>
      <c r="DS102" s="736"/>
      <c r="DT102" s="736"/>
      <c r="DU102" s="736"/>
      <c r="DV102" s="736"/>
      <c r="DW102" s="736"/>
      <c r="DX102" s="736"/>
    </row>
    <row r="103" spans="121:129">
      <c r="DQ103" t="str">
        <f>IF($ED$1,"169 economies","198 economies")</f>
        <v>198 economies</v>
      </c>
      <c r="DR103" s="736"/>
      <c r="DS103" s="736"/>
      <c r="DT103" s="736"/>
      <c r="DU103" s="736"/>
      <c r="DV103" s="736"/>
      <c r="DW103" s="736"/>
      <c r="DX103" s="736"/>
    </row>
    <row r="104" spans="121:129">
      <c r="DQ104" t="s">
        <v>4470</v>
      </c>
      <c r="DR104" s="736">
        <f>IF($ED$1,COUNTIFS(ID4D!$E$3:$E$200,"&gt;A",ID4D!$IK$3:$IK$200,0,ID4D!$AG$3:$AG$200,0,ID4D!$HM$3:$HM$200,"&gt;1"),COUNTIFS(ID4D!$E$3:$E$200,"&gt;A",ID4D!$AG$3:$AG$200,0,ID4D!$HM$3:$HM$200,"&gt;1"))</f>
        <v>9</v>
      </c>
      <c r="DS104" s="736">
        <f>IF($ED$1,COUNTIFS(ID4D!$E$3:$E$200,"&gt;A",ID4D!$IK$3:$IK$200,0,ID4D!$AG$3:$AG$200,1,ID4D!$U$3:$U$200,2,ID4D!$HM$3:$HM$200,"&gt;1"),COUNTIFS(ID4D!$E$3:$E$200,"&gt;A",ID4D!$AG$3:$AG$200,1,ID4D!$U$3:$U$200,2,ID4D!$HM$3:$HM$200,"&gt;1"))</f>
        <v>12</v>
      </c>
      <c r="DT104" s="736">
        <f>IF($ED$1,COUNTIFS(ID4D!$E$3:$E$200,"&gt;A",ID4D!$IK$3:$IK$200,0,ID4D!$AG$3:$AG$200,1,ID4D!$U$3:$U$200,1,ID4D!$HM$3:$HM$200,"&gt;1"),COUNTIFS(ID4D!$E$3:$E$200,"&gt;A",ID4D!$AG$3:$AG$200,1,ID4D!$U$3:$U$200,1,ID4D!$HM$3:$HM$200,"&gt;1"))</f>
        <v>2</v>
      </c>
      <c r="DU104" s="736">
        <f>IF($ED$1,COUNTIFS(ID4D!$E$3:$E$200,"&gt;A",ID4D!$IK$3:$IK$200,0,ID4D!$AG$3:$AG$200,"&gt;1",ID4D!$U$3:$U$200,2,ID4D!$HM$3:$HM$200,"&gt;1"),COUNTIFS(ID4D!$E$3:$E$200,"&gt;A",ID4D!$AG$3:$AG$200,"&gt;1",ID4D!$U$3:$U$200,2,ID4D!$HM$3:$HM$200,"&gt;1"))</f>
        <v>18</v>
      </c>
      <c r="DV104" s="736">
        <f>IF($ED$1,COUNTIFS(ID4D!$E$3:$E$200,"&gt;A",ID4D!$IK$3:$IK$200,0,ID4D!$AG$3:$AG$200,"&gt;1",ID4D!$U$3:$U$200,1,ID4D!$HM$3:$HM$200,"&gt;1"),COUNTIFS(ID4D!$E$3:$E$200,"&gt;A",ID4D!$AG$3:$AG$200,"&gt;1",ID4D!$U$3:$U$200,1,ID4D!$HM$3:$HM$200,"&gt;1"))</f>
        <v>7</v>
      </c>
      <c r="DW104" s="736">
        <f>IF($ED$1,COUNTIFS(ID4D!$E$3:$E$200,"&gt;A",ID4D!$IK$3:$IK$200,0,ID4D!$AG$3:$AG$200,"2B",ID4D!$HM$3:$HM$200,"&gt;1",ID4D!$U$3:$U$200,2)+COUNTIFS(ID4D!$E$3:$E$200,"&gt;A",ID4D!$IK$3:$IK$200,0,ID4D!$AG$3:$AG$200,"3B",ID4D!$HM$3:$HM$200,"&gt;1",ID4D!$U$3:$U$200,2)+COUNTIFS(ID4D!$E$3:$E$200,"&gt;A",ID4D!$IK$3:$IK$200,0,ID4D!$AG$3:$AG$200,"4B",ID4D!$HM$3:$HM$200,"&gt;1",ID4D!$U$3:$U$200,2), COUNTIFS(ID4D!$E$3:$E$200,"&gt;A",ID4D!$AG$3:$AG$200,"2B",ID4D!$HM$3:$HM$200,"&gt;1",ID4D!$U$3:$U$200,2)+COUNTIFS(ID4D!$E$3:$E$200,"&gt;A",ID4D!$AG$3:$AG$200,"3B",ID4D!$HM$3:$HM$200,"&gt;1",ID4D!$U$3:$U$200,2)+COUNTIFS(ID4D!$E$3:$E$200,"&gt;A",ID4D!$AG$3:$AG$200,"4B",ID4D!$HM$3:$HM$200,"&gt;1",ID4D!$U$3:$U$200,2))</f>
        <v>57</v>
      </c>
      <c r="DX104" s="736">
        <f>IF($ED$1,COUNTIFS(ID4D!$E$3:$E$200,"&gt;A",ID4D!$IK$3:$IK$200,0,ID4D!$AG$3:$AG$200,"2B",ID4D!$HM$3:$HM$200,"&gt;1",ID4D!$U$3:$U$200,1)+COUNTIFS(ID4D!$E$3:$E$200,"&gt;A",ID4D!$IK$3:$IK$200,0,ID4D!$AG$3:$AG$200,"3B",ID4D!$HM$3:$HM$200,"&gt;1",ID4D!$U$3:$U$200,1)+COUNTIFS(ID4D!$E$3:$E$200,"&gt;A",ID4D!$IK$3:$IK$200,0,ID4D!$AG$3:$AG$200,"4B",ID4D!$HM$3:$HM$200,"&gt;1",ID4D!$U$3:$U$200,1), COUNTIFS(ID4D!$E$3:$E$200,"&gt;A",ID4D!$AG$3:$AG$200,"2B",ID4D!$HM$3:$HM$200,"&gt;1",ID4D!$U$3:$U$200,1)+COUNTIFS(ID4D!$E$3:$E$200,"&gt;A",ID4D!$AG$3:$AG$200,"3B",ID4D!$HM$3:$HM$200,"&gt;1",ID4D!$U$3:$U$200,1)+COUNTIFS(ID4D!$E$3:$E$200,"&gt;A",ID4D!$AG$3:$AG$200,"4B",ID4D!$HM$3:$HM$200,"&gt;1",ID4D!$U$3:$U$200,1))</f>
        <v>10</v>
      </c>
      <c r="DY104" s="739">
        <f>SUM(DR104:DX104)</f>
        <v>115</v>
      </c>
    </row>
    <row r="106" spans="121:129">
      <c r="DQ106" s="53" t="s">
        <v>5213</v>
      </c>
      <c r="DR106" s="735" t="s">
        <v>5183</v>
      </c>
      <c r="DS106" s="735" t="s">
        <v>1680</v>
      </c>
      <c r="DT106" s="735" t="s">
        <v>1614</v>
      </c>
      <c r="DU106" s="740" t="s">
        <v>5184</v>
      </c>
    </row>
    <row r="107" spans="121:129">
      <c r="DQ107" t="s">
        <v>5311</v>
      </c>
      <c r="DR107" s="736">
        <f>DR98</f>
        <v>0</v>
      </c>
      <c r="DS107" s="736">
        <f>DS98+DT98</f>
        <v>4</v>
      </c>
      <c r="DT107" s="736">
        <f>DU98+DV98</f>
        <v>1</v>
      </c>
      <c r="DU107" s="736">
        <f>DW98+DX98</f>
        <v>6</v>
      </c>
    </row>
    <row r="108" spans="121:129">
      <c r="DQ108" t="s">
        <v>5312</v>
      </c>
      <c r="DR108" s="736">
        <f>DR99</f>
        <v>1</v>
      </c>
      <c r="DS108" s="736">
        <f>DS99+DT99</f>
        <v>3</v>
      </c>
      <c r="DT108" s="736">
        <f>DU99+DV99</f>
        <v>3</v>
      </c>
      <c r="DU108" s="736">
        <f>DW99+DX99</f>
        <v>14</v>
      </c>
    </row>
    <row r="109" spans="121:129">
      <c r="DQ109" t="s">
        <v>5313</v>
      </c>
      <c r="DR109" s="736">
        <f>DR100</f>
        <v>0</v>
      </c>
      <c r="DS109" s="736">
        <f>DS100+DT100</f>
        <v>1</v>
      </c>
      <c r="DT109" s="736">
        <f>DU100+DV100</f>
        <v>7</v>
      </c>
      <c r="DU109" s="736">
        <f>DW100+DX100</f>
        <v>23</v>
      </c>
    </row>
    <row r="110" spans="121:129">
      <c r="DQ110" t="s">
        <v>5314</v>
      </c>
      <c r="DR110" s="736">
        <f>DR101</f>
        <v>8</v>
      </c>
      <c r="DS110" s="736">
        <f>DS101+DT101</f>
        <v>6</v>
      </c>
      <c r="DT110" s="736">
        <f>DU101+DV101</f>
        <v>14</v>
      </c>
      <c r="DU110" s="736">
        <f>DW101+DX101</f>
        <v>24</v>
      </c>
    </row>
    <row r="113" spans="121:129">
      <c r="DQ113" s="53" t="s">
        <v>5214</v>
      </c>
      <c r="DR113" s="735" t="s">
        <v>5183</v>
      </c>
      <c r="DS113" s="735" t="s">
        <v>5177</v>
      </c>
      <c r="DT113" s="735" t="s">
        <v>5178</v>
      </c>
      <c r="DU113" s="735" t="s">
        <v>5179</v>
      </c>
      <c r="DV113" s="735" t="s">
        <v>5180</v>
      </c>
      <c r="DW113" s="735" t="s">
        <v>5181</v>
      </c>
      <c r="DX113" s="735" t="s">
        <v>5182</v>
      </c>
    </row>
    <row r="114" spans="121:129">
      <c r="DQ114" t="str">
        <f>IF($ED$1,"LIC (34)","LIC (34)")</f>
        <v>LIC (34)</v>
      </c>
      <c r="DR114" s="736">
        <f>IF($ED$1,COUNTIFS(ID4D!$E$3:$E$200,$DY114,ID4D!$AG$3:$AG$200,0,ID4D!$HU$3:$HU$200,"&gt;1",ID4D!$IK$3:$IK$200,0),COUNTIFS(ID4D!$E$3:$E$200,$DY114,ID4D!$AG$3:$AG$200,0,ID4D!$HU$3:$HU$200,"&gt;1"))</f>
        <v>0</v>
      </c>
      <c r="DS114" s="736">
        <f>IF($ED$1,COUNTIFS(ID4D!$E$3:$E$200,$DY114,ID4D!$AG$3:$AG$200,1,ID4D!$U$3:$U$200,2,ID4D!$HU$3:$HU$200,"&gt;1",ID4D!$IK$3:$IK$200,0),COUNTIFS(ID4D!$E$3:$E$200,$DY114,ID4D!$AG$3:$AG$200,1,ID4D!$U$3:$U$200,2,ID4D!$HU$3:$HU$200,"&gt;1"))</f>
        <v>5</v>
      </c>
      <c r="DT114" s="736">
        <f>IF($ED$1,COUNTIFS(ID4D!$E$3:$E$200,$DY114,ID4D!$AG$3:$AG$200,1,ID4D!$U$3:$U$200,1,ID4D!$HU$3:$HU$200,"&gt;1",ID4D!$IK$3:$IK$200,0),COUNTIFS(ID4D!$E$3:$E$200,$DY114,ID4D!$AG$3:$AG$200,1,ID4D!$HU$3:$HU$200,"&gt;1",ID4D!$U$3:$U$200,1))</f>
        <v>0</v>
      </c>
      <c r="DU114" s="736">
        <f>IF($ED$1,COUNTIFS(ID4D!$E$3:$E$200,$DY114,ID4D!$AG$3:$AG$200,"&gt;1",ID4D!$U$3:$U$200,2,ID4D!$HU$3:$HU$200,"&gt;1",ID4D!$IK$3:$IK$200,0),COUNTIFS(ID4D!$E$3:$E$200,$DY114,ID4D!$AG$3:$AG$200,"&gt;1",ID4D!$HU$3:$HU$200,"&gt;1",ID4D!$U$3:$U$200,2))</f>
        <v>2</v>
      </c>
      <c r="DV114" s="736">
        <f>IF($ED$1,COUNTIFS(ID4D!$E$3:$E$200,$DY114,ID4D!$AG$3:$AG$200,"&gt;1",ID4D!$U$3:$U$200,1,ID4D!$HU$3:$HU$200,"&gt;1",ID4D!$IK$3:$IK$200,0),COUNTIFS(ID4D!$E$3:$E$200,$DY114,ID4D!$AG$3:$AG$200,"&gt;1",ID4D!$HU$3:$HU$200,"&gt;1",ID4D!$U$3:$U$200,1))</f>
        <v>1</v>
      </c>
      <c r="DW114" s="736">
        <f>IF($ED$1,COUNTIFS(ID4D!$E$3:$E$200,$DY114,ID4D!$AG$3:$AG$200,"2B",ID4D!$U$3:$U$200,2,ID4D!$HU$3:$HU$200,"&gt;1",ID4D!$IK$3:$IK$200,0)+COUNTIFS(ID4D!$E$3:$E$200,$DY114,ID4D!$AG$3:$AG$200,"3B",ID4D!$U$3:$U$200,2,ID4D!$HU$3:$HU$200,"&gt;1",ID4D!$IK$3:$IK$200,0)+COUNTIFS(ID4D!$E$3:$E$200,$DY114,ID4D!$AG$3:$AG$200,"4B",ID4D!$U$3:$U$200,2,ID4D!$HU$3:$HU$200,"&gt;1",ID4D!$IK$3:$IK$200,0), COUNTIFS(ID4D!$E$3:$E$200,$DY114,ID4D!$AG$3:$AG$200,"2B",ID4D!$HU$3:$HU$200,"&gt;1",ID4D!$U$3:$U$200,2)+COUNTIFS(ID4D!$E$3:$E$200,$DY114,ID4D!$AG$3:$AG$200,"3B",ID4D!$HU$3:$HU$200,"&gt;1",ID4D!$U$3:$U$200,2)+COUNTIFS(ID4D!$E$3:$E$200,$DY114,ID4D!$AG$3:$AG$200,"4B",ID4D!$HU$3:$HU$200,"&gt;1",ID4D!$U$3:$U$200,2))</f>
        <v>7</v>
      </c>
      <c r="DX114" s="736">
        <f>IF($ED$1,COUNTIFS(ID4D!$E$3:$E$200,$DY114,ID4D!$AG$3:$AG$200,"2B",ID4D!$U$3:$U$200,1,ID4D!$HU$3:$HU$200,"&gt;1",ID4D!$IK$3:$IK$200,0)+COUNTIFS(ID4D!$E$3:$E$200,$DY114,ID4D!$AG$3:$AG$200,"3B",ID4D!$U$3:$U$200,1,ID4D!$HU$3:$HU$200,"&gt;1",ID4D!$IK$3:$IK$200,0)+COUNTIFS(ID4D!$E$3:$E$200,$DY114,ID4D!$AG$3:$AG$200,"4B",ID4D!$U$3:$U$200,1,ID4D!$HU$3:$HU$200,"&gt;1",ID4D!$IK$3:$IK$200,0), COUNTIFS(ID4D!$E$3:$E$200,$DY114,ID4D!$AG$3:$AG$200,"2B",ID4D!$U$3:$U$200,1,ID4D!$HU$3:$HU$200,"&gt;1")+COUNTIFS(ID4D!$E$3:$E$200,$DY114,ID4D!$AG$3:$AG$200,"3B",ID4D!$U$3:$U$200,1,ID4D!$HU$3:$HU$200,"&gt;1")+COUNTIFS(ID4D!$E$3:$E$200,$DY114,ID4D!$AG$3:$AG$200,"4B",ID4D!$U$3:$U$200,1,ID4D!$HU$3:$HU$200,"&gt;1"))</f>
        <v>1</v>
      </c>
      <c r="DY114" s="596" t="s">
        <v>9</v>
      </c>
    </row>
    <row r="115" spans="121:129">
      <c r="DQ115" t="str">
        <f>IF($ED$1,"LMIC (44)","LMIC (50)")</f>
        <v>LMIC (50)</v>
      </c>
      <c r="DR115" s="736">
        <f>IF($ED$1,COUNTIFS(ID4D!$E$3:$E$200,$DY115,ID4D!$AG$3:$AG$200,0,ID4D!$HU$3:$HU$200,"&gt;1",ID4D!$IK$3:$IK$200,0),COUNTIFS(ID4D!$E$3:$E$200,$DY115,ID4D!$AG$3:$AG$200,0,ID4D!$HU$3:$HU$200,"&gt;1"))</f>
        <v>0</v>
      </c>
      <c r="DS115" s="736">
        <f>IF($ED$1,COUNTIFS(ID4D!$E$3:$E$200,$DY115,ID4D!$AG$3:$AG$200,1,ID4D!$U$3:$U$200,2,ID4D!$HU$3:$HU$200,"&gt;1",ID4D!$IK$3:$IK$200,0),COUNTIFS(ID4D!$E$3:$E$200,$DY115,ID4D!$AG$3:$AG$200,1,ID4D!$U$3:$U$200,2,ID4D!$HU$3:$HU$200,"&gt;1"))</f>
        <v>3</v>
      </c>
      <c r="DT115" s="736">
        <f>IF($ED$1,COUNTIFS(ID4D!$E$3:$E$200,$DY115,ID4D!$AG$3:$AG$200,1,ID4D!$U$3:$U$200,1,ID4D!$HU$3:$HU$200,"&gt;1",ID4D!$IK$3:$IK$200,0),COUNTIFS(ID4D!$E$3:$E$200,$DY115,ID4D!$AG$3:$AG$200,1,ID4D!$HU$3:$HU$200,"&gt;1",ID4D!$U$3:$U$200,1))</f>
        <v>0</v>
      </c>
      <c r="DU115" s="736">
        <f>IF($ED$1,COUNTIFS(ID4D!$E$3:$E$200,$DY115,ID4D!$AG$3:$AG$200,"&gt;1",ID4D!$U$3:$U$200,2,ID4D!$HU$3:$HU$200,"&gt;1",ID4D!$IK$3:$IK$200,0),COUNTIFS(ID4D!$E$3:$E$200,$DY115,ID4D!$AG$3:$AG$200,"&gt;1",ID4D!$HU$3:$HU$200,"&gt;1",ID4D!$U$3:$U$200,2))</f>
        <v>5</v>
      </c>
      <c r="DV115" s="736">
        <f>IF($ED$1,COUNTIFS(ID4D!$E$3:$E$200,$DY115,ID4D!$AG$3:$AG$200,"&gt;1",ID4D!$U$3:$U$200,1,ID4D!$HU$3:$HU$200,"&gt;1",ID4D!$IK$3:$IK$200,0),COUNTIFS(ID4D!$E$3:$E$200,$DY115,ID4D!$AG$3:$AG$200,"&gt;1",ID4D!$HU$3:$HU$200,"&gt;1",ID4D!$U$3:$U$200,1))</f>
        <v>0</v>
      </c>
      <c r="DW115" s="736">
        <f>IF($ED$1,COUNTIFS(ID4D!$E$3:$E$200,$DY115,ID4D!$AG$3:$AG$200,"2B",ID4D!$U$3:$U$200,2,ID4D!$HU$3:$HU$200,"&gt;1",ID4D!$IK$3:$IK$200,0)+COUNTIFS(ID4D!$E$3:$E$200,$DY115,ID4D!$AG$3:$AG$200,"3B",ID4D!$U$3:$U$200,2,ID4D!$HU$3:$HU$200,"&gt;1",ID4D!$IK$3:$IK$200,0)+COUNTIFS(ID4D!$E$3:$E$200,$DY115,ID4D!$AG$3:$AG$200,"4B",ID4D!$U$3:$U$200,2,ID4D!$HU$3:$HU$200,"&gt;1",ID4D!$IK$3:$IK$200,0), COUNTIFS(ID4D!$E$3:$E$200,$DY115,ID4D!$AG$3:$AG$200,"2B",ID4D!$HU$3:$HU$200,"&gt;1",ID4D!$U$3:$U$200,2)+COUNTIFS(ID4D!$E$3:$E$200,$DY115,ID4D!$AG$3:$AG$200,"3B",ID4D!$HU$3:$HU$200,"&gt;1",ID4D!$U$3:$U$200,2)+COUNTIFS(ID4D!$E$3:$E$200,$DY115,ID4D!$AG$3:$AG$200,"4B",ID4D!$HU$3:$HU$200,"&gt;1",ID4D!$U$3:$U$200,2))</f>
        <v>19</v>
      </c>
      <c r="DX115" s="736">
        <f>IF($ED$1,COUNTIFS(ID4D!$E$3:$E$200,$DY115,ID4D!$AG$3:$AG$200,"2B",ID4D!$U$3:$U$200,1,ID4D!$HU$3:$HU$200,"&gt;1",ID4D!$IK$3:$IK$200,0)+COUNTIFS(ID4D!$E$3:$E$200,$DY115,ID4D!$AG$3:$AG$200,"3B",ID4D!$U$3:$U$200,1,ID4D!$HU$3:$HU$200,"&gt;1",ID4D!$IK$3:$IK$200,0)+COUNTIFS(ID4D!$E$3:$E$200,$DY115,ID4D!$AG$3:$AG$200,"4B",ID4D!$U$3:$U$200,1,ID4D!$HU$3:$HU$200,"&gt;1",ID4D!$IK$3:$IK$200,0), COUNTIFS(ID4D!$E$3:$E$200,$DY115,ID4D!$AG$3:$AG$200,"2B",ID4D!$U$3:$U$200,1,ID4D!$HU$3:$HU$200,"&gt;1")+COUNTIFS(ID4D!$E$3:$E$200,$DY115,ID4D!$AG$3:$AG$200,"3B",ID4D!$U$3:$U$200,1,ID4D!$HU$3:$HU$200,"&gt;1")+COUNTIFS(ID4D!$E$3:$E$200,$DY115,ID4D!$AG$3:$AG$200,"4B",ID4D!$U$3:$U$200,1,ID4D!$HU$3:$HU$200,"&gt;1"))</f>
        <v>0</v>
      </c>
      <c r="DY115" s="596" t="s">
        <v>20</v>
      </c>
    </row>
    <row r="116" spans="121:129">
      <c r="DQ116" t="str">
        <f>IF($ED$1,"UMIC (43)","UMIC (55)")</f>
        <v>UMIC (55)</v>
      </c>
      <c r="DR116" s="736">
        <f>IF($ED$1,COUNTIFS(ID4D!$E$3:$E$200,$DY116,ID4D!$AG$3:$AG$200,0,ID4D!$HU$3:$HU$200,"&gt;1",ID4D!$IK$3:$IK$200,0),COUNTIFS(ID4D!$E$3:$E$200,$DY116,ID4D!$AG$3:$AG$200,0,ID4D!$HU$3:$HU$200,"&gt;1"))</f>
        <v>0</v>
      </c>
      <c r="DS116" s="736">
        <f>IF($ED$1,COUNTIFS(ID4D!$E$3:$E$200,$DY116,ID4D!$AG$3:$AG$200,1,ID4D!$U$3:$U$200,2,ID4D!$HU$3:$HU$200,"&gt;1",ID4D!$IK$3:$IK$200,0),COUNTIFS(ID4D!$E$3:$E$200,$DY116,ID4D!$AG$3:$AG$200,1,ID4D!$U$3:$U$200,2,ID4D!$HU$3:$HU$200,"&gt;1"))</f>
        <v>1</v>
      </c>
      <c r="DT116" s="736">
        <f>IF($ED$1,COUNTIFS(ID4D!$E$3:$E$200,$DY116,ID4D!$AG$3:$AG$200,1,ID4D!$U$3:$U$200,1,ID4D!$HU$3:$HU$200,"&gt;1",ID4D!$IK$3:$IK$200,0),COUNTIFS(ID4D!$E$3:$E$200,$DY116,ID4D!$AG$3:$AG$200,1,ID4D!$HU$3:$HU$200,"&gt;1",ID4D!$U$3:$U$200,1))</f>
        <v>1</v>
      </c>
      <c r="DU116" s="736">
        <f>IF($ED$1,COUNTIFS(ID4D!$E$3:$E$200,$DY116,ID4D!$AG$3:$AG$200,"&gt;1",ID4D!$U$3:$U$200,2,ID4D!$HU$3:$HU$200,"&gt;1",ID4D!$IK$3:$IK$200,0),COUNTIFS(ID4D!$E$3:$E$200,$DY116,ID4D!$AG$3:$AG$200,"&gt;1",ID4D!$HU$3:$HU$200,"&gt;1",ID4D!$U$3:$U$200,2))</f>
        <v>6</v>
      </c>
      <c r="DV116" s="736">
        <f>IF($ED$1,COUNTIFS(ID4D!$E$3:$E$200,$DY116,ID4D!$AG$3:$AG$200,"&gt;1",ID4D!$U$3:$U$200,1,ID4D!$HU$3:$HU$200,"&gt;1",ID4D!$IK$3:$IK$200,0),COUNTIFS(ID4D!$E$3:$E$200,$DY116,ID4D!$AG$3:$AG$200,"&gt;1",ID4D!$HU$3:$HU$200,"&gt;1",ID4D!$U$3:$U$200,1))</f>
        <v>2</v>
      </c>
      <c r="DW116" s="736">
        <f>IF($ED$1,COUNTIFS(ID4D!$E$3:$E$200,$DY116,ID4D!$AG$3:$AG$200,"2B",ID4D!$U$3:$U$200,2,ID4D!$HU$3:$HU$200,"&gt;1",ID4D!$IK$3:$IK$200,0)+COUNTIFS(ID4D!$E$3:$E$200,$DY116,ID4D!$AG$3:$AG$200,"3B",ID4D!$U$3:$U$200,2,ID4D!$HU$3:$HU$200,"&gt;1",ID4D!$IK$3:$IK$200,0)+COUNTIFS(ID4D!$E$3:$E$200,$DY116,ID4D!$AG$3:$AG$200,"4B",ID4D!$U$3:$U$200,2,ID4D!$HU$3:$HU$200,"&gt;1",ID4D!$IK$3:$IK$200,0), COUNTIFS(ID4D!$E$3:$E$200,$DY116,ID4D!$AG$3:$AG$200,"2B",ID4D!$HU$3:$HU$200,"&gt;1",ID4D!$U$3:$U$200,2)+COUNTIFS(ID4D!$E$3:$E$200,$DY116,ID4D!$AG$3:$AG$200,"3B",ID4D!$HU$3:$HU$200,"&gt;1",ID4D!$U$3:$U$200,2)+COUNTIFS(ID4D!$E$3:$E$200,$DY116,ID4D!$AG$3:$AG$200,"4B",ID4D!$HU$3:$HU$200,"&gt;1",ID4D!$U$3:$U$200,2))</f>
        <v>22</v>
      </c>
      <c r="DX116" s="736">
        <f>IF($ED$1,COUNTIFS(ID4D!$E$3:$E$200,$DY116,ID4D!$AG$3:$AG$200,"2B",ID4D!$U$3:$U$200,1,ID4D!$HU$3:$HU$200,"&gt;1",ID4D!$IK$3:$IK$200,0)+COUNTIFS(ID4D!$E$3:$E$200,$DY116,ID4D!$AG$3:$AG$200,"3B",ID4D!$U$3:$U$200,1,ID4D!$HU$3:$HU$200,"&gt;1",ID4D!$IK$3:$IK$200,0)+COUNTIFS(ID4D!$E$3:$E$200,$DY116,ID4D!$AG$3:$AG$200,"4B",ID4D!$U$3:$U$200,1,ID4D!$HU$3:$HU$200,"&gt;1",ID4D!$IK$3:$IK$200,0), COUNTIFS(ID4D!$E$3:$E$200,$DY116,ID4D!$AG$3:$AG$200,"2B",ID4D!$U$3:$U$200,1,ID4D!$HU$3:$HU$200,"&gt;1")+COUNTIFS(ID4D!$E$3:$E$200,$DY116,ID4D!$AG$3:$AG$200,"3B",ID4D!$U$3:$U$200,1,ID4D!$HU$3:$HU$200,"&gt;1")+COUNTIFS(ID4D!$E$3:$E$200,$DY116,ID4D!$AG$3:$AG$200,"4B",ID4D!$U$3:$U$200,1,ID4D!$HU$3:$HU$200,"&gt;1"))</f>
        <v>1</v>
      </c>
      <c r="DY116" s="596" t="s">
        <v>12</v>
      </c>
    </row>
    <row r="117" spans="121:129">
      <c r="DQ117" t="str">
        <f>IF($ED$1,"HIC (48)","HIC (59)")</f>
        <v>HIC (59)</v>
      </c>
      <c r="DR117" s="736">
        <f>IF($ED$1,COUNTIFS(ID4D!$E$3:$E$200,$DY117,ID4D!$AG$3:$AG$200,0,ID4D!$HU$3:$HU$200,"&gt;1",ID4D!$IK$3:$IK$200,0),COUNTIFS(ID4D!$E$3:$E$200,$DY117,ID4D!$AG$3:$AG$200,0,ID4D!$HU$3:$HU$200,"&gt;1"))</f>
        <v>7</v>
      </c>
      <c r="DS117" s="736">
        <f>IF($ED$1,COUNTIFS(ID4D!$E$3:$E$200,$DY117,ID4D!$AG$3:$AG$200,1,ID4D!$U$3:$U$200,2,ID4D!$HU$3:$HU$200,"&gt;1",ID4D!$IK$3:$IK$200,0),COUNTIFS(ID4D!$E$3:$E$200,$DY117,ID4D!$AG$3:$AG$200,1,ID4D!$U$3:$U$200,2,ID4D!$HU$3:$HU$200,"&gt;1"))</f>
        <v>4</v>
      </c>
      <c r="DT117" s="736">
        <f>IF($ED$1,COUNTIFS(ID4D!$E$3:$E$200,$DY117,ID4D!$AG$3:$AG$200,1,ID4D!$U$3:$U$200,1,ID4D!$HU$3:$HU$200,"&gt;1",ID4D!$IK$3:$IK$200,0),COUNTIFS(ID4D!$E$3:$E$200,$DY117,ID4D!$AG$3:$AG$200,1,ID4D!$HU$3:$HU$200,"&gt;1",ID4D!$U$3:$U$200,1))</f>
        <v>2</v>
      </c>
      <c r="DU117" s="736">
        <f>IF($ED$1,COUNTIFS(ID4D!$E$3:$E$200,$DY117,ID4D!$AG$3:$AG$200,"&gt;1",ID4D!$U$3:$U$200,2,ID4D!$HU$3:$HU$200,"&gt;1",ID4D!$IK$3:$IK$200,0),COUNTIFS(ID4D!$E$3:$E$200,$DY117,ID4D!$AG$3:$AG$200,"&gt;1",ID4D!$HU$3:$HU$200,"&gt;1",ID4D!$U$3:$U$200,2))</f>
        <v>9</v>
      </c>
      <c r="DV117" s="736">
        <f>IF($ED$1,COUNTIFS(ID4D!$E$3:$E$200,$DY117,ID4D!$AG$3:$AG$200,"&gt;1",ID4D!$U$3:$U$200,1,ID4D!$HU$3:$HU$200,"&gt;1",ID4D!$IK$3:$IK$200,0),COUNTIFS(ID4D!$E$3:$E$200,$DY117,ID4D!$AG$3:$AG$200,"&gt;1",ID4D!$HU$3:$HU$200,"&gt;1",ID4D!$U$3:$U$200,1))</f>
        <v>3</v>
      </c>
      <c r="DW117" s="736">
        <f>IF($ED$1,COUNTIFS(ID4D!$E$3:$E$200,$DY117,ID4D!$AG$3:$AG$200,"2B",ID4D!$U$3:$U$200,2,ID4D!$HU$3:$HU$200,"&gt;1",ID4D!$IK$3:$IK$200,0)+COUNTIFS(ID4D!$E$3:$E$200,$DY117,ID4D!$AG$3:$AG$200,"3B",ID4D!$U$3:$U$200,2,ID4D!$HU$3:$HU$200,"&gt;1",ID4D!$IK$3:$IK$200,0)+COUNTIFS(ID4D!$E$3:$E$200,$DY117,ID4D!$AG$3:$AG$200,"4B",ID4D!$U$3:$U$200,2,ID4D!$HU$3:$HU$200,"&gt;1",ID4D!$IK$3:$IK$200,0), COUNTIFS(ID4D!$E$3:$E$200,$DY117,ID4D!$AG$3:$AG$200,"2B",ID4D!$HU$3:$HU$200,"&gt;1",ID4D!$U$3:$U$200,2)+COUNTIFS(ID4D!$E$3:$E$200,$DY117,ID4D!$AG$3:$AG$200,"3B",ID4D!$HU$3:$HU$200,"&gt;1",ID4D!$U$3:$U$200,2)+COUNTIFS(ID4D!$E$3:$E$200,$DY117,ID4D!$AG$3:$AG$200,"4B",ID4D!$HU$3:$HU$200,"&gt;1",ID4D!$U$3:$U$200,2))</f>
        <v>10</v>
      </c>
      <c r="DX117" s="736">
        <f>IF($ED$1,COUNTIFS(ID4D!$E$3:$E$200,$DY117,ID4D!$AG$3:$AG$200,"2B",ID4D!$U$3:$U$200,1,ID4D!$HU$3:$HU$200,"&gt;1",ID4D!$IK$3:$IK$200,0)+COUNTIFS(ID4D!$E$3:$E$200,$DY117,ID4D!$AG$3:$AG$200,"3B",ID4D!$U$3:$U$200,1,ID4D!$HU$3:$HU$200,"&gt;1",ID4D!$IK$3:$IK$200,0)+COUNTIFS(ID4D!$E$3:$E$200,$DY117,ID4D!$AG$3:$AG$200,"4B",ID4D!$U$3:$U$200,1,ID4D!$HU$3:$HU$200,"&gt;1",ID4D!$IK$3:$IK$200,0), COUNTIFS(ID4D!$E$3:$E$200,$DY117,ID4D!$AG$3:$AG$200,"2B",ID4D!$U$3:$U$200,1,ID4D!$HU$3:$HU$200,"&gt;1")+COUNTIFS(ID4D!$E$3:$E$200,$DY117,ID4D!$AG$3:$AG$200,"3B",ID4D!$U$3:$U$200,1,ID4D!$HU$3:$HU$200,"&gt;1")+COUNTIFS(ID4D!$E$3:$E$200,$DY117,ID4D!$AG$3:$AG$200,"4B",ID4D!$U$3:$U$200,1,ID4D!$HU$3:$HU$200,"&gt;1"))</f>
        <v>9</v>
      </c>
      <c r="DY117" s="596" t="s">
        <v>17</v>
      </c>
    </row>
    <row r="118" spans="121:129">
      <c r="DR118" s="736"/>
      <c r="DS118" s="736"/>
      <c r="DT118" s="736"/>
      <c r="DU118" s="736"/>
      <c r="DV118" s="736"/>
      <c r="DW118" s="736"/>
      <c r="DX118" s="736"/>
    </row>
    <row r="119" spans="121:129">
      <c r="DQ119" t="str">
        <f>IF($ED$1,"169 economies","198 economies")</f>
        <v>198 economies</v>
      </c>
      <c r="DR119" s="736"/>
      <c r="DS119" s="736"/>
      <c r="DT119" s="736"/>
      <c r="DU119" s="736"/>
      <c r="DV119" s="736"/>
      <c r="DW119" s="736"/>
      <c r="DX119" s="736"/>
    </row>
    <row r="120" spans="121:129">
      <c r="DQ120" t="s">
        <v>4470</v>
      </c>
      <c r="DR120" s="736">
        <f>IF($ED$1,COUNTIFS(ID4D!$E$3:$E$200,"&gt;A",ID4D!$IK$3:$IK$200,0,ID4D!$AG$3:$AG$200,0,ID4D!$HU$3:$HU$200,"&gt;1"),COUNTIFS(ID4D!$E$3:$E$200,"&gt;A",ID4D!$AG$3:$AG$200,0,ID4D!$HU$3:$HU$200,"&gt;1"))</f>
        <v>7</v>
      </c>
      <c r="DS120" s="736">
        <f>IF($ED$1,COUNTIFS(ID4D!$E$3:$E$200,"&gt;A",ID4D!$IK$3:$IK$200,0,ID4D!$AG$3:$AG$200,1,ID4D!$U$3:$U$200,2,ID4D!$HU$3:$HU$200,"&gt;1"),COUNTIFS(ID4D!$E$3:$E$200,"&gt;A",ID4D!$AG$3:$AG$200,1,ID4D!$U$3:$U$200,2,ID4D!$HU$3:$HU$200,"&gt;1"))</f>
        <v>13</v>
      </c>
      <c r="DT120" s="736">
        <f>IF($ED$1,COUNTIFS(ID4D!$E$3:$E$200,"&gt;A",ID4D!$IK$3:$IK$200,0,ID4D!$AG$3:$AG$200,1,ID4D!$U$3:$U$200,1,ID4D!$HU$3:$HU$200,"&gt;1"),COUNTIFS(ID4D!$E$3:$E$200,"&gt;A",ID4D!$AG$3:$AG$200,1,ID4D!$U$3:$U$200,1,ID4D!$HU$3:$HU$200,"&gt;1"))</f>
        <v>3</v>
      </c>
      <c r="DU120" s="736">
        <f>IF($ED$1,COUNTIFS(ID4D!$E$3:$E$200,"&gt;A",ID4D!$IK$3:$IK$200,0,ID4D!$AG$3:$AG$200,"&gt;1",ID4D!$U$3:$U$200,2,ID4D!$HU$3:$HU$200,"&gt;1"),COUNTIFS(ID4D!$E$3:$E$200,"&gt;A",ID4D!$AG$3:$AG$200,"&gt;1",ID4D!$U$3:$U$200,2,ID4D!$HU$3:$HU$200,"&gt;1"))</f>
        <v>22</v>
      </c>
      <c r="DV120" s="736">
        <f>IF($ED$1,COUNTIFS(ID4D!$E$3:$E$200,"&gt;A",ID4D!$IK$3:$IK$200,0,ID4D!$AG$3:$AG$200,"&gt;1",ID4D!$U$3:$U$200,1,ID4D!$HU$3:$HU$200,"&gt;1"),COUNTIFS(ID4D!$E$3:$E$200,"&gt;A",ID4D!$AG$3:$AG$200,"&gt;1",ID4D!$U$3:$U$200,1,ID4D!$HU$3:$HU$200,"&gt;1"))</f>
        <v>6</v>
      </c>
      <c r="DW120" s="736">
        <f>IF($ED$1,COUNTIFS(ID4D!$E$3:$E$200,"&gt;A",ID4D!$IK$3:$IK$200,0,ID4D!$AG$3:$AG$200,"2B",ID4D!$HU$3:$HU$200,"&gt;1",ID4D!$U$3:$U$200,2)+COUNTIFS(ID4D!$E$3:$E$200,"&gt;A",ID4D!$IK$3:$IK$200,0,ID4D!$AG$3:$AG$200,"3B",ID4D!$HU$3:$HU$200,"&gt;1",ID4D!$U$3:$U$200,2)+COUNTIFS(ID4D!$E$3:$E$200,"&gt;A",ID4D!$IK$3:$IK$200,0,ID4D!$AG$3:$AG$200,"4B",ID4D!$HU$3:$HU$200,"&gt;1",ID4D!$U$3:$U$200,2), COUNTIFS(ID4D!$E$3:$E$200,"&gt;A",ID4D!$AG$3:$AG$200,"2B",ID4D!$HU$3:$HU$200,"&gt;1",ID4D!$U$3:$U$200,2)+COUNTIFS(ID4D!$E$3:$E$200,"&gt;A",ID4D!$AG$3:$AG$200,"3B",ID4D!$HU$3:$HU$200,"&gt;1",ID4D!$U$3:$U$200,2)+COUNTIFS(ID4D!$E$3:$E$200,"&gt;A",ID4D!$AG$3:$AG$200,"4B",ID4D!$HU$3:$HU$200,"&gt;1",ID4D!$U$3:$U$200,2))</f>
        <v>58</v>
      </c>
      <c r="DX120" s="736">
        <f>IF($ED$1,COUNTIFS(ID4D!$E$3:$E$200,"&gt;A",ID4D!$IK$3:$IK$200,0,ID4D!$AG$3:$AG$200,"2B",ID4D!$HU$3:$HU$200,"&gt;1",ID4D!$U$3:$U$200,1)+COUNTIFS(ID4D!$E$3:$E$200,"&gt;A",ID4D!$IK$3:$IK$200,0,ID4D!$AG$3:$AG$200,"3B",ID4D!$HU$3:$HU$200,"&gt;1",ID4D!$U$3:$U$200,1)+COUNTIFS(ID4D!$E$3:$E$200,"&gt;A",ID4D!$IK$3:$IK$200,0,ID4D!$AG$3:$AG$200,"4B",ID4D!$HU$3:$HU$200,"&gt;1",ID4D!$U$3:$U$200,1), COUNTIFS(ID4D!$E$3:$E$200,"&gt;A",ID4D!$AG$3:$AG$200,"2B",ID4D!$HU$3:$HU$200,"&gt;1",ID4D!$U$3:$U$200,1)+COUNTIFS(ID4D!$E$3:$E$200,"&gt;A",ID4D!$AG$3:$AG$200,"3B",ID4D!$HU$3:$HU$200,"&gt;1",ID4D!$U$3:$U$200,1)+COUNTIFS(ID4D!$E$3:$E$200,"&gt;A",ID4D!$AG$3:$AG$200,"4B",ID4D!$HU$3:$HU$200,"&gt;1",ID4D!$U$3:$U$200,1))</f>
        <v>11</v>
      </c>
      <c r="DY120" s="739">
        <f>SUM(DR120:DX120)</f>
        <v>120</v>
      </c>
    </row>
    <row r="122" spans="121:129">
      <c r="DQ122" s="53" t="s">
        <v>5214</v>
      </c>
      <c r="DR122" s="735" t="s">
        <v>5183</v>
      </c>
      <c r="DS122" s="735" t="s">
        <v>1680</v>
      </c>
      <c r="DT122" s="735" t="s">
        <v>1614</v>
      </c>
      <c r="DU122" s="740" t="s">
        <v>5184</v>
      </c>
    </row>
    <row r="123" spans="121:129">
      <c r="DQ123" t="s">
        <v>5462</v>
      </c>
      <c r="DR123" s="736">
        <f>DR114</f>
        <v>0</v>
      </c>
      <c r="DS123" s="736">
        <f>DS114+DT114</f>
        <v>5</v>
      </c>
      <c r="DT123" s="736">
        <f>DU114+DV114</f>
        <v>3</v>
      </c>
      <c r="DU123" s="736">
        <f>DW114+DX114</f>
        <v>8</v>
      </c>
    </row>
    <row r="124" spans="121:129">
      <c r="DQ124" t="s">
        <v>5463</v>
      </c>
      <c r="DR124" s="736">
        <f>DR115</f>
        <v>0</v>
      </c>
      <c r="DS124" s="736">
        <f>DS115+DT115</f>
        <v>3</v>
      </c>
      <c r="DT124" s="736">
        <f>DU115+DV115</f>
        <v>5</v>
      </c>
      <c r="DU124" s="736">
        <f>DW115+DX115</f>
        <v>19</v>
      </c>
    </row>
    <row r="125" spans="121:129">
      <c r="DQ125" t="s">
        <v>5466</v>
      </c>
      <c r="DR125" s="736">
        <f>DR116</f>
        <v>0</v>
      </c>
      <c r="DS125" s="736">
        <f>DS116+DT116</f>
        <v>2</v>
      </c>
      <c r="DT125" s="736">
        <f>DU116+DV116</f>
        <v>8</v>
      </c>
      <c r="DU125" s="736">
        <f>DW116+DX116</f>
        <v>23</v>
      </c>
    </row>
    <row r="126" spans="121:129">
      <c r="DQ126" t="s">
        <v>5464</v>
      </c>
      <c r="DR126" s="736">
        <f>DR117</f>
        <v>7</v>
      </c>
      <c r="DS126" s="736">
        <f>DS117+DT117</f>
        <v>6</v>
      </c>
      <c r="DT126" s="736">
        <f>DU117+DV117</f>
        <v>12</v>
      </c>
      <c r="DU126" s="736">
        <f>DW117+DX117</f>
        <v>19</v>
      </c>
    </row>
    <row r="279" spans="32:39">
      <c r="AF279" s="502"/>
      <c r="AG279" s="502"/>
      <c r="AH279" s="502"/>
      <c r="AI279" s="502"/>
      <c r="AJ279" s="502"/>
      <c r="AK279" s="502"/>
      <c r="AL279" s="502"/>
      <c r="AM279" s="502"/>
    </row>
    <row r="280" spans="32:39">
      <c r="AF280" s="502"/>
      <c r="AG280" s="502"/>
      <c r="AH280" s="502"/>
      <c r="AI280" s="502"/>
      <c r="AJ280" s="502"/>
      <c r="AK280" s="502"/>
      <c r="AL280" s="502"/>
      <c r="AM280" s="502"/>
    </row>
    <row r="281" spans="32:39">
      <c r="AF281" s="502"/>
      <c r="AG281" s="502"/>
      <c r="AH281" s="502"/>
      <c r="AI281" s="502"/>
      <c r="AJ281" s="502"/>
      <c r="AK281" s="502"/>
      <c r="AL281" s="502"/>
      <c r="AM281" s="502"/>
    </row>
    <row r="282" spans="32:39">
      <c r="AF282" s="502"/>
      <c r="AG282" s="502"/>
      <c r="AH282" s="502"/>
      <c r="AI282" s="502"/>
      <c r="AJ282" s="502"/>
      <c r="AK282" s="502"/>
      <c r="AL282" s="502"/>
      <c r="AM282" s="502"/>
    </row>
    <row r="283" spans="32:39">
      <c r="AF283" s="502"/>
      <c r="AG283" s="502"/>
      <c r="AH283" s="502"/>
      <c r="AI283" s="502"/>
      <c r="AJ283" s="502"/>
      <c r="AK283" s="502"/>
      <c r="AL283" s="502"/>
      <c r="AM283" s="502"/>
    </row>
    <row r="284" spans="32:39">
      <c r="AF284" s="502"/>
      <c r="AG284" s="502"/>
      <c r="AH284" s="502"/>
      <c r="AI284" s="502"/>
      <c r="AJ284" s="502"/>
      <c r="AK284" s="502"/>
      <c r="AL284" s="502"/>
      <c r="AM284" s="502"/>
    </row>
    <row r="285" spans="32:39">
      <c r="AF285" s="502"/>
      <c r="AG285" s="502"/>
      <c r="AH285" s="502"/>
      <c r="AI285" s="502"/>
      <c r="AJ285" s="502"/>
      <c r="AK285" s="502"/>
      <c r="AL285" s="502"/>
      <c r="AM285" s="502"/>
    </row>
    <row r="286" spans="32:39">
      <c r="AF286" s="502"/>
      <c r="AG286" s="502"/>
      <c r="AH286" s="502"/>
      <c r="AI286" s="502"/>
      <c r="AJ286" s="502"/>
      <c r="AK286" s="502"/>
      <c r="AL286" s="502"/>
      <c r="AM286" s="502"/>
    </row>
    <row r="287" spans="32:39">
      <c r="AF287" s="502"/>
      <c r="AG287" s="502"/>
      <c r="AH287" s="502"/>
      <c r="AI287" s="502"/>
      <c r="AJ287" s="502"/>
      <c r="AK287" s="502"/>
      <c r="AL287" s="502"/>
      <c r="AM287" s="502"/>
    </row>
    <row r="288" spans="32:39">
      <c r="AF288" s="502"/>
      <c r="AG288" s="502"/>
      <c r="AH288" s="502"/>
      <c r="AI288" s="502"/>
      <c r="AJ288" s="502"/>
      <c r="AK288" s="502"/>
      <c r="AL288" s="502"/>
      <c r="AM288" s="502"/>
    </row>
    <row r="289" spans="31:40">
      <c r="AF289" s="502"/>
      <c r="AG289" s="502"/>
      <c r="AH289" s="502"/>
      <c r="AI289" s="502"/>
      <c r="AJ289" s="502"/>
      <c r="AK289" s="502"/>
      <c r="AL289" s="502"/>
      <c r="AM289" s="502"/>
    </row>
    <row r="290" spans="31:40">
      <c r="AF290" s="502"/>
      <c r="AG290" s="502"/>
      <c r="AH290" s="502"/>
      <c r="AI290" s="502"/>
      <c r="AJ290" s="502"/>
      <c r="AK290" s="502"/>
      <c r="AL290" s="502"/>
      <c r="AM290" s="502"/>
    </row>
    <row r="291" spans="31:40">
      <c r="AE291" s="502"/>
      <c r="AF291" s="502"/>
      <c r="AG291" s="502"/>
      <c r="AH291" s="502"/>
      <c r="AI291" s="502"/>
      <c r="AJ291" s="502"/>
      <c r="AK291" s="502"/>
      <c r="AL291" s="502"/>
      <c r="AM291" s="502"/>
      <c r="AN291" s="502"/>
    </row>
    <row r="292" spans="31:40">
      <c r="AE292" s="502"/>
      <c r="AF292" s="502"/>
      <c r="AG292" s="502"/>
      <c r="AH292" s="502"/>
      <c r="AI292" s="502"/>
      <c r="AJ292" s="502"/>
      <c r="AK292" s="502"/>
      <c r="AL292" s="502"/>
      <c r="AM292" s="502"/>
      <c r="AN292" s="502"/>
    </row>
    <row r="293" spans="31:40">
      <c r="AE293" s="502"/>
      <c r="AF293" s="502"/>
      <c r="AG293" s="502"/>
      <c r="AH293" s="502"/>
      <c r="AI293" s="502"/>
      <c r="AJ293" s="502"/>
      <c r="AK293" s="502"/>
      <c r="AL293" s="502"/>
      <c r="AM293" s="502"/>
      <c r="AN293" s="502"/>
    </row>
    <row r="294" spans="31:40">
      <c r="AE294" s="502"/>
      <c r="AF294" s="502"/>
      <c r="AG294" s="502"/>
      <c r="AH294" s="502"/>
      <c r="AI294" s="502"/>
      <c r="AJ294" s="502"/>
      <c r="AK294" s="502"/>
      <c r="AL294" s="502"/>
      <c r="AM294" s="502"/>
      <c r="AN294" s="502"/>
    </row>
    <row r="295" spans="31:40">
      <c r="AE295" s="502"/>
      <c r="AF295" s="502"/>
      <c r="AG295" s="502"/>
      <c r="AH295" s="502"/>
      <c r="AI295" s="502"/>
      <c r="AJ295" s="502"/>
      <c r="AK295" s="502"/>
      <c r="AL295" s="502"/>
      <c r="AM295" s="502"/>
      <c r="AN295" s="502"/>
    </row>
    <row r="296" spans="31:40">
      <c r="AE296" s="502"/>
      <c r="AF296" s="502"/>
      <c r="AG296" s="502"/>
      <c r="AH296" s="502"/>
      <c r="AI296" s="502"/>
      <c r="AJ296" s="502"/>
      <c r="AK296" s="502"/>
      <c r="AL296" s="502"/>
      <c r="AM296" s="502"/>
      <c r="AN296" s="502"/>
    </row>
    <row r="297" spans="31:40">
      <c r="AE297" s="502"/>
      <c r="AF297" s="502"/>
      <c r="AG297" s="502"/>
      <c r="AH297" s="502"/>
      <c r="AI297" s="502"/>
      <c r="AJ297" s="502"/>
      <c r="AK297" s="502"/>
      <c r="AL297" s="502"/>
      <c r="AM297" s="502"/>
      <c r="AN297" s="502"/>
    </row>
    <row r="298" spans="31:40">
      <c r="AE298" s="502"/>
      <c r="AF298" s="502"/>
      <c r="AG298" s="502"/>
      <c r="AH298" s="502"/>
      <c r="AI298" s="502"/>
      <c r="AJ298" s="502"/>
      <c r="AK298" s="502"/>
      <c r="AL298" s="502"/>
      <c r="AM298" s="502"/>
      <c r="AN298" s="502"/>
    </row>
    <row r="299" spans="31:40">
      <c r="AE299" s="502"/>
      <c r="AF299" s="502"/>
      <c r="AG299" s="502"/>
      <c r="AH299" s="502"/>
      <c r="AI299" s="502"/>
      <c r="AJ299" s="502"/>
      <c r="AK299" s="502"/>
      <c r="AL299" s="502"/>
      <c r="AM299" s="502"/>
      <c r="AN299" s="502"/>
    </row>
    <row r="300" spans="31:40">
      <c r="AE300" s="502"/>
      <c r="AF300" s="502"/>
      <c r="AG300" s="502"/>
      <c r="AH300" s="502"/>
      <c r="AI300" s="502"/>
      <c r="AJ300" s="502"/>
      <c r="AK300" s="502"/>
      <c r="AL300" s="502"/>
      <c r="AM300" s="502"/>
      <c r="AN300" s="502"/>
    </row>
    <row r="301" spans="31:40">
      <c r="AE301" s="502"/>
      <c r="AF301" s="502"/>
      <c r="AG301" s="502"/>
      <c r="AH301" s="502"/>
      <c r="AI301" s="502"/>
      <c r="AJ301" s="502"/>
      <c r="AK301" s="502"/>
      <c r="AL301" s="502"/>
      <c r="AM301" s="502"/>
      <c r="AN301" s="502"/>
    </row>
    <row r="302" spans="31:40">
      <c r="AE302" s="502"/>
      <c r="AF302" s="502"/>
      <c r="AG302" s="502"/>
      <c r="AH302" s="502"/>
      <c r="AI302" s="502"/>
      <c r="AJ302" s="502"/>
      <c r="AK302" s="502"/>
      <c r="AL302" s="502"/>
      <c r="AM302" s="502"/>
      <c r="AN302" s="502"/>
    </row>
    <row r="303" spans="31:40">
      <c r="AE303" s="502"/>
      <c r="AF303" s="502"/>
      <c r="AG303" s="502"/>
      <c r="AH303" s="502"/>
      <c r="AI303" s="502"/>
      <c r="AJ303" s="502"/>
      <c r="AK303" s="502"/>
      <c r="AL303" s="502"/>
      <c r="AM303" s="502"/>
      <c r="AN303" s="502"/>
    </row>
    <row r="304" spans="31:40">
      <c r="AE304" s="502"/>
      <c r="AF304" s="502"/>
      <c r="AG304" s="502"/>
      <c r="AH304" s="502"/>
      <c r="AI304" s="502"/>
      <c r="AJ304" s="502"/>
      <c r="AK304" s="502"/>
      <c r="AL304" s="502"/>
      <c r="AM304" s="502"/>
      <c r="AN304" s="502"/>
    </row>
    <row r="305" spans="31:40">
      <c r="AE305" s="502"/>
      <c r="AF305" s="502"/>
      <c r="AG305" s="502"/>
      <c r="AH305" s="502"/>
      <c r="AI305" s="502"/>
      <c r="AJ305" s="502"/>
      <c r="AK305" s="502"/>
      <c r="AL305" s="502"/>
      <c r="AM305" s="502"/>
      <c r="AN305" s="502"/>
    </row>
    <row r="306" spans="31:40">
      <c r="AE306" s="502"/>
      <c r="AF306" s="502"/>
      <c r="AG306" s="502"/>
      <c r="AH306" s="502"/>
      <c r="AI306" s="502"/>
      <c r="AJ306" s="502"/>
      <c r="AK306" s="502"/>
      <c r="AL306" s="502"/>
      <c r="AM306" s="502"/>
      <c r="AN306" s="502"/>
    </row>
    <row r="307" spans="31:40">
      <c r="AE307" s="502"/>
      <c r="AF307" s="502"/>
      <c r="AG307" s="502"/>
      <c r="AH307" s="502"/>
      <c r="AI307" s="502"/>
      <c r="AJ307" s="502"/>
      <c r="AK307" s="502"/>
      <c r="AL307" s="502"/>
      <c r="AM307" s="502"/>
      <c r="AN307" s="502"/>
    </row>
    <row r="308" spans="31:40">
      <c r="AE308" s="502"/>
      <c r="AF308" s="502"/>
      <c r="AG308" s="502"/>
      <c r="AH308" s="502"/>
      <c r="AI308" s="502"/>
      <c r="AJ308" s="502"/>
      <c r="AK308" s="502"/>
      <c r="AL308" s="502"/>
      <c r="AM308" s="502"/>
      <c r="AN308" s="502"/>
    </row>
    <row r="309" spans="31:40">
      <c r="AE309" s="502"/>
      <c r="AF309" s="502"/>
      <c r="AG309" s="502"/>
      <c r="AH309" s="502"/>
      <c r="AI309" s="502"/>
      <c r="AJ309" s="502"/>
      <c r="AK309" s="502"/>
      <c r="AL309" s="502"/>
      <c r="AM309" s="502"/>
      <c r="AN309" s="502"/>
    </row>
    <row r="310" spans="31:40">
      <c r="AE310" s="502"/>
      <c r="AF310" s="502"/>
      <c r="AG310" s="502"/>
      <c r="AH310" s="502"/>
      <c r="AI310" s="502"/>
      <c r="AJ310" s="502"/>
      <c r="AK310" s="502"/>
      <c r="AL310" s="502"/>
      <c r="AM310" s="502"/>
      <c r="AN310" s="502"/>
    </row>
    <row r="311" spans="31:40">
      <c r="AE311" s="502"/>
      <c r="AF311" s="502"/>
      <c r="AG311" s="502"/>
      <c r="AH311" s="502"/>
      <c r="AI311" s="502"/>
      <c r="AJ311" s="502"/>
      <c r="AK311" s="502"/>
      <c r="AL311" s="502"/>
      <c r="AM311" s="502"/>
      <c r="AN311" s="502"/>
    </row>
    <row r="312" spans="31:40">
      <c r="AE312" s="502"/>
      <c r="AF312" s="502"/>
      <c r="AG312" s="502"/>
      <c r="AH312" s="502"/>
      <c r="AI312" s="502"/>
      <c r="AJ312" s="502"/>
      <c r="AK312" s="502"/>
      <c r="AL312" s="502"/>
      <c r="AM312" s="502"/>
      <c r="AN312" s="502"/>
    </row>
    <row r="313" spans="31:40">
      <c r="AE313" s="502"/>
      <c r="AF313" s="502"/>
      <c r="AG313" s="502"/>
      <c r="AH313" s="502"/>
      <c r="AI313" s="502"/>
      <c r="AJ313" s="502"/>
      <c r="AK313" s="502"/>
      <c r="AL313" s="502"/>
      <c r="AM313" s="502"/>
      <c r="AN313" s="502"/>
    </row>
    <row r="314" spans="31:40">
      <c r="AE314" s="502"/>
      <c r="AF314" s="502"/>
      <c r="AG314" s="502"/>
      <c r="AH314" s="502"/>
      <c r="AI314" s="502"/>
      <c r="AJ314" s="502"/>
      <c r="AK314" s="502"/>
      <c r="AL314" s="502"/>
      <c r="AM314" s="502"/>
      <c r="AN314" s="502"/>
    </row>
    <row r="315" spans="31:40">
      <c r="AE315" s="502"/>
      <c r="AF315" s="502"/>
      <c r="AG315" s="502"/>
      <c r="AH315" s="502"/>
      <c r="AI315" s="502"/>
      <c r="AJ315" s="502"/>
      <c r="AK315" s="502"/>
      <c r="AL315" s="502"/>
      <c r="AM315" s="502"/>
      <c r="AN315" s="502"/>
    </row>
    <row r="316" spans="31:40">
      <c r="AE316" s="502"/>
      <c r="AF316" s="502"/>
      <c r="AG316" s="502"/>
      <c r="AH316" s="502"/>
      <c r="AI316" s="502"/>
      <c r="AJ316" s="502"/>
      <c r="AK316" s="502"/>
      <c r="AL316" s="502"/>
      <c r="AM316" s="502"/>
      <c r="AN316" s="502"/>
    </row>
    <row r="317" spans="31:40">
      <c r="AE317" s="502"/>
      <c r="AF317" s="502"/>
      <c r="AG317" s="502"/>
      <c r="AH317" s="502"/>
      <c r="AI317" s="502"/>
      <c r="AJ317" s="502"/>
      <c r="AK317" s="502"/>
      <c r="AL317" s="502"/>
      <c r="AM317" s="502"/>
      <c r="AN317" s="502"/>
    </row>
    <row r="318" spans="31:40">
      <c r="AE318" s="502"/>
      <c r="AF318" s="502"/>
      <c r="AG318" s="502"/>
      <c r="AH318" s="502"/>
      <c r="AI318" s="502"/>
      <c r="AJ318" s="502"/>
      <c r="AK318" s="502"/>
      <c r="AL318" s="502"/>
      <c r="AM318" s="502"/>
      <c r="AN318" s="502"/>
    </row>
    <row r="319" spans="31:40">
      <c r="AE319" s="502"/>
      <c r="AF319" s="502"/>
      <c r="AG319" s="502"/>
      <c r="AH319" s="502"/>
      <c r="AI319" s="502"/>
      <c r="AJ319" s="502"/>
      <c r="AK319" s="502"/>
      <c r="AL319" s="502"/>
      <c r="AM319" s="502"/>
      <c r="AN319" s="502"/>
    </row>
    <row r="320" spans="31:40">
      <c r="AE320" s="502"/>
      <c r="AF320" s="502"/>
      <c r="AG320" s="502"/>
      <c r="AH320" s="502"/>
      <c r="AI320" s="502"/>
      <c r="AJ320" s="502"/>
      <c r="AK320" s="502"/>
      <c r="AL320" s="502"/>
      <c r="AM320" s="502"/>
      <c r="AN320" s="502"/>
    </row>
    <row r="321" spans="31:40">
      <c r="AE321" s="502"/>
      <c r="AF321" s="502"/>
      <c r="AG321" s="502"/>
      <c r="AH321" s="502"/>
      <c r="AI321" s="502"/>
      <c r="AJ321" s="502"/>
      <c r="AK321" s="502"/>
      <c r="AL321" s="502"/>
      <c r="AM321" s="502"/>
      <c r="AN321" s="502"/>
    </row>
    <row r="322" spans="31:40">
      <c r="AE322" s="502"/>
      <c r="AF322" s="502"/>
      <c r="AG322" s="502"/>
      <c r="AH322" s="502"/>
      <c r="AI322" s="502"/>
      <c r="AJ322" s="502"/>
      <c r="AK322" s="502"/>
      <c r="AL322" s="502"/>
      <c r="AM322" s="502"/>
      <c r="AN322" s="502"/>
    </row>
    <row r="323" spans="31:40">
      <c r="AE323" s="502"/>
      <c r="AF323" s="502"/>
      <c r="AG323" s="502"/>
      <c r="AH323" s="502"/>
      <c r="AI323" s="502"/>
      <c r="AJ323" s="502"/>
      <c r="AK323" s="502"/>
      <c r="AL323" s="502"/>
      <c r="AM323" s="502"/>
      <c r="AN323" s="502"/>
    </row>
    <row r="324" spans="31:40">
      <c r="AE324" s="502"/>
      <c r="AF324" s="502"/>
      <c r="AG324" s="502"/>
      <c r="AH324" s="502"/>
      <c r="AI324" s="502"/>
      <c r="AJ324" s="502"/>
      <c r="AK324" s="502"/>
      <c r="AL324" s="502"/>
      <c r="AM324" s="502"/>
      <c r="AN324" s="502"/>
    </row>
    <row r="325" spans="31:40">
      <c r="AE325" s="502"/>
      <c r="AF325" s="502"/>
      <c r="AG325" s="502"/>
      <c r="AH325" s="502"/>
      <c r="AI325" s="502"/>
      <c r="AJ325" s="502"/>
      <c r="AK325" s="502"/>
      <c r="AL325" s="502"/>
      <c r="AM325" s="502"/>
      <c r="AN325" s="502"/>
    </row>
    <row r="326" spans="31:40">
      <c r="AE326" s="502"/>
      <c r="AF326" s="502"/>
      <c r="AG326" s="502"/>
      <c r="AH326" s="502"/>
      <c r="AI326" s="502"/>
      <c r="AJ326" s="502"/>
      <c r="AK326" s="502"/>
      <c r="AL326" s="502"/>
      <c r="AM326" s="502"/>
      <c r="AN326" s="502"/>
    </row>
    <row r="327" spans="31:40">
      <c r="AE327" s="502"/>
      <c r="AF327" s="502"/>
      <c r="AG327" s="502"/>
      <c r="AH327" s="502"/>
      <c r="AI327" s="502"/>
      <c r="AJ327" s="502"/>
      <c r="AK327" s="502"/>
      <c r="AL327" s="502"/>
      <c r="AM327" s="502"/>
      <c r="AN327" s="502"/>
    </row>
    <row r="328" spans="31:40">
      <c r="AE328" s="502"/>
      <c r="AF328" s="502"/>
      <c r="AG328" s="502"/>
      <c r="AH328" s="502"/>
      <c r="AI328" s="502"/>
      <c r="AJ328" s="502"/>
      <c r="AK328" s="502"/>
      <c r="AL328" s="502"/>
      <c r="AM328" s="502"/>
      <c r="AN328" s="502"/>
    </row>
    <row r="329" spans="31:40">
      <c r="AE329" s="502"/>
      <c r="AF329" s="502"/>
      <c r="AG329" s="502"/>
      <c r="AH329" s="502"/>
      <c r="AI329" s="502"/>
      <c r="AJ329" s="502"/>
      <c r="AK329" s="502"/>
      <c r="AL329" s="502"/>
      <c r="AM329" s="502"/>
      <c r="AN329" s="502"/>
    </row>
    <row r="330" spans="31:40">
      <c r="AE330" s="502"/>
      <c r="AF330" s="502"/>
      <c r="AG330" s="502"/>
      <c r="AH330" s="502"/>
      <c r="AI330" s="502"/>
      <c r="AJ330" s="502"/>
      <c r="AK330" s="502"/>
      <c r="AL330" s="502"/>
      <c r="AM330" s="502"/>
      <c r="AN330" s="502"/>
    </row>
    <row r="331" spans="31:40">
      <c r="AE331" s="502"/>
      <c r="AF331" s="502"/>
      <c r="AG331" s="502"/>
      <c r="AH331" s="502"/>
      <c r="AI331" s="502"/>
      <c r="AJ331" s="502"/>
      <c r="AK331" s="502"/>
      <c r="AL331" s="502"/>
      <c r="AM331" s="502"/>
      <c r="AN331" s="502"/>
    </row>
    <row r="332" spans="31:40">
      <c r="AE332" s="502"/>
      <c r="AF332" s="502"/>
      <c r="AG332" s="502"/>
      <c r="AH332" s="502"/>
      <c r="AI332" s="502"/>
      <c r="AJ332" s="502"/>
      <c r="AK332" s="502"/>
      <c r="AL332" s="502"/>
      <c r="AM332" s="502"/>
      <c r="AN332" s="502"/>
    </row>
    <row r="333" spans="31:40">
      <c r="AE333" s="502"/>
      <c r="AF333" s="502"/>
      <c r="AG333" s="502"/>
      <c r="AH333" s="502"/>
      <c r="AI333" s="502"/>
      <c r="AJ333" s="502"/>
      <c r="AK333" s="502"/>
      <c r="AL333" s="502"/>
      <c r="AM333" s="502"/>
      <c r="AN333" s="502"/>
    </row>
    <row r="334" spans="31:40">
      <c r="AE334" s="502"/>
      <c r="AF334" s="502"/>
      <c r="AG334" s="502"/>
      <c r="AH334" s="502"/>
      <c r="AI334" s="502"/>
      <c r="AJ334" s="502"/>
      <c r="AK334" s="502"/>
      <c r="AL334" s="502"/>
      <c r="AM334" s="502"/>
      <c r="AN334" s="502"/>
    </row>
    <row r="335" spans="31:40">
      <c r="AE335" s="502"/>
      <c r="AF335" s="502"/>
      <c r="AG335" s="502"/>
      <c r="AH335" s="502"/>
      <c r="AI335" s="502"/>
      <c r="AJ335" s="502"/>
      <c r="AK335" s="502"/>
      <c r="AL335" s="502"/>
      <c r="AM335" s="502"/>
      <c r="AN335" s="502"/>
    </row>
    <row r="336" spans="31:40">
      <c r="AE336" s="502"/>
      <c r="AF336" s="502"/>
      <c r="AG336" s="502"/>
      <c r="AH336" s="502"/>
      <c r="AI336" s="502"/>
      <c r="AJ336" s="502"/>
      <c r="AK336" s="502"/>
      <c r="AL336" s="502"/>
      <c r="AM336" s="502"/>
      <c r="AN336" s="502"/>
    </row>
    <row r="337" spans="31:40">
      <c r="AE337" s="502"/>
      <c r="AF337" s="502"/>
      <c r="AG337" s="502"/>
      <c r="AH337" s="502"/>
      <c r="AI337" s="502"/>
      <c r="AJ337" s="502"/>
      <c r="AK337" s="502"/>
      <c r="AL337" s="502"/>
      <c r="AM337" s="502"/>
      <c r="AN337" s="502"/>
    </row>
    <row r="338" spans="31:40">
      <c r="AE338" s="502"/>
      <c r="AF338" s="502"/>
      <c r="AG338" s="502"/>
      <c r="AH338" s="502"/>
      <c r="AI338" s="502"/>
      <c r="AJ338" s="502"/>
      <c r="AK338" s="502"/>
      <c r="AL338" s="502"/>
      <c r="AM338" s="502"/>
      <c r="AN338" s="502"/>
    </row>
    <row r="339" spans="31:40">
      <c r="AE339" s="502"/>
      <c r="AF339" s="502"/>
      <c r="AG339" s="502"/>
      <c r="AH339" s="502"/>
      <c r="AI339" s="502"/>
      <c r="AJ339" s="502"/>
      <c r="AK339" s="502"/>
      <c r="AL339" s="502"/>
      <c r="AM339" s="502"/>
      <c r="AN339" s="502"/>
    </row>
    <row r="340" spans="31:40">
      <c r="AE340" s="502"/>
      <c r="AF340" s="502"/>
      <c r="AG340" s="502"/>
      <c r="AH340" s="502"/>
      <c r="AI340" s="502"/>
      <c r="AJ340" s="502"/>
      <c r="AK340" s="502"/>
      <c r="AL340" s="502"/>
      <c r="AM340" s="502"/>
      <c r="AN340" s="502"/>
    </row>
    <row r="341" spans="31:40">
      <c r="AE341" s="502"/>
      <c r="AF341" s="502"/>
      <c r="AG341" s="502"/>
      <c r="AH341" s="502"/>
      <c r="AI341" s="502"/>
      <c r="AJ341" s="502"/>
      <c r="AK341" s="502"/>
      <c r="AL341" s="502"/>
      <c r="AM341" s="502"/>
      <c r="AN341" s="502"/>
    </row>
    <row r="342" spans="31:40">
      <c r="AE342" s="502"/>
      <c r="AF342" s="502"/>
      <c r="AG342" s="502"/>
      <c r="AH342" s="502"/>
      <c r="AI342" s="502"/>
      <c r="AJ342" s="502"/>
      <c r="AK342" s="502"/>
      <c r="AL342" s="502"/>
      <c r="AM342" s="502"/>
      <c r="AN342" s="502"/>
    </row>
    <row r="343" spans="31:40">
      <c r="AE343" s="502"/>
      <c r="AF343" s="502"/>
      <c r="AG343" s="502"/>
      <c r="AH343" s="502"/>
      <c r="AI343" s="502"/>
      <c r="AJ343" s="502"/>
      <c r="AK343" s="502"/>
      <c r="AL343" s="502"/>
      <c r="AM343" s="502"/>
      <c r="AN343" s="502"/>
    </row>
    <row r="344" spans="31:40">
      <c r="AE344" s="502"/>
      <c r="AF344" s="502"/>
      <c r="AG344" s="502"/>
      <c r="AH344" s="502"/>
      <c r="AI344" s="502"/>
      <c r="AJ344" s="502"/>
      <c r="AK344" s="502"/>
      <c r="AL344" s="502"/>
      <c r="AM344" s="502"/>
      <c r="AN344" s="502"/>
    </row>
    <row r="345" spans="31:40">
      <c r="AE345" s="502"/>
      <c r="AN345" s="502"/>
    </row>
    <row r="346" spans="31:40">
      <c r="AE346" s="502"/>
      <c r="AN346" s="502"/>
    </row>
    <row r="347" spans="31:40">
      <c r="AE347" s="502"/>
      <c r="AN347" s="502"/>
    </row>
    <row r="348" spans="31:40">
      <c r="AE348" s="502"/>
      <c r="AN348" s="502"/>
    </row>
    <row r="349" spans="31:40">
      <c r="AE349" s="502"/>
      <c r="AN349" s="502"/>
    </row>
    <row r="350" spans="31:40">
      <c r="AE350" s="502"/>
      <c r="AN350" s="502"/>
    </row>
    <row r="351" spans="31:40">
      <c r="AE351" s="502"/>
      <c r="AN351" s="502"/>
    </row>
    <row r="352" spans="31:40">
      <c r="AE352" s="502"/>
      <c r="AN352" s="502"/>
    </row>
    <row r="353" spans="31:40">
      <c r="AE353" s="502"/>
      <c r="AN353" s="502"/>
    </row>
    <row r="354" spans="31:40">
      <c r="AE354" s="502"/>
      <c r="AN354" s="502"/>
    </row>
    <row r="355" spans="31:40">
      <c r="AE355" s="502"/>
      <c r="AN355" s="502"/>
    </row>
    <row r="356" spans="31:40">
      <c r="AE356" s="502"/>
      <c r="AN356" s="502"/>
    </row>
    <row r="357" spans="31:40">
      <c r="AN357" s="502"/>
    </row>
    <row r="358" spans="31:40">
      <c r="AN358" s="502"/>
    </row>
  </sheetData>
  <mergeCells count="2">
    <mergeCell ref="CW2:DC2"/>
    <mergeCell ref="DH2:DN2"/>
  </mergeCells>
  <pageMargins left="0.7" right="0.7" top="0.75" bottom="0.75" header="0.3" footer="0.3"/>
  <pageSetup orientation="portrait" r:id="rId1"/>
  <ignoredErrors>
    <ignoredError sqref="AR4:AY4 AR6:AY60 AR5:AY5 BA5 BA6:BA60 BA4 AZ4:AZ60 BB4:BB60 BD4:BF60"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45441" r:id="rId4" name="Drop Down 33">
              <controlPr defaultSize="0" autoLine="0" autoPict="0">
                <anchor moveWithCells="1">
                  <from>
                    <xdr:col>82</xdr:col>
                    <xdr:colOff>9525</xdr:colOff>
                    <xdr:row>11</xdr:row>
                    <xdr:rowOff>171450</xdr:rowOff>
                  </from>
                  <to>
                    <xdr:col>83</xdr:col>
                    <xdr:colOff>19050</xdr:colOff>
                    <xdr:row>12</xdr:row>
                    <xdr:rowOff>180975</xdr:rowOff>
                  </to>
                </anchor>
              </controlPr>
            </control>
          </mc:Choice>
        </mc:AlternateContent>
        <mc:AlternateContent xmlns:mc="http://schemas.openxmlformats.org/markup-compatibility/2006">
          <mc:Choice Requires="x14">
            <control shapeId="145442" r:id="rId5" name="Spinner 34">
              <controlPr defaultSize="0" autoPict="0">
                <anchor moveWithCells="1" sizeWithCells="1">
                  <from>
                    <xdr:col>83</xdr:col>
                    <xdr:colOff>66675</xdr:colOff>
                    <xdr:row>11</xdr:row>
                    <xdr:rowOff>171450</xdr:rowOff>
                  </from>
                  <to>
                    <xdr:col>83</xdr:col>
                    <xdr:colOff>295275</xdr:colOff>
                    <xdr:row>12</xdr:row>
                    <xdr:rowOff>171450</xdr:rowOff>
                  </to>
                </anchor>
              </controlPr>
            </control>
          </mc:Choice>
        </mc:AlternateContent>
        <mc:AlternateContent xmlns:mc="http://schemas.openxmlformats.org/markup-compatibility/2006">
          <mc:Choice Requires="x14">
            <control shapeId="145443" r:id="rId6" name="Check Box 35">
              <controlPr defaultSize="0" autoFill="0" autoLine="0" autoPict="0">
                <anchor moveWithCells="1">
                  <from>
                    <xdr:col>82</xdr:col>
                    <xdr:colOff>9525</xdr:colOff>
                    <xdr:row>9</xdr:row>
                    <xdr:rowOff>152400</xdr:rowOff>
                  </from>
                  <to>
                    <xdr:col>87</xdr:col>
                    <xdr:colOff>228600</xdr:colOff>
                    <xdr:row>11</xdr:row>
                    <xdr:rowOff>47625</xdr:rowOff>
                  </to>
                </anchor>
              </controlPr>
            </control>
          </mc:Choice>
        </mc:AlternateContent>
        <mc:AlternateContent xmlns:mc="http://schemas.openxmlformats.org/markup-compatibility/2006">
          <mc:Choice Requires="x14">
            <control shapeId="145444" r:id="rId7" name="Check Box 36">
              <controlPr defaultSize="0" autoFill="0" autoLine="0" autoPict="0">
                <anchor moveWithCells="1">
                  <from>
                    <xdr:col>40</xdr:col>
                    <xdr:colOff>9525</xdr:colOff>
                    <xdr:row>0</xdr:row>
                    <xdr:rowOff>19050</xdr:rowOff>
                  </from>
                  <to>
                    <xdr:col>46</xdr:col>
                    <xdr:colOff>228600</xdr:colOff>
                    <xdr:row>1</xdr:row>
                    <xdr:rowOff>28575</xdr:rowOff>
                  </to>
                </anchor>
              </controlPr>
            </control>
          </mc:Choice>
        </mc:AlternateContent>
        <mc:AlternateContent xmlns:mc="http://schemas.openxmlformats.org/markup-compatibility/2006">
          <mc:Choice Requires="x14">
            <control shapeId="145445" r:id="rId8" name="Check Box 37">
              <controlPr defaultSize="0" autoFill="0" autoLine="0" autoPict="0">
                <anchor moveWithCells="1">
                  <from>
                    <xdr:col>10</xdr:col>
                    <xdr:colOff>9525</xdr:colOff>
                    <xdr:row>14</xdr:row>
                    <xdr:rowOff>142875</xdr:rowOff>
                  </from>
                  <to>
                    <xdr:col>17</xdr:col>
                    <xdr:colOff>0</xdr:colOff>
                    <xdr:row>16</xdr:row>
                    <xdr:rowOff>38100</xdr:rowOff>
                  </to>
                </anchor>
              </controlPr>
            </control>
          </mc:Choice>
        </mc:AlternateContent>
        <mc:AlternateContent xmlns:mc="http://schemas.openxmlformats.org/markup-compatibility/2006">
          <mc:Choice Requires="x14">
            <control shapeId="145466" r:id="rId9" name="Check Box 58">
              <controlPr defaultSize="0" autoFill="0" autoLine="0" autoPict="0">
                <anchor moveWithCells="1">
                  <from>
                    <xdr:col>129</xdr:col>
                    <xdr:colOff>19050</xdr:colOff>
                    <xdr:row>0</xdr:row>
                    <xdr:rowOff>0</xdr:rowOff>
                  </from>
                  <to>
                    <xdr:col>132</xdr:col>
                    <xdr:colOff>381000</xdr:colOff>
                    <xdr:row>0</xdr:row>
                    <xdr:rowOff>171450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V472"/>
  <sheetViews>
    <sheetView zoomScale="90" zoomScaleNormal="90" workbookViewId="0">
      <pane xSplit="7" ySplit="1" topLeftCell="H2" activePane="bottomRight" state="frozen"/>
      <selection pane="topRight" activeCell="G1" sqref="G1"/>
      <selection pane="bottomLeft" activeCell="A2" sqref="A2"/>
      <selection pane="bottomRight" activeCell="H2" sqref="H2"/>
    </sheetView>
  </sheetViews>
  <sheetFormatPr defaultRowHeight="15"/>
  <cols>
    <col min="1" max="2" width="4.7109375" style="28" customWidth="1"/>
    <col min="3" max="3" width="18.7109375" style="30" customWidth="1"/>
    <col min="4" max="4" width="36.7109375" style="30" customWidth="1"/>
    <col min="5" max="7" width="6.7109375" style="28" customWidth="1"/>
    <col min="8" max="8" width="7.7109375" style="28" customWidth="1"/>
    <col min="9" max="9" width="17.28515625" style="30" bestFit="1" customWidth="1"/>
    <col min="10" max="10" width="7.7109375" style="28" customWidth="1"/>
    <col min="11" max="11" width="17.28515625" style="30" bestFit="1" customWidth="1"/>
    <col min="12" max="12" width="7.7109375" style="28" customWidth="1"/>
    <col min="13" max="13" width="17.28515625" style="30" bestFit="1" customWidth="1"/>
    <col min="14" max="14" width="7.7109375" style="28" customWidth="1"/>
    <col min="15" max="15" width="17.28515625" style="30" bestFit="1" customWidth="1"/>
    <col min="16" max="16" width="7.7109375" style="28" customWidth="1"/>
    <col min="17" max="17" width="17.28515625" style="30" bestFit="1" customWidth="1"/>
    <col min="18" max="18" width="16.7109375" style="30" customWidth="1"/>
    <col min="19" max="19" width="3.5703125" customWidth="1"/>
    <col min="20" max="20" width="9.140625" style="58"/>
  </cols>
  <sheetData>
    <row r="1" spans="1:18">
      <c r="A1" s="67" t="s">
        <v>0</v>
      </c>
      <c r="B1" s="62" t="s">
        <v>654</v>
      </c>
      <c r="C1" s="63" t="s">
        <v>2567</v>
      </c>
      <c r="D1" s="305" t="s">
        <v>727</v>
      </c>
      <c r="E1" s="305" t="s">
        <v>321</v>
      </c>
      <c r="F1" s="305" t="s">
        <v>655</v>
      </c>
      <c r="G1" s="305" t="s">
        <v>656</v>
      </c>
      <c r="H1" s="305" t="s">
        <v>657</v>
      </c>
      <c r="I1" s="305" t="s">
        <v>658</v>
      </c>
      <c r="J1" s="305" t="s">
        <v>659</v>
      </c>
      <c r="K1" s="305" t="s">
        <v>660</v>
      </c>
      <c r="L1" s="305" t="s">
        <v>661</v>
      </c>
      <c r="M1" s="305" t="s">
        <v>662</v>
      </c>
      <c r="N1" s="305" t="s">
        <v>663</v>
      </c>
      <c r="O1" s="305" t="s">
        <v>664</v>
      </c>
      <c r="P1" s="305" t="s">
        <v>2563</v>
      </c>
      <c r="Q1" s="305" t="s">
        <v>2564</v>
      </c>
      <c r="R1" s="306" t="s">
        <v>6</v>
      </c>
    </row>
    <row r="2" spans="1:18">
      <c r="A2" s="68">
        <v>1</v>
      </c>
      <c r="B2" s="64" t="s">
        <v>320</v>
      </c>
      <c r="C2" s="65" t="s">
        <v>0</v>
      </c>
      <c r="D2" s="307" t="s">
        <v>708</v>
      </c>
      <c r="E2" s="293" t="s">
        <v>711</v>
      </c>
      <c r="F2" s="293">
        <v>3</v>
      </c>
      <c r="G2" s="308" t="s">
        <v>712</v>
      </c>
      <c r="H2" s="293" t="s">
        <v>718</v>
      </c>
      <c r="I2" s="294" t="s">
        <v>723</v>
      </c>
      <c r="J2" s="293"/>
      <c r="K2" s="294"/>
      <c r="L2" s="293"/>
      <c r="M2" s="294"/>
      <c r="N2" s="293"/>
      <c r="O2" s="294"/>
      <c r="P2" s="293"/>
      <c r="Q2" s="294"/>
      <c r="R2" s="309" t="s">
        <v>726</v>
      </c>
    </row>
    <row r="3" spans="1:18">
      <c r="A3" s="68">
        <v>2</v>
      </c>
      <c r="B3" s="64" t="s">
        <v>322</v>
      </c>
      <c r="C3" s="65" t="s">
        <v>1</v>
      </c>
      <c r="D3" s="307" t="s">
        <v>1</v>
      </c>
      <c r="E3" s="293" t="s">
        <v>713</v>
      </c>
      <c r="F3" s="293" t="s">
        <v>145</v>
      </c>
      <c r="G3" s="293" t="s">
        <v>714</v>
      </c>
      <c r="H3" s="293" t="s">
        <v>145</v>
      </c>
      <c r="I3" s="294"/>
      <c r="J3" s="293"/>
      <c r="K3" s="294"/>
      <c r="L3" s="293"/>
      <c r="M3" s="294"/>
      <c r="N3" s="293"/>
      <c r="O3" s="294"/>
      <c r="P3" s="293"/>
      <c r="Q3" s="294"/>
      <c r="R3" s="310" t="s">
        <v>709</v>
      </c>
    </row>
    <row r="4" spans="1:18">
      <c r="A4" s="68">
        <v>3</v>
      </c>
      <c r="B4" s="64" t="s">
        <v>323</v>
      </c>
      <c r="C4" s="59" t="s">
        <v>2</v>
      </c>
      <c r="D4" s="61" t="s">
        <v>717</v>
      </c>
      <c r="E4" s="293" t="s">
        <v>716</v>
      </c>
      <c r="F4" s="293">
        <v>64</v>
      </c>
      <c r="G4" s="311" t="s">
        <v>715</v>
      </c>
      <c r="H4" s="293" t="s">
        <v>145</v>
      </c>
      <c r="I4" s="294"/>
      <c r="J4" s="293"/>
      <c r="K4" s="294"/>
      <c r="L4" s="293"/>
      <c r="M4" s="294"/>
      <c r="N4" s="293"/>
      <c r="O4" s="294"/>
      <c r="P4" s="293"/>
      <c r="Q4" s="294"/>
      <c r="R4" s="310" t="s">
        <v>709</v>
      </c>
    </row>
    <row r="5" spans="1:18">
      <c r="A5" s="68">
        <v>4</v>
      </c>
      <c r="B5" s="64" t="s">
        <v>326</v>
      </c>
      <c r="C5" s="60" t="s">
        <v>405</v>
      </c>
      <c r="D5" s="294" t="s">
        <v>3418</v>
      </c>
      <c r="E5" s="293" t="s">
        <v>716</v>
      </c>
      <c r="F5" s="293">
        <v>3</v>
      </c>
      <c r="G5" s="293" t="s">
        <v>3419</v>
      </c>
      <c r="H5" s="293" t="s">
        <v>145</v>
      </c>
      <c r="I5" s="294" t="s">
        <v>3420</v>
      </c>
      <c r="J5" s="293"/>
      <c r="K5" s="294"/>
      <c r="L5" s="293"/>
      <c r="M5" s="294"/>
      <c r="N5" s="293"/>
      <c r="O5" s="294"/>
      <c r="P5" s="293"/>
      <c r="Q5" s="294"/>
      <c r="R5" s="310" t="s">
        <v>710</v>
      </c>
    </row>
    <row r="6" spans="1:18">
      <c r="A6" s="68">
        <v>5</v>
      </c>
      <c r="B6" s="64" t="s">
        <v>665</v>
      </c>
      <c r="C6" s="60" t="s">
        <v>3</v>
      </c>
      <c r="D6" s="294" t="s">
        <v>719</v>
      </c>
      <c r="E6" s="293" t="s">
        <v>716</v>
      </c>
      <c r="F6" s="293">
        <v>4</v>
      </c>
      <c r="G6" s="293" t="s">
        <v>145</v>
      </c>
      <c r="H6" s="293" t="s">
        <v>145</v>
      </c>
      <c r="I6" s="294" t="s">
        <v>720</v>
      </c>
      <c r="J6" s="293"/>
      <c r="K6" s="294"/>
      <c r="L6" s="293"/>
      <c r="M6" s="294"/>
      <c r="N6" s="293"/>
      <c r="O6" s="294"/>
      <c r="P6" s="293"/>
      <c r="Q6" s="294"/>
      <c r="R6" s="310" t="s">
        <v>710</v>
      </c>
    </row>
    <row r="7" spans="1:18">
      <c r="A7" s="68">
        <v>6</v>
      </c>
      <c r="B7" s="64" t="s">
        <v>10</v>
      </c>
      <c r="C7" s="60" t="s">
        <v>733</v>
      </c>
      <c r="D7" s="294" t="s">
        <v>2560</v>
      </c>
      <c r="E7" s="293" t="s">
        <v>716</v>
      </c>
      <c r="F7" s="293">
        <v>3</v>
      </c>
      <c r="G7" s="293" t="s">
        <v>145</v>
      </c>
      <c r="H7" s="293" t="s">
        <v>2561</v>
      </c>
      <c r="I7" s="294" t="s">
        <v>2569</v>
      </c>
      <c r="J7" s="293"/>
      <c r="K7" s="294"/>
      <c r="L7" s="293"/>
      <c r="M7" s="294"/>
      <c r="N7" s="293"/>
      <c r="O7" s="294"/>
      <c r="P7" s="293"/>
      <c r="Q7" s="294"/>
      <c r="R7" s="310" t="s">
        <v>709</v>
      </c>
    </row>
    <row r="8" spans="1:18">
      <c r="A8" s="68">
        <v>7</v>
      </c>
      <c r="B8" s="64" t="s">
        <v>666</v>
      </c>
      <c r="C8" s="60" t="s">
        <v>733</v>
      </c>
      <c r="D8" s="294" t="s">
        <v>2568</v>
      </c>
      <c r="E8" s="293" t="s">
        <v>716</v>
      </c>
      <c r="F8" s="293">
        <v>2</v>
      </c>
      <c r="G8" s="293" t="s">
        <v>145</v>
      </c>
      <c r="H8" s="293" t="s">
        <v>422</v>
      </c>
      <c r="I8" s="294" t="s">
        <v>2569</v>
      </c>
      <c r="J8" s="293"/>
      <c r="K8" s="294"/>
      <c r="L8" s="293"/>
      <c r="M8" s="294"/>
      <c r="N8" s="293"/>
      <c r="O8" s="294"/>
      <c r="P8" s="293"/>
      <c r="Q8" s="294"/>
      <c r="R8" s="310" t="s">
        <v>709</v>
      </c>
    </row>
    <row r="9" spans="1:18">
      <c r="A9" s="68">
        <v>8</v>
      </c>
      <c r="B9" s="64" t="s">
        <v>667</v>
      </c>
      <c r="C9" s="325" t="s">
        <v>2444</v>
      </c>
      <c r="D9" s="321" t="s">
        <v>2570</v>
      </c>
      <c r="E9" s="293" t="s">
        <v>716</v>
      </c>
      <c r="F9" s="293">
        <v>64</v>
      </c>
      <c r="G9" s="311" t="s">
        <v>715</v>
      </c>
      <c r="H9" s="293" t="s">
        <v>145</v>
      </c>
      <c r="I9" s="294"/>
      <c r="J9" s="293"/>
      <c r="K9" s="294"/>
      <c r="L9" s="293"/>
      <c r="M9" s="294"/>
      <c r="N9" s="293"/>
      <c r="O9" s="294"/>
      <c r="P9" s="293"/>
      <c r="Q9" s="294"/>
      <c r="R9" s="313" t="s">
        <v>724</v>
      </c>
    </row>
    <row r="10" spans="1:18">
      <c r="A10" s="68">
        <v>9</v>
      </c>
      <c r="B10" s="64" t="s">
        <v>668</v>
      </c>
      <c r="C10" s="325" t="s">
        <v>2443</v>
      </c>
      <c r="D10" s="321" t="s">
        <v>2571</v>
      </c>
      <c r="E10" s="293" t="s">
        <v>716</v>
      </c>
      <c r="F10" s="293">
        <v>256</v>
      </c>
      <c r="G10" s="293" t="s">
        <v>145</v>
      </c>
      <c r="H10" s="293" t="s">
        <v>145</v>
      </c>
      <c r="I10" s="294"/>
      <c r="J10" s="293"/>
      <c r="K10" s="294"/>
      <c r="L10" s="293"/>
      <c r="M10" s="294"/>
      <c r="N10" s="293"/>
      <c r="O10" s="294"/>
      <c r="P10" s="293"/>
      <c r="Q10" s="294"/>
      <c r="R10" s="313" t="s">
        <v>724</v>
      </c>
    </row>
    <row r="11" spans="1:18">
      <c r="A11" s="68">
        <v>10</v>
      </c>
      <c r="B11" s="64" t="s">
        <v>417</v>
      </c>
      <c r="C11" s="326" t="s">
        <v>2448</v>
      </c>
      <c r="D11" s="321" t="s">
        <v>2592</v>
      </c>
      <c r="E11" s="293" t="s">
        <v>711</v>
      </c>
      <c r="F11" s="293">
        <v>1</v>
      </c>
      <c r="G11" s="293">
        <v>0</v>
      </c>
      <c r="H11" s="293">
        <v>1</v>
      </c>
      <c r="I11" s="294" t="s">
        <v>2572</v>
      </c>
      <c r="J11" s="293">
        <v>2</v>
      </c>
      <c r="K11" s="294" t="s">
        <v>2573</v>
      </c>
      <c r="L11" s="293">
        <v>3</v>
      </c>
      <c r="M11" s="294" t="s">
        <v>980</v>
      </c>
      <c r="N11" s="293">
        <v>4</v>
      </c>
      <c r="O11" s="294" t="s">
        <v>2574</v>
      </c>
      <c r="P11" s="293">
        <v>5</v>
      </c>
      <c r="Q11" s="294" t="s">
        <v>2575</v>
      </c>
      <c r="R11" s="313" t="s">
        <v>726</v>
      </c>
    </row>
    <row r="12" spans="1:18">
      <c r="A12" s="68">
        <v>11</v>
      </c>
      <c r="B12" s="64" t="s">
        <v>669</v>
      </c>
      <c r="C12" s="325" t="s">
        <v>2723</v>
      </c>
      <c r="D12" s="321" t="s">
        <v>2576</v>
      </c>
      <c r="E12" s="293" t="s">
        <v>716</v>
      </c>
      <c r="F12" s="293">
        <v>4</v>
      </c>
      <c r="G12" s="293" t="s">
        <v>729</v>
      </c>
      <c r="H12" s="293" t="s">
        <v>145</v>
      </c>
      <c r="I12" s="294"/>
      <c r="J12" s="293"/>
      <c r="K12" s="294"/>
      <c r="L12" s="293"/>
      <c r="M12" s="294"/>
      <c r="N12" s="293"/>
      <c r="O12" s="294"/>
      <c r="P12" s="293"/>
      <c r="Q12" s="294"/>
      <c r="R12" s="313" t="s">
        <v>726</v>
      </c>
    </row>
    <row r="13" spans="1:18">
      <c r="A13" s="68">
        <v>12</v>
      </c>
      <c r="B13" s="64" t="s">
        <v>418</v>
      </c>
      <c r="C13" s="325" t="s">
        <v>2449</v>
      </c>
      <c r="D13" s="321" t="s">
        <v>2580</v>
      </c>
      <c r="E13" s="293" t="s">
        <v>711</v>
      </c>
      <c r="F13" s="293">
        <v>1</v>
      </c>
      <c r="G13" s="293">
        <v>0</v>
      </c>
      <c r="H13" s="293">
        <v>0</v>
      </c>
      <c r="I13" s="294" t="s">
        <v>2577</v>
      </c>
      <c r="J13" s="293">
        <v>1</v>
      </c>
      <c r="K13" s="294" t="s">
        <v>2578</v>
      </c>
      <c r="L13" s="293">
        <v>2</v>
      </c>
      <c r="M13" s="294" t="s">
        <v>2579</v>
      </c>
      <c r="N13" s="293"/>
      <c r="O13" s="294"/>
      <c r="P13" s="293"/>
      <c r="Q13" s="294"/>
      <c r="R13" s="313" t="s">
        <v>726</v>
      </c>
    </row>
    <row r="14" spans="1:18">
      <c r="A14" s="68">
        <v>13</v>
      </c>
      <c r="B14" s="64" t="s">
        <v>398</v>
      </c>
      <c r="C14" s="326" t="s">
        <v>2451</v>
      </c>
      <c r="D14" s="321" t="s">
        <v>2593</v>
      </c>
      <c r="E14" s="293" t="s">
        <v>716</v>
      </c>
      <c r="F14" s="293">
        <v>5</v>
      </c>
      <c r="G14" s="308" t="s">
        <v>145</v>
      </c>
      <c r="H14" s="293" t="s">
        <v>2586</v>
      </c>
      <c r="I14" s="294" t="s">
        <v>2581</v>
      </c>
      <c r="J14" s="293" t="s">
        <v>2587</v>
      </c>
      <c r="K14" s="294" t="s">
        <v>2582</v>
      </c>
      <c r="L14" s="293" t="s">
        <v>2588</v>
      </c>
      <c r="M14" s="294" t="s">
        <v>2583</v>
      </c>
      <c r="N14" s="293" t="s">
        <v>2584</v>
      </c>
      <c r="O14" s="294" t="s">
        <v>2585</v>
      </c>
      <c r="P14" s="293"/>
      <c r="Q14" s="294"/>
      <c r="R14" s="313" t="s">
        <v>726</v>
      </c>
    </row>
    <row r="15" spans="1:18">
      <c r="A15" s="68">
        <v>14</v>
      </c>
      <c r="B15" s="64" t="s">
        <v>419</v>
      </c>
      <c r="C15" s="326" t="s">
        <v>2452</v>
      </c>
      <c r="D15" s="321" t="s">
        <v>2589</v>
      </c>
      <c r="E15" s="293" t="s">
        <v>716</v>
      </c>
      <c r="F15" s="293">
        <v>10</v>
      </c>
      <c r="G15" s="293" t="s">
        <v>145</v>
      </c>
      <c r="H15" s="293" t="s">
        <v>145</v>
      </c>
      <c r="I15" s="294"/>
      <c r="J15" s="293"/>
      <c r="K15" s="294"/>
      <c r="L15" s="293"/>
      <c r="M15" s="294"/>
      <c r="N15" s="293"/>
      <c r="O15" s="294"/>
      <c r="P15" s="293"/>
      <c r="Q15" s="294"/>
      <c r="R15" s="313" t="s">
        <v>726</v>
      </c>
    </row>
    <row r="16" spans="1:18">
      <c r="A16" s="68">
        <v>15</v>
      </c>
      <c r="B16" s="64" t="s">
        <v>670</v>
      </c>
      <c r="C16" s="325" t="s">
        <v>2819</v>
      </c>
      <c r="D16" s="321" t="s">
        <v>2821</v>
      </c>
      <c r="E16" s="293" t="s">
        <v>716</v>
      </c>
      <c r="F16" s="293">
        <v>64</v>
      </c>
      <c r="G16" s="311" t="s">
        <v>715</v>
      </c>
      <c r="H16" s="293" t="s">
        <v>145</v>
      </c>
      <c r="I16" s="294"/>
      <c r="J16" s="293"/>
      <c r="K16" s="294"/>
      <c r="L16" s="293"/>
      <c r="M16" s="294"/>
      <c r="N16" s="293"/>
      <c r="O16" s="294"/>
      <c r="P16" s="293"/>
      <c r="Q16" s="294"/>
      <c r="R16" s="315" t="s">
        <v>724</v>
      </c>
    </row>
    <row r="17" spans="1:18">
      <c r="A17" s="68">
        <v>16</v>
      </c>
      <c r="B17" s="64" t="s">
        <v>400</v>
      </c>
      <c r="C17" s="325" t="s">
        <v>2820</v>
      </c>
      <c r="D17" s="321" t="s">
        <v>2590</v>
      </c>
      <c r="E17" s="293" t="s">
        <v>716</v>
      </c>
      <c r="F17" s="293">
        <v>256</v>
      </c>
      <c r="G17" s="293" t="s">
        <v>145</v>
      </c>
      <c r="H17" s="293" t="s">
        <v>145</v>
      </c>
      <c r="I17" s="294"/>
      <c r="J17" s="293"/>
      <c r="K17" s="294"/>
      <c r="L17" s="293"/>
      <c r="M17" s="294"/>
      <c r="N17" s="293"/>
      <c r="O17" s="294"/>
      <c r="P17" s="293"/>
      <c r="Q17" s="294"/>
      <c r="R17" s="313" t="s">
        <v>726</v>
      </c>
    </row>
    <row r="18" spans="1:18">
      <c r="A18" s="68">
        <v>17</v>
      </c>
      <c r="B18" s="64" t="s">
        <v>392</v>
      </c>
      <c r="C18" s="326" t="s">
        <v>2740</v>
      </c>
      <c r="D18" s="321" t="s">
        <v>2591</v>
      </c>
      <c r="E18" s="293" t="s">
        <v>711</v>
      </c>
      <c r="F18" s="293">
        <v>1</v>
      </c>
      <c r="G18" s="293">
        <v>0</v>
      </c>
      <c r="H18" s="293">
        <v>1</v>
      </c>
      <c r="I18" s="294" t="s">
        <v>2572</v>
      </c>
      <c r="J18" s="293">
        <v>2</v>
      </c>
      <c r="K18" s="294" t="s">
        <v>2573</v>
      </c>
      <c r="L18" s="293">
        <v>3</v>
      </c>
      <c r="M18" s="294" t="s">
        <v>980</v>
      </c>
      <c r="N18" s="293">
        <v>4</v>
      </c>
      <c r="O18" s="294" t="s">
        <v>2574</v>
      </c>
      <c r="P18" s="293">
        <v>5</v>
      </c>
      <c r="Q18" s="294" t="s">
        <v>2575</v>
      </c>
      <c r="R18" s="313" t="s">
        <v>726</v>
      </c>
    </row>
    <row r="19" spans="1:18">
      <c r="A19" s="68">
        <v>18</v>
      </c>
      <c r="B19" s="64" t="s">
        <v>399</v>
      </c>
      <c r="C19" s="325" t="s">
        <v>1713</v>
      </c>
      <c r="D19" s="321" t="s">
        <v>2598</v>
      </c>
      <c r="E19" s="293" t="s">
        <v>716</v>
      </c>
      <c r="F19" s="293">
        <v>4</v>
      </c>
      <c r="G19" s="293" t="s">
        <v>729</v>
      </c>
      <c r="H19" s="293" t="s">
        <v>145</v>
      </c>
      <c r="I19" s="294"/>
      <c r="J19" s="293"/>
      <c r="K19" s="294"/>
      <c r="L19" s="293"/>
      <c r="M19" s="294"/>
      <c r="N19" s="293"/>
      <c r="O19" s="294"/>
      <c r="P19" s="293"/>
      <c r="Q19" s="294"/>
      <c r="R19" s="313" t="s">
        <v>726</v>
      </c>
    </row>
    <row r="20" spans="1:18">
      <c r="A20" s="68">
        <v>19</v>
      </c>
      <c r="B20" s="64" t="s">
        <v>327</v>
      </c>
      <c r="C20" s="326" t="s">
        <v>2736</v>
      </c>
      <c r="D20" s="321" t="s">
        <v>2599</v>
      </c>
      <c r="E20" s="293" t="s">
        <v>716</v>
      </c>
      <c r="F20" s="293">
        <v>64</v>
      </c>
      <c r="G20" s="293" t="s">
        <v>145</v>
      </c>
      <c r="H20" s="293" t="s">
        <v>145</v>
      </c>
      <c r="I20" s="294"/>
      <c r="J20" s="293"/>
      <c r="K20" s="294"/>
      <c r="L20" s="293"/>
      <c r="M20" s="294"/>
      <c r="N20" s="293"/>
      <c r="O20" s="294"/>
      <c r="P20" s="293"/>
      <c r="Q20" s="294"/>
      <c r="R20" s="313" t="s">
        <v>726</v>
      </c>
    </row>
    <row r="21" spans="1:18">
      <c r="A21" s="68">
        <v>20</v>
      </c>
      <c r="B21" s="64" t="s">
        <v>324</v>
      </c>
      <c r="C21" s="325" t="s">
        <v>2738</v>
      </c>
      <c r="D21" s="321" t="s">
        <v>2600</v>
      </c>
      <c r="E21" s="293" t="s">
        <v>711</v>
      </c>
      <c r="F21" s="293">
        <v>1</v>
      </c>
      <c r="G21" s="293">
        <v>0</v>
      </c>
      <c r="H21" s="293">
        <v>0</v>
      </c>
      <c r="I21" s="294" t="s">
        <v>2601</v>
      </c>
      <c r="J21" s="293">
        <v>1</v>
      </c>
      <c r="K21" s="294" t="s">
        <v>2602</v>
      </c>
      <c r="L21" s="293">
        <v>2</v>
      </c>
      <c r="M21" s="294" t="s">
        <v>2603</v>
      </c>
      <c r="N21" s="293"/>
      <c r="O21" s="294"/>
      <c r="P21" s="293"/>
      <c r="Q21" s="294"/>
      <c r="R21" s="313" t="s">
        <v>726</v>
      </c>
    </row>
    <row r="22" spans="1:18">
      <c r="A22" s="68">
        <v>21</v>
      </c>
      <c r="B22" s="64" t="s">
        <v>420</v>
      </c>
      <c r="C22" s="325" t="s">
        <v>2739</v>
      </c>
      <c r="D22" s="321" t="s">
        <v>2597</v>
      </c>
      <c r="E22" s="293" t="s">
        <v>711</v>
      </c>
      <c r="F22" s="293">
        <v>1</v>
      </c>
      <c r="G22" s="293">
        <v>0</v>
      </c>
      <c r="H22" s="293">
        <v>0</v>
      </c>
      <c r="I22" s="294" t="s">
        <v>2594</v>
      </c>
      <c r="J22" s="293">
        <v>1</v>
      </c>
      <c r="K22" s="294" t="s">
        <v>2595</v>
      </c>
      <c r="L22" s="293">
        <v>2</v>
      </c>
      <c r="M22" s="294" t="s">
        <v>2596</v>
      </c>
      <c r="N22" s="293"/>
      <c r="O22" s="294"/>
      <c r="P22" s="293"/>
      <c r="Q22" s="294"/>
      <c r="R22" s="313" t="s">
        <v>726</v>
      </c>
    </row>
    <row r="23" spans="1:18">
      <c r="A23" s="68">
        <v>22</v>
      </c>
      <c r="B23" s="64" t="s">
        <v>421</v>
      </c>
      <c r="C23" s="326" t="s">
        <v>2103</v>
      </c>
      <c r="D23" s="321" t="s">
        <v>2604</v>
      </c>
      <c r="E23" s="293" t="s">
        <v>716</v>
      </c>
      <c r="F23" s="293">
        <v>4</v>
      </c>
      <c r="G23" s="293" t="s">
        <v>145</v>
      </c>
      <c r="H23" s="293" t="s">
        <v>322</v>
      </c>
      <c r="I23" s="294" t="s">
        <v>2605</v>
      </c>
      <c r="J23" s="293" t="s">
        <v>2584</v>
      </c>
      <c r="K23" s="294" t="s">
        <v>2606</v>
      </c>
      <c r="L23" s="293"/>
      <c r="M23" s="294"/>
      <c r="N23" s="293"/>
      <c r="O23" s="294"/>
      <c r="P23" s="293"/>
      <c r="Q23" s="294"/>
      <c r="R23" s="313" t="s">
        <v>726</v>
      </c>
    </row>
    <row r="24" spans="1:18">
      <c r="A24" s="68">
        <v>23</v>
      </c>
      <c r="B24" s="64" t="s">
        <v>391</v>
      </c>
      <c r="C24" s="326" t="s">
        <v>2737</v>
      </c>
      <c r="D24" s="321" t="s">
        <v>2607</v>
      </c>
      <c r="E24" s="293" t="s">
        <v>716</v>
      </c>
      <c r="F24" s="293">
        <v>10</v>
      </c>
      <c r="G24" s="293" t="s">
        <v>145</v>
      </c>
      <c r="H24" s="293" t="s">
        <v>145</v>
      </c>
      <c r="I24" s="294"/>
      <c r="J24" s="293"/>
      <c r="K24" s="294"/>
      <c r="L24" s="293"/>
      <c r="M24" s="294"/>
      <c r="N24" s="293"/>
      <c r="O24" s="294"/>
      <c r="P24" s="293"/>
      <c r="Q24" s="294"/>
      <c r="R24" s="313" t="s">
        <v>726</v>
      </c>
    </row>
    <row r="25" spans="1:18">
      <c r="A25" s="68">
        <v>24</v>
      </c>
      <c r="B25" s="64" t="s">
        <v>414</v>
      </c>
      <c r="C25" s="327" t="s">
        <v>1680</v>
      </c>
      <c r="D25" s="321" t="s">
        <v>4917</v>
      </c>
      <c r="E25" s="293" t="s">
        <v>711</v>
      </c>
      <c r="F25" s="293">
        <v>1</v>
      </c>
      <c r="G25" s="293">
        <v>0</v>
      </c>
      <c r="H25" s="293">
        <v>0</v>
      </c>
      <c r="I25" s="294" t="s">
        <v>2608</v>
      </c>
      <c r="J25" s="293">
        <v>1</v>
      </c>
      <c r="K25" s="294" t="s">
        <v>2609</v>
      </c>
      <c r="L25" s="293"/>
      <c r="M25" s="294"/>
      <c r="N25" s="293"/>
      <c r="O25" s="294"/>
      <c r="P25" s="293"/>
      <c r="Q25" s="294"/>
      <c r="R25" s="313" t="s">
        <v>2611</v>
      </c>
    </row>
    <row r="26" spans="1:18">
      <c r="A26" s="68">
        <v>25</v>
      </c>
      <c r="B26" s="64" t="s">
        <v>415</v>
      </c>
      <c r="C26" s="327" t="s">
        <v>1714</v>
      </c>
      <c r="D26" s="321" t="s">
        <v>2610</v>
      </c>
      <c r="E26" s="293" t="s">
        <v>711</v>
      </c>
      <c r="F26" s="293">
        <v>1</v>
      </c>
      <c r="G26" s="293">
        <v>0</v>
      </c>
      <c r="H26" s="293">
        <v>0</v>
      </c>
      <c r="I26" s="294" t="s">
        <v>725</v>
      </c>
      <c r="J26" s="293">
        <v>1</v>
      </c>
      <c r="K26" s="294" t="s">
        <v>728</v>
      </c>
      <c r="L26" s="293"/>
      <c r="M26" s="294"/>
      <c r="N26" s="293"/>
      <c r="O26" s="294"/>
      <c r="P26" s="293"/>
      <c r="Q26" s="294"/>
      <c r="R26" s="313" t="s">
        <v>2611</v>
      </c>
    </row>
    <row r="27" spans="1:18">
      <c r="A27" s="68">
        <v>26</v>
      </c>
      <c r="B27" s="64" t="s">
        <v>416</v>
      </c>
      <c r="C27" s="327" t="s">
        <v>2741</v>
      </c>
      <c r="D27" s="321" t="s">
        <v>2612</v>
      </c>
      <c r="E27" s="293" t="s">
        <v>716</v>
      </c>
      <c r="F27" s="293">
        <v>64</v>
      </c>
      <c r="G27" s="311" t="s">
        <v>715</v>
      </c>
      <c r="H27" s="293" t="s">
        <v>145</v>
      </c>
      <c r="I27" s="294"/>
      <c r="J27" s="293"/>
      <c r="K27" s="294"/>
      <c r="L27" s="293"/>
      <c r="M27" s="294"/>
      <c r="N27" s="293"/>
      <c r="O27" s="294"/>
      <c r="P27" s="293"/>
      <c r="Q27" s="294"/>
      <c r="R27" s="324" t="s">
        <v>709</v>
      </c>
    </row>
    <row r="28" spans="1:18">
      <c r="A28" s="68">
        <v>27</v>
      </c>
      <c r="B28" s="64" t="s">
        <v>422</v>
      </c>
      <c r="C28" s="296" t="s">
        <v>2391</v>
      </c>
      <c r="D28" s="321" t="s">
        <v>2717</v>
      </c>
      <c r="E28" s="293" t="s">
        <v>711</v>
      </c>
      <c r="F28" s="293">
        <v>1</v>
      </c>
      <c r="G28" s="293">
        <v>0</v>
      </c>
      <c r="H28" s="293" t="s">
        <v>145</v>
      </c>
      <c r="I28" s="294" t="s">
        <v>2719</v>
      </c>
      <c r="J28" s="293">
        <v>1</v>
      </c>
      <c r="K28" s="294" t="s">
        <v>2718</v>
      </c>
      <c r="L28" s="293"/>
      <c r="M28" s="294"/>
      <c r="N28" s="293"/>
      <c r="O28" s="294"/>
      <c r="P28" s="293"/>
      <c r="Q28" s="294"/>
      <c r="R28" s="310" t="s">
        <v>2714</v>
      </c>
    </row>
    <row r="29" spans="1:18">
      <c r="A29" s="68">
        <v>28</v>
      </c>
      <c r="B29" s="64" t="s">
        <v>423</v>
      </c>
      <c r="C29" s="296" t="s">
        <v>2392</v>
      </c>
      <c r="D29" s="321" t="s">
        <v>2715</v>
      </c>
      <c r="E29" s="293" t="s">
        <v>711</v>
      </c>
      <c r="F29" s="293">
        <v>1</v>
      </c>
      <c r="G29" s="293">
        <v>0</v>
      </c>
      <c r="H29" s="293" t="s">
        <v>145</v>
      </c>
      <c r="I29" s="294" t="s">
        <v>2719</v>
      </c>
      <c r="J29" s="293">
        <v>1</v>
      </c>
      <c r="K29" s="294" t="s">
        <v>2718</v>
      </c>
      <c r="L29" s="293"/>
      <c r="M29" s="294"/>
      <c r="N29" s="293"/>
      <c r="O29" s="294"/>
      <c r="P29" s="293"/>
      <c r="Q29" s="294"/>
      <c r="R29" s="310" t="s">
        <v>2714</v>
      </c>
    </row>
    <row r="30" spans="1:18">
      <c r="A30" s="68">
        <v>29</v>
      </c>
      <c r="B30" s="64" t="s">
        <v>671</v>
      </c>
      <c r="C30" s="296" t="s">
        <v>2393</v>
      </c>
      <c r="D30" s="321" t="s">
        <v>2716</v>
      </c>
      <c r="E30" s="293" t="s">
        <v>711</v>
      </c>
      <c r="F30" s="293">
        <v>1</v>
      </c>
      <c r="G30" s="293">
        <v>0</v>
      </c>
      <c r="H30" s="293" t="s">
        <v>145</v>
      </c>
      <c r="I30" s="294" t="s">
        <v>2719</v>
      </c>
      <c r="J30" s="293">
        <v>1</v>
      </c>
      <c r="K30" s="294" t="s">
        <v>2718</v>
      </c>
      <c r="L30" s="293"/>
      <c r="M30" s="294"/>
      <c r="N30" s="293"/>
      <c r="O30" s="294"/>
      <c r="P30" s="293"/>
      <c r="Q30" s="294"/>
      <c r="R30" s="310" t="s">
        <v>2714</v>
      </c>
    </row>
    <row r="31" spans="1:18">
      <c r="A31" s="68">
        <v>30</v>
      </c>
      <c r="B31" s="64" t="s">
        <v>424</v>
      </c>
      <c r="C31" s="325" t="s">
        <v>1613</v>
      </c>
      <c r="D31" s="321" t="s">
        <v>2613</v>
      </c>
      <c r="E31" s="293" t="s">
        <v>716</v>
      </c>
      <c r="F31" s="293">
        <v>64</v>
      </c>
      <c r="G31" s="311" t="s">
        <v>715</v>
      </c>
      <c r="H31" s="293" t="s">
        <v>145</v>
      </c>
      <c r="I31" s="294"/>
      <c r="J31" s="293"/>
      <c r="K31" s="294"/>
      <c r="L31" s="293"/>
      <c r="M31" s="294"/>
      <c r="N31" s="293"/>
      <c r="O31" s="294"/>
      <c r="P31" s="293"/>
      <c r="Q31" s="294"/>
      <c r="R31" s="315" t="s">
        <v>724</v>
      </c>
    </row>
    <row r="32" spans="1:18">
      <c r="A32" s="68">
        <v>31</v>
      </c>
      <c r="B32" s="64" t="s">
        <v>425</v>
      </c>
      <c r="C32" s="325" t="s">
        <v>1710</v>
      </c>
      <c r="D32" s="321" t="s">
        <v>2614</v>
      </c>
      <c r="E32" s="293" t="s">
        <v>716</v>
      </c>
      <c r="F32" s="293">
        <v>4</v>
      </c>
      <c r="G32" s="293" t="s">
        <v>729</v>
      </c>
      <c r="H32" s="293" t="s">
        <v>145</v>
      </c>
      <c r="I32" s="294"/>
      <c r="J32" s="293"/>
      <c r="K32" s="294"/>
      <c r="L32" s="293"/>
      <c r="M32" s="294"/>
      <c r="N32" s="293"/>
      <c r="O32" s="294"/>
      <c r="P32" s="293"/>
      <c r="Q32" s="294"/>
      <c r="R32" s="313" t="s">
        <v>726</v>
      </c>
    </row>
    <row r="33" spans="1:18">
      <c r="A33" s="68">
        <v>32</v>
      </c>
      <c r="B33" s="64" t="s">
        <v>452</v>
      </c>
      <c r="C33" s="325" t="s">
        <v>1614</v>
      </c>
      <c r="D33" s="321" t="s">
        <v>2615</v>
      </c>
      <c r="E33" s="293" t="s">
        <v>711</v>
      </c>
      <c r="F33" s="293">
        <v>1</v>
      </c>
      <c r="G33" s="293">
        <v>0</v>
      </c>
      <c r="H33" s="293">
        <v>0</v>
      </c>
      <c r="I33" s="294" t="s">
        <v>2616</v>
      </c>
      <c r="J33" s="293">
        <v>1</v>
      </c>
      <c r="K33" s="294" t="s">
        <v>4606</v>
      </c>
      <c r="L33" s="293">
        <v>2</v>
      </c>
      <c r="M33" s="294" t="s">
        <v>4607</v>
      </c>
      <c r="N33" s="293">
        <v>3</v>
      </c>
      <c r="O33" s="294" t="s">
        <v>4608</v>
      </c>
      <c r="P33" s="293"/>
      <c r="Q33" s="294"/>
      <c r="R33" s="313" t="s">
        <v>726</v>
      </c>
    </row>
    <row r="34" spans="1:18">
      <c r="A34" s="68">
        <v>33</v>
      </c>
      <c r="B34" s="293" t="s">
        <v>453</v>
      </c>
      <c r="C34" s="325" t="s">
        <v>4268</v>
      </c>
      <c r="D34" s="307" t="s">
        <v>4293</v>
      </c>
      <c r="E34" s="293" t="s">
        <v>711</v>
      </c>
      <c r="F34" s="293">
        <v>1</v>
      </c>
      <c r="G34" s="293">
        <v>0</v>
      </c>
      <c r="H34" s="293">
        <v>0</v>
      </c>
      <c r="I34" s="294" t="s">
        <v>2616</v>
      </c>
      <c r="J34" s="293">
        <v>1</v>
      </c>
      <c r="K34" s="294" t="s">
        <v>4294</v>
      </c>
      <c r="L34" s="293">
        <v>2</v>
      </c>
      <c r="M34" s="294" t="s">
        <v>4295</v>
      </c>
      <c r="N34" s="293">
        <v>3</v>
      </c>
      <c r="O34" s="294" t="s">
        <v>4296</v>
      </c>
      <c r="P34" s="293"/>
      <c r="Q34" s="294"/>
      <c r="R34" s="313" t="s">
        <v>726</v>
      </c>
    </row>
    <row r="35" spans="1:18">
      <c r="A35" s="68">
        <v>34</v>
      </c>
      <c r="B35" s="293" t="s">
        <v>426</v>
      </c>
      <c r="C35" s="325" t="s">
        <v>1615</v>
      </c>
      <c r="D35" s="307" t="s">
        <v>2617</v>
      </c>
      <c r="E35" s="293" t="s">
        <v>716</v>
      </c>
      <c r="F35" s="293">
        <v>256</v>
      </c>
      <c r="G35" s="293" t="s">
        <v>145</v>
      </c>
      <c r="H35" s="293" t="s">
        <v>145</v>
      </c>
      <c r="I35" s="294"/>
      <c r="J35" s="293"/>
      <c r="K35" s="294"/>
      <c r="L35" s="293"/>
      <c r="M35" s="294"/>
      <c r="N35" s="293"/>
      <c r="O35" s="294"/>
      <c r="P35" s="293"/>
      <c r="Q35" s="294"/>
      <c r="R35" s="313" t="s">
        <v>726</v>
      </c>
    </row>
    <row r="36" spans="1:18">
      <c r="A36" s="68">
        <v>35</v>
      </c>
      <c r="B36" s="293" t="s">
        <v>427</v>
      </c>
      <c r="C36" s="325" t="s">
        <v>4335</v>
      </c>
      <c r="D36" s="307" t="s">
        <v>4327</v>
      </c>
      <c r="E36" s="293" t="s">
        <v>711</v>
      </c>
      <c r="F36" s="293">
        <v>1</v>
      </c>
      <c r="G36" s="293">
        <v>0</v>
      </c>
      <c r="H36" s="293">
        <v>0</v>
      </c>
      <c r="I36" s="294" t="s">
        <v>4328</v>
      </c>
      <c r="J36" s="293">
        <v>1</v>
      </c>
      <c r="K36" s="294" t="s">
        <v>4329</v>
      </c>
      <c r="L36" s="293"/>
      <c r="M36" s="294"/>
      <c r="N36" s="293"/>
      <c r="O36" s="294"/>
      <c r="P36" s="293"/>
      <c r="Q36" s="294"/>
      <c r="R36" s="313" t="s">
        <v>726</v>
      </c>
    </row>
    <row r="37" spans="1:18">
      <c r="A37" s="68">
        <v>36</v>
      </c>
      <c r="B37" s="293" t="s">
        <v>672</v>
      </c>
      <c r="C37" s="325" t="s">
        <v>4334</v>
      </c>
      <c r="D37" s="307" t="s">
        <v>4336</v>
      </c>
      <c r="E37" s="293" t="s">
        <v>711</v>
      </c>
      <c r="F37" s="293">
        <v>1</v>
      </c>
      <c r="G37" s="293">
        <v>0</v>
      </c>
      <c r="H37" s="293">
        <v>0</v>
      </c>
      <c r="I37" s="294" t="s">
        <v>4328</v>
      </c>
      <c r="J37" s="293">
        <v>1</v>
      </c>
      <c r="K37" s="294" t="s">
        <v>4337</v>
      </c>
      <c r="L37" s="293"/>
      <c r="M37" s="294"/>
      <c r="N37" s="293"/>
      <c r="O37" s="294"/>
      <c r="P37" s="293"/>
      <c r="Q37" s="294"/>
      <c r="R37" s="313" t="s">
        <v>726</v>
      </c>
    </row>
    <row r="38" spans="1:18">
      <c r="A38" s="68">
        <v>37</v>
      </c>
      <c r="B38" s="293" t="s">
        <v>428</v>
      </c>
      <c r="C38" s="325" t="s">
        <v>4330</v>
      </c>
      <c r="D38" s="307" t="s">
        <v>4332</v>
      </c>
      <c r="E38" s="293" t="s">
        <v>721</v>
      </c>
      <c r="F38" s="293">
        <v>12</v>
      </c>
      <c r="G38" s="312" t="s">
        <v>722</v>
      </c>
      <c r="H38" s="293" t="s">
        <v>145</v>
      </c>
      <c r="I38" s="294"/>
      <c r="J38" s="293"/>
      <c r="K38" s="294"/>
      <c r="L38" s="293"/>
      <c r="M38" s="294"/>
      <c r="N38" s="293"/>
      <c r="O38" s="294"/>
      <c r="P38" s="293"/>
      <c r="Q38" s="294"/>
      <c r="R38" s="313" t="s">
        <v>726</v>
      </c>
    </row>
    <row r="39" spans="1:18">
      <c r="A39" s="68">
        <v>38</v>
      </c>
      <c r="B39" s="293" t="s">
        <v>454</v>
      </c>
      <c r="C39" s="325" t="s">
        <v>2817</v>
      </c>
      <c r="D39" s="307" t="s">
        <v>2764</v>
      </c>
      <c r="E39" s="293" t="s">
        <v>711</v>
      </c>
      <c r="F39" s="293">
        <v>1</v>
      </c>
      <c r="G39" s="293">
        <v>0</v>
      </c>
      <c r="H39" s="293">
        <v>0</v>
      </c>
      <c r="I39" s="294" t="s">
        <v>2616</v>
      </c>
      <c r="J39" s="293">
        <v>1</v>
      </c>
      <c r="K39" s="294" t="s">
        <v>2765</v>
      </c>
      <c r="L39" s="293">
        <v>2</v>
      </c>
      <c r="M39" s="294" t="s">
        <v>2766</v>
      </c>
      <c r="N39" s="293">
        <v>3</v>
      </c>
      <c r="O39" s="294" t="s">
        <v>2767</v>
      </c>
      <c r="P39" s="293">
        <v>4</v>
      </c>
      <c r="Q39" s="294" t="s">
        <v>4641</v>
      </c>
      <c r="R39" s="313" t="s">
        <v>726</v>
      </c>
    </row>
    <row r="40" spans="1:18">
      <c r="A40" s="68">
        <v>39</v>
      </c>
      <c r="B40" s="64" t="s">
        <v>429</v>
      </c>
      <c r="C40" s="325" t="s">
        <v>2818</v>
      </c>
      <c r="D40" s="307" t="s">
        <v>2768</v>
      </c>
      <c r="E40" s="293" t="s">
        <v>716</v>
      </c>
      <c r="F40" s="293">
        <v>64</v>
      </c>
      <c r="G40" s="311" t="s">
        <v>715</v>
      </c>
      <c r="H40" s="293" t="s">
        <v>145</v>
      </c>
      <c r="I40" s="294"/>
      <c r="J40" s="293"/>
      <c r="K40" s="294"/>
      <c r="L40" s="293"/>
      <c r="M40" s="294"/>
      <c r="N40" s="293"/>
      <c r="O40" s="294"/>
      <c r="P40" s="293"/>
      <c r="Q40" s="294"/>
      <c r="R40" s="313" t="s">
        <v>724</v>
      </c>
    </row>
    <row r="41" spans="1:18">
      <c r="A41" s="68">
        <v>40</v>
      </c>
      <c r="B41" s="64" t="s">
        <v>455</v>
      </c>
      <c r="C41" s="385" t="s">
        <v>3017</v>
      </c>
      <c r="D41" s="307" t="s">
        <v>3098</v>
      </c>
      <c r="E41" s="293" t="s">
        <v>716</v>
      </c>
      <c r="F41" s="293">
        <v>64</v>
      </c>
      <c r="G41" s="293" t="s">
        <v>145</v>
      </c>
      <c r="H41" s="293">
        <v>0</v>
      </c>
      <c r="I41" s="294" t="s">
        <v>3099</v>
      </c>
      <c r="J41" s="293">
        <v>1</v>
      </c>
      <c r="K41" s="294" t="s">
        <v>3100</v>
      </c>
      <c r="L41" s="293">
        <v>2</v>
      </c>
      <c r="M41" s="294" t="s">
        <v>3101</v>
      </c>
      <c r="N41" s="293">
        <v>3</v>
      </c>
      <c r="O41" s="294" t="s">
        <v>3102</v>
      </c>
      <c r="P41" s="293">
        <v>4</v>
      </c>
      <c r="Q41" s="294" t="s">
        <v>3103</v>
      </c>
      <c r="R41" s="313" t="s">
        <v>724</v>
      </c>
    </row>
    <row r="42" spans="1:18">
      <c r="A42" s="68">
        <v>41</v>
      </c>
      <c r="B42" s="64" t="s">
        <v>430</v>
      </c>
      <c r="C42" s="327" t="s">
        <v>1681</v>
      </c>
      <c r="D42" s="307" t="s">
        <v>2618</v>
      </c>
      <c r="E42" s="293" t="s">
        <v>711</v>
      </c>
      <c r="F42" s="293">
        <v>1</v>
      </c>
      <c r="G42" s="293">
        <v>0</v>
      </c>
      <c r="H42" s="293">
        <v>0</v>
      </c>
      <c r="I42" s="294" t="s">
        <v>2619</v>
      </c>
      <c r="J42" s="293">
        <v>1</v>
      </c>
      <c r="K42" s="294" t="s">
        <v>2620</v>
      </c>
      <c r="L42" s="293"/>
      <c r="M42" s="294"/>
      <c r="N42" s="293"/>
      <c r="O42" s="294"/>
      <c r="P42" s="293"/>
      <c r="Q42" s="294"/>
      <c r="R42" s="313" t="s">
        <v>726</v>
      </c>
    </row>
    <row r="43" spans="1:18">
      <c r="A43" s="68">
        <v>42</v>
      </c>
      <c r="B43" s="688" t="s">
        <v>431</v>
      </c>
      <c r="C43" s="689" t="s">
        <v>1715</v>
      </c>
      <c r="D43" s="690" t="s">
        <v>2621</v>
      </c>
      <c r="E43" s="293" t="s">
        <v>711</v>
      </c>
      <c r="F43" s="293">
        <v>1</v>
      </c>
      <c r="G43" s="293">
        <v>0</v>
      </c>
      <c r="H43" s="293">
        <v>0</v>
      </c>
      <c r="I43" s="294" t="s">
        <v>725</v>
      </c>
      <c r="J43" s="293">
        <v>1</v>
      </c>
      <c r="K43" s="294" t="s">
        <v>728</v>
      </c>
      <c r="L43" s="293"/>
      <c r="M43" s="294"/>
      <c r="N43" s="293"/>
      <c r="O43" s="294"/>
      <c r="P43" s="293"/>
      <c r="Q43" s="294"/>
      <c r="R43" s="313" t="s">
        <v>726</v>
      </c>
    </row>
    <row r="44" spans="1:18">
      <c r="A44" s="68">
        <v>43</v>
      </c>
      <c r="B44" s="691" t="s">
        <v>456</v>
      </c>
      <c r="C44" s="692" t="s">
        <v>4896</v>
      </c>
      <c r="D44" s="693" t="s">
        <v>4901</v>
      </c>
      <c r="E44" s="293" t="s">
        <v>716</v>
      </c>
      <c r="F44" s="293">
        <v>64</v>
      </c>
      <c r="G44" s="311" t="s">
        <v>715</v>
      </c>
      <c r="H44" s="293" t="s">
        <v>145</v>
      </c>
      <c r="I44" s="294"/>
      <c r="J44" s="293"/>
      <c r="K44" s="294"/>
      <c r="L44" s="293"/>
      <c r="M44" s="294"/>
      <c r="N44" s="293"/>
      <c r="O44" s="294"/>
      <c r="P44" s="293"/>
      <c r="Q44" s="294"/>
      <c r="R44" s="315" t="s">
        <v>724</v>
      </c>
    </row>
    <row r="45" spans="1:18">
      <c r="A45" s="68">
        <v>44</v>
      </c>
      <c r="B45" s="691" t="s">
        <v>432</v>
      </c>
      <c r="C45" s="730" t="s">
        <v>4897</v>
      </c>
      <c r="D45" s="693" t="s">
        <v>4902</v>
      </c>
      <c r="E45" s="293" t="s">
        <v>716</v>
      </c>
      <c r="F45" s="293">
        <v>256</v>
      </c>
      <c r="G45" s="293" t="s">
        <v>145</v>
      </c>
      <c r="H45" s="293" t="s">
        <v>145</v>
      </c>
      <c r="I45" s="294"/>
      <c r="J45" s="293"/>
      <c r="K45" s="294"/>
      <c r="L45" s="293"/>
      <c r="M45" s="294"/>
      <c r="N45" s="293"/>
      <c r="O45" s="294"/>
      <c r="P45" s="293"/>
      <c r="Q45" s="294"/>
      <c r="R45" s="313" t="s">
        <v>726</v>
      </c>
    </row>
    <row r="46" spans="1:18">
      <c r="A46" s="68">
        <v>45</v>
      </c>
      <c r="B46" s="691" t="s">
        <v>433</v>
      </c>
      <c r="C46" s="730" t="s">
        <v>5161</v>
      </c>
      <c r="D46" s="693" t="s">
        <v>5168</v>
      </c>
      <c r="E46" s="293" t="s">
        <v>711</v>
      </c>
      <c r="F46" s="293">
        <v>1</v>
      </c>
      <c r="G46" s="293">
        <v>0</v>
      </c>
      <c r="H46" s="293" t="s">
        <v>145</v>
      </c>
      <c r="I46" s="294"/>
      <c r="J46" s="293"/>
      <c r="K46" s="294"/>
      <c r="L46" s="293"/>
      <c r="M46" s="294"/>
      <c r="N46" s="293"/>
      <c r="O46" s="294"/>
      <c r="P46" s="293"/>
      <c r="Q46" s="294"/>
      <c r="R46" s="313" t="s">
        <v>726</v>
      </c>
    </row>
    <row r="47" spans="1:18">
      <c r="A47" s="68">
        <v>46</v>
      </c>
      <c r="B47" s="691" t="s">
        <v>434</v>
      </c>
      <c r="C47" s="326" t="s">
        <v>4898</v>
      </c>
      <c r="D47" s="693" t="s">
        <v>4903</v>
      </c>
      <c r="E47" s="293" t="s">
        <v>711</v>
      </c>
      <c r="F47" s="293">
        <v>1</v>
      </c>
      <c r="G47" s="293">
        <v>0</v>
      </c>
      <c r="H47" s="293">
        <v>1</v>
      </c>
      <c r="I47" s="294" t="s">
        <v>2572</v>
      </c>
      <c r="J47" s="293">
        <v>2</v>
      </c>
      <c r="K47" s="294" t="s">
        <v>2573</v>
      </c>
      <c r="L47" s="293">
        <v>3</v>
      </c>
      <c r="M47" s="294" t="s">
        <v>4934</v>
      </c>
      <c r="N47" s="293">
        <v>4</v>
      </c>
      <c r="O47" s="294" t="s">
        <v>2574</v>
      </c>
      <c r="P47" s="293">
        <v>5</v>
      </c>
      <c r="Q47" s="294" t="s">
        <v>2575</v>
      </c>
      <c r="R47" s="313" t="s">
        <v>726</v>
      </c>
    </row>
    <row r="48" spans="1:18">
      <c r="A48" s="68">
        <v>47</v>
      </c>
      <c r="B48" s="691" t="s">
        <v>435</v>
      </c>
      <c r="C48" s="325" t="s">
        <v>4899</v>
      </c>
      <c r="D48" s="693" t="s">
        <v>4904</v>
      </c>
      <c r="E48" s="293" t="s">
        <v>716</v>
      </c>
      <c r="F48" s="293">
        <v>4</v>
      </c>
      <c r="G48" s="293" t="s">
        <v>729</v>
      </c>
      <c r="H48" s="293" t="s">
        <v>145</v>
      </c>
      <c r="I48" s="294"/>
      <c r="J48" s="293"/>
      <c r="K48" s="294"/>
      <c r="L48" s="293"/>
      <c r="M48" s="294"/>
      <c r="N48" s="293"/>
      <c r="O48" s="294"/>
      <c r="P48" s="293"/>
      <c r="Q48" s="294"/>
      <c r="R48" s="313" t="s">
        <v>726</v>
      </c>
    </row>
    <row r="49" spans="1:18">
      <c r="A49" s="68">
        <v>48</v>
      </c>
      <c r="B49" s="691" t="s">
        <v>436</v>
      </c>
      <c r="C49" s="732" t="s">
        <v>5015</v>
      </c>
      <c r="D49" s="693" t="s">
        <v>5157</v>
      </c>
      <c r="E49" s="293" t="s">
        <v>711</v>
      </c>
      <c r="F49" s="293">
        <v>1</v>
      </c>
      <c r="G49" s="293">
        <v>0</v>
      </c>
      <c r="H49" s="293" t="s">
        <v>145</v>
      </c>
      <c r="I49" s="294"/>
      <c r="J49" s="293"/>
      <c r="K49" s="294"/>
      <c r="L49" s="293"/>
      <c r="M49" s="294"/>
      <c r="N49" s="293"/>
      <c r="O49" s="294"/>
      <c r="P49" s="293"/>
      <c r="Q49" s="294"/>
      <c r="R49" s="315" t="s">
        <v>726</v>
      </c>
    </row>
    <row r="50" spans="1:18">
      <c r="A50" s="68">
        <v>49</v>
      </c>
      <c r="B50" s="691" t="s">
        <v>437</v>
      </c>
      <c r="C50" s="325" t="s">
        <v>5014</v>
      </c>
      <c r="D50" s="693" t="s">
        <v>5169</v>
      </c>
      <c r="E50" s="293" t="s">
        <v>711</v>
      </c>
      <c r="F50" s="293">
        <v>12</v>
      </c>
      <c r="G50" s="312" t="s">
        <v>722</v>
      </c>
      <c r="H50" s="293" t="s">
        <v>145</v>
      </c>
      <c r="I50" s="294"/>
      <c r="J50" s="293"/>
      <c r="K50" s="294"/>
      <c r="L50" s="293"/>
      <c r="M50" s="294"/>
      <c r="N50" s="293"/>
      <c r="O50" s="294"/>
      <c r="P50" s="293"/>
      <c r="Q50" s="294"/>
      <c r="R50" s="313" t="s">
        <v>726</v>
      </c>
    </row>
    <row r="51" spans="1:18">
      <c r="A51" s="68">
        <v>50</v>
      </c>
      <c r="B51" s="64" t="s">
        <v>438</v>
      </c>
      <c r="C51" s="731" t="s">
        <v>4900</v>
      </c>
      <c r="D51" s="693" t="s">
        <v>4905</v>
      </c>
      <c r="E51" s="293" t="s">
        <v>711</v>
      </c>
      <c r="F51" s="293">
        <v>1</v>
      </c>
      <c r="G51" s="293">
        <v>0</v>
      </c>
      <c r="H51" s="293">
        <v>0</v>
      </c>
      <c r="I51" s="294" t="s">
        <v>4907</v>
      </c>
      <c r="J51" s="293">
        <v>1</v>
      </c>
      <c r="K51" s="294" t="s">
        <v>4908</v>
      </c>
      <c r="L51" s="293" t="s">
        <v>145</v>
      </c>
      <c r="M51" s="294" t="s">
        <v>4906</v>
      </c>
      <c r="N51" s="293"/>
      <c r="O51" s="294"/>
      <c r="P51" s="293"/>
      <c r="Q51" s="294"/>
      <c r="R51" s="315" t="s">
        <v>726</v>
      </c>
    </row>
    <row r="52" spans="1:18">
      <c r="A52" s="68">
        <v>51</v>
      </c>
      <c r="B52" s="64" t="s">
        <v>439</v>
      </c>
      <c r="C52" s="692" t="s">
        <v>2558</v>
      </c>
      <c r="D52" s="693" t="s">
        <v>2622</v>
      </c>
      <c r="E52" s="293" t="s">
        <v>716</v>
      </c>
      <c r="F52" s="293">
        <v>64</v>
      </c>
      <c r="G52" s="311" t="s">
        <v>715</v>
      </c>
      <c r="H52" s="293" t="s">
        <v>145</v>
      </c>
      <c r="I52" s="294"/>
      <c r="J52" s="293"/>
      <c r="K52" s="294"/>
      <c r="L52" s="293"/>
      <c r="M52" s="294"/>
      <c r="N52" s="293"/>
      <c r="O52" s="294"/>
      <c r="P52" s="293"/>
      <c r="Q52" s="294"/>
      <c r="R52" s="315" t="s">
        <v>724</v>
      </c>
    </row>
    <row r="53" spans="1:18">
      <c r="A53" s="68">
        <v>52</v>
      </c>
      <c r="B53" s="64" t="s">
        <v>440</v>
      </c>
      <c r="C53" s="692" t="s">
        <v>2733</v>
      </c>
      <c r="D53" s="693" t="s">
        <v>2742</v>
      </c>
      <c r="E53" s="293" t="s">
        <v>716</v>
      </c>
      <c r="F53" s="293">
        <v>4</v>
      </c>
      <c r="G53" s="293" t="s">
        <v>729</v>
      </c>
      <c r="H53" s="293" t="s">
        <v>145</v>
      </c>
      <c r="I53" s="294"/>
      <c r="J53" s="293"/>
      <c r="K53" s="294"/>
      <c r="L53" s="293"/>
      <c r="M53" s="294"/>
      <c r="N53" s="293"/>
      <c r="O53" s="294"/>
      <c r="P53" s="293"/>
      <c r="Q53" s="294"/>
      <c r="R53" s="313" t="s">
        <v>726</v>
      </c>
    </row>
    <row r="54" spans="1:18">
      <c r="A54" s="68">
        <v>53</v>
      </c>
      <c r="B54" s="64" t="s">
        <v>441</v>
      </c>
      <c r="C54" s="325" t="s">
        <v>4597</v>
      </c>
      <c r="D54" s="307" t="s">
        <v>4602</v>
      </c>
      <c r="E54" s="293" t="s">
        <v>711</v>
      </c>
      <c r="F54" s="293">
        <v>1</v>
      </c>
      <c r="G54" s="293">
        <v>0</v>
      </c>
      <c r="H54" s="293">
        <v>0</v>
      </c>
      <c r="I54" s="294" t="s">
        <v>4603</v>
      </c>
      <c r="J54" s="293">
        <v>1</v>
      </c>
      <c r="K54" s="294" t="s">
        <v>4604</v>
      </c>
      <c r="L54" s="293"/>
      <c r="M54" s="294"/>
      <c r="N54" s="293"/>
      <c r="O54" s="294"/>
      <c r="P54" s="293"/>
      <c r="Q54" s="294"/>
      <c r="R54" s="315" t="s">
        <v>726</v>
      </c>
    </row>
    <row r="55" spans="1:18">
      <c r="A55" s="68">
        <v>54</v>
      </c>
      <c r="B55" s="64" t="s">
        <v>457</v>
      </c>
      <c r="C55" s="325" t="s">
        <v>1730</v>
      </c>
      <c r="D55" s="307" t="s">
        <v>3104</v>
      </c>
      <c r="E55" s="293" t="s">
        <v>711</v>
      </c>
      <c r="F55" s="293">
        <v>1</v>
      </c>
      <c r="G55" s="293">
        <v>0</v>
      </c>
      <c r="H55" s="293">
        <v>0</v>
      </c>
      <c r="I55" s="294" t="s">
        <v>2624</v>
      </c>
      <c r="J55" s="293">
        <v>1</v>
      </c>
      <c r="K55" s="294" t="s">
        <v>3106</v>
      </c>
      <c r="L55" s="293">
        <v>2</v>
      </c>
      <c r="M55" s="294" t="s">
        <v>3105</v>
      </c>
      <c r="N55" s="293"/>
      <c r="O55" s="294"/>
      <c r="P55" s="293"/>
      <c r="Q55" s="294"/>
      <c r="R55" s="315" t="s">
        <v>726</v>
      </c>
    </row>
    <row r="56" spans="1:18">
      <c r="A56" s="68">
        <v>55</v>
      </c>
      <c r="B56" s="64" t="s">
        <v>673</v>
      </c>
      <c r="C56" s="325" t="s">
        <v>2838</v>
      </c>
      <c r="D56" s="307" t="s">
        <v>2623</v>
      </c>
      <c r="E56" s="293" t="s">
        <v>711</v>
      </c>
      <c r="F56" s="293">
        <v>1</v>
      </c>
      <c r="G56" s="293">
        <v>0</v>
      </c>
      <c r="H56" s="293">
        <v>0</v>
      </c>
      <c r="I56" s="294" t="s">
        <v>2624</v>
      </c>
      <c r="J56" s="293">
        <v>1</v>
      </c>
      <c r="K56" s="294" t="s">
        <v>2625</v>
      </c>
      <c r="L56" s="293">
        <v>2</v>
      </c>
      <c r="M56" s="294" t="s">
        <v>2626</v>
      </c>
      <c r="N56" s="293"/>
      <c r="O56" s="294"/>
      <c r="P56" s="293"/>
      <c r="Q56" s="294"/>
      <c r="R56" s="315" t="s">
        <v>726</v>
      </c>
    </row>
    <row r="57" spans="1:18">
      <c r="A57" s="68">
        <v>56</v>
      </c>
      <c r="B57" s="64" t="s">
        <v>442</v>
      </c>
      <c r="C57" s="325" t="s">
        <v>2735</v>
      </c>
      <c r="D57" s="321" t="s">
        <v>2627</v>
      </c>
      <c r="E57" s="293" t="s">
        <v>716</v>
      </c>
      <c r="F57" s="293">
        <v>64</v>
      </c>
      <c r="G57" s="311" t="s">
        <v>715</v>
      </c>
      <c r="H57" s="293" t="s">
        <v>145</v>
      </c>
      <c r="I57" s="294"/>
      <c r="J57" s="293"/>
      <c r="K57" s="294"/>
      <c r="L57" s="293"/>
      <c r="M57" s="294"/>
      <c r="N57" s="293"/>
      <c r="O57" s="294"/>
      <c r="P57" s="293"/>
      <c r="Q57" s="294"/>
      <c r="R57" s="315" t="s">
        <v>724</v>
      </c>
    </row>
    <row r="58" spans="1:18">
      <c r="A58" s="68">
        <v>57</v>
      </c>
      <c r="B58" s="64" t="s">
        <v>458</v>
      </c>
      <c r="C58" s="325" t="s">
        <v>1731</v>
      </c>
      <c r="D58" s="321" t="s">
        <v>2628</v>
      </c>
      <c r="E58" s="293" t="s">
        <v>716</v>
      </c>
      <c r="F58" s="293">
        <v>4</v>
      </c>
      <c r="G58" s="293" t="s">
        <v>729</v>
      </c>
      <c r="H58" s="293" t="s">
        <v>145</v>
      </c>
      <c r="I58" s="294"/>
      <c r="J58" s="293"/>
      <c r="K58" s="294"/>
      <c r="L58" s="293"/>
      <c r="M58" s="294"/>
      <c r="N58" s="293"/>
      <c r="O58" s="294"/>
      <c r="P58" s="293"/>
      <c r="Q58" s="294"/>
      <c r="R58" s="313" t="s">
        <v>726</v>
      </c>
    </row>
    <row r="59" spans="1:18">
      <c r="A59" s="68">
        <v>58</v>
      </c>
      <c r="B59" s="64" t="s">
        <v>443</v>
      </c>
      <c r="C59" s="325" t="s">
        <v>1732</v>
      </c>
      <c r="D59" s="321" t="s">
        <v>2629</v>
      </c>
      <c r="E59" s="293" t="s">
        <v>716</v>
      </c>
      <c r="F59" s="293">
        <v>256</v>
      </c>
      <c r="G59" s="293" t="s">
        <v>145</v>
      </c>
      <c r="H59" s="293" t="s">
        <v>145</v>
      </c>
      <c r="I59" s="294"/>
      <c r="J59" s="293"/>
      <c r="K59" s="294"/>
      <c r="L59" s="293"/>
      <c r="M59" s="294"/>
      <c r="N59" s="293"/>
      <c r="O59" s="294"/>
      <c r="P59" s="293"/>
      <c r="Q59" s="294"/>
      <c r="R59" s="313" t="s">
        <v>726</v>
      </c>
    </row>
    <row r="60" spans="1:18">
      <c r="A60" s="68">
        <v>59</v>
      </c>
      <c r="B60" s="64" t="s">
        <v>459</v>
      </c>
      <c r="C60" s="325" t="s">
        <v>2565</v>
      </c>
      <c r="D60" s="307" t="s">
        <v>2630</v>
      </c>
      <c r="E60" s="293" t="s">
        <v>711</v>
      </c>
      <c r="F60" s="293">
        <v>1</v>
      </c>
      <c r="G60" s="293">
        <v>0</v>
      </c>
      <c r="H60" s="293">
        <v>0</v>
      </c>
      <c r="I60" s="294" t="s">
        <v>2631</v>
      </c>
      <c r="J60" s="293">
        <v>1</v>
      </c>
      <c r="K60" s="294" t="s">
        <v>2632</v>
      </c>
      <c r="L60" s="293"/>
      <c r="M60" s="294"/>
      <c r="N60" s="293"/>
      <c r="O60" s="294"/>
      <c r="P60" s="293"/>
      <c r="Q60" s="294"/>
      <c r="R60" s="313" t="s">
        <v>726</v>
      </c>
    </row>
    <row r="61" spans="1:18">
      <c r="A61" s="68">
        <v>60</v>
      </c>
      <c r="B61" s="64" t="s">
        <v>444</v>
      </c>
      <c r="C61" s="325" t="s">
        <v>2734</v>
      </c>
      <c r="D61" s="307" t="s">
        <v>2633</v>
      </c>
      <c r="E61" s="293" t="s">
        <v>716</v>
      </c>
      <c r="F61" s="293">
        <v>64</v>
      </c>
      <c r="G61" s="311" t="s">
        <v>715</v>
      </c>
      <c r="H61" s="293" t="s">
        <v>145</v>
      </c>
      <c r="I61" s="294"/>
      <c r="J61" s="293"/>
      <c r="K61" s="294"/>
      <c r="L61" s="293"/>
      <c r="M61" s="294"/>
      <c r="N61" s="293"/>
      <c r="O61" s="294"/>
      <c r="P61" s="293"/>
      <c r="Q61" s="294"/>
      <c r="R61" s="315" t="s">
        <v>724</v>
      </c>
    </row>
    <row r="62" spans="1:18">
      <c r="A62" s="68">
        <v>61</v>
      </c>
      <c r="B62" s="64" t="s">
        <v>460</v>
      </c>
      <c r="C62" s="325" t="s">
        <v>5447</v>
      </c>
      <c r="D62" s="307" t="s">
        <v>5450</v>
      </c>
      <c r="E62" s="293" t="s">
        <v>711</v>
      </c>
      <c r="F62" s="293">
        <v>1</v>
      </c>
      <c r="G62" s="293">
        <v>0</v>
      </c>
      <c r="H62" s="293">
        <v>0</v>
      </c>
      <c r="I62" s="294" t="s">
        <v>5451</v>
      </c>
      <c r="J62" s="293">
        <v>1</v>
      </c>
      <c r="K62" s="294" t="s">
        <v>5452</v>
      </c>
      <c r="L62" s="293">
        <v>2</v>
      </c>
      <c r="M62" s="294" t="s">
        <v>5453</v>
      </c>
      <c r="N62" s="293">
        <v>3</v>
      </c>
      <c r="O62" s="294" t="s">
        <v>5454</v>
      </c>
      <c r="P62" s="293"/>
      <c r="Q62" s="294"/>
      <c r="R62" s="313" t="s">
        <v>726</v>
      </c>
    </row>
    <row r="63" spans="1:18">
      <c r="A63" s="68">
        <v>62</v>
      </c>
      <c r="B63" s="293" t="s">
        <v>445</v>
      </c>
      <c r="C63" s="325" t="s">
        <v>5448</v>
      </c>
      <c r="D63" s="307" t="s">
        <v>5455</v>
      </c>
      <c r="E63" s="293" t="s">
        <v>711</v>
      </c>
      <c r="F63" s="293">
        <v>1</v>
      </c>
      <c r="G63" s="293">
        <v>0</v>
      </c>
      <c r="H63" s="293">
        <v>0</v>
      </c>
      <c r="I63" s="294" t="s">
        <v>5456</v>
      </c>
      <c r="J63" s="293">
        <v>1</v>
      </c>
      <c r="K63" s="294" t="s">
        <v>5457</v>
      </c>
      <c r="L63" s="293"/>
      <c r="M63" s="294"/>
      <c r="N63" s="293"/>
      <c r="O63" s="294"/>
      <c r="P63" s="293"/>
      <c r="Q63" s="294"/>
      <c r="R63" s="313" t="s">
        <v>726</v>
      </c>
    </row>
    <row r="64" spans="1:18">
      <c r="A64" s="68">
        <v>63</v>
      </c>
      <c r="B64" s="293" t="s">
        <v>674</v>
      </c>
      <c r="C64" s="297" t="s">
        <v>4</v>
      </c>
      <c r="D64" s="307" t="s">
        <v>6142</v>
      </c>
      <c r="E64" s="293" t="s">
        <v>711</v>
      </c>
      <c r="F64" s="293">
        <v>12</v>
      </c>
      <c r="G64" s="312" t="s">
        <v>722</v>
      </c>
      <c r="H64" s="293" t="s">
        <v>145</v>
      </c>
      <c r="I64" s="294"/>
      <c r="J64" s="293"/>
      <c r="K64" s="294"/>
      <c r="L64" s="293"/>
      <c r="M64" s="294"/>
      <c r="N64" s="293"/>
      <c r="O64" s="294"/>
      <c r="P64" s="293"/>
      <c r="Q64" s="294"/>
      <c r="R64" s="310" t="s">
        <v>2637</v>
      </c>
    </row>
    <row r="65" spans="1:18">
      <c r="A65" s="68">
        <v>64</v>
      </c>
      <c r="B65" s="293" t="s">
        <v>675</v>
      </c>
      <c r="C65" s="825" t="s">
        <v>5468</v>
      </c>
      <c r="D65" s="307" t="s">
        <v>5476</v>
      </c>
      <c r="E65" s="293" t="s">
        <v>721</v>
      </c>
      <c r="F65" s="293">
        <v>5.0999999999999996</v>
      </c>
      <c r="G65" s="317" t="s">
        <v>2635</v>
      </c>
      <c r="H65" s="293" t="s">
        <v>145</v>
      </c>
      <c r="I65" s="294" t="s">
        <v>2562</v>
      </c>
      <c r="J65" s="293"/>
      <c r="K65" s="294"/>
      <c r="L65" s="293"/>
      <c r="M65" s="294"/>
      <c r="N65" s="293"/>
      <c r="O65" s="294"/>
      <c r="P65" s="293"/>
      <c r="Q65" s="294"/>
      <c r="R65" s="310" t="s">
        <v>2637</v>
      </c>
    </row>
    <row r="66" spans="1:18">
      <c r="A66" s="68">
        <v>65</v>
      </c>
      <c r="B66" s="293" t="s">
        <v>461</v>
      </c>
      <c r="C66" s="1237" t="s">
        <v>5626</v>
      </c>
      <c r="D66" s="307" t="s">
        <v>6143</v>
      </c>
      <c r="E66" s="293" t="s">
        <v>711</v>
      </c>
      <c r="F66" s="293">
        <v>12</v>
      </c>
      <c r="G66" s="312" t="s">
        <v>722</v>
      </c>
      <c r="H66" s="293" t="s">
        <v>145</v>
      </c>
      <c r="I66" s="294"/>
      <c r="J66" s="293"/>
      <c r="K66" s="294"/>
      <c r="L66" s="293"/>
      <c r="M66" s="294"/>
      <c r="N66" s="293"/>
      <c r="O66" s="294"/>
      <c r="P66" s="293"/>
      <c r="Q66" s="294"/>
      <c r="R66" s="310" t="s">
        <v>2637</v>
      </c>
    </row>
    <row r="67" spans="1:18">
      <c r="A67" s="68">
        <v>66</v>
      </c>
      <c r="B67" s="293" t="s">
        <v>463</v>
      </c>
      <c r="C67" s="1238" t="s">
        <v>5627</v>
      </c>
      <c r="D67" s="307" t="s">
        <v>6144</v>
      </c>
      <c r="E67" s="293" t="s">
        <v>711</v>
      </c>
      <c r="F67" s="293">
        <v>12</v>
      </c>
      <c r="G67" s="312" t="s">
        <v>722</v>
      </c>
      <c r="H67" s="293" t="s">
        <v>145</v>
      </c>
      <c r="I67" s="294"/>
      <c r="J67" s="293"/>
      <c r="K67" s="294"/>
      <c r="L67" s="293"/>
      <c r="M67" s="294"/>
      <c r="N67" s="293"/>
      <c r="O67" s="294"/>
      <c r="P67" s="293"/>
      <c r="Q67" s="294"/>
      <c r="R67" s="310" t="s">
        <v>2637</v>
      </c>
    </row>
    <row r="68" spans="1:18">
      <c r="A68" s="68">
        <v>67</v>
      </c>
      <c r="B68" s="293" t="s">
        <v>464</v>
      </c>
      <c r="C68" s="297" t="s">
        <v>4633</v>
      </c>
      <c r="D68" s="307" t="s">
        <v>6145</v>
      </c>
      <c r="E68" s="293" t="s">
        <v>711</v>
      </c>
      <c r="F68" s="293">
        <v>12</v>
      </c>
      <c r="G68" s="312" t="s">
        <v>722</v>
      </c>
      <c r="H68" s="293" t="s">
        <v>145</v>
      </c>
      <c r="I68" s="294"/>
      <c r="J68" s="293"/>
      <c r="K68" s="294"/>
      <c r="L68" s="293"/>
      <c r="M68" s="294"/>
      <c r="N68" s="293"/>
      <c r="O68" s="294"/>
      <c r="P68" s="293"/>
      <c r="Q68" s="294"/>
      <c r="R68" s="310" t="s">
        <v>2637</v>
      </c>
    </row>
    <row r="69" spans="1:18">
      <c r="A69" s="68">
        <v>68</v>
      </c>
      <c r="B69" s="293" t="s">
        <v>446</v>
      </c>
      <c r="C69" s="825" t="s">
        <v>6103</v>
      </c>
      <c r="D69" s="307" t="s">
        <v>6146</v>
      </c>
      <c r="E69" s="293" t="s">
        <v>721</v>
      </c>
      <c r="F69" s="293">
        <v>5.0999999999999996</v>
      </c>
      <c r="G69" s="317" t="s">
        <v>2635</v>
      </c>
      <c r="H69" s="293" t="s">
        <v>145</v>
      </c>
      <c r="I69" s="294" t="s">
        <v>2562</v>
      </c>
      <c r="J69" s="293"/>
      <c r="K69" s="294"/>
      <c r="L69" s="293"/>
      <c r="M69" s="294"/>
      <c r="N69" s="293"/>
      <c r="O69" s="294"/>
      <c r="P69" s="293"/>
      <c r="Q69" s="294"/>
      <c r="R69" s="310" t="s">
        <v>2637</v>
      </c>
    </row>
    <row r="70" spans="1:18">
      <c r="A70" s="68">
        <v>69</v>
      </c>
      <c r="B70" s="293" t="s">
        <v>676</v>
      </c>
      <c r="C70" s="1237" t="s">
        <v>5617</v>
      </c>
      <c r="D70" s="307" t="s">
        <v>6147</v>
      </c>
      <c r="E70" s="293" t="s">
        <v>711</v>
      </c>
      <c r="F70" s="293">
        <v>12</v>
      </c>
      <c r="G70" s="312" t="s">
        <v>722</v>
      </c>
      <c r="H70" s="293" t="s">
        <v>145</v>
      </c>
      <c r="I70" s="294"/>
      <c r="J70" s="293"/>
      <c r="K70" s="294"/>
      <c r="L70" s="293"/>
      <c r="M70" s="294"/>
      <c r="N70" s="293"/>
      <c r="O70" s="294"/>
      <c r="P70" s="293"/>
      <c r="Q70" s="294"/>
      <c r="R70" s="310" t="s">
        <v>2637</v>
      </c>
    </row>
    <row r="71" spans="1:18">
      <c r="A71" s="68">
        <v>70</v>
      </c>
      <c r="B71" s="293" t="s">
        <v>447</v>
      </c>
      <c r="C71" s="1238" t="s">
        <v>5620</v>
      </c>
      <c r="D71" s="307" t="s">
        <v>6148</v>
      </c>
      <c r="E71" s="293" t="s">
        <v>711</v>
      </c>
      <c r="F71" s="293">
        <v>12</v>
      </c>
      <c r="G71" s="312" t="s">
        <v>722</v>
      </c>
      <c r="H71" s="293" t="s">
        <v>145</v>
      </c>
      <c r="I71" s="294"/>
      <c r="J71" s="293"/>
      <c r="K71" s="294"/>
      <c r="L71" s="293"/>
      <c r="M71" s="294"/>
      <c r="N71" s="293"/>
      <c r="O71" s="294"/>
      <c r="P71" s="293"/>
      <c r="Q71" s="294"/>
      <c r="R71" s="310" t="s">
        <v>2637</v>
      </c>
    </row>
    <row r="72" spans="1:18">
      <c r="A72" s="68">
        <v>71</v>
      </c>
      <c r="B72" s="293" t="s">
        <v>465</v>
      </c>
      <c r="C72" s="297" t="s">
        <v>4634</v>
      </c>
      <c r="D72" s="307" t="s">
        <v>6153</v>
      </c>
      <c r="E72" s="293" t="s">
        <v>711</v>
      </c>
      <c r="F72" s="293">
        <v>12</v>
      </c>
      <c r="G72" s="312" t="s">
        <v>722</v>
      </c>
      <c r="H72" s="293" t="s">
        <v>145</v>
      </c>
      <c r="I72" s="294"/>
      <c r="J72" s="293"/>
      <c r="K72" s="294"/>
      <c r="L72" s="293"/>
      <c r="M72" s="294"/>
      <c r="N72" s="293"/>
      <c r="O72" s="294"/>
      <c r="P72" s="293"/>
      <c r="Q72" s="294"/>
      <c r="R72" s="310" t="s">
        <v>2637</v>
      </c>
    </row>
    <row r="73" spans="1:18">
      <c r="A73" s="68">
        <v>72</v>
      </c>
      <c r="B73" s="293" t="s">
        <v>448</v>
      </c>
      <c r="C73" s="825" t="s">
        <v>6104</v>
      </c>
      <c r="D73" s="307" t="s">
        <v>6154</v>
      </c>
      <c r="E73" s="293" t="s">
        <v>721</v>
      </c>
      <c r="F73" s="293">
        <v>5.0999999999999996</v>
      </c>
      <c r="G73" s="317" t="s">
        <v>2635</v>
      </c>
      <c r="H73" s="293" t="s">
        <v>145</v>
      </c>
      <c r="I73" s="294" t="s">
        <v>2562</v>
      </c>
      <c r="J73" s="293"/>
      <c r="K73" s="294"/>
      <c r="L73" s="293"/>
      <c r="M73" s="294"/>
      <c r="N73" s="293"/>
      <c r="O73" s="294"/>
      <c r="P73" s="293"/>
      <c r="Q73" s="294"/>
      <c r="R73" s="310" t="s">
        <v>2637</v>
      </c>
    </row>
    <row r="74" spans="1:18">
      <c r="A74" s="68">
        <v>73</v>
      </c>
      <c r="B74" s="293" t="s">
        <v>677</v>
      </c>
      <c r="C74" s="1237" t="s">
        <v>5618</v>
      </c>
      <c r="D74" s="307" t="s">
        <v>6155</v>
      </c>
      <c r="E74" s="293" t="s">
        <v>711</v>
      </c>
      <c r="F74" s="293">
        <v>12</v>
      </c>
      <c r="G74" s="312" t="s">
        <v>722</v>
      </c>
      <c r="H74" s="293" t="s">
        <v>145</v>
      </c>
      <c r="I74" s="294"/>
      <c r="J74" s="293"/>
      <c r="K74" s="294"/>
      <c r="L74" s="293"/>
      <c r="M74" s="294"/>
      <c r="N74" s="293"/>
      <c r="O74" s="294"/>
      <c r="P74" s="293"/>
      <c r="Q74" s="294"/>
      <c r="R74" s="310" t="s">
        <v>2637</v>
      </c>
    </row>
    <row r="75" spans="1:18">
      <c r="A75" s="68">
        <v>74</v>
      </c>
      <c r="B75" s="293" t="s">
        <v>450</v>
      </c>
      <c r="C75" s="1238" t="s">
        <v>5621</v>
      </c>
      <c r="D75" s="307" t="s">
        <v>6156</v>
      </c>
      <c r="E75" s="293" t="s">
        <v>711</v>
      </c>
      <c r="F75" s="293">
        <v>12</v>
      </c>
      <c r="G75" s="312" t="s">
        <v>722</v>
      </c>
      <c r="H75" s="293" t="s">
        <v>145</v>
      </c>
      <c r="I75" s="294"/>
      <c r="J75" s="293"/>
      <c r="K75" s="294"/>
      <c r="L75" s="293"/>
      <c r="M75" s="294"/>
      <c r="N75" s="293"/>
      <c r="O75" s="294"/>
      <c r="P75" s="293"/>
      <c r="Q75" s="294"/>
      <c r="R75" s="310" t="s">
        <v>2637</v>
      </c>
    </row>
    <row r="76" spans="1:18">
      <c r="A76" s="68">
        <v>75</v>
      </c>
      <c r="B76" s="293" t="s">
        <v>449</v>
      </c>
      <c r="C76" s="297" t="s">
        <v>4635</v>
      </c>
      <c r="D76" s="307" t="s">
        <v>6157</v>
      </c>
      <c r="E76" s="293" t="s">
        <v>711</v>
      </c>
      <c r="F76" s="293">
        <v>12</v>
      </c>
      <c r="G76" s="312" t="s">
        <v>722</v>
      </c>
      <c r="H76" s="293" t="s">
        <v>145</v>
      </c>
      <c r="I76" s="294"/>
      <c r="J76" s="293"/>
      <c r="K76" s="294"/>
      <c r="L76" s="293"/>
      <c r="M76" s="294"/>
      <c r="N76" s="293"/>
      <c r="O76" s="294"/>
      <c r="P76" s="293"/>
      <c r="Q76" s="294"/>
      <c r="R76" s="310" t="s">
        <v>2637</v>
      </c>
    </row>
    <row r="77" spans="1:18">
      <c r="A77" s="68">
        <v>76</v>
      </c>
      <c r="B77" s="293" t="s">
        <v>678</v>
      </c>
      <c r="C77" s="825" t="s">
        <v>6105</v>
      </c>
      <c r="D77" s="307" t="s">
        <v>6158</v>
      </c>
      <c r="E77" s="293" t="s">
        <v>721</v>
      </c>
      <c r="F77" s="293">
        <v>5.0999999999999996</v>
      </c>
      <c r="G77" s="317" t="s">
        <v>2635</v>
      </c>
      <c r="H77" s="293" t="s">
        <v>145</v>
      </c>
      <c r="I77" s="294" t="s">
        <v>2562</v>
      </c>
      <c r="J77" s="293"/>
      <c r="K77" s="294"/>
      <c r="L77" s="293"/>
      <c r="M77" s="294"/>
      <c r="N77" s="293"/>
      <c r="O77" s="294"/>
      <c r="P77" s="293"/>
      <c r="Q77" s="294"/>
      <c r="R77" s="310" t="s">
        <v>2637</v>
      </c>
    </row>
    <row r="78" spans="1:18">
      <c r="A78" s="68">
        <v>77</v>
      </c>
      <c r="B78" s="293" t="s">
        <v>451</v>
      </c>
      <c r="C78" s="1237" t="s">
        <v>5619</v>
      </c>
      <c r="D78" s="307" t="s">
        <v>6159</v>
      </c>
      <c r="E78" s="293" t="s">
        <v>711</v>
      </c>
      <c r="F78" s="293">
        <v>12</v>
      </c>
      <c r="G78" s="312" t="s">
        <v>722</v>
      </c>
      <c r="H78" s="293" t="s">
        <v>145</v>
      </c>
      <c r="I78" s="294"/>
      <c r="J78" s="293"/>
      <c r="K78" s="294"/>
      <c r="L78" s="293"/>
      <c r="M78" s="294"/>
      <c r="N78" s="293"/>
      <c r="O78" s="294"/>
      <c r="P78" s="293"/>
      <c r="Q78" s="294"/>
      <c r="R78" s="310" t="s">
        <v>2637</v>
      </c>
    </row>
    <row r="79" spans="1:18">
      <c r="A79" s="68">
        <v>78</v>
      </c>
      <c r="B79" s="293" t="s">
        <v>466</v>
      </c>
      <c r="C79" s="1238" t="s">
        <v>5622</v>
      </c>
      <c r="D79" s="307" t="s">
        <v>6160</v>
      </c>
      <c r="E79" s="293" t="s">
        <v>711</v>
      </c>
      <c r="F79" s="293">
        <v>12</v>
      </c>
      <c r="G79" s="312" t="s">
        <v>722</v>
      </c>
      <c r="H79" s="293" t="s">
        <v>145</v>
      </c>
      <c r="I79" s="294"/>
      <c r="J79" s="293"/>
      <c r="K79" s="294"/>
      <c r="L79" s="293"/>
      <c r="M79" s="294"/>
      <c r="N79" s="293"/>
      <c r="O79" s="294"/>
      <c r="P79" s="293"/>
      <c r="Q79" s="294"/>
      <c r="R79" s="310" t="s">
        <v>2637</v>
      </c>
    </row>
    <row r="80" spans="1:18">
      <c r="A80" s="68">
        <v>79</v>
      </c>
      <c r="B80" s="293" t="s">
        <v>467</v>
      </c>
      <c r="C80" s="297" t="s">
        <v>5723</v>
      </c>
      <c r="D80" s="307" t="s">
        <v>6149</v>
      </c>
      <c r="E80" s="293" t="s">
        <v>711</v>
      </c>
      <c r="F80" s="293">
        <v>12</v>
      </c>
      <c r="G80" s="312" t="s">
        <v>722</v>
      </c>
      <c r="H80" s="293" t="s">
        <v>145</v>
      </c>
      <c r="I80" s="294"/>
      <c r="J80" s="293"/>
      <c r="K80" s="294"/>
      <c r="L80" s="293"/>
      <c r="M80" s="294"/>
      <c r="N80" s="293"/>
      <c r="O80" s="294"/>
      <c r="P80" s="293"/>
      <c r="Q80" s="294"/>
      <c r="R80" s="310" t="s">
        <v>2637</v>
      </c>
    </row>
    <row r="81" spans="1:18">
      <c r="A81" s="68">
        <v>80</v>
      </c>
      <c r="B81" s="293" t="s">
        <v>679</v>
      </c>
      <c r="C81" s="825" t="s">
        <v>6106</v>
      </c>
      <c r="D81" s="307" t="s">
        <v>6150</v>
      </c>
      <c r="E81" s="293" t="s">
        <v>721</v>
      </c>
      <c r="F81" s="293">
        <v>5.0999999999999996</v>
      </c>
      <c r="G81" s="317" t="s">
        <v>2635</v>
      </c>
      <c r="H81" s="293" t="s">
        <v>145</v>
      </c>
      <c r="I81" s="294" t="s">
        <v>2562</v>
      </c>
      <c r="J81" s="293"/>
      <c r="K81" s="294"/>
      <c r="L81" s="293"/>
      <c r="M81" s="294"/>
      <c r="N81" s="293"/>
      <c r="O81" s="294"/>
      <c r="P81" s="293"/>
      <c r="Q81" s="294"/>
      <c r="R81" s="310" t="s">
        <v>2637</v>
      </c>
    </row>
    <row r="82" spans="1:18">
      <c r="A82" s="68">
        <v>81</v>
      </c>
      <c r="B82" s="293" t="s">
        <v>468</v>
      </c>
      <c r="C82" s="1237" t="s">
        <v>5724</v>
      </c>
      <c r="D82" s="307" t="s">
        <v>6151</v>
      </c>
      <c r="E82" s="293" t="s">
        <v>711</v>
      </c>
      <c r="F82" s="293">
        <v>12</v>
      </c>
      <c r="G82" s="312" t="s">
        <v>722</v>
      </c>
      <c r="H82" s="293" t="s">
        <v>145</v>
      </c>
      <c r="I82" s="294"/>
      <c r="J82" s="293"/>
      <c r="K82" s="294"/>
      <c r="L82" s="293"/>
      <c r="M82" s="294"/>
      <c r="N82" s="293"/>
      <c r="O82" s="294"/>
      <c r="P82" s="293"/>
      <c r="Q82" s="294"/>
      <c r="R82" s="310" t="s">
        <v>2637</v>
      </c>
    </row>
    <row r="83" spans="1:18">
      <c r="A83" s="68">
        <v>82</v>
      </c>
      <c r="B83" s="293" t="s">
        <v>647</v>
      </c>
      <c r="C83" s="1238" t="s">
        <v>5725</v>
      </c>
      <c r="D83" s="307" t="s">
        <v>6152</v>
      </c>
      <c r="E83" s="293" t="s">
        <v>711</v>
      </c>
      <c r="F83" s="293">
        <v>12</v>
      </c>
      <c r="G83" s="312" t="s">
        <v>722</v>
      </c>
      <c r="H83" s="293" t="s">
        <v>145</v>
      </c>
      <c r="I83" s="294"/>
      <c r="J83" s="293"/>
      <c r="K83" s="294"/>
      <c r="L83" s="293"/>
      <c r="M83" s="294"/>
      <c r="N83" s="293"/>
      <c r="O83" s="294"/>
      <c r="P83" s="293"/>
      <c r="Q83" s="294"/>
      <c r="R83" s="310" t="s">
        <v>2637</v>
      </c>
    </row>
    <row r="84" spans="1:18">
      <c r="A84" s="68">
        <v>83</v>
      </c>
      <c r="B84" s="293" t="s">
        <v>680</v>
      </c>
      <c r="C84" s="1240" t="s">
        <v>5666</v>
      </c>
      <c r="D84" s="307" t="s">
        <v>6161</v>
      </c>
      <c r="E84" s="293" t="s">
        <v>716</v>
      </c>
      <c r="F84" s="293">
        <v>4</v>
      </c>
      <c r="G84" s="293" t="s">
        <v>729</v>
      </c>
      <c r="H84" s="293" t="s">
        <v>145</v>
      </c>
      <c r="I84" s="294"/>
      <c r="J84" s="293"/>
      <c r="K84" s="294"/>
      <c r="L84" s="293"/>
      <c r="M84" s="294"/>
      <c r="N84" s="293"/>
      <c r="O84" s="294"/>
      <c r="P84" s="293"/>
      <c r="Q84" s="294"/>
      <c r="R84" s="313" t="s">
        <v>726</v>
      </c>
    </row>
    <row r="85" spans="1:18">
      <c r="A85" s="68">
        <v>84</v>
      </c>
      <c r="B85" s="293" t="s">
        <v>469</v>
      </c>
      <c r="C85" s="1241" t="s">
        <v>5629</v>
      </c>
      <c r="D85" s="307" t="s">
        <v>6162</v>
      </c>
      <c r="E85" s="293" t="s">
        <v>716</v>
      </c>
      <c r="F85" s="293">
        <v>64</v>
      </c>
      <c r="G85" s="311" t="s">
        <v>715</v>
      </c>
      <c r="H85" s="293" t="s">
        <v>145</v>
      </c>
      <c r="I85" s="294"/>
      <c r="J85" s="293"/>
      <c r="K85" s="294"/>
      <c r="L85" s="293"/>
      <c r="M85" s="294"/>
      <c r="N85" s="293"/>
      <c r="O85" s="294"/>
      <c r="P85" s="293"/>
      <c r="Q85" s="294"/>
      <c r="R85" s="313" t="s">
        <v>724</v>
      </c>
    </row>
    <row r="86" spans="1:18">
      <c r="A86" s="68">
        <v>85</v>
      </c>
      <c r="B86" s="293" t="s">
        <v>470</v>
      </c>
      <c r="C86" s="1242" t="s">
        <v>1611</v>
      </c>
      <c r="D86" s="307" t="s">
        <v>2639</v>
      </c>
      <c r="E86" s="293" t="s">
        <v>721</v>
      </c>
      <c r="F86" s="293">
        <v>5.0999999999999996</v>
      </c>
      <c r="G86" s="317" t="s">
        <v>2635</v>
      </c>
      <c r="H86" s="293" t="s">
        <v>145</v>
      </c>
      <c r="I86" s="294" t="s">
        <v>2562</v>
      </c>
      <c r="J86" s="293"/>
      <c r="K86" s="294"/>
      <c r="L86" s="293"/>
      <c r="M86" s="294"/>
      <c r="N86" s="293"/>
      <c r="O86" s="294"/>
      <c r="P86" s="293"/>
      <c r="Q86" s="294"/>
      <c r="R86" s="310" t="s">
        <v>6163</v>
      </c>
    </row>
    <row r="87" spans="1:18">
      <c r="A87" s="68">
        <v>86</v>
      </c>
      <c r="B87" s="293" t="s">
        <v>471</v>
      </c>
      <c r="C87" s="1243" t="s">
        <v>5470</v>
      </c>
      <c r="D87" s="307" t="s">
        <v>2641</v>
      </c>
      <c r="E87" s="293" t="s">
        <v>721</v>
      </c>
      <c r="F87" s="293">
        <v>5.0999999999999996</v>
      </c>
      <c r="G87" s="317" t="s">
        <v>2635</v>
      </c>
      <c r="H87" s="293" t="s">
        <v>145</v>
      </c>
      <c r="I87" s="294" t="s">
        <v>2562</v>
      </c>
      <c r="J87" s="293"/>
      <c r="K87" s="294"/>
      <c r="L87" s="293"/>
      <c r="M87" s="294"/>
      <c r="N87" s="293"/>
      <c r="O87" s="294"/>
      <c r="P87" s="293"/>
      <c r="Q87" s="294"/>
      <c r="R87" s="310" t="s">
        <v>6163</v>
      </c>
    </row>
    <row r="88" spans="1:18">
      <c r="A88" s="68">
        <v>87</v>
      </c>
      <c r="B88" s="293" t="s">
        <v>472</v>
      </c>
      <c r="C88" s="1244" t="s">
        <v>5469</v>
      </c>
      <c r="D88" s="307" t="s">
        <v>2640</v>
      </c>
      <c r="E88" s="293" t="s">
        <v>721</v>
      </c>
      <c r="F88" s="293">
        <v>5.0999999999999996</v>
      </c>
      <c r="G88" s="317" t="s">
        <v>2635</v>
      </c>
      <c r="H88" s="293" t="s">
        <v>145</v>
      </c>
      <c r="I88" s="294" t="s">
        <v>2562</v>
      </c>
      <c r="J88" s="293"/>
      <c r="K88" s="294"/>
      <c r="L88" s="293"/>
      <c r="M88" s="294"/>
      <c r="N88" s="293"/>
      <c r="O88" s="294"/>
      <c r="P88" s="293"/>
      <c r="Q88" s="294"/>
      <c r="R88" s="310" t="s">
        <v>6163</v>
      </c>
    </row>
    <row r="89" spans="1:18">
      <c r="A89" s="68">
        <v>88</v>
      </c>
      <c r="B89" s="293" t="s">
        <v>681</v>
      </c>
      <c r="C89" s="1242" t="s">
        <v>1623</v>
      </c>
      <c r="D89" s="307" t="s">
        <v>2642</v>
      </c>
      <c r="E89" s="293" t="s">
        <v>721</v>
      </c>
      <c r="F89" s="293">
        <v>5.0999999999999996</v>
      </c>
      <c r="G89" s="317" t="s">
        <v>2635</v>
      </c>
      <c r="H89" s="293" t="s">
        <v>145</v>
      </c>
      <c r="I89" s="294" t="s">
        <v>2562</v>
      </c>
      <c r="J89" s="293"/>
      <c r="K89" s="294"/>
      <c r="L89" s="293"/>
      <c r="M89" s="294"/>
      <c r="N89" s="293"/>
      <c r="O89" s="294"/>
      <c r="P89" s="293"/>
      <c r="Q89" s="294"/>
      <c r="R89" s="310" t="s">
        <v>6163</v>
      </c>
    </row>
    <row r="90" spans="1:18">
      <c r="A90" s="68">
        <v>89</v>
      </c>
      <c r="B90" s="293" t="s">
        <v>473</v>
      </c>
      <c r="C90" s="1242" t="s">
        <v>1624</v>
      </c>
      <c r="D90" s="307" t="s">
        <v>2643</v>
      </c>
      <c r="E90" s="293" t="s">
        <v>721</v>
      </c>
      <c r="F90" s="293">
        <v>5.0999999999999996</v>
      </c>
      <c r="G90" s="317" t="s">
        <v>2635</v>
      </c>
      <c r="H90" s="293" t="s">
        <v>145</v>
      </c>
      <c r="I90" s="294" t="s">
        <v>2562</v>
      </c>
      <c r="J90" s="293"/>
      <c r="K90" s="294"/>
      <c r="L90" s="293"/>
      <c r="M90" s="294"/>
      <c r="N90" s="293"/>
      <c r="O90" s="294"/>
      <c r="P90" s="293"/>
      <c r="Q90" s="294"/>
      <c r="R90" s="310" t="s">
        <v>6163</v>
      </c>
    </row>
    <row r="91" spans="1:18">
      <c r="A91" s="68">
        <v>90</v>
      </c>
      <c r="B91" s="293" t="s">
        <v>475</v>
      </c>
      <c r="C91" s="1245" t="s">
        <v>1625</v>
      </c>
      <c r="D91" s="307" t="s">
        <v>2644</v>
      </c>
      <c r="E91" s="293" t="s">
        <v>716</v>
      </c>
      <c r="F91" s="293">
        <v>4</v>
      </c>
      <c r="G91" s="293" t="s">
        <v>729</v>
      </c>
      <c r="H91" s="293" t="s">
        <v>145</v>
      </c>
      <c r="I91" s="294"/>
      <c r="J91" s="293"/>
      <c r="K91" s="294"/>
      <c r="L91" s="293"/>
      <c r="M91" s="294"/>
      <c r="N91" s="293"/>
      <c r="O91" s="294"/>
      <c r="P91" s="293"/>
      <c r="Q91" s="294"/>
      <c r="R91" s="310" t="s">
        <v>6163</v>
      </c>
    </row>
    <row r="92" spans="1:18">
      <c r="A92" s="68">
        <v>91</v>
      </c>
      <c r="B92" s="293" t="s">
        <v>476</v>
      </c>
      <c r="C92" s="1245" t="s">
        <v>5628</v>
      </c>
      <c r="D92" s="307" t="s">
        <v>6164</v>
      </c>
      <c r="E92" s="293" t="s">
        <v>716</v>
      </c>
      <c r="F92" s="293">
        <v>64</v>
      </c>
      <c r="G92" s="311" t="s">
        <v>715</v>
      </c>
      <c r="H92" s="293" t="s">
        <v>145</v>
      </c>
      <c r="I92" s="294"/>
      <c r="J92" s="293"/>
      <c r="K92" s="294"/>
      <c r="L92" s="293"/>
      <c r="M92" s="294"/>
      <c r="N92" s="293"/>
      <c r="O92" s="294"/>
      <c r="P92" s="293"/>
      <c r="Q92" s="294"/>
      <c r="R92" s="313" t="s">
        <v>724</v>
      </c>
    </row>
    <row r="93" spans="1:18">
      <c r="A93" s="68">
        <v>92</v>
      </c>
      <c r="B93" s="1239" t="s">
        <v>477</v>
      </c>
      <c r="C93" s="1246" t="s">
        <v>5633</v>
      </c>
      <c r="D93" s="321" t="s">
        <v>6165</v>
      </c>
      <c r="E93" s="293" t="s">
        <v>721</v>
      </c>
      <c r="F93" s="293">
        <v>12</v>
      </c>
      <c r="G93" s="312" t="s">
        <v>722</v>
      </c>
      <c r="H93" s="293" t="s">
        <v>145</v>
      </c>
      <c r="I93" s="294"/>
      <c r="J93" s="316"/>
      <c r="K93" s="307"/>
      <c r="L93" s="316"/>
      <c r="M93" s="307"/>
      <c r="N93" s="316"/>
      <c r="O93" s="307"/>
      <c r="P93" s="316"/>
      <c r="Q93" s="307"/>
      <c r="R93" s="315" t="s">
        <v>3097</v>
      </c>
    </row>
    <row r="94" spans="1:18">
      <c r="A94" s="68">
        <v>93</v>
      </c>
      <c r="B94" s="1239" t="s">
        <v>478</v>
      </c>
      <c r="C94" s="1246" t="s">
        <v>5726</v>
      </c>
      <c r="D94" s="321" t="s">
        <v>6166</v>
      </c>
      <c r="E94" s="293" t="s">
        <v>721</v>
      </c>
      <c r="F94" s="293">
        <v>5.0999999999999996</v>
      </c>
      <c r="G94" s="317" t="s">
        <v>2635</v>
      </c>
      <c r="H94" s="293" t="s">
        <v>145</v>
      </c>
      <c r="I94" s="294" t="s">
        <v>2562</v>
      </c>
      <c r="J94" s="316"/>
      <c r="K94" s="307"/>
      <c r="L94" s="316"/>
      <c r="M94" s="307"/>
      <c r="N94" s="316"/>
      <c r="O94" s="307"/>
      <c r="P94" s="316"/>
      <c r="Q94" s="307"/>
      <c r="R94" s="315" t="s">
        <v>731</v>
      </c>
    </row>
    <row r="95" spans="1:18">
      <c r="A95" s="68">
        <v>94</v>
      </c>
      <c r="B95" s="1239" t="s">
        <v>682</v>
      </c>
      <c r="C95" s="1247" t="s">
        <v>5701</v>
      </c>
      <c r="D95" s="321" t="s">
        <v>6167</v>
      </c>
      <c r="E95" s="293" t="s">
        <v>721</v>
      </c>
      <c r="F95" s="293">
        <v>12</v>
      </c>
      <c r="G95" s="312" t="s">
        <v>722</v>
      </c>
      <c r="H95" s="293" t="s">
        <v>145</v>
      </c>
      <c r="I95" s="294"/>
      <c r="J95" s="293"/>
      <c r="K95" s="294"/>
      <c r="L95" s="293"/>
      <c r="M95" s="294"/>
      <c r="N95" s="293"/>
      <c r="O95" s="294"/>
      <c r="P95" s="293"/>
      <c r="Q95" s="294"/>
      <c r="R95" s="315" t="s">
        <v>3097</v>
      </c>
    </row>
    <row r="96" spans="1:18">
      <c r="A96" s="68">
        <v>95</v>
      </c>
      <c r="B96" s="1239" t="s">
        <v>683</v>
      </c>
      <c r="C96" s="1248" t="s">
        <v>5702</v>
      </c>
      <c r="D96" s="321" t="s">
        <v>6168</v>
      </c>
      <c r="E96" s="293" t="s">
        <v>721</v>
      </c>
      <c r="F96" s="293">
        <v>12</v>
      </c>
      <c r="G96" s="312" t="s">
        <v>722</v>
      </c>
      <c r="H96" s="293" t="s">
        <v>145</v>
      </c>
      <c r="I96" s="294"/>
      <c r="J96" s="293"/>
      <c r="K96" s="294"/>
      <c r="L96" s="293"/>
      <c r="M96" s="294"/>
      <c r="N96" s="293"/>
      <c r="O96" s="294"/>
      <c r="P96" s="293"/>
      <c r="Q96" s="294"/>
      <c r="R96" s="315" t="s">
        <v>3097</v>
      </c>
    </row>
    <row r="97" spans="1:18">
      <c r="A97" s="68">
        <v>96</v>
      </c>
      <c r="B97" s="1239" t="s">
        <v>479</v>
      </c>
      <c r="C97" s="1249" t="s">
        <v>5667</v>
      </c>
      <c r="D97" s="307" t="s">
        <v>6169</v>
      </c>
      <c r="E97" s="293" t="s">
        <v>716</v>
      </c>
      <c r="F97" s="293">
        <v>4</v>
      </c>
      <c r="G97" s="293" t="s">
        <v>729</v>
      </c>
      <c r="H97" s="293" t="s">
        <v>145</v>
      </c>
      <c r="I97" s="294"/>
      <c r="J97" s="293"/>
      <c r="K97" s="294"/>
      <c r="L97" s="293"/>
      <c r="M97" s="294"/>
      <c r="N97" s="293"/>
      <c r="O97" s="294"/>
      <c r="P97" s="293"/>
      <c r="Q97" s="294"/>
      <c r="R97" s="315" t="s">
        <v>726</v>
      </c>
    </row>
    <row r="98" spans="1:18">
      <c r="A98" s="68">
        <v>97</v>
      </c>
      <c r="B98" s="1239" t="s">
        <v>325</v>
      </c>
      <c r="C98" s="1249" t="s">
        <v>5634</v>
      </c>
      <c r="D98" s="307" t="s">
        <v>6170</v>
      </c>
      <c r="E98" s="293" t="s">
        <v>716</v>
      </c>
      <c r="F98" s="293">
        <v>64</v>
      </c>
      <c r="G98" s="311" t="s">
        <v>715</v>
      </c>
      <c r="H98" s="293" t="s">
        <v>145</v>
      </c>
      <c r="I98" s="294"/>
      <c r="J98" s="293"/>
      <c r="K98" s="294"/>
      <c r="L98" s="293"/>
      <c r="M98" s="294"/>
      <c r="N98" s="293"/>
      <c r="O98" s="294"/>
      <c r="P98" s="293"/>
      <c r="Q98" s="294"/>
      <c r="R98" s="315" t="s">
        <v>724</v>
      </c>
    </row>
    <row r="99" spans="1:18">
      <c r="A99" s="68">
        <v>98</v>
      </c>
      <c r="B99" s="1239" t="s">
        <v>684</v>
      </c>
      <c r="C99" s="1249" t="s">
        <v>2103</v>
      </c>
      <c r="D99" s="321" t="s">
        <v>2604</v>
      </c>
      <c r="E99" s="293" t="s">
        <v>711</v>
      </c>
      <c r="F99" s="293">
        <v>2</v>
      </c>
      <c r="G99" s="308" t="s">
        <v>3893</v>
      </c>
      <c r="H99" s="293" t="s">
        <v>145</v>
      </c>
      <c r="I99" s="294"/>
      <c r="J99" s="293"/>
      <c r="K99" s="294"/>
      <c r="L99" s="293"/>
      <c r="M99" s="294"/>
      <c r="N99" s="293"/>
      <c r="O99" s="294"/>
      <c r="P99" s="293"/>
      <c r="Q99" s="294"/>
      <c r="R99" s="315" t="s">
        <v>724</v>
      </c>
    </row>
    <row r="100" spans="1:18">
      <c r="A100" s="68">
        <v>99</v>
      </c>
      <c r="B100" s="1239" t="s">
        <v>480</v>
      </c>
      <c r="C100" s="1249" t="s">
        <v>5779</v>
      </c>
      <c r="D100" s="321" t="s">
        <v>6171</v>
      </c>
      <c r="E100" s="293" t="s">
        <v>711</v>
      </c>
      <c r="F100" s="293">
        <v>2</v>
      </c>
      <c r="G100" s="308" t="s">
        <v>3893</v>
      </c>
      <c r="H100" s="293" t="s">
        <v>145</v>
      </c>
      <c r="I100" s="294"/>
      <c r="J100" s="293"/>
      <c r="K100" s="294"/>
      <c r="L100" s="293"/>
      <c r="M100" s="294"/>
      <c r="N100" s="293"/>
      <c r="O100" s="294"/>
      <c r="P100" s="293"/>
      <c r="Q100" s="294"/>
      <c r="R100" s="315" t="s">
        <v>724</v>
      </c>
    </row>
    <row r="101" spans="1:18">
      <c r="A101" s="68">
        <v>100</v>
      </c>
      <c r="B101" s="1239" t="s">
        <v>481</v>
      </c>
      <c r="C101" s="1250" t="s">
        <v>5846</v>
      </c>
      <c r="D101" s="321" t="s">
        <v>6172</v>
      </c>
      <c r="E101" s="293" t="s">
        <v>716</v>
      </c>
      <c r="F101" s="293">
        <v>6</v>
      </c>
      <c r="G101" s="293" t="s">
        <v>6173</v>
      </c>
      <c r="H101" s="293" t="s">
        <v>145</v>
      </c>
      <c r="I101" s="294"/>
      <c r="J101" s="293"/>
      <c r="K101" s="294"/>
      <c r="L101" s="293"/>
      <c r="M101" s="294"/>
      <c r="N101" s="293"/>
      <c r="O101" s="294"/>
      <c r="P101" s="293"/>
      <c r="Q101" s="294"/>
      <c r="R101" s="310" t="s">
        <v>6175</v>
      </c>
    </row>
    <row r="102" spans="1:18">
      <c r="A102" s="68">
        <v>101</v>
      </c>
      <c r="B102" s="1239" t="s">
        <v>685</v>
      </c>
      <c r="C102" s="1251" t="s">
        <v>5847</v>
      </c>
      <c r="D102" s="321" t="s">
        <v>6174</v>
      </c>
      <c r="E102" s="293" t="s">
        <v>721</v>
      </c>
      <c r="F102" s="293">
        <v>12</v>
      </c>
      <c r="G102" s="312" t="s">
        <v>722</v>
      </c>
      <c r="H102" s="293" t="s">
        <v>145</v>
      </c>
      <c r="I102" s="294"/>
      <c r="J102" s="293"/>
      <c r="K102" s="294"/>
      <c r="L102" s="293"/>
      <c r="M102" s="294"/>
      <c r="N102" s="293"/>
      <c r="O102" s="294"/>
      <c r="P102" s="293"/>
      <c r="Q102" s="294"/>
      <c r="R102" s="310" t="s">
        <v>6175</v>
      </c>
    </row>
    <row r="103" spans="1:18">
      <c r="A103" s="68">
        <v>102</v>
      </c>
      <c r="B103" s="1239" t="s">
        <v>482</v>
      </c>
      <c r="C103" s="1255" t="s">
        <v>5968</v>
      </c>
      <c r="D103" s="321" t="s">
        <v>6177</v>
      </c>
      <c r="E103" s="293" t="s">
        <v>721</v>
      </c>
      <c r="F103" s="293">
        <v>12</v>
      </c>
      <c r="G103" s="312" t="s">
        <v>722</v>
      </c>
      <c r="H103" s="293" t="s">
        <v>145</v>
      </c>
      <c r="I103" s="294"/>
      <c r="J103" s="293"/>
      <c r="K103" s="294"/>
      <c r="L103" s="293"/>
      <c r="M103" s="294"/>
      <c r="N103" s="293"/>
      <c r="O103" s="294"/>
      <c r="P103" s="293"/>
      <c r="Q103" s="294"/>
      <c r="R103" s="310" t="s">
        <v>6175</v>
      </c>
    </row>
    <row r="104" spans="1:18">
      <c r="A104" s="68">
        <v>103</v>
      </c>
      <c r="B104" s="1239" t="s">
        <v>483</v>
      </c>
      <c r="C104" s="1251" t="s">
        <v>5848</v>
      </c>
      <c r="D104" s="321" t="s">
        <v>6176</v>
      </c>
      <c r="E104" s="293" t="s">
        <v>721</v>
      </c>
      <c r="F104" s="293">
        <v>12</v>
      </c>
      <c r="G104" s="312" t="s">
        <v>722</v>
      </c>
      <c r="H104" s="293" t="s">
        <v>145</v>
      </c>
      <c r="I104" s="294"/>
      <c r="J104" s="293"/>
      <c r="K104" s="294"/>
      <c r="L104" s="293"/>
      <c r="M104" s="294"/>
      <c r="N104" s="293"/>
      <c r="O104" s="294"/>
      <c r="P104" s="293"/>
      <c r="Q104" s="294"/>
      <c r="R104" s="310" t="s">
        <v>6175</v>
      </c>
    </row>
    <row r="105" spans="1:18">
      <c r="A105" s="68">
        <v>104</v>
      </c>
      <c r="B105" s="1239" t="s">
        <v>484</v>
      </c>
      <c r="C105" s="1252" t="s">
        <v>5664</v>
      </c>
      <c r="D105" s="321" t="s">
        <v>6178</v>
      </c>
      <c r="E105" s="293" t="s">
        <v>711</v>
      </c>
      <c r="F105" s="293">
        <v>1</v>
      </c>
      <c r="G105" s="293">
        <v>0</v>
      </c>
      <c r="H105" s="293">
        <v>0</v>
      </c>
      <c r="I105" s="294" t="s">
        <v>6179</v>
      </c>
      <c r="J105" s="293">
        <v>1</v>
      </c>
      <c r="K105" s="294" t="s">
        <v>6180</v>
      </c>
      <c r="L105" s="293">
        <v>2</v>
      </c>
      <c r="M105" s="294" t="s">
        <v>6181</v>
      </c>
      <c r="N105" s="293">
        <v>3</v>
      </c>
      <c r="O105" s="294" t="s">
        <v>6182</v>
      </c>
      <c r="P105" s="293"/>
      <c r="Q105" s="294"/>
      <c r="R105" s="315" t="s">
        <v>726</v>
      </c>
    </row>
    <row r="106" spans="1:18">
      <c r="A106" s="68">
        <v>105</v>
      </c>
      <c r="B106" s="1239" t="s">
        <v>686</v>
      </c>
      <c r="C106" s="1253" t="s">
        <v>5747</v>
      </c>
      <c r="D106" s="321" t="s">
        <v>6183</v>
      </c>
      <c r="E106" s="293" t="s">
        <v>711</v>
      </c>
      <c r="F106" s="293">
        <v>1</v>
      </c>
      <c r="G106" s="293">
        <v>0</v>
      </c>
      <c r="H106" s="293">
        <v>0</v>
      </c>
      <c r="I106" s="294" t="s">
        <v>6184</v>
      </c>
      <c r="J106" s="293"/>
      <c r="K106" s="294"/>
      <c r="L106" s="293"/>
      <c r="M106" s="294"/>
      <c r="N106" s="293"/>
      <c r="O106" s="294"/>
      <c r="P106" s="293"/>
      <c r="Q106" s="294"/>
      <c r="R106" s="315" t="s">
        <v>726</v>
      </c>
    </row>
    <row r="107" spans="1:18">
      <c r="A107" s="68">
        <v>106</v>
      </c>
      <c r="B107" s="1239" t="s">
        <v>687</v>
      </c>
      <c r="C107" s="1254" t="s">
        <v>5663</v>
      </c>
      <c r="D107" s="321" t="s">
        <v>6186</v>
      </c>
      <c r="E107" s="293" t="s">
        <v>716</v>
      </c>
      <c r="F107" s="293">
        <v>2</v>
      </c>
      <c r="G107" s="293" t="s">
        <v>422</v>
      </c>
      <c r="H107" s="293" t="s">
        <v>145</v>
      </c>
      <c r="I107" s="294"/>
      <c r="J107" s="293"/>
      <c r="K107" s="294"/>
      <c r="L107" s="293"/>
      <c r="M107" s="294"/>
      <c r="N107" s="293"/>
      <c r="O107" s="294"/>
      <c r="P107" s="293"/>
      <c r="Q107" s="294"/>
      <c r="R107" s="315" t="s">
        <v>726</v>
      </c>
    </row>
    <row r="108" spans="1:18">
      <c r="A108" s="68">
        <v>107</v>
      </c>
      <c r="B108" s="1239" t="s">
        <v>688</v>
      </c>
      <c r="C108" s="1256" t="s">
        <v>6101</v>
      </c>
      <c r="D108" s="321" t="s">
        <v>6185</v>
      </c>
      <c r="E108" s="293" t="s">
        <v>716</v>
      </c>
      <c r="F108" s="293">
        <v>1</v>
      </c>
      <c r="G108" s="293" t="s">
        <v>320</v>
      </c>
      <c r="H108" s="293" t="s">
        <v>145</v>
      </c>
      <c r="I108" s="294"/>
      <c r="J108" s="293"/>
      <c r="K108" s="294"/>
      <c r="L108" s="293"/>
      <c r="M108" s="294"/>
      <c r="N108" s="293"/>
      <c r="O108" s="294"/>
      <c r="P108" s="293"/>
      <c r="Q108" s="294"/>
      <c r="R108" s="315" t="s">
        <v>726</v>
      </c>
    </row>
    <row r="109" spans="1:18">
      <c r="A109" s="68">
        <v>108</v>
      </c>
      <c r="B109" s="64" t="s">
        <v>689</v>
      </c>
      <c r="C109" s="1257" t="s">
        <v>5674</v>
      </c>
      <c r="D109" s="321" t="s">
        <v>6187</v>
      </c>
      <c r="E109" s="293" t="s">
        <v>721</v>
      </c>
      <c r="F109" s="293">
        <v>12</v>
      </c>
      <c r="G109" s="312" t="s">
        <v>722</v>
      </c>
      <c r="H109" s="293" t="s">
        <v>145</v>
      </c>
      <c r="I109" s="294"/>
      <c r="J109" s="293"/>
      <c r="K109" s="294"/>
      <c r="L109" s="293"/>
      <c r="M109" s="294"/>
      <c r="N109" s="293"/>
      <c r="O109" s="294"/>
      <c r="P109" s="293"/>
      <c r="Q109" s="294"/>
      <c r="R109" s="315" t="s">
        <v>731</v>
      </c>
    </row>
    <row r="110" spans="1:18">
      <c r="A110" s="68">
        <v>109</v>
      </c>
      <c r="B110" s="64" t="s">
        <v>485</v>
      </c>
      <c r="C110" s="1258" t="s">
        <v>6100</v>
      </c>
      <c r="D110" s="321" t="s">
        <v>6189</v>
      </c>
      <c r="E110" s="293" t="s">
        <v>721</v>
      </c>
      <c r="F110" s="293">
        <v>5.0999999999999996</v>
      </c>
      <c r="G110" s="317" t="s">
        <v>2635</v>
      </c>
      <c r="H110" s="293" t="s">
        <v>145</v>
      </c>
      <c r="I110" s="294" t="s">
        <v>2562</v>
      </c>
      <c r="J110" s="293"/>
      <c r="K110" s="294"/>
      <c r="L110" s="293"/>
      <c r="M110" s="294"/>
      <c r="N110" s="293"/>
      <c r="O110" s="294"/>
      <c r="P110" s="293"/>
      <c r="Q110" s="294"/>
      <c r="R110" s="315" t="s">
        <v>731</v>
      </c>
    </row>
    <row r="111" spans="1:18">
      <c r="A111" s="68">
        <v>110</v>
      </c>
      <c r="B111" s="64" t="s">
        <v>690</v>
      </c>
      <c r="C111" s="1258" t="s">
        <v>5675</v>
      </c>
      <c r="D111" s="321" t="s">
        <v>6188</v>
      </c>
      <c r="E111" s="293" t="s">
        <v>721</v>
      </c>
      <c r="F111" s="293">
        <v>5.0999999999999996</v>
      </c>
      <c r="G111" s="317" t="s">
        <v>2635</v>
      </c>
      <c r="H111" s="293" t="s">
        <v>145</v>
      </c>
      <c r="I111" s="294" t="s">
        <v>2562</v>
      </c>
      <c r="J111" s="293"/>
      <c r="K111" s="294"/>
      <c r="L111" s="293"/>
      <c r="M111" s="294"/>
      <c r="N111" s="293"/>
      <c r="O111" s="294"/>
      <c r="P111" s="293"/>
      <c r="Q111" s="294"/>
      <c r="R111" s="315" t="s">
        <v>731</v>
      </c>
    </row>
    <row r="112" spans="1:18">
      <c r="A112" s="68">
        <v>111</v>
      </c>
      <c r="B112" s="64" t="s">
        <v>691</v>
      </c>
      <c r="C112" s="1237" t="s">
        <v>5676</v>
      </c>
      <c r="D112" s="321" t="s">
        <v>6190</v>
      </c>
      <c r="E112" s="293" t="s">
        <v>721</v>
      </c>
      <c r="F112" s="293">
        <v>12</v>
      </c>
      <c r="G112" s="312" t="s">
        <v>722</v>
      </c>
      <c r="H112" s="293" t="s">
        <v>145</v>
      </c>
      <c r="I112" s="294"/>
      <c r="J112" s="293"/>
      <c r="K112" s="294"/>
      <c r="L112" s="293"/>
      <c r="M112" s="294"/>
      <c r="N112" s="293"/>
      <c r="O112" s="294"/>
      <c r="P112" s="293"/>
      <c r="Q112" s="294"/>
      <c r="R112" s="315" t="s">
        <v>731</v>
      </c>
    </row>
    <row r="113" spans="1:18">
      <c r="A113" s="68">
        <v>112</v>
      </c>
      <c r="B113" s="64" t="s">
        <v>692</v>
      </c>
      <c r="C113" s="1238" t="s">
        <v>5677</v>
      </c>
      <c r="D113" s="321" t="s">
        <v>6191</v>
      </c>
      <c r="E113" s="293" t="s">
        <v>721</v>
      </c>
      <c r="F113" s="293">
        <v>12</v>
      </c>
      <c r="G113" s="312" t="s">
        <v>722</v>
      </c>
      <c r="H113" s="293" t="s">
        <v>145</v>
      </c>
      <c r="I113" s="294"/>
      <c r="J113" s="293"/>
      <c r="K113" s="294"/>
      <c r="L113" s="293"/>
      <c r="M113" s="294"/>
      <c r="N113" s="293"/>
      <c r="O113" s="294"/>
      <c r="P113" s="293"/>
      <c r="Q113" s="294"/>
      <c r="R113" s="315" t="s">
        <v>731</v>
      </c>
    </row>
    <row r="114" spans="1:18">
      <c r="A114" s="68">
        <v>113</v>
      </c>
      <c r="B114" s="64" t="s">
        <v>693</v>
      </c>
      <c r="C114" s="1258" t="s">
        <v>5678</v>
      </c>
      <c r="D114" s="321" t="s">
        <v>6192</v>
      </c>
      <c r="E114" s="293" t="s">
        <v>721</v>
      </c>
      <c r="F114" s="293">
        <v>5.0999999999999996</v>
      </c>
      <c r="G114" s="317" t="s">
        <v>2635</v>
      </c>
      <c r="H114" s="293" t="s">
        <v>145</v>
      </c>
      <c r="I114" s="294" t="s">
        <v>2562</v>
      </c>
      <c r="J114" s="293"/>
      <c r="K114" s="294"/>
      <c r="L114" s="293"/>
      <c r="M114" s="294"/>
      <c r="N114" s="293"/>
      <c r="O114" s="294"/>
      <c r="P114" s="293"/>
      <c r="Q114" s="294"/>
      <c r="R114" s="315" t="s">
        <v>731</v>
      </c>
    </row>
    <row r="115" spans="1:18">
      <c r="A115" s="68">
        <v>114</v>
      </c>
      <c r="B115" s="64" t="s">
        <v>486</v>
      </c>
      <c r="C115" s="1258" t="s">
        <v>5679</v>
      </c>
      <c r="D115" s="321" t="s">
        <v>6193</v>
      </c>
      <c r="E115" s="293" t="s">
        <v>721</v>
      </c>
      <c r="F115" s="293">
        <v>5.0999999999999996</v>
      </c>
      <c r="G115" s="317" t="s">
        <v>2635</v>
      </c>
      <c r="H115" s="293" t="s">
        <v>145</v>
      </c>
      <c r="I115" s="294" t="s">
        <v>2562</v>
      </c>
      <c r="J115" s="293"/>
      <c r="K115" s="294"/>
      <c r="L115" s="293"/>
      <c r="M115" s="294"/>
      <c r="N115" s="293"/>
      <c r="O115" s="294"/>
      <c r="P115" s="293"/>
      <c r="Q115" s="294"/>
      <c r="R115" s="315" t="s">
        <v>731</v>
      </c>
    </row>
    <row r="116" spans="1:18">
      <c r="A116" s="68">
        <v>115</v>
      </c>
      <c r="B116" s="64" t="s">
        <v>487</v>
      </c>
      <c r="C116" s="1257" t="s">
        <v>5561</v>
      </c>
      <c r="D116" s="321" t="s">
        <v>6194</v>
      </c>
      <c r="E116" s="293" t="s">
        <v>721</v>
      </c>
      <c r="F116" s="293">
        <v>12</v>
      </c>
      <c r="G116" s="312" t="s">
        <v>722</v>
      </c>
      <c r="H116" s="293" t="s">
        <v>145</v>
      </c>
      <c r="I116" s="294"/>
      <c r="J116" s="293"/>
      <c r="K116" s="294"/>
      <c r="L116" s="293"/>
      <c r="M116" s="294"/>
      <c r="N116" s="293"/>
      <c r="O116" s="294"/>
      <c r="P116" s="293"/>
      <c r="Q116" s="294"/>
      <c r="R116" s="315" t="s">
        <v>731</v>
      </c>
    </row>
    <row r="117" spans="1:18">
      <c r="A117" s="68">
        <v>116</v>
      </c>
      <c r="B117" s="64" t="s">
        <v>694</v>
      </c>
      <c r="C117" s="1258" t="s">
        <v>5562</v>
      </c>
      <c r="D117" s="321" t="s">
        <v>6195</v>
      </c>
      <c r="E117" s="293" t="s">
        <v>721</v>
      </c>
      <c r="F117" s="293">
        <v>5.0999999999999996</v>
      </c>
      <c r="G117" s="317" t="s">
        <v>2635</v>
      </c>
      <c r="H117" s="293" t="s">
        <v>145</v>
      </c>
      <c r="I117" s="294" t="s">
        <v>2562</v>
      </c>
      <c r="J117" s="293"/>
      <c r="K117" s="294"/>
      <c r="L117" s="293"/>
      <c r="M117" s="294"/>
      <c r="N117" s="293"/>
      <c r="O117" s="294"/>
      <c r="P117" s="293"/>
      <c r="Q117" s="294"/>
      <c r="R117" s="315" t="s">
        <v>731</v>
      </c>
    </row>
    <row r="118" spans="1:18">
      <c r="A118" s="68">
        <v>117</v>
      </c>
      <c r="B118" s="64" t="s">
        <v>488</v>
      </c>
      <c r="C118" s="1237" t="s">
        <v>5670</v>
      </c>
      <c r="D118" s="321" t="s">
        <v>6196</v>
      </c>
      <c r="E118" s="293" t="s">
        <v>721</v>
      </c>
      <c r="F118" s="293">
        <v>12</v>
      </c>
      <c r="G118" s="312" t="s">
        <v>722</v>
      </c>
      <c r="H118" s="293" t="s">
        <v>145</v>
      </c>
      <c r="I118" s="294"/>
      <c r="J118" s="293"/>
      <c r="K118" s="294"/>
      <c r="L118" s="293"/>
      <c r="M118" s="294"/>
      <c r="N118" s="293"/>
      <c r="O118" s="294"/>
      <c r="P118" s="293"/>
      <c r="Q118" s="294"/>
      <c r="R118" s="315" t="s">
        <v>731</v>
      </c>
    </row>
    <row r="119" spans="1:18">
      <c r="A119" s="68">
        <v>118</v>
      </c>
      <c r="B119" s="64" t="s">
        <v>695</v>
      </c>
      <c r="C119" s="1238" t="s">
        <v>5671</v>
      </c>
      <c r="D119" s="321" t="s">
        <v>6197</v>
      </c>
      <c r="E119" s="293" t="s">
        <v>721</v>
      </c>
      <c r="F119" s="293">
        <v>12</v>
      </c>
      <c r="G119" s="312" t="s">
        <v>722</v>
      </c>
      <c r="H119" s="293" t="s">
        <v>145</v>
      </c>
      <c r="I119" s="294"/>
      <c r="J119" s="293"/>
      <c r="K119" s="294"/>
      <c r="L119" s="293"/>
      <c r="M119" s="294"/>
      <c r="N119" s="293"/>
      <c r="O119" s="294"/>
      <c r="P119" s="293"/>
      <c r="Q119" s="294"/>
      <c r="R119" s="315" t="s">
        <v>731</v>
      </c>
    </row>
    <row r="120" spans="1:18">
      <c r="A120" s="68">
        <v>119</v>
      </c>
      <c r="B120" s="64" t="s">
        <v>489</v>
      </c>
      <c r="C120" s="1257" t="s">
        <v>5668</v>
      </c>
      <c r="D120" s="321" t="s">
        <v>6198</v>
      </c>
      <c r="E120" s="293" t="s">
        <v>721</v>
      </c>
      <c r="F120" s="293">
        <v>12</v>
      </c>
      <c r="G120" s="312" t="s">
        <v>722</v>
      </c>
      <c r="H120" s="293" t="s">
        <v>145</v>
      </c>
      <c r="I120" s="294"/>
      <c r="J120" s="293"/>
      <c r="K120" s="294"/>
      <c r="L120" s="293"/>
      <c r="M120" s="294"/>
      <c r="N120" s="293"/>
      <c r="O120" s="294"/>
      <c r="P120" s="293"/>
      <c r="Q120" s="294"/>
      <c r="R120" s="315" t="s">
        <v>731</v>
      </c>
    </row>
    <row r="121" spans="1:18">
      <c r="A121" s="68">
        <v>120</v>
      </c>
      <c r="B121" s="64" t="s">
        <v>696</v>
      </c>
      <c r="C121" s="1259" t="s">
        <v>5669</v>
      </c>
      <c r="D121" s="321" t="s">
        <v>6199</v>
      </c>
      <c r="E121" s="293" t="s">
        <v>721</v>
      </c>
      <c r="F121" s="293">
        <v>5.0999999999999996</v>
      </c>
      <c r="G121" s="317" t="s">
        <v>2635</v>
      </c>
      <c r="H121" s="293" t="s">
        <v>145</v>
      </c>
      <c r="I121" s="294" t="s">
        <v>2562</v>
      </c>
      <c r="J121" s="293"/>
      <c r="K121" s="294"/>
      <c r="L121" s="293"/>
      <c r="M121" s="294"/>
      <c r="N121" s="293"/>
      <c r="O121" s="294"/>
      <c r="P121" s="293"/>
      <c r="Q121" s="294"/>
      <c r="R121" s="315" t="s">
        <v>731</v>
      </c>
    </row>
    <row r="122" spans="1:18">
      <c r="A122" s="68">
        <v>121</v>
      </c>
      <c r="B122" s="64" t="s">
        <v>697</v>
      </c>
      <c r="C122" s="1237" t="s">
        <v>5672</v>
      </c>
      <c r="D122" s="321" t="s">
        <v>6200</v>
      </c>
      <c r="E122" s="293" t="s">
        <v>721</v>
      </c>
      <c r="F122" s="293">
        <v>12</v>
      </c>
      <c r="G122" s="312" t="s">
        <v>722</v>
      </c>
      <c r="H122" s="293" t="s">
        <v>145</v>
      </c>
      <c r="I122" s="294"/>
      <c r="J122" s="293"/>
      <c r="K122" s="294"/>
      <c r="L122" s="293"/>
      <c r="M122" s="294"/>
      <c r="N122" s="293"/>
      <c r="O122" s="294"/>
      <c r="P122" s="293"/>
      <c r="Q122" s="294"/>
      <c r="R122" s="315" t="s">
        <v>731</v>
      </c>
    </row>
    <row r="123" spans="1:18">
      <c r="A123" s="68">
        <v>122</v>
      </c>
      <c r="B123" s="64" t="s">
        <v>698</v>
      </c>
      <c r="C123" s="1238" t="s">
        <v>5673</v>
      </c>
      <c r="D123" s="321" t="s">
        <v>6201</v>
      </c>
      <c r="E123" s="293" t="s">
        <v>721</v>
      </c>
      <c r="F123" s="293">
        <v>12</v>
      </c>
      <c r="G123" s="312" t="s">
        <v>722</v>
      </c>
      <c r="H123" s="293" t="s">
        <v>145</v>
      </c>
      <c r="I123" s="294"/>
      <c r="J123" s="293"/>
      <c r="K123" s="294"/>
      <c r="L123" s="293"/>
      <c r="M123" s="294"/>
      <c r="N123" s="293"/>
      <c r="O123" s="294"/>
      <c r="P123" s="293"/>
      <c r="Q123" s="294"/>
      <c r="R123" s="315" t="s">
        <v>731</v>
      </c>
    </row>
    <row r="124" spans="1:18">
      <c r="A124" s="68">
        <v>123</v>
      </c>
      <c r="B124" s="64" t="s">
        <v>699</v>
      </c>
      <c r="C124" s="1258" t="s">
        <v>3412</v>
      </c>
      <c r="D124" s="321" t="s">
        <v>6202</v>
      </c>
      <c r="E124" s="293" t="s">
        <v>721</v>
      </c>
      <c r="F124" s="293">
        <v>12</v>
      </c>
      <c r="G124" s="312" t="s">
        <v>722</v>
      </c>
      <c r="H124" s="293" t="s">
        <v>145</v>
      </c>
      <c r="I124" s="294"/>
      <c r="J124" s="293"/>
      <c r="K124" s="294"/>
      <c r="L124" s="293"/>
      <c r="M124" s="294"/>
      <c r="N124" s="293"/>
      <c r="O124" s="294"/>
      <c r="P124" s="293"/>
      <c r="Q124" s="294"/>
      <c r="R124" s="315" t="s">
        <v>731</v>
      </c>
    </row>
    <row r="125" spans="1:18">
      <c r="A125" s="68">
        <v>124</v>
      </c>
      <c r="B125" s="64" t="s">
        <v>700</v>
      </c>
      <c r="C125" s="1259" t="s">
        <v>5471</v>
      </c>
      <c r="D125" s="321" t="s">
        <v>6203</v>
      </c>
      <c r="E125" s="293" t="s">
        <v>721</v>
      </c>
      <c r="F125" s="293">
        <v>5.0999999999999996</v>
      </c>
      <c r="G125" s="317" t="s">
        <v>2635</v>
      </c>
      <c r="H125" s="293" t="s">
        <v>145</v>
      </c>
      <c r="I125" s="294" t="s">
        <v>2562</v>
      </c>
      <c r="J125" s="293"/>
      <c r="K125" s="294"/>
      <c r="L125" s="293"/>
      <c r="M125" s="294"/>
      <c r="N125" s="293"/>
      <c r="O125" s="294"/>
      <c r="P125" s="293"/>
      <c r="Q125" s="294"/>
      <c r="R125" s="315" t="s">
        <v>731</v>
      </c>
    </row>
    <row r="126" spans="1:18">
      <c r="A126" s="68">
        <v>125</v>
      </c>
      <c r="B126" s="64" t="s">
        <v>701</v>
      </c>
      <c r="C126" s="1237" t="s">
        <v>5681</v>
      </c>
      <c r="D126" s="321" t="s">
        <v>6204</v>
      </c>
      <c r="E126" s="293" t="s">
        <v>721</v>
      </c>
      <c r="F126" s="293">
        <v>12</v>
      </c>
      <c r="G126" s="312" t="s">
        <v>722</v>
      </c>
      <c r="H126" s="293" t="s">
        <v>145</v>
      </c>
      <c r="I126" s="294"/>
      <c r="J126" s="293"/>
      <c r="K126" s="294"/>
      <c r="L126" s="293"/>
      <c r="M126" s="294"/>
      <c r="N126" s="293"/>
      <c r="O126" s="294"/>
      <c r="P126" s="293"/>
      <c r="Q126" s="294"/>
      <c r="R126" s="315" t="s">
        <v>731</v>
      </c>
    </row>
    <row r="127" spans="1:18">
      <c r="A127" s="68">
        <v>126</v>
      </c>
      <c r="B127" s="64" t="s">
        <v>702</v>
      </c>
      <c r="C127" s="1238" t="s">
        <v>5680</v>
      </c>
      <c r="D127" s="321" t="s">
        <v>6205</v>
      </c>
      <c r="E127" s="293" t="s">
        <v>721</v>
      </c>
      <c r="F127" s="293">
        <v>12</v>
      </c>
      <c r="G127" s="312" t="s">
        <v>722</v>
      </c>
      <c r="H127" s="293" t="s">
        <v>145</v>
      </c>
      <c r="I127" s="294"/>
      <c r="J127" s="293"/>
      <c r="K127" s="294"/>
      <c r="L127" s="293"/>
      <c r="M127" s="294"/>
      <c r="N127" s="293"/>
      <c r="O127" s="294"/>
      <c r="P127" s="293"/>
      <c r="Q127" s="294"/>
      <c r="R127" s="315" t="s">
        <v>731</v>
      </c>
    </row>
    <row r="128" spans="1:18">
      <c r="A128" s="68">
        <v>127</v>
      </c>
      <c r="B128" s="64" t="s">
        <v>703</v>
      </c>
      <c r="C128" s="1258" t="s">
        <v>6128</v>
      </c>
      <c r="D128" s="321" t="s">
        <v>6206</v>
      </c>
      <c r="E128" s="293" t="s">
        <v>721</v>
      </c>
      <c r="F128" s="293">
        <v>5.0999999999999996</v>
      </c>
      <c r="G128" s="317" t="s">
        <v>2635</v>
      </c>
      <c r="H128" s="293" t="s">
        <v>145</v>
      </c>
      <c r="I128" s="294" t="s">
        <v>2562</v>
      </c>
      <c r="J128" s="293"/>
      <c r="K128" s="294"/>
      <c r="L128" s="293"/>
      <c r="M128" s="294"/>
      <c r="N128" s="293"/>
      <c r="O128" s="294"/>
      <c r="P128" s="293"/>
      <c r="Q128" s="294"/>
      <c r="R128" s="315" t="s">
        <v>731</v>
      </c>
    </row>
    <row r="129" spans="1:22">
      <c r="A129" s="68">
        <v>128</v>
      </c>
      <c r="B129" s="64" t="s">
        <v>704</v>
      </c>
      <c r="C129" s="1258" t="s">
        <v>6129</v>
      </c>
      <c r="D129" s="321" t="s">
        <v>6207</v>
      </c>
      <c r="E129" s="293" t="s">
        <v>721</v>
      </c>
      <c r="F129" s="293">
        <v>5.0999999999999996</v>
      </c>
      <c r="G129" s="317" t="s">
        <v>2635</v>
      </c>
      <c r="H129" s="293" t="s">
        <v>145</v>
      </c>
      <c r="I129" s="294" t="s">
        <v>2562</v>
      </c>
      <c r="J129" s="293"/>
      <c r="K129" s="294"/>
      <c r="L129" s="293"/>
      <c r="M129" s="294"/>
      <c r="N129" s="293"/>
      <c r="O129" s="294"/>
      <c r="P129" s="293"/>
      <c r="Q129" s="294"/>
      <c r="R129" s="315" t="s">
        <v>731</v>
      </c>
    </row>
    <row r="130" spans="1:22">
      <c r="A130" s="68">
        <v>129</v>
      </c>
      <c r="B130" s="64" t="s">
        <v>705</v>
      </c>
      <c r="C130" s="60" t="s">
        <v>1616</v>
      </c>
      <c r="D130" s="307" t="s">
        <v>2645</v>
      </c>
      <c r="E130" s="293" t="s">
        <v>721</v>
      </c>
      <c r="F130" s="293">
        <v>5.0999999999999996</v>
      </c>
      <c r="G130" s="317" t="s">
        <v>2635</v>
      </c>
      <c r="H130" s="293" t="s">
        <v>145</v>
      </c>
      <c r="I130" s="294" t="s">
        <v>2562</v>
      </c>
      <c r="J130" s="293"/>
      <c r="K130" s="294"/>
      <c r="L130" s="293"/>
      <c r="M130" s="294"/>
      <c r="N130" s="293"/>
      <c r="O130" s="294"/>
      <c r="P130" s="293"/>
      <c r="Q130" s="294"/>
      <c r="R130" s="310" t="s">
        <v>2634</v>
      </c>
    </row>
    <row r="131" spans="1:22">
      <c r="A131" s="68">
        <v>130</v>
      </c>
      <c r="B131" s="64" t="s">
        <v>490</v>
      </c>
      <c r="C131" s="60" t="s">
        <v>1603</v>
      </c>
      <c r="D131" s="307" t="s">
        <v>2646</v>
      </c>
      <c r="E131" s="293" t="s">
        <v>716</v>
      </c>
      <c r="F131" s="293">
        <v>4</v>
      </c>
      <c r="G131" s="293" t="s">
        <v>729</v>
      </c>
      <c r="H131" s="293" t="s">
        <v>145</v>
      </c>
      <c r="I131" s="294"/>
      <c r="J131" s="293"/>
      <c r="K131" s="294"/>
      <c r="L131" s="293"/>
      <c r="M131" s="294"/>
      <c r="N131" s="293"/>
      <c r="O131" s="294"/>
      <c r="P131" s="293"/>
      <c r="Q131" s="294"/>
      <c r="R131" s="310" t="s">
        <v>2634</v>
      </c>
      <c r="U131" s="58"/>
      <c r="V131" s="58"/>
    </row>
    <row r="132" spans="1:22">
      <c r="A132" s="68">
        <v>131</v>
      </c>
      <c r="B132" s="64" t="s">
        <v>706</v>
      </c>
      <c r="C132" s="298" t="s">
        <v>1619</v>
      </c>
      <c r="D132" s="307" t="s">
        <v>2647</v>
      </c>
      <c r="E132" s="293" t="s">
        <v>711</v>
      </c>
      <c r="F132" s="293">
        <v>12</v>
      </c>
      <c r="G132" s="312" t="s">
        <v>722</v>
      </c>
      <c r="H132" s="293" t="s">
        <v>145</v>
      </c>
      <c r="I132" s="294"/>
      <c r="J132" s="293"/>
      <c r="K132" s="294"/>
      <c r="L132" s="293"/>
      <c r="M132" s="294"/>
      <c r="N132" s="293"/>
      <c r="O132" s="294"/>
      <c r="P132" s="293"/>
      <c r="Q132" s="294"/>
      <c r="R132" s="310" t="s">
        <v>2634</v>
      </c>
      <c r="U132" s="58"/>
      <c r="V132" s="58"/>
    </row>
    <row r="133" spans="1:22">
      <c r="A133" s="68">
        <v>132</v>
      </c>
      <c r="B133" s="64" t="s">
        <v>707</v>
      </c>
      <c r="C133" s="60" t="s">
        <v>1618</v>
      </c>
      <c r="D133" s="307" t="s">
        <v>2648</v>
      </c>
      <c r="E133" s="293" t="s">
        <v>721</v>
      </c>
      <c r="F133" s="293">
        <v>5.0999999999999996</v>
      </c>
      <c r="G133" s="317" t="s">
        <v>2635</v>
      </c>
      <c r="H133" s="293" t="s">
        <v>145</v>
      </c>
      <c r="I133" s="294" t="s">
        <v>2562</v>
      </c>
      <c r="J133" s="293"/>
      <c r="K133" s="294"/>
      <c r="L133" s="293"/>
      <c r="M133" s="294"/>
      <c r="N133" s="293"/>
      <c r="O133" s="294"/>
      <c r="P133" s="293"/>
      <c r="Q133" s="294"/>
      <c r="R133" s="310" t="s">
        <v>2634</v>
      </c>
      <c r="U133" s="58"/>
      <c r="V133" s="58"/>
    </row>
    <row r="134" spans="1:22">
      <c r="A134" s="68">
        <v>133</v>
      </c>
      <c r="B134" s="64" t="s">
        <v>491</v>
      </c>
      <c r="C134" s="60" t="s">
        <v>1617</v>
      </c>
      <c r="D134" s="307" t="s">
        <v>2649</v>
      </c>
      <c r="E134" s="293" t="s">
        <v>716</v>
      </c>
      <c r="F134" s="293">
        <v>4</v>
      </c>
      <c r="G134" s="293" t="s">
        <v>729</v>
      </c>
      <c r="H134" s="293" t="s">
        <v>145</v>
      </c>
      <c r="I134" s="294"/>
      <c r="J134" s="293"/>
      <c r="K134" s="294"/>
      <c r="L134" s="293"/>
      <c r="M134" s="294"/>
      <c r="N134" s="293"/>
      <c r="O134" s="294"/>
      <c r="P134" s="293"/>
      <c r="Q134" s="294"/>
      <c r="R134" s="310" t="s">
        <v>2634</v>
      </c>
      <c r="U134" s="58"/>
      <c r="V134" s="58"/>
    </row>
    <row r="135" spans="1:22">
      <c r="A135" s="68">
        <v>134</v>
      </c>
      <c r="B135" s="64" t="s">
        <v>4292</v>
      </c>
      <c r="C135" s="298" t="s">
        <v>1620</v>
      </c>
      <c r="D135" s="307" t="s">
        <v>2650</v>
      </c>
      <c r="E135" s="293" t="s">
        <v>711</v>
      </c>
      <c r="F135" s="293">
        <v>12</v>
      </c>
      <c r="G135" s="312" t="s">
        <v>722</v>
      </c>
      <c r="H135" s="293" t="s">
        <v>145</v>
      </c>
      <c r="I135" s="294"/>
      <c r="J135" s="293"/>
      <c r="K135" s="294"/>
      <c r="L135" s="293"/>
      <c r="M135" s="294"/>
      <c r="N135" s="293"/>
      <c r="O135" s="294"/>
      <c r="P135" s="293"/>
      <c r="Q135" s="294"/>
      <c r="R135" s="310" t="s">
        <v>2634</v>
      </c>
      <c r="U135" s="58"/>
      <c r="V135" s="58"/>
    </row>
    <row r="136" spans="1:22">
      <c r="A136" s="68">
        <v>135</v>
      </c>
      <c r="B136" s="64" t="s">
        <v>492</v>
      </c>
      <c r="C136" s="60" t="s">
        <v>3414</v>
      </c>
      <c r="D136" s="307" t="s">
        <v>3413</v>
      </c>
      <c r="E136" s="293" t="s">
        <v>721</v>
      </c>
      <c r="F136" s="293">
        <v>5.0999999999999996</v>
      </c>
      <c r="G136" s="317" t="s">
        <v>2635</v>
      </c>
      <c r="H136" s="293" t="s">
        <v>145</v>
      </c>
      <c r="I136" s="294" t="s">
        <v>2562</v>
      </c>
      <c r="J136" s="293"/>
      <c r="K136" s="294"/>
      <c r="L136" s="293"/>
      <c r="M136" s="294"/>
      <c r="N136" s="293"/>
      <c r="O136" s="294"/>
      <c r="P136" s="293"/>
      <c r="Q136" s="294"/>
      <c r="R136" s="310" t="s">
        <v>724</v>
      </c>
      <c r="U136" s="58"/>
      <c r="V136" s="58"/>
    </row>
    <row r="137" spans="1:22">
      <c r="A137" s="68">
        <v>136</v>
      </c>
      <c r="B137" s="64" t="s">
        <v>4331</v>
      </c>
      <c r="C137" s="60" t="s">
        <v>1603</v>
      </c>
      <c r="D137" s="307" t="s">
        <v>2651</v>
      </c>
      <c r="E137" s="293" t="s">
        <v>716</v>
      </c>
      <c r="F137" s="293">
        <v>4</v>
      </c>
      <c r="G137" s="293" t="s">
        <v>729</v>
      </c>
      <c r="H137" s="293" t="s">
        <v>145</v>
      </c>
      <c r="I137" s="294"/>
      <c r="J137" s="293"/>
      <c r="K137" s="294"/>
      <c r="L137" s="293"/>
      <c r="M137" s="294"/>
      <c r="N137" s="293"/>
      <c r="O137" s="294"/>
      <c r="P137" s="293"/>
      <c r="Q137" s="294"/>
      <c r="R137" s="310" t="s">
        <v>724</v>
      </c>
      <c r="U137" s="58"/>
      <c r="V137" s="58"/>
    </row>
    <row r="138" spans="1:22">
      <c r="A138" s="68">
        <v>137</v>
      </c>
      <c r="B138" s="64" t="s">
        <v>493</v>
      </c>
      <c r="C138" s="314" t="s">
        <v>1610</v>
      </c>
      <c r="D138" s="307" t="s">
        <v>2638</v>
      </c>
      <c r="E138" s="293" t="s">
        <v>721</v>
      </c>
      <c r="F138" s="293">
        <v>5.0999999999999996</v>
      </c>
      <c r="G138" s="317" t="s">
        <v>2635</v>
      </c>
      <c r="H138" s="293" t="s">
        <v>145</v>
      </c>
      <c r="I138" s="294" t="s">
        <v>2562</v>
      </c>
      <c r="J138" s="293"/>
      <c r="K138" s="294"/>
      <c r="L138" s="293"/>
      <c r="M138" s="294"/>
      <c r="N138" s="293"/>
      <c r="O138" s="294"/>
      <c r="P138" s="293"/>
      <c r="Q138" s="294"/>
      <c r="R138" s="310" t="s">
        <v>2634</v>
      </c>
      <c r="U138" s="58"/>
      <c r="V138" s="58"/>
    </row>
    <row r="139" spans="1:22">
      <c r="A139" s="68">
        <v>138</v>
      </c>
      <c r="B139" s="64" t="s">
        <v>494</v>
      </c>
      <c r="C139" s="318" t="s">
        <v>1622</v>
      </c>
      <c r="D139" s="307" t="s">
        <v>2636</v>
      </c>
      <c r="E139" s="293" t="s">
        <v>716</v>
      </c>
      <c r="F139" s="293">
        <v>3</v>
      </c>
      <c r="G139" s="293" t="s">
        <v>730</v>
      </c>
      <c r="H139" s="293" t="s">
        <v>145</v>
      </c>
      <c r="I139" s="294"/>
      <c r="J139" s="293"/>
      <c r="K139" s="294"/>
      <c r="L139" s="293"/>
      <c r="M139" s="294"/>
      <c r="N139" s="293"/>
      <c r="O139" s="294"/>
      <c r="P139" s="293"/>
      <c r="Q139" s="294"/>
      <c r="R139" s="315" t="s">
        <v>726</v>
      </c>
      <c r="U139" s="58"/>
      <c r="V139" s="58"/>
    </row>
    <row r="140" spans="1:22">
      <c r="A140" s="68">
        <v>139</v>
      </c>
      <c r="B140" s="64" t="s">
        <v>4909</v>
      </c>
      <c r="C140" s="299" t="s">
        <v>2556</v>
      </c>
      <c r="D140" s="307" t="s">
        <v>2652</v>
      </c>
      <c r="E140" s="293" t="s">
        <v>711</v>
      </c>
      <c r="F140" s="293">
        <v>1</v>
      </c>
      <c r="G140" s="293">
        <v>0</v>
      </c>
      <c r="H140" s="293">
        <v>0</v>
      </c>
      <c r="I140" s="294" t="s">
        <v>2656</v>
      </c>
      <c r="J140" s="293">
        <v>1</v>
      </c>
      <c r="K140" s="294" t="s">
        <v>2653</v>
      </c>
      <c r="L140" s="293">
        <v>2</v>
      </c>
      <c r="M140" s="294" t="s">
        <v>2654</v>
      </c>
      <c r="N140" s="293">
        <v>3</v>
      </c>
      <c r="O140" s="294" t="s">
        <v>2655</v>
      </c>
      <c r="P140" s="293"/>
      <c r="Q140" s="294"/>
      <c r="R140" s="315" t="s">
        <v>726</v>
      </c>
      <c r="U140" s="58"/>
      <c r="V140" s="58"/>
    </row>
    <row r="141" spans="1:22">
      <c r="A141" s="68">
        <v>140</v>
      </c>
      <c r="B141" s="64" t="s">
        <v>4910</v>
      </c>
      <c r="C141" s="304" t="s">
        <v>1716</v>
      </c>
      <c r="D141" s="307" t="s">
        <v>2657</v>
      </c>
      <c r="E141" s="293" t="s">
        <v>711</v>
      </c>
      <c r="F141" s="293">
        <v>1</v>
      </c>
      <c r="G141" s="293">
        <v>0</v>
      </c>
      <c r="H141" s="293">
        <v>1</v>
      </c>
      <c r="I141" s="294" t="s">
        <v>2658</v>
      </c>
      <c r="J141" s="293">
        <v>2</v>
      </c>
      <c r="K141" s="294" t="s">
        <v>2659</v>
      </c>
      <c r="L141" s="293">
        <v>3</v>
      </c>
      <c r="M141" s="294" t="s">
        <v>2660</v>
      </c>
      <c r="N141" s="293"/>
      <c r="O141" s="294"/>
      <c r="P141" s="293"/>
      <c r="Q141" s="294"/>
      <c r="R141" s="310" t="s">
        <v>2677</v>
      </c>
      <c r="U141" s="58"/>
      <c r="V141" s="58"/>
    </row>
    <row r="142" spans="1:22">
      <c r="A142" s="68">
        <v>141</v>
      </c>
      <c r="B142" s="64" t="s">
        <v>4911</v>
      </c>
      <c r="C142" s="304" t="s">
        <v>1721</v>
      </c>
      <c r="D142" s="307" t="s">
        <v>1631</v>
      </c>
      <c r="E142" s="293" t="s">
        <v>716</v>
      </c>
      <c r="F142" s="293">
        <v>3</v>
      </c>
      <c r="G142" s="293" t="s">
        <v>2561</v>
      </c>
      <c r="H142" s="293" t="s">
        <v>145</v>
      </c>
      <c r="I142" s="294" t="s">
        <v>2661</v>
      </c>
      <c r="J142" s="293" t="s">
        <v>728</v>
      </c>
      <c r="K142" s="294" t="s">
        <v>2662</v>
      </c>
      <c r="L142" s="293"/>
      <c r="M142" s="294"/>
      <c r="N142" s="293"/>
      <c r="O142" s="294"/>
      <c r="P142" s="293"/>
      <c r="Q142" s="294"/>
      <c r="R142" s="310" t="s">
        <v>2677</v>
      </c>
    </row>
    <row r="143" spans="1:22">
      <c r="A143" s="68">
        <v>142</v>
      </c>
      <c r="B143" s="64" t="s">
        <v>4912</v>
      </c>
      <c r="C143" s="304" t="s">
        <v>1722</v>
      </c>
      <c r="D143" s="307" t="s">
        <v>2663</v>
      </c>
      <c r="E143" s="293" t="s">
        <v>716</v>
      </c>
      <c r="F143" s="293">
        <v>10</v>
      </c>
      <c r="G143" s="293" t="s">
        <v>2561</v>
      </c>
      <c r="H143" s="293" t="s">
        <v>145</v>
      </c>
      <c r="I143" s="294" t="s">
        <v>2661</v>
      </c>
      <c r="J143" s="293" t="s">
        <v>931</v>
      </c>
      <c r="K143" s="294" t="s">
        <v>2669</v>
      </c>
      <c r="L143" s="293" t="s">
        <v>1645</v>
      </c>
      <c r="M143" s="294" t="s">
        <v>2670</v>
      </c>
      <c r="N143" s="293" t="s">
        <v>1638</v>
      </c>
      <c r="O143" s="294" t="s">
        <v>2662</v>
      </c>
      <c r="P143" s="293"/>
      <c r="Q143" s="294"/>
      <c r="R143" s="310" t="s">
        <v>2677</v>
      </c>
    </row>
    <row r="144" spans="1:22">
      <c r="A144" s="68">
        <v>143</v>
      </c>
      <c r="B144" s="64" t="s">
        <v>4913</v>
      </c>
      <c r="C144" s="304" t="s">
        <v>1718</v>
      </c>
      <c r="D144" s="307" t="s">
        <v>2664</v>
      </c>
      <c r="E144" s="293" t="s">
        <v>716</v>
      </c>
      <c r="F144" s="293">
        <v>256</v>
      </c>
      <c r="G144" s="293" t="s">
        <v>145</v>
      </c>
      <c r="H144" s="293" t="s">
        <v>145</v>
      </c>
      <c r="I144" s="294"/>
      <c r="J144" s="293"/>
      <c r="K144" s="294"/>
      <c r="L144" s="293"/>
      <c r="M144" s="294"/>
      <c r="N144" s="293"/>
      <c r="O144" s="294"/>
      <c r="P144" s="293"/>
      <c r="Q144" s="294"/>
      <c r="R144" s="310" t="s">
        <v>2677</v>
      </c>
    </row>
    <row r="145" spans="1:18">
      <c r="A145" s="68">
        <v>144</v>
      </c>
      <c r="B145" s="64" t="s">
        <v>5155</v>
      </c>
      <c r="C145" s="304" t="s">
        <v>1717</v>
      </c>
      <c r="D145" s="307" t="s">
        <v>2665</v>
      </c>
      <c r="E145" s="293" t="s">
        <v>716</v>
      </c>
      <c r="F145" s="293">
        <v>3</v>
      </c>
      <c r="G145" s="293" t="s">
        <v>2561</v>
      </c>
      <c r="H145" s="293" t="s">
        <v>145</v>
      </c>
      <c r="I145" s="294" t="s">
        <v>2671</v>
      </c>
      <c r="J145" s="293" t="s">
        <v>728</v>
      </c>
      <c r="K145" s="294" t="s">
        <v>2662</v>
      </c>
      <c r="L145" s="293"/>
      <c r="M145" s="294"/>
      <c r="N145" s="293"/>
      <c r="O145" s="294"/>
      <c r="P145" s="293"/>
      <c r="Q145" s="294"/>
      <c r="R145" s="310" t="s">
        <v>2677</v>
      </c>
    </row>
    <row r="146" spans="1:18">
      <c r="A146" s="68">
        <v>145</v>
      </c>
      <c r="B146" s="64" t="s">
        <v>5156</v>
      </c>
      <c r="C146" s="304" t="s">
        <v>1719</v>
      </c>
      <c r="D146" s="307" t="s">
        <v>2666</v>
      </c>
      <c r="E146" s="293" t="s">
        <v>716</v>
      </c>
      <c r="F146" s="293">
        <v>256</v>
      </c>
      <c r="G146" s="293" t="s">
        <v>145</v>
      </c>
      <c r="H146" s="293" t="s">
        <v>145</v>
      </c>
      <c r="I146" s="294"/>
      <c r="J146" s="293"/>
      <c r="K146" s="294"/>
      <c r="L146" s="293"/>
      <c r="M146" s="294"/>
      <c r="N146" s="293"/>
      <c r="O146" s="294"/>
      <c r="P146" s="293"/>
      <c r="Q146" s="294"/>
      <c r="R146" s="310" t="s">
        <v>2677</v>
      </c>
    </row>
    <row r="147" spans="1:18">
      <c r="A147" s="68">
        <v>146</v>
      </c>
      <c r="B147" s="64" t="s">
        <v>5167</v>
      </c>
      <c r="C147" s="304" t="s">
        <v>1723</v>
      </c>
      <c r="D147" s="307" t="s">
        <v>2667</v>
      </c>
      <c r="E147" s="293" t="s">
        <v>711</v>
      </c>
      <c r="F147" s="293">
        <v>3</v>
      </c>
      <c r="G147" s="317" t="s">
        <v>712</v>
      </c>
      <c r="H147" s="293" t="s">
        <v>145</v>
      </c>
      <c r="I147" s="294" t="s">
        <v>2562</v>
      </c>
      <c r="J147" s="293"/>
      <c r="K147" s="294"/>
      <c r="L147" s="293"/>
      <c r="M147" s="294"/>
      <c r="N147" s="293"/>
      <c r="O147" s="294"/>
      <c r="P147" s="293"/>
      <c r="Q147" s="294"/>
      <c r="R147" s="310" t="s">
        <v>2677</v>
      </c>
    </row>
    <row r="148" spans="1:18">
      <c r="A148" s="68">
        <v>147</v>
      </c>
      <c r="B148" s="64" t="s">
        <v>5449</v>
      </c>
      <c r="C148" s="304" t="s">
        <v>1724</v>
      </c>
      <c r="D148" s="307" t="s">
        <v>2668</v>
      </c>
      <c r="E148" s="293" t="s">
        <v>711</v>
      </c>
      <c r="F148" s="293">
        <v>3</v>
      </c>
      <c r="G148" s="317" t="s">
        <v>712</v>
      </c>
      <c r="H148" s="293" t="s">
        <v>145</v>
      </c>
      <c r="I148" s="294" t="s">
        <v>2562</v>
      </c>
      <c r="J148" s="293"/>
      <c r="K148" s="294"/>
      <c r="L148" s="293"/>
      <c r="M148" s="294"/>
      <c r="N148" s="293"/>
      <c r="O148" s="294"/>
      <c r="P148" s="293"/>
      <c r="Q148" s="294"/>
      <c r="R148" s="310" t="s">
        <v>2677</v>
      </c>
    </row>
    <row r="149" spans="1:18">
      <c r="A149" s="68">
        <v>148</v>
      </c>
      <c r="B149" s="64" t="s">
        <v>495</v>
      </c>
      <c r="C149" s="60" t="s">
        <v>3892</v>
      </c>
      <c r="D149" s="307" t="s">
        <v>3894</v>
      </c>
      <c r="E149" s="293" t="s">
        <v>711</v>
      </c>
      <c r="F149" s="293">
        <v>2</v>
      </c>
      <c r="G149" s="308" t="s">
        <v>3893</v>
      </c>
      <c r="H149" s="293" t="s">
        <v>145</v>
      </c>
      <c r="I149" s="294"/>
      <c r="J149" s="293"/>
      <c r="K149" s="294"/>
      <c r="L149" s="293"/>
      <c r="M149" s="294"/>
      <c r="N149" s="293"/>
      <c r="O149" s="294"/>
      <c r="P149" s="293"/>
      <c r="Q149" s="294"/>
      <c r="R149" s="315" t="s">
        <v>726</v>
      </c>
    </row>
    <row r="150" spans="1:18">
      <c r="A150" s="68">
        <v>149</v>
      </c>
      <c r="B150" s="64" t="s">
        <v>496</v>
      </c>
      <c r="C150" s="295" t="s">
        <v>1691</v>
      </c>
      <c r="D150" s="307" t="s">
        <v>3891</v>
      </c>
      <c r="E150" s="293" t="s">
        <v>716</v>
      </c>
      <c r="F150" s="293">
        <v>256</v>
      </c>
      <c r="G150" s="293" t="s">
        <v>145</v>
      </c>
      <c r="H150" s="293" t="s">
        <v>145</v>
      </c>
      <c r="I150" s="294"/>
      <c r="J150" s="293"/>
      <c r="K150" s="294"/>
      <c r="L150" s="293"/>
      <c r="M150" s="294"/>
      <c r="N150" s="293"/>
      <c r="O150" s="294"/>
      <c r="P150" s="293"/>
      <c r="Q150" s="294"/>
      <c r="R150" s="315" t="s">
        <v>726</v>
      </c>
    </row>
    <row r="151" spans="1:18">
      <c r="A151" s="68">
        <v>150</v>
      </c>
      <c r="B151" s="64" t="s">
        <v>497</v>
      </c>
      <c r="C151" s="300" t="s">
        <v>1692</v>
      </c>
      <c r="D151" s="307" t="s">
        <v>2672</v>
      </c>
      <c r="E151" s="293" t="s">
        <v>716</v>
      </c>
      <c r="F151" s="293">
        <v>256</v>
      </c>
      <c r="G151" s="293" t="s">
        <v>145</v>
      </c>
      <c r="H151" s="293" t="s">
        <v>145</v>
      </c>
      <c r="I151" s="294"/>
      <c r="J151" s="293"/>
      <c r="K151" s="294"/>
      <c r="L151" s="293"/>
      <c r="M151" s="294"/>
      <c r="N151" s="293"/>
      <c r="O151" s="294"/>
      <c r="P151" s="293"/>
      <c r="Q151" s="294"/>
      <c r="R151" s="315" t="s">
        <v>726</v>
      </c>
    </row>
    <row r="152" spans="1:18">
      <c r="A152" s="68">
        <v>151</v>
      </c>
      <c r="B152" s="688" t="s">
        <v>5199</v>
      </c>
      <c r="C152" s="300" t="s">
        <v>1693</v>
      </c>
      <c r="D152" s="307" t="s">
        <v>2673</v>
      </c>
      <c r="E152" s="293" t="s">
        <v>716</v>
      </c>
      <c r="F152" s="293">
        <v>256</v>
      </c>
      <c r="G152" s="293" t="s">
        <v>145</v>
      </c>
      <c r="H152" s="293" t="s">
        <v>145</v>
      </c>
      <c r="I152" s="294"/>
      <c r="J152" s="293"/>
      <c r="K152" s="294"/>
      <c r="L152" s="293"/>
      <c r="M152" s="294"/>
      <c r="N152" s="293"/>
      <c r="O152" s="294"/>
      <c r="P152" s="293"/>
      <c r="Q152" s="294"/>
      <c r="R152" s="315" t="s">
        <v>726</v>
      </c>
    </row>
    <row r="153" spans="1:18">
      <c r="A153" s="68">
        <v>152</v>
      </c>
      <c r="B153" s="293" t="s">
        <v>5477</v>
      </c>
      <c r="C153" s="300" t="s">
        <v>1695</v>
      </c>
      <c r="D153" s="307" t="s">
        <v>2674</v>
      </c>
      <c r="E153" s="293" t="s">
        <v>716</v>
      </c>
      <c r="F153" s="293">
        <v>256</v>
      </c>
      <c r="G153" s="293" t="s">
        <v>145</v>
      </c>
      <c r="H153" s="293" t="s">
        <v>145</v>
      </c>
      <c r="I153" s="294"/>
      <c r="J153" s="293"/>
      <c r="K153" s="294"/>
      <c r="L153" s="293"/>
      <c r="M153" s="294"/>
      <c r="N153" s="293"/>
      <c r="O153" s="294"/>
      <c r="P153" s="293"/>
      <c r="Q153" s="294"/>
      <c r="R153" s="315" t="s">
        <v>726</v>
      </c>
    </row>
    <row r="154" spans="1:18">
      <c r="A154" s="68">
        <v>153</v>
      </c>
      <c r="B154" s="293" t="s">
        <v>5478</v>
      </c>
      <c r="C154" s="300" t="s">
        <v>1694</v>
      </c>
      <c r="D154" s="307" t="s">
        <v>2675</v>
      </c>
      <c r="E154" s="293" t="s">
        <v>716</v>
      </c>
      <c r="F154" s="293">
        <v>256</v>
      </c>
      <c r="G154" s="293" t="s">
        <v>145</v>
      </c>
      <c r="H154" s="293" t="s">
        <v>145</v>
      </c>
      <c r="I154" s="294"/>
      <c r="J154" s="293"/>
      <c r="K154" s="294"/>
      <c r="L154" s="293"/>
      <c r="M154" s="294"/>
      <c r="N154" s="293"/>
      <c r="O154" s="294"/>
      <c r="P154" s="293"/>
      <c r="Q154" s="294"/>
      <c r="R154" s="315" t="s">
        <v>726</v>
      </c>
    </row>
    <row r="155" spans="1:18">
      <c r="A155" s="68">
        <v>154</v>
      </c>
      <c r="B155" s="293" t="s">
        <v>5479</v>
      </c>
      <c r="C155" s="300" t="s">
        <v>7</v>
      </c>
      <c r="D155" s="307" t="s">
        <v>2676</v>
      </c>
      <c r="E155" s="293" t="s">
        <v>716</v>
      </c>
      <c r="F155" s="293">
        <v>256</v>
      </c>
      <c r="G155" s="293" t="s">
        <v>145</v>
      </c>
      <c r="H155" s="293" t="s">
        <v>145</v>
      </c>
      <c r="I155" s="294"/>
      <c r="J155" s="293"/>
      <c r="K155" s="294"/>
      <c r="L155" s="293"/>
      <c r="M155" s="294"/>
      <c r="N155" s="293"/>
      <c r="O155" s="294"/>
      <c r="P155" s="293"/>
      <c r="Q155" s="294"/>
      <c r="R155" s="315" t="s">
        <v>726</v>
      </c>
    </row>
    <row r="156" spans="1:18">
      <c r="A156" s="68">
        <v>155</v>
      </c>
      <c r="B156" s="293" t="s">
        <v>5480</v>
      </c>
      <c r="C156" s="302" t="s">
        <v>4</v>
      </c>
      <c r="D156" s="307" t="s">
        <v>2680</v>
      </c>
      <c r="E156" s="293" t="s">
        <v>711</v>
      </c>
      <c r="F156" s="293">
        <v>12</v>
      </c>
      <c r="G156" s="312" t="s">
        <v>722</v>
      </c>
      <c r="H156" s="293" t="s">
        <v>145</v>
      </c>
      <c r="I156" s="294"/>
      <c r="J156" s="293"/>
      <c r="K156" s="294"/>
      <c r="L156" s="293"/>
      <c r="M156" s="294"/>
      <c r="N156" s="293"/>
      <c r="O156" s="294"/>
      <c r="P156" s="293"/>
      <c r="Q156" s="294"/>
      <c r="R156" s="315" t="s">
        <v>726</v>
      </c>
    </row>
    <row r="157" spans="1:18">
      <c r="A157" s="68">
        <v>156</v>
      </c>
      <c r="B157" s="293" t="s">
        <v>5481</v>
      </c>
      <c r="C157" s="302" t="s">
        <v>1603</v>
      </c>
      <c r="D157" s="307" t="s">
        <v>2679</v>
      </c>
      <c r="E157" s="293" t="s">
        <v>716</v>
      </c>
      <c r="F157" s="293">
        <v>4</v>
      </c>
      <c r="G157" s="293" t="s">
        <v>729</v>
      </c>
      <c r="H157" s="293" t="s">
        <v>145</v>
      </c>
      <c r="I157" s="294"/>
      <c r="J157" s="293"/>
      <c r="K157" s="294"/>
      <c r="L157" s="293"/>
      <c r="M157" s="294"/>
      <c r="N157" s="293"/>
      <c r="O157" s="294"/>
      <c r="P157" s="293"/>
      <c r="Q157" s="294"/>
      <c r="R157" s="310" t="s">
        <v>2678</v>
      </c>
    </row>
    <row r="158" spans="1:18">
      <c r="A158" s="68">
        <v>157</v>
      </c>
      <c r="B158" s="293" t="s">
        <v>5482</v>
      </c>
      <c r="C158" s="302" t="s">
        <v>1626</v>
      </c>
      <c r="D158" s="307" t="s">
        <v>2681</v>
      </c>
      <c r="E158" s="293" t="s">
        <v>721</v>
      </c>
      <c r="F158" s="293">
        <v>5.0999999999999996</v>
      </c>
      <c r="G158" s="317" t="s">
        <v>2635</v>
      </c>
      <c r="H158" s="293" t="s">
        <v>145</v>
      </c>
      <c r="I158" s="294" t="s">
        <v>2562</v>
      </c>
      <c r="J158" s="293"/>
      <c r="K158" s="294"/>
      <c r="L158" s="293"/>
      <c r="M158" s="294"/>
      <c r="N158" s="293"/>
      <c r="O158" s="294"/>
      <c r="P158" s="293"/>
      <c r="Q158" s="294"/>
      <c r="R158" s="310" t="s">
        <v>2678</v>
      </c>
    </row>
    <row r="159" spans="1:18">
      <c r="A159" s="68">
        <v>158</v>
      </c>
      <c r="B159" s="293" t="s">
        <v>5483</v>
      </c>
      <c r="C159" s="302" t="s">
        <v>1627</v>
      </c>
      <c r="D159" s="307" t="s">
        <v>2682</v>
      </c>
      <c r="E159" s="293" t="s">
        <v>721</v>
      </c>
      <c r="F159" s="293">
        <v>5.0999999999999996</v>
      </c>
      <c r="G159" s="317" t="s">
        <v>2635</v>
      </c>
      <c r="H159" s="293" t="s">
        <v>145</v>
      </c>
      <c r="I159" s="294" t="s">
        <v>2562</v>
      </c>
      <c r="J159" s="293"/>
      <c r="K159" s="294"/>
      <c r="L159" s="293"/>
      <c r="M159" s="294"/>
      <c r="N159" s="293"/>
      <c r="O159" s="294"/>
      <c r="P159" s="293"/>
      <c r="Q159" s="294"/>
      <c r="R159" s="310" t="s">
        <v>2678</v>
      </c>
    </row>
    <row r="160" spans="1:18">
      <c r="A160" s="68">
        <v>159</v>
      </c>
      <c r="B160" s="293" t="s">
        <v>5484</v>
      </c>
      <c r="C160" s="302" t="s">
        <v>1670</v>
      </c>
      <c r="D160" s="307" t="s">
        <v>2683</v>
      </c>
      <c r="E160" s="293" t="s">
        <v>721</v>
      </c>
      <c r="F160" s="293">
        <v>5.0999999999999996</v>
      </c>
      <c r="G160" s="317" t="s">
        <v>2635</v>
      </c>
      <c r="H160" s="293" t="s">
        <v>145</v>
      </c>
      <c r="I160" s="294" t="s">
        <v>2562</v>
      </c>
      <c r="J160" s="293"/>
      <c r="K160" s="294"/>
      <c r="L160" s="293"/>
      <c r="M160" s="294"/>
      <c r="N160" s="293"/>
      <c r="O160" s="294"/>
      <c r="P160" s="293"/>
      <c r="Q160" s="294"/>
      <c r="R160" s="310" t="s">
        <v>2678</v>
      </c>
    </row>
    <row r="161" spans="1:18">
      <c r="A161" s="68">
        <v>160</v>
      </c>
      <c r="B161" s="293" t="s">
        <v>5485</v>
      </c>
      <c r="C161" s="301" t="s">
        <v>1669</v>
      </c>
      <c r="D161" s="307" t="s">
        <v>2684</v>
      </c>
      <c r="E161" s="293" t="s">
        <v>716</v>
      </c>
      <c r="F161" s="293">
        <v>12</v>
      </c>
      <c r="G161" s="317" t="s">
        <v>145</v>
      </c>
      <c r="H161" s="293" t="s">
        <v>145</v>
      </c>
      <c r="I161" s="294"/>
      <c r="J161" s="293"/>
      <c r="K161" s="294"/>
      <c r="L161" s="293"/>
      <c r="M161" s="294"/>
      <c r="N161" s="293"/>
      <c r="O161" s="294"/>
      <c r="P161" s="293"/>
      <c r="Q161" s="294"/>
      <c r="R161" s="310" t="s">
        <v>2678</v>
      </c>
    </row>
    <row r="162" spans="1:18">
      <c r="A162" s="68">
        <v>161</v>
      </c>
      <c r="B162" s="293" t="s">
        <v>5486</v>
      </c>
      <c r="C162" s="302" t="s">
        <v>1672</v>
      </c>
      <c r="D162" s="307" t="s">
        <v>2685</v>
      </c>
      <c r="E162" s="293" t="s">
        <v>721</v>
      </c>
      <c r="F162" s="293">
        <v>5.0999999999999996</v>
      </c>
      <c r="G162" s="317" t="s">
        <v>2635</v>
      </c>
      <c r="H162" s="293" t="s">
        <v>145</v>
      </c>
      <c r="I162" s="294" t="s">
        <v>2562</v>
      </c>
      <c r="J162" s="293"/>
      <c r="K162" s="294"/>
      <c r="L162" s="293"/>
      <c r="M162" s="294"/>
      <c r="N162" s="293"/>
      <c r="O162" s="294"/>
      <c r="P162" s="293"/>
      <c r="Q162" s="294"/>
      <c r="R162" s="310" t="s">
        <v>2678</v>
      </c>
    </row>
    <row r="163" spans="1:18">
      <c r="A163" s="68">
        <v>162</v>
      </c>
      <c r="B163" s="293" t="s">
        <v>5487</v>
      </c>
      <c r="C163" s="302" t="s">
        <v>1671</v>
      </c>
      <c r="D163" s="307" t="s">
        <v>2686</v>
      </c>
      <c r="E163" s="293" t="s">
        <v>716</v>
      </c>
      <c r="F163" s="293">
        <v>3</v>
      </c>
      <c r="G163" s="293" t="s">
        <v>730</v>
      </c>
      <c r="H163" s="293" t="s">
        <v>145</v>
      </c>
      <c r="I163" s="294"/>
      <c r="J163" s="293"/>
      <c r="K163" s="294"/>
      <c r="L163" s="293"/>
      <c r="M163" s="294"/>
      <c r="N163" s="293"/>
      <c r="O163" s="294"/>
      <c r="P163" s="293"/>
      <c r="Q163" s="294"/>
      <c r="R163" s="310" t="s">
        <v>2678</v>
      </c>
    </row>
    <row r="164" spans="1:18">
      <c r="A164" s="68">
        <v>163</v>
      </c>
      <c r="B164" s="293" t="s">
        <v>5488</v>
      </c>
      <c r="C164" s="302" t="s">
        <v>1954</v>
      </c>
      <c r="D164" s="307" t="s">
        <v>2687</v>
      </c>
      <c r="E164" s="293" t="s">
        <v>721</v>
      </c>
      <c r="F164" s="293">
        <v>5.0999999999999996</v>
      </c>
      <c r="G164" s="317" t="s">
        <v>2635</v>
      </c>
      <c r="H164" s="293" t="s">
        <v>145</v>
      </c>
      <c r="I164" s="294" t="s">
        <v>2562</v>
      </c>
      <c r="J164" s="293"/>
      <c r="K164" s="294"/>
      <c r="L164" s="293"/>
      <c r="M164" s="294"/>
      <c r="N164" s="293"/>
      <c r="O164" s="294"/>
      <c r="P164" s="293"/>
      <c r="Q164" s="294"/>
      <c r="R164" s="310" t="s">
        <v>2678</v>
      </c>
    </row>
    <row r="165" spans="1:18">
      <c r="A165" s="68">
        <v>164</v>
      </c>
      <c r="B165" s="293" t="s">
        <v>5489</v>
      </c>
      <c r="C165" s="302" t="s">
        <v>1955</v>
      </c>
      <c r="D165" s="307" t="s">
        <v>2688</v>
      </c>
      <c r="E165" s="293" t="s">
        <v>721</v>
      </c>
      <c r="F165" s="293">
        <v>5.0999999999999996</v>
      </c>
      <c r="G165" s="317" t="s">
        <v>2635</v>
      </c>
      <c r="H165" s="293" t="s">
        <v>145</v>
      </c>
      <c r="I165" s="294" t="s">
        <v>2562</v>
      </c>
      <c r="J165" s="293"/>
      <c r="K165" s="294"/>
      <c r="L165" s="293"/>
      <c r="M165" s="294"/>
      <c r="N165" s="293"/>
      <c r="O165" s="294"/>
      <c r="P165" s="293"/>
      <c r="Q165" s="294"/>
      <c r="R165" s="310" t="s">
        <v>2678</v>
      </c>
    </row>
    <row r="166" spans="1:18">
      <c r="A166" s="68">
        <v>165</v>
      </c>
      <c r="B166" s="293" t="s">
        <v>498</v>
      </c>
      <c r="C166" s="319" t="s">
        <v>1850</v>
      </c>
      <c r="D166" s="307" t="s">
        <v>2689</v>
      </c>
      <c r="E166" s="293" t="s">
        <v>711</v>
      </c>
      <c r="F166" s="293">
        <v>1</v>
      </c>
      <c r="G166" s="293">
        <v>0</v>
      </c>
      <c r="H166" s="293">
        <v>0</v>
      </c>
      <c r="I166" s="294" t="s">
        <v>2690</v>
      </c>
      <c r="J166" s="293">
        <v>1</v>
      </c>
      <c r="K166" s="294" t="s">
        <v>2572</v>
      </c>
      <c r="L166" s="293">
        <v>2</v>
      </c>
      <c r="M166" s="294" t="s">
        <v>2574</v>
      </c>
      <c r="N166" s="293">
        <v>3</v>
      </c>
      <c r="O166" s="294" t="s">
        <v>2691</v>
      </c>
      <c r="P166" s="293">
        <v>4</v>
      </c>
      <c r="Q166" s="294" t="s">
        <v>7</v>
      </c>
      <c r="R166" s="310" t="s">
        <v>2678</v>
      </c>
    </row>
    <row r="167" spans="1:18">
      <c r="A167" s="68">
        <v>166</v>
      </c>
      <c r="B167" s="293" t="s">
        <v>499</v>
      </c>
      <c r="C167" s="320" t="s">
        <v>1801</v>
      </c>
      <c r="D167" s="307" t="s">
        <v>2692</v>
      </c>
      <c r="E167" s="293" t="s">
        <v>716</v>
      </c>
      <c r="F167" s="293">
        <v>5</v>
      </c>
      <c r="G167" s="308" t="s">
        <v>145</v>
      </c>
      <c r="H167" s="293" t="s">
        <v>2586</v>
      </c>
      <c r="I167" s="294" t="s">
        <v>2581</v>
      </c>
      <c r="J167" s="293" t="s">
        <v>2587</v>
      </c>
      <c r="K167" s="294" t="s">
        <v>2582</v>
      </c>
      <c r="L167" s="293" t="s">
        <v>2588</v>
      </c>
      <c r="M167" s="294" t="s">
        <v>2583</v>
      </c>
      <c r="N167" s="293" t="s">
        <v>2584</v>
      </c>
      <c r="O167" s="294" t="s">
        <v>2585</v>
      </c>
      <c r="P167" s="293"/>
      <c r="Q167" s="294"/>
      <c r="R167" s="310" t="s">
        <v>2678</v>
      </c>
    </row>
    <row r="168" spans="1:18">
      <c r="A168" s="68">
        <v>167</v>
      </c>
      <c r="B168" s="293" t="s">
        <v>500</v>
      </c>
      <c r="C168" s="320" t="s">
        <v>1802</v>
      </c>
      <c r="D168" s="307" t="s">
        <v>2693</v>
      </c>
      <c r="E168" s="293" t="s">
        <v>716</v>
      </c>
      <c r="F168" s="293">
        <v>10</v>
      </c>
      <c r="G168" s="293" t="s">
        <v>145</v>
      </c>
      <c r="H168" s="293" t="s">
        <v>145</v>
      </c>
      <c r="I168" s="294"/>
      <c r="J168" s="293"/>
      <c r="K168" s="294"/>
      <c r="L168" s="293"/>
      <c r="M168" s="294"/>
      <c r="N168" s="293"/>
      <c r="O168" s="294"/>
      <c r="P168" s="293"/>
      <c r="Q168" s="294"/>
      <c r="R168" s="310" t="s">
        <v>2678</v>
      </c>
    </row>
    <row r="169" spans="1:18">
      <c r="A169" s="68">
        <v>168</v>
      </c>
      <c r="B169" s="293" t="s">
        <v>5490</v>
      </c>
      <c r="C169" s="320" t="s">
        <v>1680</v>
      </c>
      <c r="D169" s="307" t="s">
        <v>2694</v>
      </c>
      <c r="E169" s="293" t="s">
        <v>716</v>
      </c>
      <c r="F169" s="293">
        <v>256</v>
      </c>
      <c r="G169" s="293" t="s">
        <v>145</v>
      </c>
      <c r="H169" s="293" t="s">
        <v>145</v>
      </c>
      <c r="I169" s="294"/>
      <c r="J169" s="293"/>
      <c r="K169" s="294"/>
      <c r="L169" s="293"/>
      <c r="M169" s="294"/>
      <c r="N169" s="293"/>
      <c r="O169" s="294"/>
      <c r="P169" s="293"/>
      <c r="Q169" s="294"/>
      <c r="R169" s="310" t="s">
        <v>2678</v>
      </c>
    </row>
    <row r="170" spans="1:18">
      <c r="A170" s="68">
        <v>169</v>
      </c>
      <c r="B170" s="293" t="s">
        <v>501</v>
      </c>
      <c r="C170" s="320" t="s">
        <v>1803</v>
      </c>
      <c r="D170" s="307" t="s">
        <v>2607</v>
      </c>
      <c r="E170" s="293" t="s">
        <v>716</v>
      </c>
      <c r="F170" s="293">
        <v>10</v>
      </c>
      <c r="G170" s="293" t="s">
        <v>145</v>
      </c>
      <c r="H170" s="293" t="s">
        <v>145</v>
      </c>
      <c r="I170" s="294"/>
      <c r="J170" s="293"/>
      <c r="K170" s="294"/>
      <c r="L170" s="293"/>
      <c r="M170" s="294"/>
      <c r="N170" s="293"/>
      <c r="O170" s="294"/>
      <c r="P170" s="293"/>
      <c r="Q170" s="294"/>
      <c r="R170" s="310" t="s">
        <v>2678</v>
      </c>
    </row>
    <row r="171" spans="1:18">
      <c r="A171" s="68">
        <v>170</v>
      </c>
      <c r="B171" s="293" t="s">
        <v>5491</v>
      </c>
      <c r="C171" s="320" t="s">
        <v>1804</v>
      </c>
      <c r="D171" s="307" t="s">
        <v>2695</v>
      </c>
      <c r="E171" s="293" t="s">
        <v>716</v>
      </c>
      <c r="F171" s="293">
        <v>3</v>
      </c>
      <c r="G171" s="293" t="s">
        <v>2561</v>
      </c>
      <c r="H171" s="293" t="s">
        <v>145</v>
      </c>
      <c r="I171" s="294" t="s">
        <v>2697</v>
      </c>
      <c r="J171" s="293" t="s">
        <v>728</v>
      </c>
      <c r="K171" s="294" t="s">
        <v>2696</v>
      </c>
      <c r="L171" s="293"/>
      <c r="M171" s="294"/>
      <c r="N171" s="293"/>
      <c r="O171" s="294"/>
      <c r="P171" s="293"/>
      <c r="Q171" s="294"/>
      <c r="R171" s="310" t="s">
        <v>2678</v>
      </c>
    </row>
    <row r="172" spans="1:18">
      <c r="A172" s="68">
        <v>171</v>
      </c>
      <c r="B172" s="293" t="s">
        <v>502</v>
      </c>
      <c r="C172" s="303" t="s">
        <v>1675</v>
      </c>
      <c r="D172" s="307" t="s">
        <v>2698</v>
      </c>
      <c r="E172" s="293" t="s">
        <v>716</v>
      </c>
      <c r="F172" s="293">
        <v>64</v>
      </c>
      <c r="G172" s="311" t="s">
        <v>715</v>
      </c>
      <c r="H172" s="293" t="s">
        <v>145</v>
      </c>
      <c r="I172" s="294"/>
      <c r="J172" s="293"/>
      <c r="K172" s="294"/>
      <c r="L172" s="293"/>
      <c r="M172" s="294"/>
      <c r="N172" s="293"/>
      <c r="O172" s="294"/>
      <c r="P172" s="293"/>
      <c r="Q172" s="294"/>
      <c r="R172" s="310" t="s">
        <v>2678</v>
      </c>
    </row>
    <row r="173" spans="1:18">
      <c r="A173" s="68">
        <v>172</v>
      </c>
      <c r="B173" s="293" t="s">
        <v>5122</v>
      </c>
      <c r="C173" s="304" t="s">
        <v>1703</v>
      </c>
      <c r="D173" s="307" t="s">
        <v>2701</v>
      </c>
      <c r="E173" s="293" t="s">
        <v>711</v>
      </c>
      <c r="F173" s="293">
        <v>1</v>
      </c>
      <c r="G173" s="293">
        <v>0</v>
      </c>
      <c r="H173" s="293">
        <v>1</v>
      </c>
      <c r="I173" s="294" t="s">
        <v>2700</v>
      </c>
      <c r="J173" s="293">
        <v>2</v>
      </c>
      <c r="K173" s="294" t="s">
        <v>7</v>
      </c>
      <c r="L173" s="293"/>
      <c r="M173" s="294"/>
      <c r="N173" s="293"/>
      <c r="O173" s="294"/>
      <c r="P173" s="293"/>
      <c r="Q173" s="294"/>
      <c r="R173" s="310" t="s">
        <v>2700</v>
      </c>
    </row>
    <row r="174" spans="1:18">
      <c r="A174" s="68">
        <v>173</v>
      </c>
      <c r="B174" s="293" t="s">
        <v>5492</v>
      </c>
      <c r="C174" s="304" t="s">
        <v>1685</v>
      </c>
      <c r="D174" s="307" t="s">
        <v>2699</v>
      </c>
      <c r="E174" s="293" t="s">
        <v>716</v>
      </c>
      <c r="F174" s="293">
        <v>256</v>
      </c>
      <c r="G174" s="293" t="s">
        <v>145</v>
      </c>
      <c r="H174" s="293" t="s">
        <v>145</v>
      </c>
      <c r="I174" s="294" t="s">
        <v>2702</v>
      </c>
      <c r="J174" s="293"/>
      <c r="K174" s="294"/>
      <c r="L174" s="293"/>
      <c r="M174" s="294"/>
      <c r="N174" s="293"/>
      <c r="O174" s="294"/>
      <c r="P174" s="293"/>
      <c r="Q174" s="294"/>
      <c r="R174" s="310" t="s">
        <v>2700</v>
      </c>
    </row>
    <row r="175" spans="1:18">
      <c r="A175" s="68">
        <v>174</v>
      </c>
      <c r="B175" s="293" t="s">
        <v>503</v>
      </c>
      <c r="C175" s="304" t="s">
        <v>1704</v>
      </c>
      <c r="D175" s="307" t="s">
        <v>2709</v>
      </c>
      <c r="E175" s="293" t="s">
        <v>711</v>
      </c>
      <c r="F175" s="293">
        <v>1</v>
      </c>
      <c r="G175" s="293">
        <v>0</v>
      </c>
      <c r="H175" s="293">
        <v>1</v>
      </c>
      <c r="I175" s="294" t="s">
        <v>2700</v>
      </c>
      <c r="J175" s="293">
        <v>2</v>
      </c>
      <c r="K175" s="294" t="s">
        <v>7</v>
      </c>
      <c r="L175" s="293"/>
      <c r="M175" s="294"/>
      <c r="N175" s="293"/>
      <c r="O175" s="294"/>
      <c r="P175" s="293"/>
      <c r="Q175" s="294"/>
      <c r="R175" s="310" t="s">
        <v>2700</v>
      </c>
    </row>
    <row r="176" spans="1:18">
      <c r="A176" s="68">
        <v>175</v>
      </c>
      <c r="B176" s="293" t="s">
        <v>3423</v>
      </c>
      <c r="C176" s="304" t="s">
        <v>1686</v>
      </c>
      <c r="D176" s="307" t="s">
        <v>2703</v>
      </c>
      <c r="E176" s="293" t="s">
        <v>716</v>
      </c>
      <c r="F176" s="293">
        <v>256</v>
      </c>
      <c r="G176" s="293" t="s">
        <v>145</v>
      </c>
      <c r="H176" s="293" t="s">
        <v>145</v>
      </c>
      <c r="I176" s="294" t="s">
        <v>2702</v>
      </c>
      <c r="J176" s="293"/>
      <c r="K176" s="294"/>
      <c r="L176" s="293"/>
      <c r="M176" s="294"/>
      <c r="N176" s="293"/>
      <c r="O176" s="294"/>
      <c r="P176" s="293"/>
      <c r="Q176" s="294"/>
      <c r="R176" s="310" t="s">
        <v>2700</v>
      </c>
    </row>
    <row r="177" spans="1:18">
      <c r="A177" s="68">
        <v>176</v>
      </c>
      <c r="B177" s="293" t="s">
        <v>5493</v>
      </c>
      <c r="C177" s="304" t="s">
        <v>1705</v>
      </c>
      <c r="D177" s="307" t="s">
        <v>2710</v>
      </c>
      <c r="E177" s="293" t="s">
        <v>711</v>
      </c>
      <c r="F177" s="293">
        <v>1</v>
      </c>
      <c r="G177" s="293">
        <v>0</v>
      </c>
      <c r="H177" s="293">
        <v>1</v>
      </c>
      <c r="I177" s="294" t="s">
        <v>2700</v>
      </c>
      <c r="J177" s="293">
        <v>2</v>
      </c>
      <c r="K177" s="294" t="s">
        <v>7</v>
      </c>
      <c r="L177" s="293"/>
      <c r="M177" s="294"/>
      <c r="N177" s="293"/>
      <c r="O177" s="294"/>
      <c r="P177" s="293"/>
      <c r="Q177" s="294"/>
      <c r="R177" s="310" t="s">
        <v>2700</v>
      </c>
    </row>
    <row r="178" spans="1:18">
      <c r="A178" s="68">
        <v>177</v>
      </c>
      <c r="B178" s="293" t="s">
        <v>5494</v>
      </c>
      <c r="C178" s="304" t="s">
        <v>1687</v>
      </c>
      <c r="D178" s="307" t="s">
        <v>2704</v>
      </c>
      <c r="E178" s="293" t="s">
        <v>716</v>
      </c>
      <c r="F178" s="293">
        <v>256</v>
      </c>
      <c r="G178" s="293" t="s">
        <v>145</v>
      </c>
      <c r="H178" s="293" t="s">
        <v>145</v>
      </c>
      <c r="I178" s="294" t="s">
        <v>2702</v>
      </c>
      <c r="J178" s="293"/>
      <c r="K178" s="294"/>
      <c r="L178" s="293"/>
      <c r="M178" s="294"/>
      <c r="N178" s="293"/>
      <c r="O178" s="294"/>
      <c r="P178" s="293"/>
      <c r="Q178" s="294"/>
      <c r="R178" s="310" t="s">
        <v>2700</v>
      </c>
    </row>
    <row r="179" spans="1:18">
      <c r="A179" s="68">
        <v>178</v>
      </c>
      <c r="B179" s="293" t="s">
        <v>5495</v>
      </c>
      <c r="C179" s="304" t="s">
        <v>1706</v>
      </c>
      <c r="D179" s="307" t="s">
        <v>2711</v>
      </c>
      <c r="E179" s="293" t="s">
        <v>711</v>
      </c>
      <c r="F179" s="293">
        <v>1</v>
      </c>
      <c r="G179" s="293">
        <v>0</v>
      </c>
      <c r="H179" s="293">
        <v>1</v>
      </c>
      <c r="I179" s="294" t="s">
        <v>2700</v>
      </c>
      <c r="J179" s="293">
        <v>2</v>
      </c>
      <c r="K179" s="294" t="s">
        <v>7</v>
      </c>
      <c r="L179" s="293"/>
      <c r="M179" s="294"/>
      <c r="N179" s="293"/>
      <c r="O179" s="294"/>
      <c r="P179" s="293"/>
      <c r="Q179" s="294"/>
      <c r="R179" s="310" t="s">
        <v>2700</v>
      </c>
    </row>
    <row r="180" spans="1:18">
      <c r="A180" s="68">
        <v>179</v>
      </c>
      <c r="B180" s="293" t="s">
        <v>5496</v>
      </c>
      <c r="C180" s="304" t="s">
        <v>1688</v>
      </c>
      <c r="D180" s="307" t="s">
        <v>2705</v>
      </c>
      <c r="E180" s="293" t="s">
        <v>716</v>
      </c>
      <c r="F180" s="293">
        <v>256</v>
      </c>
      <c r="G180" s="293" t="s">
        <v>145</v>
      </c>
      <c r="H180" s="293" t="s">
        <v>145</v>
      </c>
      <c r="I180" s="294" t="s">
        <v>2702</v>
      </c>
      <c r="J180" s="293"/>
      <c r="K180" s="294"/>
      <c r="L180" s="293"/>
      <c r="M180" s="294"/>
      <c r="N180" s="293"/>
      <c r="O180" s="294"/>
      <c r="P180" s="293"/>
      <c r="Q180" s="294"/>
      <c r="R180" s="310" t="s">
        <v>2700</v>
      </c>
    </row>
    <row r="181" spans="1:18">
      <c r="A181" s="68">
        <v>180</v>
      </c>
      <c r="B181" s="293" t="s">
        <v>504</v>
      </c>
      <c r="C181" s="304" t="s">
        <v>1707</v>
      </c>
      <c r="D181" s="307" t="s">
        <v>2712</v>
      </c>
      <c r="E181" s="293" t="s">
        <v>711</v>
      </c>
      <c r="F181" s="293">
        <v>1</v>
      </c>
      <c r="G181" s="293">
        <v>0</v>
      </c>
      <c r="H181" s="293">
        <v>1</v>
      </c>
      <c r="I181" s="294" t="s">
        <v>2700</v>
      </c>
      <c r="J181" s="293">
        <v>2</v>
      </c>
      <c r="K181" s="294" t="s">
        <v>7</v>
      </c>
      <c r="L181" s="293"/>
      <c r="M181" s="294"/>
      <c r="N181" s="293"/>
      <c r="O181" s="294"/>
      <c r="P181" s="293"/>
      <c r="Q181" s="294"/>
      <c r="R181" s="310" t="s">
        <v>2700</v>
      </c>
    </row>
    <row r="182" spans="1:18">
      <c r="A182" s="68">
        <v>181</v>
      </c>
      <c r="B182" s="293" t="s">
        <v>5497</v>
      </c>
      <c r="C182" s="304" t="s">
        <v>1689</v>
      </c>
      <c r="D182" s="307" t="s">
        <v>2706</v>
      </c>
      <c r="E182" s="293" t="s">
        <v>716</v>
      </c>
      <c r="F182" s="293">
        <v>256</v>
      </c>
      <c r="G182" s="293" t="s">
        <v>145</v>
      </c>
      <c r="H182" s="293" t="s">
        <v>145</v>
      </c>
      <c r="I182" s="294" t="s">
        <v>2702</v>
      </c>
      <c r="J182" s="293"/>
      <c r="K182" s="294"/>
      <c r="L182" s="293"/>
      <c r="M182" s="294"/>
      <c r="N182" s="293"/>
      <c r="O182" s="294"/>
      <c r="P182" s="293"/>
      <c r="Q182" s="294"/>
      <c r="R182" s="310" t="s">
        <v>2700</v>
      </c>
    </row>
    <row r="183" spans="1:18">
      <c r="A183" s="68">
        <v>182</v>
      </c>
      <c r="B183" s="293" t="s">
        <v>5498</v>
      </c>
      <c r="C183" s="304" t="s">
        <v>1708</v>
      </c>
      <c r="D183" s="307" t="s">
        <v>2713</v>
      </c>
      <c r="E183" s="293" t="s">
        <v>711</v>
      </c>
      <c r="F183" s="293">
        <v>1</v>
      </c>
      <c r="G183" s="293">
        <v>0</v>
      </c>
      <c r="H183" s="293">
        <v>1</v>
      </c>
      <c r="I183" s="294" t="s">
        <v>2700</v>
      </c>
      <c r="J183" s="293">
        <v>2</v>
      </c>
      <c r="K183" s="294" t="s">
        <v>7</v>
      </c>
      <c r="L183" s="293"/>
      <c r="M183" s="294"/>
      <c r="N183" s="293"/>
      <c r="O183" s="294"/>
      <c r="P183" s="293"/>
      <c r="Q183" s="294"/>
      <c r="R183" s="310" t="s">
        <v>2700</v>
      </c>
    </row>
    <row r="184" spans="1:18">
      <c r="A184" s="68">
        <v>183</v>
      </c>
      <c r="B184" s="293" t="s">
        <v>505</v>
      </c>
      <c r="C184" s="304" t="s">
        <v>1690</v>
      </c>
      <c r="D184" s="307" t="s">
        <v>2707</v>
      </c>
      <c r="E184" s="293" t="s">
        <v>716</v>
      </c>
      <c r="F184" s="293">
        <v>256</v>
      </c>
      <c r="G184" s="293" t="s">
        <v>145</v>
      </c>
      <c r="H184" s="293" t="s">
        <v>145</v>
      </c>
      <c r="I184" s="294" t="s">
        <v>2702</v>
      </c>
      <c r="J184" s="293"/>
      <c r="K184" s="294"/>
      <c r="L184" s="293"/>
      <c r="M184" s="294"/>
      <c r="N184" s="293"/>
      <c r="O184" s="294"/>
      <c r="P184" s="293"/>
      <c r="Q184" s="294"/>
      <c r="R184" s="310" t="s">
        <v>2700</v>
      </c>
    </row>
    <row r="185" spans="1:18">
      <c r="A185" s="68">
        <v>184</v>
      </c>
      <c r="B185" s="293" t="s">
        <v>506</v>
      </c>
      <c r="C185" s="304" t="s">
        <v>1709</v>
      </c>
      <c r="D185" s="307" t="s">
        <v>2701</v>
      </c>
      <c r="E185" s="293" t="s">
        <v>711</v>
      </c>
      <c r="F185" s="293">
        <v>1</v>
      </c>
      <c r="G185" s="293">
        <v>0</v>
      </c>
      <c r="H185" s="293">
        <v>1</v>
      </c>
      <c r="I185" s="294" t="s">
        <v>2700</v>
      </c>
      <c r="J185" s="293">
        <v>2</v>
      </c>
      <c r="K185" s="294" t="s">
        <v>7</v>
      </c>
      <c r="L185" s="293"/>
      <c r="M185" s="294"/>
      <c r="N185" s="293"/>
      <c r="O185" s="294"/>
      <c r="P185" s="293"/>
      <c r="Q185" s="294"/>
      <c r="R185" s="310" t="s">
        <v>2700</v>
      </c>
    </row>
    <row r="186" spans="1:18">
      <c r="A186" s="68">
        <v>185</v>
      </c>
      <c r="B186" s="293" t="s">
        <v>5499</v>
      </c>
      <c r="C186" s="826" t="s">
        <v>7</v>
      </c>
      <c r="D186" s="690" t="s">
        <v>2708</v>
      </c>
      <c r="E186" s="827" t="s">
        <v>716</v>
      </c>
      <c r="F186" s="827">
        <v>256</v>
      </c>
      <c r="G186" s="827" t="s">
        <v>145</v>
      </c>
      <c r="H186" s="827" t="s">
        <v>145</v>
      </c>
      <c r="I186" s="828" t="s">
        <v>2702</v>
      </c>
      <c r="J186" s="827"/>
      <c r="K186" s="828"/>
      <c r="L186" s="827"/>
      <c r="M186" s="828"/>
      <c r="N186" s="827"/>
      <c r="O186" s="828"/>
      <c r="P186" s="827"/>
      <c r="Q186" s="828"/>
      <c r="R186" s="829" t="s">
        <v>2700</v>
      </c>
    </row>
    <row r="187" spans="1:18">
      <c r="A187" s="68">
        <v>186</v>
      </c>
      <c r="B187" s="293" t="s">
        <v>507</v>
      </c>
      <c r="C187" s="295" t="s">
        <v>5188</v>
      </c>
      <c r="D187" s="294" t="s">
        <v>5513</v>
      </c>
      <c r="E187" s="293" t="s">
        <v>711</v>
      </c>
      <c r="F187" s="293">
        <v>1</v>
      </c>
      <c r="G187" s="293">
        <v>0</v>
      </c>
      <c r="H187" s="293">
        <v>1</v>
      </c>
      <c r="I187" s="294" t="s">
        <v>5190</v>
      </c>
      <c r="J187" s="293">
        <v>2</v>
      </c>
      <c r="K187" s="294" t="s">
        <v>5191</v>
      </c>
      <c r="L187" s="293">
        <v>3</v>
      </c>
      <c r="M187" s="294" t="s">
        <v>5192</v>
      </c>
      <c r="N187" s="293"/>
      <c r="O187" s="294"/>
      <c r="P187" s="293"/>
      <c r="Q187" s="294"/>
      <c r="R187" s="835" t="s">
        <v>2634</v>
      </c>
    </row>
    <row r="188" spans="1:18">
      <c r="A188" s="68">
        <v>187</v>
      </c>
      <c r="B188" s="293" t="s">
        <v>508</v>
      </c>
      <c r="C188" s="830" t="s">
        <v>3439</v>
      </c>
      <c r="D188" s="294" t="s">
        <v>5514</v>
      </c>
      <c r="E188" s="293" t="s">
        <v>716</v>
      </c>
      <c r="F188" s="827">
        <v>256</v>
      </c>
      <c r="G188" s="827" t="s">
        <v>145</v>
      </c>
      <c r="H188" s="827" t="s">
        <v>145</v>
      </c>
      <c r="I188" s="828"/>
      <c r="J188" s="293"/>
      <c r="K188" s="294"/>
      <c r="L188" s="293"/>
      <c r="M188" s="294"/>
      <c r="N188" s="293"/>
      <c r="O188" s="294"/>
      <c r="P188" s="293"/>
      <c r="Q188" s="294"/>
      <c r="R188" s="835" t="s">
        <v>2634</v>
      </c>
    </row>
    <row r="189" spans="1:18">
      <c r="A189" s="68">
        <v>188</v>
      </c>
      <c r="B189" s="293" t="s">
        <v>509</v>
      </c>
      <c r="C189" s="831" t="s">
        <v>3440</v>
      </c>
      <c r="D189" s="294" t="s">
        <v>5515</v>
      </c>
      <c r="E189" s="293" t="s">
        <v>716</v>
      </c>
      <c r="F189" s="293">
        <v>2</v>
      </c>
      <c r="G189" s="827" t="s">
        <v>145</v>
      </c>
      <c r="H189" s="827" t="s">
        <v>10</v>
      </c>
      <c r="I189" s="294" t="s">
        <v>5516</v>
      </c>
      <c r="J189" s="293" t="s">
        <v>590</v>
      </c>
      <c r="K189" s="294" t="s">
        <v>5517</v>
      </c>
      <c r="L189" s="293" t="s">
        <v>580</v>
      </c>
      <c r="M189" s="294" t="s">
        <v>5518</v>
      </c>
      <c r="N189" s="293"/>
      <c r="O189" s="294"/>
      <c r="P189" s="293"/>
      <c r="Q189" s="294"/>
      <c r="R189" s="835" t="s">
        <v>5519</v>
      </c>
    </row>
    <row r="190" spans="1:18">
      <c r="A190" s="68">
        <v>189</v>
      </c>
      <c r="B190" s="293" t="s">
        <v>5500</v>
      </c>
      <c r="C190" s="831" t="s">
        <v>595</v>
      </c>
      <c r="D190" s="294" t="s">
        <v>5520</v>
      </c>
      <c r="E190" s="293" t="s">
        <v>711</v>
      </c>
      <c r="F190" s="293">
        <v>1</v>
      </c>
      <c r="G190" s="293">
        <v>0</v>
      </c>
      <c r="H190" s="293" t="s">
        <v>145</v>
      </c>
      <c r="I190" s="294"/>
      <c r="J190" s="293"/>
      <c r="K190" s="294"/>
      <c r="L190" s="293"/>
      <c r="M190" s="294"/>
      <c r="N190" s="293"/>
      <c r="O190" s="294"/>
      <c r="P190" s="293"/>
      <c r="Q190" s="294"/>
      <c r="R190" s="835" t="s">
        <v>5519</v>
      </c>
    </row>
    <row r="191" spans="1:18">
      <c r="A191" s="68">
        <v>190</v>
      </c>
      <c r="B191" s="293" t="s">
        <v>510</v>
      </c>
      <c r="C191" s="831" t="s">
        <v>475</v>
      </c>
      <c r="D191" s="294" t="s">
        <v>5521</v>
      </c>
      <c r="E191" s="293" t="s">
        <v>711</v>
      </c>
      <c r="F191" s="293">
        <v>1</v>
      </c>
      <c r="G191" s="293">
        <v>0</v>
      </c>
      <c r="H191" s="293" t="s">
        <v>145</v>
      </c>
      <c r="I191" s="294"/>
      <c r="J191" s="293"/>
      <c r="K191" s="294"/>
      <c r="L191" s="293"/>
      <c r="M191" s="294"/>
      <c r="N191" s="293"/>
      <c r="O191" s="294"/>
      <c r="P191" s="293"/>
      <c r="Q191" s="294"/>
      <c r="R191" s="835" t="s">
        <v>5519</v>
      </c>
    </row>
    <row r="192" spans="1:18">
      <c r="A192" s="68">
        <v>191</v>
      </c>
      <c r="B192" s="293" t="s">
        <v>511</v>
      </c>
      <c r="C192" s="831" t="s">
        <v>5474</v>
      </c>
      <c r="D192" s="294" t="s">
        <v>5522</v>
      </c>
      <c r="E192" s="293" t="s">
        <v>716</v>
      </c>
      <c r="F192" s="293">
        <v>2</v>
      </c>
      <c r="G192" s="827" t="s">
        <v>145</v>
      </c>
      <c r="H192" s="827" t="s">
        <v>10</v>
      </c>
      <c r="I192" s="294" t="s">
        <v>5516</v>
      </c>
      <c r="J192" s="293" t="s">
        <v>590</v>
      </c>
      <c r="K192" s="294" t="s">
        <v>5517</v>
      </c>
      <c r="L192" s="293" t="s">
        <v>580</v>
      </c>
      <c r="M192" s="294" t="s">
        <v>5518</v>
      </c>
      <c r="N192" s="293"/>
      <c r="O192" s="294"/>
      <c r="P192" s="293"/>
      <c r="Q192" s="294"/>
      <c r="R192" s="835" t="s">
        <v>5519</v>
      </c>
    </row>
    <row r="193" spans="1:18">
      <c r="A193" s="68">
        <v>192</v>
      </c>
      <c r="B193" s="293" t="s">
        <v>5501</v>
      </c>
      <c r="C193" s="831" t="s">
        <v>5527</v>
      </c>
      <c r="D193" s="294" t="s">
        <v>3442</v>
      </c>
      <c r="E193" s="293" t="s">
        <v>711</v>
      </c>
      <c r="F193" s="293">
        <v>3</v>
      </c>
      <c r="G193" s="308" t="s">
        <v>712</v>
      </c>
      <c r="H193" s="293" t="s">
        <v>145</v>
      </c>
      <c r="I193" s="294"/>
      <c r="J193" s="293"/>
      <c r="K193" s="294"/>
      <c r="L193" s="293"/>
      <c r="M193" s="294"/>
      <c r="N193" s="293"/>
      <c r="O193" s="294"/>
      <c r="P193" s="293"/>
      <c r="Q193" s="294"/>
      <c r="R193" s="835" t="s">
        <v>5519</v>
      </c>
    </row>
    <row r="194" spans="1:18">
      <c r="A194" s="68">
        <v>193</v>
      </c>
      <c r="B194" s="293" t="s">
        <v>5502</v>
      </c>
      <c r="C194" s="831" t="s">
        <v>320</v>
      </c>
      <c r="D194" s="294" t="s">
        <v>5524</v>
      </c>
      <c r="E194" s="293" t="s">
        <v>711</v>
      </c>
      <c r="F194" s="293">
        <v>2</v>
      </c>
      <c r="G194" s="308" t="s">
        <v>3893</v>
      </c>
      <c r="H194" s="293" t="s">
        <v>145</v>
      </c>
      <c r="I194" s="294"/>
      <c r="J194" s="293"/>
      <c r="K194" s="294"/>
      <c r="L194" s="293"/>
      <c r="M194" s="294"/>
      <c r="N194" s="293"/>
      <c r="O194" s="294"/>
      <c r="P194" s="293"/>
      <c r="Q194" s="294"/>
      <c r="R194" s="835" t="s">
        <v>5519</v>
      </c>
    </row>
    <row r="195" spans="1:18">
      <c r="A195" s="68">
        <v>194</v>
      </c>
      <c r="B195" s="293" t="s">
        <v>512</v>
      </c>
      <c r="C195" s="831" t="s">
        <v>322</v>
      </c>
      <c r="D195" s="294" t="s">
        <v>5523</v>
      </c>
      <c r="E195" s="293" t="s">
        <v>711</v>
      </c>
      <c r="F195" s="293">
        <v>2</v>
      </c>
      <c r="G195" s="308" t="s">
        <v>3893</v>
      </c>
      <c r="H195" s="293" t="s">
        <v>145</v>
      </c>
      <c r="I195" s="294"/>
      <c r="J195" s="293"/>
      <c r="K195" s="294"/>
      <c r="L195" s="293"/>
      <c r="M195" s="294"/>
      <c r="N195" s="293"/>
      <c r="O195" s="294"/>
      <c r="P195" s="293"/>
      <c r="Q195" s="294"/>
      <c r="R195" s="835" t="s">
        <v>5519</v>
      </c>
    </row>
    <row r="196" spans="1:18">
      <c r="A196" s="68">
        <v>195</v>
      </c>
      <c r="B196" s="293" t="s">
        <v>513</v>
      </c>
      <c r="C196" s="831" t="s">
        <v>323</v>
      </c>
      <c r="D196" s="294" t="s">
        <v>5525</v>
      </c>
      <c r="E196" s="293" t="s">
        <v>711</v>
      </c>
      <c r="F196" s="293">
        <v>2</v>
      </c>
      <c r="G196" s="308" t="s">
        <v>3893</v>
      </c>
      <c r="H196" s="293" t="s">
        <v>145</v>
      </c>
      <c r="I196" s="294"/>
      <c r="J196" s="293"/>
      <c r="K196" s="294"/>
      <c r="L196" s="293"/>
      <c r="M196" s="294"/>
      <c r="N196" s="293"/>
      <c r="O196" s="294"/>
      <c r="P196" s="293"/>
      <c r="Q196" s="294"/>
      <c r="R196" s="835" t="s">
        <v>5519</v>
      </c>
    </row>
    <row r="197" spans="1:18">
      <c r="A197" s="68">
        <v>196</v>
      </c>
      <c r="B197" s="293" t="s">
        <v>514</v>
      </c>
      <c r="C197" s="831" t="s">
        <v>5475</v>
      </c>
      <c r="D197" s="294" t="s">
        <v>5526</v>
      </c>
      <c r="E197" s="293" t="s">
        <v>716</v>
      </c>
      <c r="F197" s="293">
        <v>2</v>
      </c>
      <c r="G197" s="827" t="s">
        <v>145</v>
      </c>
      <c r="H197" s="827" t="s">
        <v>10</v>
      </c>
      <c r="I197" s="294" t="s">
        <v>5516</v>
      </c>
      <c r="J197" s="293" t="s">
        <v>590</v>
      </c>
      <c r="K197" s="294" t="s">
        <v>5517</v>
      </c>
      <c r="L197" s="293" t="s">
        <v>580</v>
      </c>
      <c r="M197" s="294" t="s">
        <v>5518</v>
      </c>
      <c r="N197" s="293"/>
      <c r="O197" s="294"/>
      <c r="P197" s="293"/>
      <c r="Q197" s="294"/>
      <c r="R197" s="835" t="s">
        <v>5519</v>
      </c>
    </row>
    <row r="198" spans="1:18">
      <c r="A198" s="68">
        <v>197</v>
      </c>
      <c r="B198" s="293" t="s">
        <v>5503</v>
      </c>
      <c r="C198" s="831" t="s">
        <v>5528</v>
      </c>
      <c r="D198" s="294" t="s">
        <v>3442</v>
      </c>
      <c r="E198" s="293" t="s">
        <v>711</v>
      </c>
      <c r="F198" s="293">
        <v>3</v>
      </c>
      <c r="G198" s="308" t="s">
        <v>712</v>
      </c>
      <c r="H198" s="293" t="s">
        <v>145</v>
      </c>
      <c r="I198" s="294"/>
      <c r="J198" s="293"/>
      <c r="K198" s="294"/>
      <c r="L198" s="293"/>
      <c r="M198" s="294"/>
      <c r="N198" s="293"/>
      <c r="O198" s="294"/>
      <c r="P198" s="293"/>
      <c r="Q198" s="294"/>
      <c r="R198" s="835" t="s">
        <v>5519</v>
      </c>
    </row>
    <row r="199" spans="1:18">
      <c r="A199" s="68">
        <v>198</v>
      </c>
      <c r="B199" s="293" t="s">
        <v>515</v>
      </c>
      <c r="C199" s="831" t="s">
        <v>320</v>
      </c>
      <c r="D199" s="294" t="s">
        <v>5529</v>
      </c>
      <c r="E199" s="293" t="s">
        <v>711</v>
      </c>
      <c r="F199" s="293">
        <v>2</v>
      </c>
      <c r="G199" s="308" t="s">
        <v>3893</v>
      </c>
      <c r="H199" s="293" t="s">
        <v>145</v>
      </c>
      <c r="I199" s="294"/>
      <c r="J199" s="293"/>
      <c r="K199" s="294"/>
      <c r="L199" s="293"/>
      <c r="M199" s="294"/>
      <c r="N199" s="293"/>
      <c r="O199" s="294"/>
      <c r="P199" s="293"/>
      <c r="Q199" s="294"/>
      <c r="R199" s="835" t="s">
        <v>5519</v>
      </c>
    </row>
    <row r="200" spans="1:18">
      <c r="A200" s="68">
        <v>199</v>
      </c>
      <c r="B200" s="293" t="s">
        <v>516</v>
      </c>
      <c r="C200" s="831" t="s">
        <v>322</v>
      </c>
      <c r="D200" s="294" t="s">
        <v>5530</v>
      </c>
      <c r="E200" s="293" t="s">
        <v>711</v>
      </c>
      <c r="F200" s="293">
        <v>2</v>
      </c>
      <c r="G200" s="308" t="s">
        <v>3893</v>
      </c>
      <c r="H200" s="293" t="s">
        <v>145</v>
      </c>
      <c r="I200" s="294"/>
      <c r="J200" s="293"/>
      <c r="K200" s="294"/>
      <c r="L200" s="293"/>
      <c r="M200" s="294"/>
      <c r="N200" s="293"/>
      <c r="O200" s="294"/>
      <c r="P200" s="293"/>
      <c r="Q200" s="294"/>
      <c r="R200" s="835" t="s">
        <v>5519</v>
      </c>
    </row>
    <row r="201" spans="1:18">
      <c r="A201" s="68">
        <v>200</v>
      </c>
      <c r="B201" s="293" t="s">
        <v>517</v>
      </c>
      <c r="C201" s="831" t="s">
        <v>323</v>
      </c>
      <c r="D201" s="294" t="s">
        <v>5531</v>
      </c>
      <c r="E201" s="293" t="s">
        <v>711</v>
      </c>
      <c r="F201" s="293">
        <v>2</v>
      </c>
      <c r="G201" s="308" t="s">
        <v>3893</v>
      </c>
      <c r="H201" s="293" t="s">
        <v>145</v>
      </c>
      <c r="I201" s="294"/>
      <c r="J201" s="293"/>
      <c r="K201" s="294"/>
      <c r="L201" s="293"/>
      <c r="M201" s="294"/>
      <c r="N201" s="293"/>
      <c r="O201" s="294"/>
      <c r="P201" s="293"/>
      <c r="Q201" s="294"/>
      <c r="R201" s="835" t="s">
        <v>5519</v>
      </c>
    </row>
    <row r="202" spans="1:18">
      <c r="A202" s="68">
        <v>201</v>
      </c>
      <c r="B202" s="293" t="s">
        <v>518</v>
      </c>
      <c r="C202" s="832" t="s">
        <v>3446</v>
      </c>
      <c r="D202" s="294"/>
      <c r="E202" s="293"/>
      <c r="F202" s="293"/>
      <c r="G202" s="293"/>
      <c r="H202" s="293"/>
      <c r="I202" s="294"/>
      <c r="J202" s="293"/>
      <c r="K202" s="294"/>
      <c r="L202" s="293"/>
      <c r="M202" s="294"/>
      <c r="N202" s="293"/>
      <c r="O202" s="294"/>
      <c r="P202" s="293"/>
      <c r="Q202" s="294"/>
      <c r="R202" s="313"/>
    </row>
    <row r="203" spans="1:18">
      <c r="A203" s="68">
        <v>202</v>
      </c>
      <c r="B203" s="293" t="s">
        <v>519</v>
      </c>
      <c r="C203" s="831" t="s">
        <v>3449</v>
      </c>
      <c r="D203" s="294"/>
      <c r="E203" s="293"/>
      <c r="F203" s="293"/>
      <c r="G203" s="293"/>
      <c r="H203" s="293"/>
      <c r="I203" s="294"/>
      <c r="J203" s="293"/>
      <c r="K203" s="294"/>
      <c r="L203" s="293"/>
      <c r="M203" s="294"/>
      <c r="N203" s="293"/>
      <c r="O203" s="294"/>
      <c r="P203" s="293"/>
      <c r="Q203" s="294"/>
      <c r="R203" s="313"/>
    </row>
    <row r="204" spans="1:18">
      <c r="A204" s="68">
        <v>203</v>
      </c>
      <c r="B204" s="293" t="s">
        <v>520</v>
      </c>
      <c r="C204" s="831" t="s">
        <v>1605</v>
      </c>
      <c r="D204" s="294"/>
      <c r="E204" s="293"/>
      <c r="F204" s="293"/>
      <c r="G204" s="293"/>
      <c r="H204" s="293"/>
      <c r="I204" s="294"/>
      <c r="J204" s="293"/>
      <c r="K204" s="294"/>
      <c r="L204" s="293"/>
      <c r="M204" s="294"/>
      <c r="N204" s="293"/>
      <c r="O204" s="294"/>
      <c r="P204" s="293"/>
      <c r="Q204" s="294"/>
      <c r="R204" s="313"/>
    </row>
    <row r="205" spans="1:18">
      <c r="A205" s="68">
        <v>204</v>
      </c>
      <c r="B205" s="293" t="s">
        <v>5504</v>
      </c>
      <c r="C205" s="831" t="s">
        <v>508</v>
      </c>
      <c r="D205" s="294"/>
      <c r="E205" s="293"/>
      <c r="F205" s="293"/>
      <c r="G205" s="293"/>
      <c r="H205" s="293"/>
      <c r="I205" s="294"/>
      <c r="J205" s="293"/>
      <c r="K205" s="294"/>
      <c r="L205" s="293"/>
      <c r="M205" s="294"/>
      <c r="N205" s="293"/>
      <c r="O205" s="294"/>
      <c r="P205" s="293"/>
      <c r="Q205" s="294"/>
      <c r="R205" s="313"/>
    </row>
    <row r="206" spans="1:18">
      <c r="A206" s="68">
        <v>205</v>
      </c>
      <c r="B206" s="293" t="s">
        <v>521</v>
      </c>
      <c r="C206" s="831" t="s">
        <v>3451</v>
      </c>
      <c r="D206" s="294"/>
      <c r="E206" s="293"/>
      <c r="F206" s="293"/>
      <c r="G206" s="293"/>
      <c r="H206" s="293"/>
      <c r="I206" s="294"/>
      <c r="J206" s="293"/>
      <c r="K206" s="294"/>
      <c r="L206" s="293"/>
      <c r="M206" s="294"/>
      <c r="N206" s="293"/>
      <c r="O206" s="294"/>
      <c r="P206" s="293"/>
      <c r="Q206" s="294"/>
      <c r="R206" s="313"/>
    </row>
    <row r="207" spans="1:18">
      <c r="A207" s="68">
        <v>206</v>
      </c>
      <c r="B207" s="293" t="s">
        <v>5505</v>
      </c>
      <c r="C207" s="831" t="s">
        <v>3452</v>
      </c>
      <c r="D207" s="294"/>
      <c r="E207" s="293"/>
      <c r="F207" s="293"/>
      <c r="G207" s="293"/>
      <c r="H207" s="293"/>
      <c r="I207" s="294"/>
      <c r="J207" s="293"/>
      <c r="K207" s="294"/>
      <c r="L207" s="293"/>
      <c r="M207" s="294"/>
      <c r="N207" s="293"/>
      <c r="O207" s="294"/>
      <c r="P207" s="293"/>
      <c r="Q207" s="294"/>
      <c r="R207" s="313"/>
    </row>
    <row r="208" spans="1:18">
      <c r="A208" s="68">
        <v>207</v>
      </c>
      <c r="B208" s="293" t="s">
        <v>522</v>
      </c>
      <c r="C208" s="831" t="s">
        <v>3453</v>
      </c>
      <c r="D208" s="294"/>
      <c r="E208" s="293"/>
      <c r="F208" s="293"/>
      <c r="G208" s="293"/>
      <c r="H208" s="293"/>
      <c r="I208" s="294"/>
      <c r="J208" s="293"/>
      <c r="K208" s="294"/>
      <c r="L208" s="293"/>
      <c r="M208" s="294"/>
      <c r="N208" s="293"/>
      <c r="O208" s="294"/>
      <c r="P208" s="293"/>
      <c r="Q208" s="294"/>
      <c r="R208" s="313"/>
    </row>
    <row r="209" spans="1:18">
      <c r="A209" s="68">
        <v>208</v>
      </c>
      <c r="B209" s="293" t="s">
        <v>5506</v>
      </c>
      <c r="C209" s="833" t="s">
        <v>3932</v>
      </c>
      <c r="D209" s="294"/>
      <c r="E209" s="293"/>
      <c r="F209" s="293"/>
      <c r="G209" s="293"/>
      <c r="H209" s="293"/>
      <c r="I209" s="294"/>
      <c r="J209" s="293"/>
      <c r="K209" s="294"/>
      <c r="L209" s="293"/>
      <c r="M209" s="294"/>
      <c r="N209" s="293"/>
      <c r="O209" s="294"/>
      <c r="P209" s="293"/>
      <c r="Q209" s="294"/>
      <c r="R209" s="313"/>
    </row>
    <row r="210" spans="1:18">
      <c r="A210" s="68">
        <v>209</v>
      </c>
      <c r="B210" s="293" t="s">
        <v>5507</v>
      </c>
      <c r="C210" s="833" t="s">
        <v>3933</v>
      </c>
      <c r="D210" s="294"/>
      <c r="E210" s="293"/>
      <c r="F210" s="293"/>
      <c r="G210" s="293"/>
      <c r="H210" s="293"/>
      <c r="I210" s="294"/>
      <c r="J210" s="293"/>
      <c r="K210" s="294"/>
      <c r="L210" s="293"/>
      <c r="M210" s="294"/>
      <c r="N210" s="293"/>
      <c r="O210" s="294"/>
      <c r="P210" s="293"/>
      <c r="Q210" s="294"/>
      <c r="R210" s="313"/>
    </row>
    <row r="211" spans="1:18">
      <c r="A211" s="68">
        <v>210</v>
      </c>
      <c r="B211" s="293" t="s">
        <v>5508</v>
      </c>
      <c r="C211" s="834" t="s">
        <v>3934</v>
      </c>
      <c r="D211" s="294"/>
      <c r="E211" s="293"/>
      <c r="F211" s="293"/>
      <c r="G211" s="293"/>
      <c r="H211" s="293"/>
      <c r="I211" s="294"/>
      <c r="J211" s="293"/>
      <c r="K211" s="294"/>
      <c r="L211" s="293"/>
      <c r="M211" s="294"/>
      <c r="N211" s="293"/>
      <c r="O211" s="294"/>
      <c r="P211" s="293"/>
      <c r="Q211" s="294"/>
      <c r="R211" s="313"/>
    </row>
    <row r="212" spans="1:18">
      <c r="A212" s="68">
        <v>211</v>
      </c>
      <c r="B212" s="293" t="s">
        <v>5509</v>
      </c>
      <c r="C212" s="304" t="s">
        <v>3935</v>
      </c>
      <c r="D212" s="294"/>
      <c r="E212" s="293"/>
      <c r="F212" s="293"/>
      <c r="G212" s="293"/>
      <c r="H212" s="293"/>
      <c r="I212" s="294"/>
      <c r="J212" s="293"/>
      <c r="K212" s="294"/>
      <c r="L212" s="293"/>
      <c r="M212" s="294"/>
      <c r="N212" s="293"/>
      <c r="O212" s="294"/>
      <c r="P212" s="293"/>
      <c r="Q212" s="294"/>
      <c r="R212" s="313"/>
    </row>
    <row r="213" spans="1:18">
      <c r="A213" s="68">
        <v>212</v>
      </c>
      <c r="B213" s="293" t="s">
        <v>5510</v>
      </c>
      <c r="C213" s="304" t="s">
        <v>3936</v>
      </c>
      <c r="D213" s="294"/>
      <c r="E213" s="293"/>
      <c r="F213" s="293"/>
      <c r="G213" s="293"/>
      <c r="H213" s="293"/>
      <c r="I213" s="294"/>
      <c r="J213" s="293"/>
      <c r="K213" s="294"/>
      <c r="L213" s="293"/>
      <c r="M213" s="294"/>
      <c r="N213" s="293"/>
      <c r="O213" s="294"/>
      <c r="P213" s="293"/>
      <c r="Q213" s="294"/>
      <c r="R213" s="313"/>
    </row>
    <row r="214" spans="1:18">
      <c r="A214" s="68">
        <v>213</v>
      </c>
      <c r="B214" s="293" t="s">
        <v>5511</v>
      </c>
      <c r="C214" s="304" t="s">
        <v>3937</v>
      </c>
      <c r="D214" s="294"/>
      <c r="E214" s="293"/>
      <c r="F214" s="293"/>
      <c r="G214" s="293"/>
      <c r="H214" s="293"/>
      <c r="I214" s="294"/>
      <c r="J214" s="293"/>
      <c r="K214" s="294"/>
      <c r="L214" s="293"/>
      <c r="M214" s="294"/>
      <c r="N214" s="293"/>
      <c r="O214" s="294"/>
      <c r="P214" s="293"/>
      <c r="Q214" s="294"/>
      <c r="R214" s="313"/>
    </row>
    <row r="215" spans="1:18">
      <c r="A215" s="68">
        <v>214</v>
      </c>
      <c r="B215" s="293" t="s">
        <v>5512</v>
      </c>
      <c r="C215" s="833" t="s">
        <v>3944</v>
      </c>
      <c r="D215" s="294"/>
      <c r="E215" s="293"/>
      <c r="F215" s="293"/>
      <c r="G215" s="293"/>
      <c r="H215" s="293"/>
      <c r="I215" s="294"/>
      <c r="J215" s="293"/>
      <c r="K215" s="294"/>
      <c r="L215" s="293"/>
      <c r="M215" s="294"/>
      <c r="N215" s="293"/>
      <c r="O215" s="294"/>
      <c r="P215" s="293"/>
      <c r="Q215" s="294"/>
      <c r="R215" s="313"/>
    </row>
    <row r="216" spans="1:18">
      <c r="A216" s="68">
        <v>215</v>
      </c>
      <c r="B216" s="293" t="s">
        <v>6208</v>
      </c>
      <c r="C216" s="833" t="s">
        <v>3941</v>
      </c>
      <c r="D216" s="294"/>
      <c r="E216" s="293"/>
      <c r="F216" s="293"/>
      <c r="G216" s="293"/>
      <c r="H216" s="293"/>
      <c r="I216" s="294"/>
      <c r="J216" s="293"/>
      <c r="K216" s="294"/>
      <c r="L216" s="293"/>
      <c r="M216" s="294"/>
      <c r="N216" s="293"/>
      <c r="O216" s="294"/>
      <c r="P216" s="293"/>
      <c r="Q216" s="294"/>
      <c r="R216" s="313"/>
    </row>
    <row r="217" spans="1:18">
      <c r="A217" s="68">
        <v>216</v>
      </c>
      <c r="B217" s="293" t="s">
        <v>6209</v>
      </c>
      <c r="C217" s="304" t="s">
        <v>3938</v>
      </c>
      <c r="D217" s="294"/>
      <c r="E217" s="293"/>
      <c r="F217" s="293"/>
      <c r="G217" s="293"/>
      <c r="H217" s="293"/>
      <c r="I217" s="294"/>
      <c r="J217" s="293"/>
      <c r="K217" s="294"/>
      <c r="L217" s="293"/>
      <c r="M217" s="294"/>
      <c r="N217" s="293"/>
      <c r="O217" s="294"/>
      <c r="P217" s="293"/>
      <c r="Q217" s="294"/>
      <c r="R217" s="313"/>
    </row>
    <row r="218" spans="1:18">
      <c r="A218" s="68">
        <v>217</v>
      </c>
      <c r="B218" s="293" t="s">
        <v>6210</v>
      </c>
      <c r="C218" s="304" t="s">
        <v>3939</v>
      </c>
      <c r="D218" s="294"/>
      <c r="E218" s="293"/>
      <c r="F218" s="293"/>
      <c r="G218" s="293"/>
      <c r="H218" s="293"/>
      <c r="I218" s="294"/>
      <c r="J218" s="293"/>
      <c r="K218" s="294"/>
      <c r="L218" s="293"/>
      <c r="M218" s="294"/>
      <c r="N218" s="293"/>
      <c r="O218" s="294"/>
      <c r="P218" s="293"/>
      <c r="Q218" s="294"/>
      <c r="R218" s="313"/>
    </row>
    <row r="219" spans="1:18">
      <c r="A219" s="68">
        <v>218</v>
      </c>
      <c r="B219" s="293" t="s">
        <v>6211</v>
      </c>
      <c r="C219" s="304" t="s">
        <v>3940</v>
      </c>
      <c r="D219" s="294"/>
      <c r="E219" s="293"/>
      <c r="F219" s="293"/>
      <c r="G219" s="293"/>
      <c r="H219" s="293"/>
      <c r="I219" s="294"/>
      <c r="J219" s="293"/>
      <c r="K219" s="294"/>
      <c r="L219" s="293"/>
      <c r="M219" s="294"/>
      <c r="N219" s="293"/>
      <c r="O219" s="294"/>
      <c r="P219" s="293"/>
      <c r="Q219" s="294"/>
      <c r="R219" s="313"/>
    </row>
    <row r="220" spans="1:18">
      <c r="A220" s="68">
        <v>219</v>
      </c>
      <c r="B220" s="293" t="s">
        <v>523</v>
      </c>
      <c r="C220" s="60" t="s">
        <v>3982</v>
      </c>
      <c r="D220" s="294"/>
      <c r="E220" s="293"/>
      <c r="F220" s="293"/>
      <c r="G220" s="293"/>
      <c r="H220" s="293"/>
      <c r="I220" s="294"/>
      <c r="J220" s="293"/>
      <c r="K220" s="294"/>
      <c r="L220" s="293"/>
      <c r="M220" s="294"/>
      <c r="N220" s="293"/>
      <c r="O220" s="294"/>
      <c r="P220" s="293"/>
      <c r="Q220" s="294"/>
      <c r="R220" s="313"/>
    </row>
    <row r="221" spans="1:18">
      <c r="A221" s="68">
        <v>220</v>
      </c>
      <c r="B221" s="293" t="s">
        <v>6212</v>
      </c>
      <c r="C221" s="60" t="s">
        <v>3983</v>
      </c>
      <c r="D221" s="294"/>
      <c r="E221" s="293"/>
      <c r="F221" s="293"/>
      <c r="G221" s="293"/>
      <c r="H221" s="293"/>
      <c r="I221" s="294"/>
      <c r="J221" s="293"/>
      <c r="K221" s="294"/>
      <c r="L221" s="293"/>
      <c r="M221" s="294"/>
      <c r="N221" s="293"/>
      <c r="O221" s="294"/>
      <c r="P221" s="293"/>
      <c r="Q221" s="294"/>
      <c r="R221" s="313"/>
    </row>
    <row r="222" spans="1:18">
      <c r="A222" s="68">
        <v>221</v>
      </c>
      <c r="B222" s="293" t="s">
        <v>524</v>
      </c>
      <c r="C222" s="60" t="s">
        <v>3976</v>
      </c>
      <c r="D222" s="294"/>
      <c r="E222" s="293"/>
      <c r="F222" s="293"/>
      <c r="G222" s="293"/>
      <c r="H222" s="293"/>
      <c r="I222" s="294"/>
      <c r="J222" s="293"/>
      <c r="K222" s="294"/>
      <c r="L222" s="293"/>
      <c r="M222" s="294"/>
      <c r="N222" s="293"/>
      <c r="O222" s="294"/>
      <c r="P222" s="293"/>
      <c r="Q222" s="294"/>
      <c r="R222" s="313"/>
    </row>
    <row r="223" spans="1:18">
      <c r="A223" s="68">
        <v>222</v>
      </c>
      <c r="B223" s="293" t="s">
        <v>525</v>
      </c>
      <c r="C223" s="60" t="s">
        <v>3977</v>
      </c>
      <c r="D223" s="294"/>
      <c r="E223" s="293"/>
      <c r="F223" s="293"/>
      <c r="G223" s="293"/>
      <c r="H223" s="293"/>
      <c r="I223" s="294"/>
      <c r="J223" s="293"/>
      <c r="K223" s="294"/>
      <c r="L223" s="293"/>
      <c r="M223" s="294"/>
      <c r="N223" s="293"/>
      <c r="O223" s="294"/>
      <c r="P223" s="293"/>
      <c r="Q223" s="294"/>
      <c r="R223" s="313"/>
    </row>
    <row r="224" spans="1:18">
      <c r="A224" s="68">
        <v>223</v>
      </c>
      <c r="B224" s="293" t="s">
        <v>6213</v>
      </c>
      <c r="C224" s="60" t="s">
        <v>3979</v>
      </c>
      <c r="D224" s="294"/>
      <c r="E224" s="293"/>
      <c r="F224" s="293"/>
      <c r="G224" s="293"/>
      <c r="H224" s="293"/>
      <c r="I224" s="294"/>
      <c r="J224" s="293"/>
      <c r="K224" s="294"/>
      <c r="L224" s="293"/>
      <c r="M224" s="294"/>
      <c r="N224" s="293"/>
      <c r="O224" s="294"/>
      <c r="P224" s="293"/>
      <c r="Q224" s="294"/>
      <c r="R224" s="313"/>
    </row>
    <row r="225" spans="1:18">
      <c r="A225" s="68">
        <v>224</v>
      </c>
      <c r="B225" s="293" t="s">
        <v>6214</v>
      </c>
      <c r="C225" s="60" t="s">
        <v>3980</v>
      </c>
      <c r="D225" s="294"/>
      <c r="E225" s="293"/>
      <c r="F225" s="293"/>
      <c r="G225" s="293"/>
      <c r="H225" s="293"/>
      <c r="I225" s="294"/>
      <c r="J225" s="293"/>
      <c r="K225" s="294"/>
      <c r="L225" s="293"/>
      <c r="M225" s="294"/>
      <c r="N225" s="293"/>
      <c r="O225" s="294"/>
      <c r="P225" s="293"/>
      <c r="Q225" s="294"/>
      <c r="R225" s="313"/>
    </row>
    <row r="226" spans="1:18">
      <c r="A226" s="68">
        <v>225</v>
      </c>
      <c r="B226" s="293" t="s">
        <v>6215</v>
      </c>
      <c r="C226" s="60" t="s">
        <v>3978</v>
      </c>
      <c r="D226" s="294"/>
      <c r="E226" s="293"/>
      <c r="F226" s="293"/>
      <c r="G226" s="293"/>
      <c r="H226" s="293"/>
      <c r="I226" s="294"/>
      <c r="J226" s="293"/>
      <c r="K226" s="294"/>
      <c r="L226" s="293"/>
      <c r="M226" s="294"/>
      <c r="N226" s="293"/>
      <c r="O226" s="294"/>
      <c r="P226" s="293"/>
      <c r="Q226" s="294"/>
      <c r="R226" s="313"/>
    </row>
    <row r="227" spans="1:18">
      <c r="A227" s="68">
        <v>226</v>
      </c>
      <c r="B227" s="293" t="s">
        <v>526</v>
      </c>
      <c r="C227" s="60" t="s">
        <v>3981</v>
      </c>
      <c r="D227" s="294"/>
      <c r="E227" s="293"/>
      <c r="F227" s="293"/>
      <c r="G227" s="293"/>
      <c r="H227" s="293"/>
      <c r="I227" s="294"/>
      <c r="J227" s="293"/>
      <c r="K227" s="294"/>
      <c r="L227" s="293"/>
      <c r="M227" s="294"/>
      <c r="N227" s="293"/>
      <c r="O227" s="294"/>
      <c r="P227" s="293"/>
      <c r="Q227" s="294"/>
      <c r="R227" s="313"/>
    </row>
    <row r="228" spans="1:18">
      <c r="A228" s="68">
        <v>227</v>
      </c>
      <c r="B228" s="293" t="s">
        <v>6216</v>
      </c>
      <c r="C228" s="60" t="s">
        <v>4154</v>
      </c>
      <c r="D228" s="294"/>
      <c r="E228" s="293"/>
      <c r="F228" s="293"/>
      <c r="G228" s="293"/>
      <c r="H228" s="293"/>
      <c r="I228" s="294"/>
      <c r="J228" s="293"/>
      <c r="K228" s="294"/>
      <c r="L228" s="293"/>
      <c r="M228" s="294"/>
      <c r="N228" s="293"/>
      <c r="O228" s="294"/>
      <c r="P228" s="293"/>
      <c r="Q228" s="294"/>
      <c r="R228" s="313"/>
    </row>
    <row r="229" spans="1:18">
      <c r="A229" s="68">
        <v>228</v>
      </c>
      <c r="B229" s="293" t="s">
        <v>527</v>
      </c>
      <c r="C229" s="60" t="s">
        <v>3442</v>
      </c>
      <c r="D229" s="294"/>
      <c r="E229" s="293"/>
      <c r="F229" s="293"/>
      <c r="G229" s="293"/>
      <c r="H229" s="293"/>
      <c r="I229" s="294"/>
      <c r="J229" s="293"/>
      <c r="K229" s="294"/>
      <c r="L229" s="293"/>
      <c r="M229" s="294"/>
      <c r="N229" s="293"/>
      <c r="O229" s="294"/>
      <c r="P229" s="293"/>
      <c r="Q229" s="294"/>
      <c r="R229" s="313"/>
    </row>
    <row r="230" spans="1:18">
      <c r="A230" s="68">
        <v>229</v>
      </c>
      <c r="B230" s="293" t="s">
        <v>528</v>
      </c>
      <c r="C230" s="60" t="s">
        <v>4156</v>
      </c>
      <c r="D230" s="294"/>
      <c r="E230" s="293"/>
      <c r="F230" s="293"/>
      <c r="G230" s="293"/>
      <c r="H230" s="293"/>
      <c r="I230" s="294"/>
      <c r="J230" s="293"/>
      <c r="K230" s="294"/>
      <c r="L230" s="293"/>
      <c r="M230" s="294"/>
      <c r="N230" s="293"/>
      <c r="O230" s="294"/>
      <c r="P230" s="293"/>
      <c r="Q230" s="294"/>
      <c r="R230" s="313"/>
    </row>
    <row r="231" spans="1:18">
      <c r="A231" s="68">
        <v>230</v>
      </c>
      <c r="B231" s="293" t="s">
        <v>6217</v>
      </c>
      <c r="C231" s="304" t="s">
        <v>4164</v>
      </c>
      <c r="D231" s="294"/>
      <c r="E231" s="293"/>
      <c r="F231" s="293"/>
      <c r="G231" s="293"/>
      <c r="H231" s="293"/>
      <c r="I231" s="294"/>
      <c r="J231" s="293"/>
      <c r="K231" s="294"/>
      <c r="L231" s="293"/>
      <c r="M231" s="294"/>
      <c r="N231" s="293"/>
      <c r="O231" s="294"/>
      <c r="P231" s="293"/>
      <c r="Q231" s="294"/>
      <c r="R231" s="313"/>
    </row>
    <row r="232" spans="1:18">
      <c r="A232" s="68">
        <v>231</v>
      </c>
      <c r="B232" s="293" t="s">
        <v>6218</v>
      </c>
      <c r="C232" s="304" t="s">
        <v>4155</v>
      </c>
      <c r="D232" s="294"/>
      <c r="E232" s="293"/>
      <c r="F232" s="293"/>
      <c r="G232" s="293"/>
      <c r="H232" s="293"/>
      <c r="I232" s="294"/>
      <c r="J232" s="293"/>
      <c r="K232" s="294"/>
      <c r="L232" s="293"/>
      <c r="M232" s="294"/>
      <c r="N232" s="293"/>
      <c r="O232" s="294"/>
      <c r="P232" s="293"/>
      <c r="Q232" s="294"/>
      <c r="R232" s="313"/>
    </row>
    <row r="233" spans="1:18">
      <c r="A233" s="68">
        <v>232</v>
      </c>
      <c r="B233" s="293" t="s">
        <v>6219</v>
      </c>
      <c r="C233" s="304" t="s">
        <v>4145</v>
      </c>
      <c r="D233" s="294"/>
      <c r="E233" s="293"/>
      <c r="F233" s="293"/>
      <c r="G233" s="293"/>
      <c r="H233" s="293"/>
      <c r="I233" s="294"/>
      <c r="J233" s="293"/>
      <c r="K233" s="294"/>
      <c r="L233" s="293"/>
      <c r="M233" s="294"/>
      <c r="N233" s="293"/>
      <c r="O233" s="294"/>
      <c r="P233" s="293"/>
      <c r="Q233" s="294"/>
      <c r="R233" s="313"/>
    </row>
    <row r="234" spans="1:18">
      <c r="A234" s="68">
        <v>233</v>
      </c>
      <c r="B234" s="293" t="s">
        <v>6220</v>
      </c>
      <c r="C234" s="304" t="s">
        <v>4157</v>
      </c>
      <c r="D234" s="294"/>
      <c r="E234" s="293"/>
      <c r="F234" s="293"/>
      <c r="G234" s="293"/>
      <c r="H234" s="293"/>
      <c r="I234" s="294"/>
      <c r="J234" s="293"/>
      <c r="K234" s="294"/>
      <c r="L234" s="293"/>
      <c r="M234" s="294"/>
      <c r="N234" s="293"/>
      <c r="O234" s="294"/>
      <c r="P234" s="293"/>
      <c r="Q234" s="294"/>
      <c r="R234" s="313"/>
    </row>
    <row r="235" spans="1:18">
      <c r="A235" s="68">
        <v>234</v>
      </c>
      <c r="B235" s="293" t="s">
        <v>6221</v>
      </c>
      <c r="C235" s="304" t="s">
        <v>4158</v>
      </c>
      <c r="D235" s="294"/>
      <c r="E235" s="293"/>
      <c r="F235" s="293"/>
      <c r="G235" s="293"/>
      <c r="H235" s="293"/>
      <c r="I235" s="294"/>
      <c r="J235" s="293"/>
      <c r="K235" s="294"/>
      <c r="L235" s="293"/>
      <c r="M235" s="294"/>
      <c r="N235" s="293"/>
      <c r="O235" s="294"/>
      <c r="P235" s="293"/>
      <c r="Q235" s="294"/>
      <c r="R235" s="313"/>
    </row>
    <row r="236" spans="1:18">
      <c r="A236" s="68">
        <v>235</v>
      </c>
      <c r="B236" s="293" t="s">
        <v>6222</v>
      </c>
      <c r="C236" s="304" t="s">
        <v>4159</v>
      </c>
      <c r="D236" s="294"/>
      <c r="E236" s="293"/>
      <c r="F236" s="293"/>
      <c r="G236" s="293"/>
      <c r="H236" s="293"/>
      <c r="I236" s="294"/>
      <c r="J236" s="293"/>
      <c r="K236" s="294"/>
      <c r="L236" s="293"/>
      <c r="M236" s="294"/>
      <c r="N236" s="293"/>
      <c r="O236" s="294"/>
      <c r="P236" s="293"/>
      <c r="Q236" s="294"/>
      <c r="R236" s="313"/>
    </row>
    <row r="237" spans="1:18">
      <c r="A237" s="68">
        <v>236</v>
      </c>
      <c r="B237" s="293" t="s">
        <v>6223</v>
      </c>
      <c r="C237" s="304" t="s">
        <v>4160</v>
      </c>
      <c r="D237" s="294"/>
      <c r="E237" s="293"/>
      <c r="F237" s="293"/>
      <c r="G237" s="293"/>
      <c r="H237" s="293"/>
      <c r="I237" s="294"/>
      <c r="J237" s="293"/>
      <c r="K237" s="294"/>
      <c r="L237" s="293"/>
      <c r="M237" s="294"/>
      <c r="N237" s="293"/>
      <c r="O237" s="294"/>
      <c r="P237" s="293"/>
      <c r="Q237" s="294"/>
      <c r="R237" s="313"/>
    </row>
    <row r="238" spans="1:18">
      <c r="A238" s="68">
        <v>237</v>
      </c>
      <c r="B238" s="293" t="s">
        <v>6224</v>
      </c>
      <c r="C238" s="304" t="s">
        <v>4161</v>
      </c>
      <c r="D238" s="294"/>
      <c r="E238" s="293"/>
      <c r="F238" s="293"/>
      <c r="G238" s="293"/>
      <c r="H238" s="293"/>
      <c r="I238" s="294"/>
      <c r="J238" s="293"/>
      <c r="K238" s="294"/>
      <c r="L238" s="293"/>
      <c r="M238" s="294"/>
      <c r="N238" s="293"/>
      <c r="O238" s="294"/>
      <c r="P238" s="293"/>
      <c r="Q238" s="294"/>
      <c r="R238" s="313"/>
    </row>
    <row r="239" spans="1:18">
      <c r="A239" s="68">
        <v>238</v>
      </c>
      <c r="B239" s="293" t="s">
        <v>529</v>
      </c>
      <c r="C239" s="833" t="s">
        <v>5208</v>
      </c>
      <c r="D239" s="294"/>
      <c r="E239" s="293"/>
      <c r="F239" s="293"/>
      <c r="G239" s="293"/>
      <c r="H239" s="293"/>
      <c r="I239" s="294"/>
      <c r="J239" s="293"/>
      <c r="K239" s="294"/>
      <c r="L239" s="293"/>
      <c r="M239" s="294"/>
      <c r="N239" s="293"/>
      <c r="O239" s="294"/>
      <c r="P239" s="293"/>
      <c r="Q239" s="294"/>
      <c r="R239" s="313"/>
    </row>
    <row r="240" spans="1:18">
      <c r="A240" s="68">
        <v>239</v>
      </c>
      <c r="B240" s="293" t="s">
        <v>530</v>
      </c>
      <c r="C240" s="833" t="s">
        <v>5200</v>
      </c>
      <c r="D240" s="294"/>
      <c r="E240" s="293"/>
      <c r="F240" s="293"/>
      <c r="G240" s="293"/>
      <c r="H240" s="293"/>
      <c r="I240" s="294"/>
      <c r="J240" s="293"/>
      <c r="K240" s="294"/>
      <c r="L240" s="293"/>
      <c r="M240" s="294"/>
      <c r="N240" s="293"/>
      <c r="O240" s="294"/>
      <c r="P240" s="293"/>
      <c r="Q240" s="294"/>
      <c r="R240" s="313"/>
    </row>
    <row r="241" spans="1:18">
      <c r="A241" s="68">
        <v>240</v>
      </c>
      <c r="B241" s="293" t="s">
        <v>6225</v>
      </c>
      <c r="C241" s="833" t="s">
        <v>5202</v>
      </c>
      <c r="D241" s="294"/>
      <c r="E241" s="293"/>
      <c r="F241" s="293"/>
      <c r="G241" s="293"/>
      <c r="H241" s="293"/>
      <c r="I241" s="294"/>
      <c r="J241" s="293"/>
      <c r="K241" s="294"/>
      <c r="L241" s="293"/>
      <c r="M241" s="294"/>
      <c r="N241" s="293"/>
      <c r="O241" s="294"/>
      <c r="P241" s="293"/>
      <c r="Q241" s="294"/>
      <c r="R241" s="313"/>
    </row>
    <row r="242" spans="1:18">
      <c r="A242" s="68">
        <v>241</v>
      </c>
      <c r="B242" s="293" t="s">
        <v>6226</v>
      </c>
      <c r="C242" s="833" t="s">
        <v>4841</v>
      </c>
      <c r="D242" s="294"/>
      <c r="E242" s="293"/>
      <c r="F242" s="293"/>
      <c r="G242" s="293"/>
      <c r="H242" s="293"/>
      <c r="I242" s="294"/>
      <c r="J242" s="293"/>
      <c r="K242" s="294"/>
      <c r="L242" s="293"/>
      <c r="M242" s="294"/>
      <c r="N242" s="293"/>
      <c r="O242" s="294"/>
      <c r="P242" s="293"/>
      <c r="Q242" s="294"/>
      <c r="R242" s="313"/>
    </row>
    <row r="243" spans="1:18">
      <c r="A243" s="68">
        <v>242</v>
      </c>
      <c r="B243" s="293" t="s">
        <v>6227</v>
      </c>
      <c r="C243" s="833" t="s">
        <v>4842</v>
      </c>
      <c r="D243" s="294"/>
      <c r="E243" s="293"/>
      <c r="F243" s="293"/>
      <c r="G243" s="293"/>
      <c r="H243" s="293"/>
      <c r="I243" s="294"/>
      <c r="J243" s="293"/>
      <c r="K243" s="294"/>
      <c r="L243" s="293"/>
      <c r="M243" s="294"/>
      <c r="N243" s="293"/>
      <c r="O243" s="294"/>
      <c r="P243" s="293"/>
      <c r="Q243" s="294"/>
      <c r="R243" s="313"/>
    </row>
    <row r="244" spans="1:18">
      <c r="A244" s="68">
        <v>243</v>
      </c>
      <c r="B244" s="293" t="s">
        <v>6228</v>
      </c>
      <c r="C244" s="833" t="s">
        <v>4924</v>
      </c>
      <c r="D244" s="294"/>
      <c r="E244" s="293"/>
      <c r="F244" s="293"/>
      <c r="G244" s="293"/>
      <c r="H244" s="293"/>
      <c r="I244" s="294"/>
      <c r="J244" s="293"/>
      <c r="K244" s="294"/>
      <c r="L244" s="293"/>
      <c r="M244" s="294"/>
      <c r="N244" s="293"/>
      <c r="O244" s="294"/>
      <c r="P244" s="293"/>
      <c r="Q244" s="294"/>
      <c r="R244" s="313"/>
    </row>
    <row r="245" spans="1:18">
      <c r="A245" s="68">
        <v>244</v>
      </c>
      <c r="B245" s="293" t="s">
        <v>6229</v>
      </c>
      <c r="C245" s="833" t="s">
        <v>4918</v>
      </c>
      <c r="D245" s="294"/>
      <c r="E245" s="293"/>
      <c r="F245" s="293"/>
      <c r="G245" s="293"/>
      <c r="H245" s="293"/>
      <c r="I245" s="294"/>
      <c r="J245" s="293"/>
      <c r="K245" s="294"/>
      <c r="L245" s="293"/>
      <c r="M245" s="294"/>
      <c r="N245" s="293"/>
      <c r="O245" s="294"/>
      <c r="P245" s="293"/>
      <c r="Q245" s="294"/>
      <c r="R245" s="313"/>
    </row>
    <row r="246" spans="1:18">
      <c r="A246" s="68">
        <v>245</v>
      </c>
      <c r="B246" s="293" t="s">
        <v>6230</v>
      </c>
      <c r="C246" s="833" t="s">
        <v>4843</v>
      </c>
      <c r="D246" s="294"/>
      <c r="E246" s="293"/>
      <c r="F246" s="293"/>
      <c r="G246" s="293"/>
      <c r="H246" s="293"/>
      <c r="I246" s="294"/>
      <c r="J246" s="293"/>
      <c r="K246" s="294"/>
      <c r="L246" s="293"/>
      <c r="M246" s="294"/>
      <c r="N246" s="293"/>
      <c r="O246" s="294"/>
      <c r="P246" s="293"/>
      <c r="Q246" s="294"/>
      <c r="R246" s="313"/>
    </row>
    <row r="247" spans="1:18">
      <c r="A247" s="68">
        <v>246</v>
      </c>
      <c r="B247" s="293" t="s">
        <v>531</v>
      </c>
      <c r="C247" s="60" t="s">
        <v>5196</v>
      </c>
      <c r="D247" s="294"/>
      <c r="E247" s="293"/>
      <c r="F247" s="293"/>
      <c r="G247" s="293"/>
      <c r="H247" s="293"/>
      <c r="I247" s="294"/>
      <c r="J247" s="293"/>
      <c r="K247" s="294"/>
      <c r="L247" s="293"/>
      <c r="M247" s="294"/>
      <c r="N247" s="293"/>
      <c r="O247" s="294"/>
      <c r="P247" s="293"/>
      <c r="Q247" s="294"/>
      <c r="R247" s="313"/>
    </row>
    <row r="248" spans="1:18">
      <c r="A248" s="68">
        <v>247</v>
      </c>
      <c r="B248" s="293" t="s">
        <v>6231</v>
      </c>
      <c r="C248" s="60" t="s">
        <v>3442</v>
      </c>
      <c r="D248" s="294"/>
      <c r="E248" s="293"/>
      <c r="F248" s="293"/>
      <c r="G248" s="293"/>
      <c r="H248" s="293"/>
      <c r="I248" s="294"/>
      <c r="J248" s="293"/>
      <c r="K248" s="294"/>
      <c r="L248" s="293"/>
      <c r="M248" s="294"/>
      <c r="N248" s="293"/>
      <c r="O248" s="294"/>
      <c r="P248" s="293"/>
      <c r="Q248" s="294"/>
      <c r="R248" s="313"/>
    </row>
    <row r="249" spans="1:18">
      <c r="A249" s="68">
        <v>248</v>
      </c>
      <c r="B249" s="293" t="s">
        <v>532</v>
      </c>
      <c r="C249" s="60" t="s">
        <v>412</v>
      </c>
      <c r="D249" s="294"/>
      <c r="E249" s="293"/>
      <c r="F249" s="293"/>
      <c r="G249" s="293"/>
      <c r="H249" s="293"/>
      <c r="I249" s="294"/>
      <c r="J249" s="293"/>
      <c r="K249" s="294"/>
      <c r="L249" s="293"/>
      <c r="M249" s="294"/>
      <c r="N249" s="293"/>
      <c r="O249" s="294"/>
      <c r="P249" s="293"/>
      <c r="Q249" s="294"/>
      <c r="R249" s="313"/>
    </row>
    <row r="250" spans="1:18">
      <c r="A250" s="66"/>
      <c r="B250" s="66"/>
      <c r="C250" s="412"/>
    </row>
    <row r="251" spans="1:18">
      <c r="A251" s="66"/>
      <c r="B251" s="66"/>
      <c r="C251" s="412"/>
    </row>
    <row r="252" spans="1:18">
      <c r="A252" s="66"/>
      <c r="B252" s="66"/>
      <c r="C252" s="412"/>
    </row>
    <row r="253" spans="1:18">
      <c r="A253" s="66"/>
      <c r="B253" s="66"/>
      <c r="C253" s="412"/>
    </row>
    <row r="254" spans="1:18">
      <c r="A254" s="66"/>
      <c r="B254" s="66"/>
      <c r="C254" s="412"/>
    </row>
    <row r="255" spans="1:18">
      <c r="A255" s="66"/>
      <c r="B255" s="66"/>
      <c r="C255" s="412"/>
    </row>
    <row r="256" spans="1:18">
      <c r="A256" s="66"/>
      <c r="B256" s="66"/>
      <c r="C256" s="412"/>
    </row>
    <row r="257" spans="1:3">
      <c r="A257" s="66"/>
      <c r="B257" s="66"/>
      <c r="C257" s="412"/>
    </row>
    <row r="258" spans="1:3">
      <c r="A258" s="66"/>
      <c r="B258" s="66"/>
      <c r="C258" s="412"/>
    </row>
    <row r="259" spans="1:3">
      <c r="A259" s="66"/>
      <c r="B259" s="66"/>
      <c r="C259" s="412"/>
    </row>
    <row r="260" spans="1:3">
      <c r="A260" s="66"/>
      <c r="B260" s="66"/>
      <c r="C260" s="412"/>
    </row>
    <row r="261" spans="1:3">
      <c r="A261" s="66"/>
      <c r="B261" s="66"/>
      <c r="C261" s="412"/>
    </row>
    <row r="262" spans="1:3">
      <c r="A262" s="66"/>
      <c r="B262" s="66"/>
      <c r="C262" s="412"/>
    </row>
    <row r="263" spans="1:3">
      <c r="A263" s="66"/>
      <c r="B263" s="66"/>
      <c r="C263" s="412"/>
    </row>
    <row r="264" spans="1:3">
      <c r="A264" s="66"/>
      <c r="B264" s="66"/>
      <c r="C264" s="412"/>
    </row>
    <row r="265" spans="1:3">
      <c r="A265" s="66"/>
      <c r="B265" s="66"/>
      <c r="C265" s="412"/>
    </row>
    <row r="266" spans="1:3">
      <c r="A266" s="66"/>
      <c r="B266" s="66"/>
      <c r="C266" s="412"/>
    </row>
    <row r="267" spans="1:3" ht="15" customHeight="1">
      <c r="A267" s="66"/>
      <c r="B267" s="66"/>
      <c r="C267" s="412"/>
    </row>
    <row r="268" spans="1:3">
      <c r="A268" s="66"/>
      <c r="B268" s="66"/>
      <c r="C268" s="412"/>
    </row>
    <row r="269" spans="1:3">
      <c r="A269" s="66"/>
      <c r="B269" s="66"/>
      <c r="C269" s="412"/>
    </row>
    <row r="270" spans="1:3">
      <c r="A270" s="66"/>
      <c r="B270" s="66"/>
      <c r="C270" s="412"/>
    </row>
    <row r="271" spans="1:3">
      <c r="A271" s="66"/>
      <c r="B271" s="66"/>
      <c r="C271" s="412"/>
    </row>
    <row r="272" spans="1:3">
      <c r="A272" s="66"/>
      <c r="B272" s="66"/>
      <c r="C272" s="412"/>
    </row>
    <row r="273" spans="1:3">
      <c r="A273" s="66"/>
      <c r="B273" s="66"/>
      <c r="C273" s="412"/>
    </row>
    <row r="274" spans="1:3">
      <c r="A274" s="66"/>
      <c r="B274" s="66"/>
      <c r="C274" s="412"/>
    </row>
    <row r="275" spans="1:3">
      <c r="A275" s="66"/>
      <c r="B275" s="66"/>
      <c r="C275" s="412"/>
    </row>
    <row r="276" spans="1:3">
      <c r="A276" s="66"/>
      <c r="B276" s="66"/>
      <c r="C276" s="412"/>
    </row>
    <row r="277" spans="1:3">
      <c r="A277" s="66"/>
      <c r="B277" s="66"/>
      <c r="C277" s="412"/>
    </row>
    <row r="278" spans="1:3">
      <c r="A278" s="66"/>
      <c r="B278" s="66"/>
      <c r="C278" s="412"/>
    </row>
    <row r="279" spans="1:3">
      <c r="A279" s="66"/>
      <c r="B279" s="66"/>
      <c r="C279" s="412"/>
    </row>
    <row r="280" spans="1:3">
      <c r="A280" s="66"/>
      <c r="B280" s="66"/>
      <c r="C280" s="412"/>
    </row>
    <row r="281" spans="1:3">
      <c r="A281" s="66"/>
      <c r="B281" s="66"/>
      <c r="C281" s="412"/>
    </row>
    <row r="282" spans="1:3">
      <c r="A282" s="66"/>
      <c r="B282" s="66"/>
      <c r="C282" s="412"/>
    </row>
    <row r="283" spans="1:3">
      <c r="A283" s="66"/>
      <c r="B283" s="66"/>
      <c r="C283" s="412"/>
    </row>
    <row r="284" spans="1:3">
      <c r="A284" s="66"/>
      <c r="B284" s="66"/>
      <c r="C284" s="412"/>
    </row>
    <row r="285" spans="1:3">
      <c r="A285" s="66"/>
      <c r="B285" s="66"/>
      <c r="C285" s="412"/>
    </row>
    <row r="286" spans="1:3">
      <c r="A286" s="66"/>
      <c r="B286" s="66"/>
      <c r="C286" s="412"/>
    </row>
    <row r="287" spans="1:3">
      <c r="A287" s="66"/>
      <c r="B287" s="66"/>
      <c r="C287" s="412"/>
    </row>
    <row r="288" spans="1:3">
      <c r="A288" s="66"/>
      <c r="B288" s="66"/>
      <c r="C288" s="412"/>
    </row>
    <row r="289" spans="1:3">
      <c r="A289" s="66"/>
      <c r="B289" s="66"/>
      <c r="C289" s="412"/>
    </row>
    <row r="290" spans="1:3">
      <c r="A290" s="66"/>
      <c r="B290" s="66"/>
      <c r="C290" s="412"/>
    </row>
    <row r="291" spans="1:3">
      <c r="A291" s="66"/>
      <c r="B291" s="66"/>
      <c r="C291" s="412"/>
    </row>
    <row r="292" spans="1:3">
      <c r="A292" s="66"/>
      <c r="B292" s="66"/>
      <c r="C292" s="412"/>
    </row>
    <row r="293" spans="1:3">
      <c r="A293" s="66"/>
      <c r="B293" s="66"/>
      <c r="C293" s="412"/>
    </row>
    <row r="294" spans="1:3">
      <c r="A294" s="66"/>
      <c r="B294" s="66"/>
      <c r="C294" s="412"/>
    </row>
    <row r="295" spans="1:3">
      <c r="A295" s="66"/>
      <c r="B295" s="66"/>
      <c r="C295" s="412"/>
    </row>
    <row r="296" spans="1:3">
      <c r="A296" s="66"/>
      <c r="B296" s="66"/>
      <c r="C296" s="412"/>
    </row>
    <row r="297" spans="1:3">
      <c r="A297" s="66"/>
      <c r="B297" s="66"/>
      <c r="C297" s="412"/>
    </row>
    <row r="298" spans="1:3">
      <c r="A298" s="66"/>
      <c r="B298" s="66"/>
      <c r="C298" s="412"/>
    </row>
    <row r="299" spans="1:3">
      <c r="A299" s="66"/>
      <c r="B299" s="66"/>
      <c r="C299" s="412"/>
    </row>
    <row r="300" spans="1:3">
      <c r="A300" s="66"/>
      <c r="B300" s="66"/>
      <c r="C300" s="412"/>
    </row>
    <row r="301" spans="1:3">
      <c r="A301" s="66"/>
      <c r="B301" s="66"/>
      <c r="C301" s="412"/>
    </row>
    <row r="302" spans="1:3">
      <c r="A302" s="66"/>
      <c r="B302" s="66"/>
      <c r="C302" s="412"/>
    </row>
    <row r="303" spans="1:3">
      <c r="A303" s="66"/>
      <c r="B303" s="66"/>
      <c r="C303" s="412"/>
    </row>
    <row r="304" spans="1:3">
      <c r="A304" s="66"/>
      <c r="B304" s="66"/>
      <c r="C304" s="412"/>
    </row>
    <row r="305" spans="1:3">
      <c r="A305" s="66"/>
      <c r="B305" s="66"/>
      <c r="C305" s="412"/>
    </row>
    <row r="306" spans="1:3">
      <c r="A306" s="66"/>
      <c r="B306" s="66"/>
      <c r="C306" s="412"/>
    </row>
    <row r="307" spans="1:3">
      <c r="A307" s="66"/>
      <c r="B307" s="66"/>
      <c r="C307" s="412"/>
    </row>
    <row r="308" spans="1:3">
      <c r="A308" s="66"/>
      <c r="B308" s="66"/>
      <c r="C308" s="412"/>
    </row>
    <row r="309" spans="1:3">
      <c r="A309" s="66"/>
      <c r="B309" s="66"/>
      <c r="C309" s="412"/>
    </row>
    <row r="310" spans="1:3">
      <c r="A310" s="66"/>
      <c r="B310" s="66"/>
      <c r="C310" s="412"/>
    </row>
    <row r="311" spans="1:3">
      <c r="A311" s="66"/>
      <c r="B311" s="66"/>
      <c r="C311" s="412"/>
    </row>
    <row r="312" spans="1:3">
      <c r="A312" s="66"/>
      <c r="B312" s="66"/>
      <c r="C312" s="412"/>
    </row>
    <row r="313" spans="1:3">
      <c r="A313" s="66"/>
      <c r="B313" s="66"/>
      <c r="C313" s="412"/>
    </row>
    <row r="314" spans="1:3">
      <c r="A314" s="66"/>
      <c r="B314" s="66"/>
      <c r="C314" s="412"/>
    </row>
    <row r="315" spans="1:3">
      <c r="A315" s="66"/>
      <c r="B315" s="66"/>
      <c r="C315" s="412"/>
    </row>
    <row r="316" spans="1:3">
      <c r="A316" s="66"/>
      <c r="B316" s="66"/>
      <c r="C316" s="412"/>
    </row>
    <row r="317" spans="1:3">
      <c r="A317" s="66"/>
      <c r="B317" s="66"/>
      <c r="C317" s="412"/>
    </row>
    <row r="318" spans="1:3">
      <c r="A318" s="66"/>
      <c r="B318" s="66"/>
      <c r="C318" s="412"/>
    </row>
    <row r="319" spans="1:3">
      <c r="A319" s="66"/>
      <c r="B319" s="66"/>
      <c r="C319" s="412"/>
    </row>
    <row r="320" spans="1:3">
      <c r="A320" s="66"/>
      <c r="B320" s="66"/>
      <c r="C320" s="412"/>
    </row>
    <row r="321" spans="1:3">
      <c r="A321" s="66"/>
      <c r="B321" s="66"/>
      <c r="C321" s="412"/>
    </row>
    <row r="322" spans="1:3">
      <c r="A322" s="66"/>
      <c r="B322" s="66"/>
      <c r="C322" s="412"/>
    </row>
    <row r="323" spans="1:3">
      <c r="A323" s="66"/>
      <c r="B323" s="66"/>
      <c r="C323" s="412"/>
    </row>
    <row r="324" spans="1:3">
      <c r="A324" s="66"/>
      <c r="B324" s="66"/>
      <c r="C324" s="412"/>
    </row>
    <row r="325" spans="1:3">
      <c r="A325" s="66"/>
      <c r="B325" s="66"/>
      <c r="C325" s="412"/>
    </row>
    <row r="326" spans="1:3">
      <c r="A326" s="66"/>
      <c r="B326" s="66"/>
      <c r="C326" s="412"/>
    </row>
    <row r="327" spans="1:3">
      <c r="A327" s="66"/>
      <c r="B327" s="66"/>
      <c r="C327" s="412"/>
    </row>
    <row r="328" spans="1:3">
      <c r="A328" s="66"/>
      <c r="B328" s="66"/>
      <c r="C328" s="412"/>
    </row>
    <row r="329" spans="1:3">
      <c r="A329" s="66"/>
      <c r="B329" s="66"/>
      <c r="C329" s="412"/>
    </row>
    <row r="330" spans="1:3">
      <c r="A330" s="66"/>
      <c r="B330" s="66"/>
      <c r="C330" s="412"/>
    </row>
    <row r="331" spans="1:3">
      <c r="A331" s="66"/>
      <c r="B331" s="66"/>
      <c r="C331" s="412"/>
    </row>
    <row r="332" spans="1:3">
      <c r="A332" s="66"/>
      <c r="B332" s="66"/>
      <c r="C332" s="412"/>
    </row>
    <row r="333" spans="1:3">
      <c r="A333" s="66"/>
      <c r="B333" s="66"/>
      <c r="C333" s="412"/>
    </row>
    <row r="334" spans="1:3">
      <c r="A334" s="66"/>
      <c r="B334" s="66"/>
      <c r="C334" s="412"/>
    </row>
    <row r="335" spans="1:3">
      <c r="A335" s="66"/>
      <c r="B335" s="66"/>
      <c r="C335" s="412"/>
    </row>
    <row r="336" spans="1:3">
      <c r="A336" s="66"/>
      <c r="B336" s="66"/>
      <c r="C336" s="412"/>
    </row>
    <row r="337" spans="1:3">
      <c r="A337" s="66"/>
      <c r="B337" s="66"/>
      <c r="C337" s="412"/>
    </row>
    <row r="338" spans="1:3">
      <c r="A338" s="66"/>
      <c r="B338" s="66"/>
      <c r="C338" s="412"/>
    </row>
    <row r="339" spans="1:3">
      <c r="A339" s="66"/>
      <c r="B339" s="66"/>
      <c r="C339" s="412"/>
    </row>
    <row r="340" spans="1:3">
      <c r="A340" s="66"/>
      <c r="B340" s="66"/>
      <c r="C340" s="412"/>
    </row>
    <row r="341" spans="1:3">
      <c r="A341" s="66"/>
      <c r="B341" s="66"/>
      <c r="C341" s="412"/>
    </row>
    <row r="342" spans="1:3">
      <c r="A342" s="66"/>
      <c r="B342" s="66"/>
      <c r="C342" s="412"/>
    </row>
    <row r="343" spans="1:3">
      <c r="A343" s="66"/>
      <c r="B343" s="66"/>
      <c r="C343" s="412"/>
    </row>
    <row r="344" spans="1:3">
      <c r="A344" s="66"/>
      <c r="B344" s="66"/>
      <c r="C344" s="412"/>
    </row>
    <row r="345" spans="1:3">
      <c r="A345" s="66"/>
      <c r="B345" s="66"/>
      <c r="C345" s="412"/>
    </row>
    <row r="346" spans="1:3">
      <c r="A346" s="66"/>
      <c r="B346" s="66"/>
      <c r="C346" s="412"/>
    </row>
    <row r="347" spans="1:3">
      <c r="A347" s="66"/>
      <c r="B347" s="66"/>
      <c r="C347" s="412"/>
    </row>
    <row r="348" spans="1:3">
      <c r="A348" s="66"/>
      <c r="B348" s="66"/>
      <c r="C348" s="412"/>
    </row>
    <row r="349" spans="1:3">
      <c r="A349" s="66"/>
      <c r="B349" s="66"/>
      <c r="C349" s="412"/>
    </row>
    <row r="350" spans="1:3">
      <c r="A350" s="66"/>
      <c r="B350" s="66"/>
      <c r="C350" s="412"/>
    </row>
    <row r="351" spans="1:3">
      <c r="A351" s="66"/>
      <c r="B351" s="66"/>
      <c r="C351" s="412"/>
    </row>
    <row r="352" spans="1:3">
      <c r="A352" s="66"/>
      <c r="B352" s="66"/>
      <c r="C352" s="412"/>
    </row>
    <row r="353" spans="1:3">
      <c r="A353" s="66"/>
      <c r="B353" s="66"/>
      <c r="C353" s="412"/>
    </row>
    <row r="354" spans="1:3">
      <c r="A354" s="66"/>
      <c r="B354" s="66"/>
      <c r="C354" s="412"/>
    </row>
    <row r="355" spans="1:3">
      <c r="A355" s="66"/>
      <c r="B355" s="66"/>
      <c r="C355" s="412"/>
    </row>
    <row r="356" spans="1:3">
      <c r="A356" s="66"/>
      <c r="B356" s="66"/>
      <c r="C356" s="412"/>
    </row>
    <row r="357" spans="1:3">
      <c r="A357" s="66"/>
      <c r="B357" s="66"/>
      <c r="C357" s="412"/>
    </row>
    <row r="358" spans="1:3">
      <c r="A358" s="66"/>
      <c r="B358" s="66"/>
      <c r="C358" s="412"/>
    </row>
    <row r="359" spans="1:3">
      <c r="A359" s="66"/>
      <c r="B359" s="66"/>
      <c r="C359" s="412"/>
    </row>
    <row r="360" spans="1:3">
      <c r="A360" s="66"/>
      <c r="B360" s="66"/>
      <c r="C360" s="412"/>
    </row>
    <row r="361" spans="1:3">
      <c r="A361" s="66"/>
      <c r="B361" s="66"/>
      <c r="C361" s="412"/>
    </row>
    <row r="362" spans="1:3">
      <c r="A362" s="66"/>
      <c r="B362" s="66"/>
      <c r="C362" s="412"/>
    </row>
    <row r="363" spans="1:3">
      <c r="A363" s="66"/>
      <c r="B363" s="66"/>
      <c r="C363" s="412"/>
    </row>
    <row r="364" spans="1:3">
      <c r="A364" s="66"/>
      <c r="B364" s="66"/>
      <c r="C364" s="412"/>
    </row>
    <row r="365" spans="1:3">
      <c r="A365" s="66"/>
      <c r="B365" s="66"/>
      <c r="C365" s="412"/>
    </row>
    <row r="366" spans="1:3">
      <c r="A366" s="66"/>
      <c r="B366" s="66"/>
      <c r="C366" s="412"/>
    </row>
    <row r="367" spans="1:3">
      <c r="A367" s="66"/>
      <c r="B367" s="66"/>
      <c r="C367" s="412"/>
    </row>
    <row r="368" spans="1:3">
      <c r="A368" s="66"/>
      <c r="B368" s="66"/>
      <c r="C368" s="412"/>
    </row>
    <row r="369" spans="1:3">
      <c r="A369" s="66"/>
      <c r="B369" s="66"/>
      <c r="C369" s="412"/>
    </row>
    <row r="370" spans="1:3">
      <c r="A370" s="66"/>
      <c r="B370" s="66"/>
      <c r="C370" s="412"/>
    </row>
    <row r="371" spans="1:3">
      <c r="A371" s="66"/>
      <c r="B371" s="66"/>
      <c r="C371" s="412"/>
    </row>
    <row r="372" spans="1:3">
      <c r="A372" s="66"/>
      <c r="B372" s="66"/>
      <c r="C372" s="412"/>
    </row>
    <row r="373" spans="1:3">
      <c r="A373" s="66"/>
      <c r="B373" s="66"/>
      <c r="C373" s="412"/>
    </row>
    <row r="374" spans="1:3">
      <c r="A374" s="66"/>
      <c r="B374" s="66"/>
      <c r="C374" s="412"/>
    </row>
    <row r="375" spans="1:3">
      <c r="A375" s="66"/>
      <c r="B375" s="66"/>
      <c r="C375" s="412"/>
    </row>
    <row r="376" spans="1:3">
      <c r="A376" s="66"/>
      <c r="B376" s="66"/>
      <c r="C376" s="412"/>
    </row>
    <row r="377" spans="1:3">
      <c r="A377" s="66"/>
      <c r="B377" s="66"/>
      <c r="C377" s="412"/>
    </row>
    <row r="378" spans="1:3">
      <c r="A378" s="66"/>
      <c r="B378" s="66"/>
      <c r="C378" s="412"/>
    </row>
    <row r="379" spans="1:3">
      <c r="A379" s="66"/>
      <c r="B379" s="66"/>
      <c r="C379" s="412"/>
    </row>
    <row r="380" spans="1:3">
      <c r="A380" s="66"/>
      <c r="B380" s="66"/>
      <c r="C380" s="412"/>
    </row>
    <row r="381" spans="1:3">
      <c r="A381" s="66"/>
      <c r="B381" s="66"/>
      <c r="C381" s="412"/>
    </row>
    <row r="382" spans="1:3">
      <c r="A382" s="66"/>
      <c r="B382" s="66"/>
      <c r="C382" s="412"/>
    </row>
    <row r="383" spans="1:3">
      <c r="A383" s="66"/>
      <c r="B383" s="66"/>
      <c r="C383" s="412"/>
    </row>
    <row r="384" spans="1:3">
      <c r="A384" s="66"/>
      <c r="B384" s="66"/>
      <c r="C384" s="412"/>
    </row>
    <row r="385" spans="1:3">
      <c r="A385" s="66"/>
      <c r="B385" s="66"/>
      <c r="C385" s="412"/>
    </row>
    <row r="386" spans="1:3">
      <c r="A386" s="66"/>
      <c r="B386" s="66"/>
      <c r="C386" s="412"/>
    </row>
    <row r="387" spans="1:3">
      <c r="A387" s="66"/>
      <c r="B387" s="66"/>
      <c r="C387" s="412"/>
    </row>
    <row r="388" spans="1:3">
      <c r="A388" s="66"/>
      <c r="B388" s="66"/>
      <c r="C388" s="412"/>
    </row>
    <row r="389" spans="1:3">
      <c r="A389" s="66"/>
      <c r="B389" s="66"/>
      <c r="C389" s="412"/>
    </row>
    <row r="390" spans="1:3">
      <c r="A390" s="66"/>
      <c r="B390" s="66"/>
      <c r="C390" s="412"/>
    </row>
    <row r="391" spans="1:3">
      <c r="A391" s="66"/>
      <c r="B391" s="66"/>
      <c r="C391" s="412"/>
    </row>
    <row r="392" spans="1:3">
      <c r="A392" s="66"/>
      <c r="B392" s="66"/>
      <c r="C392" s="412"/>
    </row>
    <row r="393" spans="1:3">
      <c r="A393" s="66"/>
      <c r="B393" s="66"/>
      <c r="C393" s="412"/>
    </row>
    <row r="394" spans="1:3">
      <c r="A394" s="66"/>
      <c r="B394" s="66"/>
      <c r="C394" s="412"/>
    </row>
    <row r="395" spans="1:3">
      <c r="A395" s="66"/>
      <c r="B395" s="66"/>
      <c r="C395" s="412"/>
    </row>
    <row r="396" spans="1:3">
      <c r="A396" s="66"/>
      <c r="B396" s="66"/>
      <c r="C396" s="412"/>
    </row>
    <row r="397" spans="1:3">
      <c r="A397" s="66"/>
      <c r="B397" s="66"/>
      <c r="C397" s="412"/>
    </row>
    <row r="398" spans="1:3">
      <c r="A398" s="66"/>
      <c r="B398" s="66"/>
      <c r="C398" s="412"/>
    </row>
    <row r="399" spans="1:3">
      <c r="A399" s="66"/>
      <c r="B399" s="66"/>
      <c r="C399" s="412"/>
    </row>
    <row r="400" spans="1:3">
      <c r="A400" s="66"/>
      <c r="B400" s="66"/>
      <c r="C400" s="412"/>
    </row>
    <row r="401" spans="1:3">
      <c r="A401" s="66"/>
      <c r="B401" s="66"/>
      <c r="C401" s="412"/>
    </row>
    <row r="402" spans="1:3">
      <c r="A402" s="66"/>
      <c r="B402" s="66"/>
      <c r="C402" s="412"/>
    </row>
    <row r="403" spans="1:3">
      <c r="A403" s="66"/>
      <c r="B403" s="66"/>
      <c r="C403" s="412"/>
    </row>
    <row r="404" spans="1:3">
      <c r="A404" s="66"/>
      <c r="B404" s="66"/>
      <c r="C404" s="412"/>
    </row>
    <row r="405" spans="1:3">
      <c r="A405" s="66"/>
      <c r="B405" s="66"/>
      <c r="C405" s="412"/>
    </row>
    <row r="406" spans="1:3">
      <c r="A406" s="66"/>
      <c r="B406" s="66"/>
      <c r="C406" s="412"/>
    </row>
    <row r="407" spans="1:3">
      <c r="A407" s="66"/>
      <c r="B407" s="66"/>
      <c r="C407" s="412"/>
    </row>
    <row r="408" spans="1:3">
      <c r="A408" s="66"/>
      <c r="B408" s="66"/>
      <c r="C408" s="412"/>
    </row>
    <row r="409" spans="1:3">
      <c r="A409" s="66"/>
      <c r="B409" s="66"/>
      <c r="C409" s="412"/>
    </row>
    <row r="410" spans="1:3">
      <c r="A410" s="66"/>
      <c r="B410" s="66"/>
      <c r="C410" s="412"/>
    </row>
    <row r="411" spans="1:3">
      <c r="A411" s="66"/>
      <c r="B411" s="66"/>
      <c r="C411" s="412"/>
    </row>
    <row r="412" spans="1:3">
      <c r="A412" s="66"/>
      <c r="B412" s="66"/>
      <c r="C412" s="412"/>
    </row>
    <row r="413" spans="1:3">
      <c r="A413" s="66"/>
      <c r="B413" s="66"/>
      <c r="C413" s="412"/>
    </row>
    <row r="414" spans="1:3">
      <c r="A414" s="66"/>
      <c r="B414" s="66"/>
      <c r="C414" s="412"/>
    </row>
    <row r="415" spans="1:3">
      <c r="A415" s="66"/>
      <c r="B415" s="66"/>
      <c r="C415" s="412"/>
    </row>
    <row r="416" spans="1:3">
      <c r="A416" s="66"/>
      <c r="B416" s="66"/>
      <c r="C416" s="412"/>
    </row>
    <row r="417" spans="1:3">
      <c r="A417" s="66"/>
      <c r="B417" s="66"/>
      <c r="C417" s="412"/>
    </row>
    <row r="418" spans="1:3">
      <c r="A418" s="66"/>
      <c r="B418" s="66"/>
      <c r="C418" s="412"/>
    </row>
    <row r="419" spans="1:3">
      <c r="A419" s="66"/>
      <c r="B419" s="66"/>
      <c r="C419" s="412"/>
    </row>
    <row r="420" spans="1:3">
      <c r="A420" s="66"/>
      <c r="B420" s="66"/>
      <c r="C420" s="412"/>
    </row>
    <row r="421" spans="1:3">
      <c r="A421" s="66"/>
      <c r="B421" s="66"/>
      <c r="C421" s="412"/>
    </row>
    <row r="422" spans="1:3">
      <c r="A422" s="66"/>
      <c r="B422" s="66"/>
      <c r="C422" s="412"/>
    </row>
    <row r="423" spans="1:3">
      <c r="A423" s="66"/>
      <c r="B423" s="66"/>
      <c r="C423" s="412"/>
    </row>
    <row r="424" spans="1:3">
      <c r="A424" s="66"/>
      <c r="B424" s="66"/>
      <c r="C424" s="412"/>
    </row>
    <row r="425" spans="1:3">
      <c r="A425" s="66"/>
      <c r="B425" s="66"/>
      <c r="C425" s="412"/>
    </row>
    <row r="426" spans="1:3">
      <c r="A426" s="66"/>
      <c r="B426" s="66"/>
      <c r="C426" s="412"/>
    </row>
    <row r="427" spans="1:3">
      <c r="A427" s="66"/>
      <c r="B427" s="66"/>
      <c r="C427" s="412"/>
    </row>
    <row r="428" spans="1:3">
      <c r="A428" s="66"/>
      <c r="B428" s="66"/>
      <c r="C428" s="412"/>
    </row>
    <row r="429" spans="1:3">
      <c r="A429" s="66"/>
      <c r="B429" s="66"/>
      <c r="C429" s="412"/>
    </row>
    <row r="430" spans="1:3">
      <c r="A430" s="66"/>
      <c r="B430" s="66"/>
      <c r="C430" s="412"/>
    </row>
    <row r="431" spans="1:3">
      <c r="A431" s="66"/>
      <c r="B431" s="66"/>
      <c r="C431" s="412"/>
    </row>
    <row r="432" spans="1:3">
      <c r="A432" s="66"/>
      <c r="B432" s="66"/>
      <c r="C432" s="412"/>
    </row>
    <row r="433" spans="1:3">
      <c r="A433" s="66"/>
      <c r="B433" s="66"/>
      <c r="C433" s="412"/>
    </row>
    <row r="434" spans="1:3">
      <c r="A434" s="66"/>
      <c r="B434" s="66"/>
      <c r="C434" s="412"/>
    </row>
    <row r="435" spans="1:3">
      <c r="A435" s="66"/>
      <c r="B435" s="66"/>
      <c r="C435" s="412"/>
    </row>
    <row r="436" spans="1:3">
      <c r="A436" s="66"/>
      <c r="B436" s="66"/>
      <c r="C436" s="412"/>
    </row>
    <row r="437" spans="1:3">
      <c r="A437" s="66"/>
      <c r="B437" s="66"/>
      <c r="C437" s="412"/>
    </row>
    <row r="438" spans="1:3">
      <c r="A438" s="66"/>
      <c r="B438" s="66"/>
      <c r="C438" s="412"/>
    </row>
    <row r="439" spans="1:3">
      <c r="A439" s="66"/>
      <c r="B439" s="66"/>
      <c r="C439" s="412"/>
    </row>
    <row r="440" spans="1:3">
      <c r="A440" s="66"/>
      <c r="B440" s="66"/>
      <c r="C440" s="412"/>
    </row>
    <row r="441" spans="1:3">
      <c r="A441" s="66"/>
      <c r="B441" s="66"/>
      <c r="C441" s="412"/>
    </row>
    <row r="442" spans="1:3">
      <c r="A442" s="66"/>
      <c r="B442" s="66"/>
      <c r="C442" s="412"/>
    </row>
    <row r="443" spans="1:3">
      <c r="A443" s="66"/>
      <c r="B443" s="66"/>
      <c r="C443" s="412"/>
    </row>
    <row r="444" spans="1:3">
      <c r="A444" s="66"/>
      <c r="B444" s="66"/>
      <c r="C444" s="412"/>
    </row>
    <row r="445" spans="1:3">
      <c r="A445" s="66"/>
      <c r="B445" s="66"/>
      <c r="C445" s="412"/>
    </row>
    <row r="446" spans="1:3">
      <c r="A446" s="66"/>
      <c r="B446" s="66"/>
      <c r="C446" s="412"/>
    </row>
    <row r="447" spans="1:3">
      <c r="A447" s="66"/>
      <c r="B447" s="66"/>
      <c r="C447" s="412"/>
    </row>
    <row r="448" spans="1:3">
      <c r="A448" s="66"/>
      <c r="B448" s="66"/>
      <c r="C448" s="412"/>
    </row>
    <row r="449" spans="1:3">
      <c r="A449" s="66"/>
      <c r="B449" s="66"/>
      <c r="C449" s="412"/>
    </row>
    <row r="450" spans="1:3">
      <c r="A450" s="66"/>
      <c r="B450" s="66"/>
      <c r="C450" s="412"/>
    </row>
    <row r="451" spans="1:3">
      <c r="A451" s="66"/>
      <c r="B451" s="66"/>
      <c r="C451" s="412"/>
    </row>
    <row r="452" spans="1:3">
      <c r="A452" s="66"/>
      <c r="B452" s="66"/>
      <c r="C452" s="412"/>
    </row>
    <row r="453" spans="1:3">
      <c r="A453" s="66"/>
      <c r="B453" s="66"/>
      <c r="C453" s="412"/>
    </row>
    <row r="454" spans="1:3">
      <c r="A454" s="66"/>
      <c r="B454" s="66"/>
      <c r="C454" s="412"/>
    </row>
    <row r="455" spans="1:3">
      <c r="A455" s="66"/>
      <c r="B455" s="66"/>
      <c r="C455" s="412"/>
    </row>
    <row r="456" spans="1:3">
      <c r="A456" s="66"/>
      <c r="B456" s="66"/>
      <c r="C456" s="412"/>
    </row>
    <row r="457" spans="1:3">
      <c r="A457" s="66"/>
      <c r="B457" s="66"/>
      <c r="C457" s="412"/>
    </row>
    <row r="458" spans="1:3">
      <c r="A458" s="66"/>
      <c r="B458" s="66"/>
      <c r="C458" s="412"/>
    </row>
    <row r="459" spans="1:3">
      <c r="A459" s="66"/>
      <c r="B459" s="66"/>
      <c r="C459" s="412"/>
    </row>
    <row r="460" spans="1:3">
      <c r="A460" s="66"/>
      <c r="B460" s="66"/>
      <c r="C460" s="412"/>
    </row>
    <row r="461" spans="1:3">
      <c r="A461" s="66"/>
      <c r="C461" s="412"/>
    </row>
    <row r="462" spans="1:3">
      <c r="A462" s="66"/>
      <c r="C462" s="412"/>
    </row>
    <row r="463" spans="1:3">
      <c r="A463" s="66"/>
      <c r="C463" s="412"/>
    </row>
    <row r="464" spans="1:3">
      <c r="A464" s="66"/>
      <c r="C464" s="412"/>
    </row>
    <row r="465" spans="1:3">
      <c r="A465" s="66"/>
      <c r="C465" s="412"/>
    </row>
    <row r="466" spans="1:3">
      <c r="C466" s="412"/>
    </row>
    <row r="467" spans="1:3">
      <c r="C467" s="412"/>
    </row>
    <row r="468" spans="1:3">
      <c r="C468" s="412"/>
    </row>
    <row r="469" spans="1:3">
      <c r="C469" s="412"/>
    </row>
    <row r="470" spans="1:3">
      <c r="C470" s="412"/>
    </row>
    <row r="471" spans="1:3">
      <c r="C471" s="412"/>
    </row>
    <row r="472" spans="1:3">
      <c r="C472" s="412"/>
    </row>
  </sheetData>
  <hyperlinks>
    <hyperlink ref="R6" r:id="rId1"/>
    <hyperlink ref="R4" r:id="rId2"/>
    <hyperlink ref="R3" r:id="rId3"/>
    <hyperlink ref="R7" r:id="rId4"/>
    <hyperlink ref="R8" r:id="rId5"/>
    <hyperlink ref="R101" r:id="rId6" display="WBG Data"/>
    <hyperlink ref="R138" r:id="rId7"/>
    <hyperlink ref="R130:R135" r:id="rId8" display="WBG Data"/>
    <hyperlink ref="R141" r:id="rId9"/>
    <hyperlink ref="R142:R148" r:id="rId10" display="HNP CRVS Database"/>
    <hyperlink ref="R157" r:id="rId11"/>
    <hyperlink ref="R158:R172" r:id="rId12" display="IADB LCR Database"/>
    <hyperlink ref="R173" r:id="rId13"/>
    <hyperlink ref="R28" r:id="rId14" display="Gelb / Clark Paper (2013)"/>
    <hyperlink ref="R29" r:id="rId15" display="Gelb / Clark Paper (2013)"/>
    <hyperlink ref="R30" r:id="rId16" display="Gelb / Clark Paper (2013)"/>
    <hyperlink ref="R5" r:id="rId17"/>
    <hyperlink ref="R187" r:id="rId18"/>
    <hyperlink ref="R188" r:id="rId19"/>
    <hyperlink ref="R189" r:id="rId20"/>
    <hyperlink ref="R190:R201" r:id="rId21" display="Freedom House"/>
    <hyperlink ref="R102" r:id="rId22" display="WBG Data"/>
    <hyperlink ref="R103" r:id="rId23" display="WBG Data"/>
    <hyperlink ref="R104" r:id="rId24" display="WBG Data"/>
  </hyperlinks>
  <pageMargins left="0.7" right="0.7" top="0.75" bottom="0.75" header="0.3" footer="0.3"/>
  <pageSetup orientation="portrait" r:id="rId25"/>
  <ignoredErrors>
    <ignoredError sqref="G2" numberStoredAsText="1"/>
  </ignoredErrors>
  <legacyDrawing r:id="rId2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4"/>
  <sheetViews>
    <sheetView workbookViewId="0">
      <selection activeCell="D17" sqref="D17"/>
    </sheetView>
  </sheetViews>
  <sheetFormatPr defaultRowHeight="15"/>
  <cols>
    <col min="1" max="1" width="13.140625" customWidth="1"/>
    <col min="2" max="2" width="17.85546875" customWidth="1"/>
    <col min="3" max="4" width="9.140625" customWidth="1"/>
    <col min="5" max="5" width="10.42578125" customWidth="1"/>
    <col min="6" max="6" width="9.28515625" customWidth="1"/>
    <col min="7" max="7" width="8.42578125" customWidth="1"/>
    <col min="8" max="8" width="9.85546875" style="49" customWidth="1"/>
    <col min="9" max="9" width="8.140625" style="49" customWidth="1"/>
    <col min="10" max="10" width="10.140625" customWidth="1"/>
    <col min="11" max="11" width="7.42578125" customWidth="1"/>
    <col min="12" max="12" width="6.5703125" customWidth="1"/>
    <col min="13" max="13" width="13.140625" customWidth="1"/>
    <col min="14" max="14" width="11.28515625" customWidth="1"/>
  </cols>
  <sheetData>
    <row r="1" spans="1:14">
      <c r="A1" s="883" t="s">
        <v>6101</v>
      </c>
      <c r="B1" t="s">
        <v>5559</v>
      </c>
    </row>
    <row r="2" spans="1:14">
      <c r="A2" s="883" t="s">
        <v>2738</v>
      </c>
      <c r="B2" t="s">
        <v>5560</v>
      </c>
    </row>
    <row r="3" spans="1:14">
      <c r="H3"/>
      <c r="I3"/>
    </row>
    <row r="4" spans="1:14">
      <c r="A4" s="1187" t="s">
        <v>5555</v>
      </c>
      <c r="B4" s="1193" t="s">
        <v>6111</v>
      </c>
      <c r="C4" s="1224" t="s">
        <v>6112</v>
      </c>
      <c r="D4" s="1224" t="s">
        <v>6113</v>
      </c>
      <c r="E4" s="1193" t="s">
        <v>2876</v>
      </c>
      <c r="F4" s="1224" t="s">
        <v>6114</v>
      </c>
      <c r="G4" s="1224" t="s">
        <v>6115</v>
      </c>
      <c r="H4" s="1194" t="s">
        <v>6117</v>
      </c>
      <c r="I4" s="1183" t="s">
        <v>6116</v>
      </c>
      <c r="J4" s="1183" t="s">
        <v>6118</v>
      </c>
      <c r="K4" s="1226" t="s">
        <v>6119</v>
      </c>
      <c r="L4" s="1183" t="s">
        <v>6120</v>
      </c>
      <c r="M4" s="1226" t="s">
        <v>6130</v>
      </c>
      <c r="N4" s="1183" t="s">
        <v>6131</v>
      </c>
    </row>
    <row r="5" spans="1:14">
      <c r="A5" s="1227" t="s">
        <v>406</v>
      </c>
      <c r="B5" s="1220">
        <v>1000338.3010000001</v>
      </c>
      <c r="C5" s="1223">
        <v>500172.21099999989</v>
      </c>
      <c r="D5" s="1223">
        <v>500166.09000000014</v>
      </c>
      <c r="E5" s="1220">
        <v>437075.57638300001</v>
      </c>
      <c r="F5" s="1223">
        <v>217328.85759151095</v>
      </c>
      <c r="G5" s="1223">
        <v>219720.149053489</v>
      </c>
      <c r="H5" s="1221">
        <v>36.874435389177513</v>
      </c>
      <c r="I5" s="1222">
        <v>37.495938713620014</v>
      </c>
      <c r="J5" s="1225">
        <v>93695.871181999988</v>
      </c>
      <c r="K5" s="1223">
        <v>47340.83268800001</v>
      </c>
      <c r="L5" s="1225">
        <v>46345.360434999995</v>
      </c>
      <c r="M5" s="1228">
        <v>43.48936170212766</v>
      </c>
      <c r="N5" s="1222">
        <v>43.972340425531911</v>
      </c>
    </row>
    <row r="6" spans="1:14">
      <c r="A6" s="1188" t="s">
        <v>407</v>
      </c>
      <c r="B6" s="1173">
        <v>2228978.304</v>
      </c>
      <c r="C6" s="1184">
        <v>1132760.037</v>
      </c>
      <c r="D6" s="1184">
        <v>1096218.2670000002</v>
      </c>
      <c r="E6" s="1173">
        <v>138948.82368999999</v>
      </c>
      <c r="F6" s="1184">
        <v>68230.014855751753</v>
      </c>
      <c r="G6" s="1184">
        <v>70700.644741248369</v>
      </c>
      <c r="H6" s="1175">
        <v>15.221953627025567</v>
      </c>
      <c r="I6" s="1176">
        <v>15.934336784463097</v>
      </c>
      <c r="J6" s="636">
        <v>16925.816022000006</v>
      </c>
      <c r="K6" s="1184">
        <v>8800.1547240000018</v>
      </c>
      <c r="L6" s="636">
        <v>8119.5589460000019</v>
      </c>
      <c r="M6" s="1191">
        <v>13.009090909090908</v>
      </c>
      <c r="N6" s="1176">
        <v>12.990909090909092</v>
      </c>
    </row>
    <row r="7" spans="1:14">
      <c r="A7" s="1188" t="s">
        <v>408</v>
      </c>
      <c r="B7" s="1173">
        <v>485610.02799999993</v>
      </c>
      <c r="C7" s="1184">
        <v>232358.71391044778</v>
      </c>
      <c r="D7" s="1184">
        <v>253251.31408955224</v>
      </c>
      <c r="E7" s="1173">
        <v>33462.066177999979</v>
      </c>
      <c r="F7" s="1184">
        <v>13094.69992631953</v>
      </c>
      <c r="G7" s="1184">
        <v>20352.774107680478</v>
      </c>
      <c r="H7" s="1175">
        <v>7.0881145739716844</v>
      </c>
      <c r="I7" s="1176">
        <v>8.4942315978933749</v>
      </c>
      <c r="J7" s="636">
        <v>788.51006299999926</v>
      </c>
      <c r="K7" s="1184">
        <v>363.74186999999972</v>
      </c>
      <c r="L7" s="636">
        <v>419.27292700000015</v>
      </c>
      <c r="M7" s="1191">
        <v>2.0275862068965496</v>
      </c>
      <c r="N7" s="1176">
        <v>2.0275862068965496</v>
      </c>
    </row>
    <row r="8" spans="1:14">
      <c r="A8" s="1188" t="s">
        <v>409</v>
      </c>
      <c r="B8" s="1173">
        <v>617507.14899999998</v>
      </c>
      <c r="C8" s="1184">
        <v>305161.66300000006</v>
      </c>
      <c r="D8" s="1184">
        <v>312345.48599999992</v>
      </c>
      <c r="E8" s="1173">
        <v>65877.453066999995</v>
      </c>
      <c r="F8" s="1184">
        <v>32281.425853049914</v>
      </c>
      <c r="G8" s="1184">
        <v>33587.981362950093</v>
      </c>
      <c r="H8" s="1175">
        <v>13.19895240933656</v>
      </c>
      <c r="I8" s="1176">
        <v>14.050541719688514</v>
      </c>
      <c r="J8" s="636">
        <v>4053.4198810000012</v>
      </c>
      <c r="K8" s="1184">
        <v>2047.6779690000005</v>
      </c>
      <c r="L8" s="636">
        <v>2002.6202370000001</v>
      </c>
      <c r="M8" s="1191">
        <v>8.2387096774193562</v>
      </c>
      <c r="N8" s="1176">
        <v>8.361290322580647</v>
      </c>
    </row>
    <row r="9" spans="1:14">
      <c r="A9" s="1188" t="s">
        <v>410</v>
      </c>
      <c r="B9" s="1173">
        <v>424314.00700000004</v>
      </c>
      <c r="C9" s="1184">
        <v>219340.87499999997</v>
      </c>
      <c r="D9" s="1184">
        <v>204973.13200000001</v>
      </c>
      <c r="E9" s="1173">
        <v>97724.23273399999</v>
      </c>
      <c r="F9" s="1184">
        <v>49825.90109920215</v>
      </c>
      <c r="G9" s="1184">
        <v>47881.825731797828</v>
      </c>
      <c r="H9" s="1175">
        <v>27.559159942772741</v>
      </c>
      <c r="I9" s="1176">
        <v>28.568999885885795</v>
      </c>
      <c r="J9" s="636">
        <v>4782.4295949999987</v>
      </c>
      <c r="K9" s="1184">
        <v>2389.7565029999996</v>
      </c>
      <c r="L9" s="636">
        <v>2388.495445999999</v>
      </c>
      <c r="M9" s="1191">
        <v>7.8428571428571425</v>
      </c>
      <c r="N9" s="1176">
        <v>8.1047619047619062</v>
      </c>
    </row>
    <row r="10" spans="1:14">
      <c r="A10" s="1188" t="s">
        <v>411</v>
      </c>
      <c r="B10" s="1173">
        <v>1743864.8019999999</v>
      </c>
      <c r="C10" s="1184">
        <v>899045.76699999988</v>
      </c>
      <c r="D10" s="1184">
        <v>844819.03500000003</v>
      </c>
      <c r="E10" s="1173">
        <v>629507.41760799999</v>
      </c>
      <c r="F10" s="1184">
        <v>315089.37171466241</v>
      </c>
      <c r="G10" s="1184">
        <v>314406.96669333766</v>
      </c>
      <c r="H10" s="1175">
        <v>26.681733741231554</v>
      </c>
      <c r="I10" s="1176">
        <v>28.56894051684796</v>
      </c>
      <c r="J10" s="636">
        <v>52088.125120000012</v>
      </c>
      <c r="K10" s="1184">
        <v>26948.434360000003</v>
      </c>
      <c r="L10" s="636">
        <v>25135.198571000001</v>
      </c>
      <c r="M10" s="1191">
        <v>34.912500000000001</v>
      </c>
      <c r="N10" s="1176">
        <v>35.850000000000009</v>
      </c>
    </row>
    <row r="11" spans="1:14">
      <c r="A11" s="1189" t="s">
        <v>6134</v>
      </c>
      <c r="B11" s="1173">
        <v>698781.11899999995</v>
      </c>
      <c r="C11" s="1184">
        <v>344243.58439999999</v>
      </c>
      <c r="D11" s="1184">
        <v>354537.53460000001</v>
      </c>
      <c r="E11" s="1173">
        <v>70407.558000000005</v>
      </c>
      <c r="F11" s="1184">
        <v>36900.028356044037</v>
      </c>
      <c r="G11" s="1184">
        <v>33507.529643955961</v>
      </c>
      <c r="H11" s="1175">
        <v>13.557288398923356</v>
      </c>
      <c r="I11" s="1176">
        <v>14.150822854214324</v>
      </c>
      <c r="J11" s="636">
        <v>3.3782999999999994</v>
      </c>
      <c r="K11" s="1184">
        <v>1.7331999999999996</v>
      </c>
      <c r="L11" s="636">
        <v>1.6450999999999998</v>
      </c>
      <c r="M11" s="1191">
        <v>0.43478260869565211</v>
      </c>
      <c r="N11" s="1176">
        <v>0.43478260869565211</v>
      </c>
    </row>
    <row r="12" spans="1:14">
      <c r="A12" s="1190" t="s">
        <v>4632</v>
      </c>
      <c r="B12" s="1174">
        <v>7199393.7099999962</v>
      </c>
      <c r="C12" s="1185">
        <v>3633082.8513104473</v>
      </c>
      <c r="D12" s="1185">
        <v>3566310.8586895522</v>
      </c>
      <c r="E12" s="1181">
        <v>1473003.1276600002</v>
      </c>
      <c r="F12" s="1185">
        <v>732750.29939654085</v>
      </c>
      <c r="G12" s="1185">
        <v>740157.87133445917</v>
      </c>
      <c r="H12" s="1177">
        <v>20.921094764220083</v>
      </c>
      <c r="I12" s="1178">
        <v>21.816207104049148</v>
      </c>
      <c r="J12" s="1180">
        <v>172337.55016300012</v>
      </c>
      <c r="K12" s="1185">
        <v>87892.331314000039</v>
      </c>
      <c r="L12" s="1180">
        <v>84412.151662000018</v>
      </c>
      <c r="M12" s="1192">
        <v>17.118232044198887</v>
      </c>
      <c r="N12" s="1178">
        <v>17.334254143646412</v>
      </c>
    </row>
    <row r="15" spans="1:14">
      <c r="A15" s="883" t="s">
        <v>405</v>
      </c>
      <c r="B15" t="s">
        <v>5559</v>
      </c>
    </row>
    <row r="16" spans="1:14">
      <c r="A16" s="883" t="s">
        <v>6101</v>
      </c>
      <c r="B16" t="s">
        <v>5559</v>
      </c>
    </row>
    <row r="17" spans="1:14">
      <c r="A17" s="883" t="s">
        <v>2738</v>
      </c>
      <c r="B17" t="s">
        <v>5560</v>
      </c>
    </row>
    <row r="19" spans="1:14">
      <c r="A19" s="1187" t="s">
        <v>5555</v>
      </c>
      <c r="B19" s="1182" t="s">
        <v>6111</v>
      </c>
      <c r="C19" s="1226" t="s">
        <v>6112</v>
      </c>
      <c r="D19" s="1183" t="s">
        <v>6113</v>
      </c>
      <c r="E19" s="1183" t="s">
        <v>6121</v>
      </c>
      <c r="F19" s="1226" t="s">
        <v>6114</v>
      </c>
      <c r="G19" s="1183" t="s">
        <v>6115</v>
      </c>
      <c r="H19" s="1226" t="s">
        <v>6122</v>
      </c>
      <c r="I19" s="1183" t="s">
        <v>6116</v>
      </c>
      <c r="J19" s="1183" t="s">
        <v>6118</v>
      </c>
      <c r="K19" s="1226" t="s">
        <v>6123</v>
      </c>
      <c r="L19" s="1183" t="s">
        <v>6120</v>
      </c>
      <c r="M19" s="1226" t="s">
        <v>6130</v>
      </c>
      <c r="N19" s="1183" t="s">
        <v>6131</v>
      </c>
    </row>
    <row r="20" spans="1:14">
      <c r="A20" s="1227" t="s">
        <v>17</v>
      </c>
      <c r="B20" s="1220">
        <v>1172162.344</v>
      </c>
      <c r="C20" s="1223">
        <v>578523.21740000008</v>
      </c>
      <c r="D20" s="1225">
        <v>593639.12659999996</v>
      </c>
      <c r="E20" s="1225">
        <v>126137.62438999998</v>
      </c>
      <c r="F20" s="1223">
        <v>64091.683549611618</v>
      </c>
      <c r="G20" s="1225">
        <v>62046.110620388376</v>
      </c>
      <c r="H20" s="1228">
        <v>14.511582928046659</v>
      </c>
      <c r="I20" s="1222">
        <v>15.433935213141233</v>
      </c>
      <c r="J20" s="1225">
        <v>1027.8103079999998</v>
      </c>
      <c r="K20" s="1223">
        <v>525.37332700000002</v>
      </c>
      <c r="L20" s="1225">
        <v>504.47923399999996</v>
      </c>
      <c r="M20" s="1228">
        <v>3.1509803921568631</v>
      </c>
      <c r="N20" s="1222">
        <v>3.1254901960784314</v>
      </c>
    </row>
    <row r="21" spans="1:14">
      <c r="A21" s="1188" t="s">
        <v>12</v>
      </c>
      <c r="B21" s="1173">
        <v>2461780.3779999991</v>
      </c>
      <c r="C21" s="1184">
        <v>1246310.466</v>
      </c>
      <c r="D21" s="636">
        <v>1215469.9119999998</v>
      </c>
      <c r="E21" s="636">
        <v>158249.92816099999</v>
      </c>
      <c r="F21" s="1184">
        <v>76676.093342141379</v>
      </c>
      <c r="G21" s="636">
        <v>81535.469495858706</v>
      </c>
      <c r="H21" s="1191">
        <v>14.167736918397672</v>
      </c>
      <c r="I21" s="1176">
        <v>15.009955905015499</v>
      </c>
      <c r="J21" s="636">
        <v>10795.635129000002</v>
      </c>
      <c r="K21" s="1184">
        <v>5540.178533000003</v>
      </c>
      <c r="L21" s="636">
        <v>5241.4376200000033</v>
      </c>
      <c r="M21" s="1191">
        <v>6.194117647058822</v>
      </c>
      <c r="N21" s="1176">
        <v>6.3470588235294114</v>
      </c>
    </row>
    <row r="22" spans="1:14">
      <c r="A22" s="1188" t="s">
        <v>20</v>
      </c>
      <c r="B22" s="1173">
        <v>2669630.9330000007</v>
      </c>
      <c r="C22" s="1184">
        <v>1361756.8559104481</v>
      </c>
      <c r="D22" s="636">
        <v>1307874.0770895521</v>
      </c>
      <c r="E22" s="636">
        <v>840758.28825799993</v>
      </c>
      <c r="F22" s="1184">
        <v>419479.862359819</v>
      </c>
      <c r="G22" s="636">
        <v>421202.04314518109</v>
      </c>
      <c r="H22" s="1191">
        <v>24.228716945548772</v>
      </c>
      <c r="I22" s="1176">
        <v>25.272864155887834</v>
      </c>
      <c r="J22" s="636">
        <v>84165.979175000015</v>
      </c>
      <c r="K22" s="1184">
        <v>43261.058713000006</v>
      </c>
      <c r="L22" s="636">
        <v>40875.774767999996</v>
      </c>
      <c r="M22" s="1191">
        <v>21.797777777777775</v>
      </c>
      <c r="N22" s="1176">
        <v>22.177777777777774</v>
      </c>
    </row>
    <row r="23" spans="1:14">
      <c r="A23" s="1189" t="s">
        <v>9</v>
      </c>
      <c r="B23" s="1173">
        <v>895820.05500000005</v>
      </c>
      <c r="C23" s="1184">
        <v>446492.31200000003</v>
      </c>
      <c r="D23" s="636">
        <v>449327.74300000007</v>
      </c>
      <c r="E23" s="636">
        <v>347857.28685099998</v>
      </c>
      <c r="F23" s="1184">
        <v>172502.6601449688</v>
      </c>
      <c r="G23" s="636">
        <v>175374.24807303114</v>
      </c>
      <c r="H23" s="1191">
        <v>36.287664047219977</v>
      </c>
      <c r="I23" s="1176">
        <v>37.024004464469094</v>
      </c>
      <c r="J23" s="636">
        <v>76348.125551000005</v>
      </c>
      <c r="K23" s="1184">
        <v>38565.720741000012</v>
      </c>
      <c r="L23" s="636">
        <v>37790.460039999991</v>
      </c>
      <c r="M23" s="1191">
        <v>48.261764705882349</v>
      </c>
      <c r="N23" s="1176">
        <v>48.717647058823516</v>
      </c>
    </row>
    <row r="24" spans="1:14">
      <c r="A24" s="1190" t="s">
        <v>4632</v>
      </c>
      <c r="B24" s="1174">
        <v>7199393.71</v>
      </c>
      <c r="C24" s="1185">
        <v>3633082.8513104487</v>
      </c>
      <c r="D24" s="1180">
        <v>3566310.8586895526</v>
      </c>
      <c r="E24" s="1186">
        <v>1473003.1276600005</v>
      </c>
      <c r="F24" s="1185">
        <v>732750.29939654027</v>
      </c>
      <c r="G24" s="1180">
        <v>740157.87133445952</v>
      </c>
      <c r="H24" s="1192">
        <v>20.921094764220072</v>
      </c>
      <c r="I24" s="1178">
        <v>21.816207104049148</v>
      </c>
      <c r="J24" s="1180">
        <v>172337.55016299992</v>
      </c>
      <c r="K24" s="1185">
        <v>87892.33131400001</v>
      </c>
      <c r="L24" s="1180">
        <v>84412.151662000018</v>
      </c>
      <c r="M24" s="1192">
        <v>17.118232044198894</v>
      </c>
      <c r="N24" s="1178">
        <v>17.334254143646401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0"/>
  <sheetViews>
    <sheetView zoomScaleNormal="100" workbookViewId="0">
      <selection activeCell="O18" sqref="O18"/>
    </sheetView>
  </sheetViews>
  <sheetFormatPr defaultRowHeight="15"/>
  <cols>
    <col min="2" max="7" width="11.7109375" customWidth="1"/>
    <col min="8" max="9" width="9.7109375" style="49" customWidth="1"/>
    <col min="10" max="12" width="10.7109375" customWidth="1"/>
    <col min="13" max="14" width="10.7109375" style="49" customWidth="1"/>
    <col min="17" max="22" width="11.7109375" customWidth="1"/>
    <col min="23" max="24" width="9.7109375" customWidth="1"/>
    <col min="25" max="27" width="10.7109375" customWidth="1"/>
    <col min="28" max="29" width="10.7109375" style="49" customWidth="1"/>
  </cols>
  <sheetData>
    <row r="1" spans="1:29">
      <c r="A1" s="1203" t="s">
        <v>6125</v>
      </c>
      <c r="P1" s="1203" t="s">
        <v>6126</v>
      </c>
      <c r="W1" s="49"/>
      <c r="X1" s="49"/>
    </row>
    <row r="2" spans="1:29">
      <c r="A2" s="884" t="s">
        <v>5564</v>
      </c>
      <c r="B2" s="1204" t="s">
        <v>6111</v>
      </c>
      <c r="C2" s="1199" t="s">
        <v>6112</v>
      </c>
      <c r="D2" s="1200" t="s">
        <v>6113</v>
      </c>
      <c r="E2" s="1204" t="s">
        <v>2876</v>
      </c>
      <c r="F2" s="1199" t="s">
        <v>6114</v>
      </c>
      <c r="G2" s="1200" t="s">
        <v>6115</v>
      </c>
      <c r="H2" s="1198" t="s">
        <v>6117</v>
      </c>
      <c r="I2" s="1200" t="s">
        <v>6116</v>
      </c>
      <c r="J2" s="1204" t="s">
        <v>6118</v>
      </c>
      <c r="K2" s="1199" t="s">
        <v>6119</v>
      </c>
      <c r="L2" s="1200" t="s">
        <v>6120</v>
      </c>
      <c r="M2" s="1198" t="s">
        <v>6132</v>
      </c>
      <c r="N2" s="1200" t="s">
        <v>6133</v>
      </c>
      <c r="P2" s="884" t="s">
        <v>5564</v>
      </c>
      <c r="Q2" s="1204" t="s">
        <v>6111</v>
      </c>
      <c r="R2" s="1199" t="s">
        <v>6112</v>
      </c>
      <c r="S2" s="1200" t="s">
        <v>6113</v>
      </c>
      <c r="T2" s="1204" t="s">
        <v>2876</v>
      </c>
      <c r="U2" s="1199" t="s">
        <v>6114</v>
      </c>
      <c r="V2" s="1200" t="s">
        <v>6115</v>
      </c>
      <c r="W2" s="1198" t="s">
        <v>6117</v>
      </c>
      <c r="X2" s="1200" t="s">
        <v>6116</v>
      </c>
      <c r="Y2" s="1204" t="s">
        <v>6118</v>
      </c>
      <c r="Z2" s="1199" t="s">
        <v>6119</v>
      </c>
      <c r="AA2" s="1200" t="s">
        <v>6120</v>
      </c>
      <c r="AB2" s="1198" t="s">
        <v>6132</v>
      </c>
      <c r="AC2" s="1200" t="s">
        <v>6133</v>
      </c>
    </row>
    <row r="3" spans="1:29">
      <c r="A3" s="886" t="s">
        <v>406</v>
      </c>
      <c r="B3" s="1173">
        <v>1000528.6450000005</v>
      </c>
      <c r="C3" s="1184">
        <v>500266.96999999986</v>
      </c>
      <c r="D3" s="636">
        <v>500261.6750000001</v>
      </c>
      <c r="E3" s="1173">
        <v>437112.34599399997</v>
      </c>
      <c r="F3" s="1184">
        <v>217346.99191751951</v>
      </c>
      <c r="G3" s="636">
        <v>219738.82781948044</v>
      </c>
      <c r="H3" s="1175">
        <v>36.504911996898613</v>
      </c>
      <c r="I3" s="1176">
        <v>37.121888413103328</v>
      </c>
      <c r="J3" s="1173">
        <v>93703.235606000002</v>
      </c>
      <c r="K3" s="1184">
        <v>47344.623892000018</v>
      </c>
      <c r="L3" s="636">
        <v>46348.949684999992</v>
      </c>
      <c r="M3" s="1175">
        <v>43.112500000000004</v>
      </c>
      <c r="N3" s="1176">
        <v>43.566666666666656</v>
      </c>
      <c r="P3" s="886" t="s">
        <v>406</v>
      </c>
      <c r="Q3" s="1173">
        <v>1000338.3010000001</v>
      </c>
      <c r="R3" s="1184">
        <v>500172.21099999989</v>
      </c>
      <c r="S3" s="636">
        <v>500166.09000000014</v>
      </c>
      <c r="T3" s="1173">
        <v>437075.57638300001</v>
      </c>
      <c r="U3" s="1184">
        <v>217328.85759151095</v>
      </c>
      <c r="V3" s="636">
        <v>219720.149053489</v>
      </c>
      <c r="W3" s="1175">
        <v>36.874435389177513</v>
      </c>
      <c r="X3" s="1176">
        <v>37.495938713620014</v>
      </c>
      <c r="Y3" s="1173">
        <v>93695.871181999988</v>
      </c>
      <c r="Z3" s="1184">
        <v>47340.83268800001</v>
      </c>
      <c r="AA3" s="636">
        <v>46345.360434999995</v>
      </c>
      <c r="AB3" s="1175">
        <v>43.48936170212766</v>
      </c>
      <c r="AC3" s="1176">
        <v>43.972340425531911</v>
      </c>
    </row>
    <row r="4" spans="1:29">
      <c r="A4" s="887" t="s">
        <v>407</v>
      </c>
      <c r="B4" s="1173">
        <v>2230165.6909999996</v>
      </c>
      <c r="C4" s="1184">
        <v>1133364.4950000001</v>
      </c>
      <c r="D4" s="636">
        <v>1096801.1960000002</v>
      </c>
      <c r="E4" s="1173">
        <v>139258.93886700002</v>
      </c>
      <c r="F4" s="1184">
        <v>68385.650212383145</v>
      </c>
      <c r="G4" s="636">
        <v>70855.004537616958</v>
      </c>
      <c r="H4" s="1175">
        <v>17.289170952620484</v>
      </c>
      <c r="I4" s="1176">
        <v>17.743323958298458</v>
      </c>
      <c r="J4" s="1173">
        <v>16984.641939000001</v>
      </c>
      <c r="K4" s="1184">
        <v>8830.4182600000004</v>
      </c>
      <c r="L4" s="636">
        <v>8148.0809670000035</v>
      </c>
      <c r="M4" s="1175">
        <v>19.848275862068963</v>
      </c>
      <c r="N4" s="1176">
        <v>19.634482758620692</v>
      </c>
      <c r="P4" s="887" t="s">
        <v>407</v>
      </c>
      <c r="Q4" s="1173">
        <v>2228978.304</v>
      </c>
      <c r="R4" s="1184">
        <v>1132760.037</v>
      </c>
      <c r="S4" s="636">
        <v>1096218.2670000002</v>
      </c>
      <c r="T4" s="1173">
        <v>138948.82368999999</v>
      </c>
      <c r="U4" s="1184">
        <v>68230.014855751753</v>
      </c>
      <c r="V4" s="636">
        <v>70700.644741248369</v>
      </c>
      <c r="W4" s="1175">
        <v>15.221953627025567</v>
      </c>
      <c r="X4" s="1176">
        <v>15.934336784463097</v>
      </c>
      <c r="Y4" s="1173">
        <v>16925.816022000006</v>
      </c>
      <c r="Z4" s="1184">
        <v>8800.1547240000018</v>
      </c>
      <c r="AA4" s="636">
        <v>8119.5589460000019</v>
      </c>
      <c r="AB4" s="1175">
        <v>13.009090909090908</v>
      </c>
      <c r="AC4" s="1176">
        <v>12.990909090909092</v>
      </c>
    </row>
    <row r="5" spans="1:29">
      <c r="A5" s="887" t="s">
        <v>408</v>
      </c>
      <c r="B5" s="1173">
        <v>490983.52999999997</v>
      </c>
      <c r="C5" s="1184">
        <v>234999.41991044779</v>
      </c>
      <c r="D5" s="636">
        <v>255984.11008955224</v>
      </c>
      <c r="E5" s="1173">
        <v>34323.979987999985</v>
      </c>
      <c r="F5" s="1184">
        <v>13497.944958305607</v>
      </c>
      <c r="G5" s="636">
        <v>20811.507109694401</v>
      </c>
      <c r="H5" s="1175">
        <v>7.3608557337781058</v>
      </c>
      <c r="I5" s="1176">
        <v>8.7706310323626351</v>
      </c>
      <c r="J5" s="1173">
        <v>812.25777799999923</v>
      </c>
      <c r="K5" s="1184">
        <v>376.60390199999978</v>
      </c>
      <c r="L5" s="636">
        <v>430.18318300000016</v>
      </c>
      <c r="M5" s="1175">
        <v>2.1199999999999979</v>
      </c>
      <c r="N5" s="1176">
        <v>2.0999999999999983</v>
      </c>
      <c r="P5" s="887" t="s">
        <v>408</v>
      </c>
      <c r="Q5" s="1173">
        <v>485610.02799999993</v>
      </c>
      <c r="R5" s="1184">
        <v>232358.71391044778</v>
      </c>
      <c r="S5" s="636">
        <v>253251.31408955224</v>
      </c>
      <c r="T5" s="1173">
        <v>33462.066177999979</v>
      </c>
      <c r="U5" s="1184">
        <v>13094.69992631953</v>
      </c>
      <c r="V5" s="636">
        <v>20352.774107680478</v>
      </c>
      <c r="W5" s="1175">
        <v>7.0881145739716844</v>
      </c>
      <c r="X5" s="1176">
        <v>8.4942315978933749</v>
      </c>
      <c r="Y5" s="1173">
        <v>788.51006299999926</v>
      </c>
      <c r="Z5" s="1184">
        <v>363.74186999999972</v>
      </c>
      <c r="AA5" s="636">
        <v>419.27292700000015</v>
      </c>
      <c r="AB5" s="1175">
        <v>2.0275862068965496</v>
      </c>
      <c r="AC5" s="1176">
        <v>2.0275862068965496</v>
      </c>
    </row>
    <row r="6" spans="1:29">
      <c r="A6" s="887" t="s">
        <v>409</v>
      </c>
      <c r="B6" s="1173">
        <v>617598.96700000006</v>
      </c>
      <c r="C6" s="1184">
        <v>305205.55200000008</v>
      </c>
      <c r="D6" s="636">
        <v>312393.41499999992</v>
      </c>
      <c r="E6" s="1173">
        <v>65901.570066999993</v>
      </c>
      <c r="F6" s="1184">
        <v>32292.490817128855</v>
      </c>
      <c r="G6" s="636">
        <v>33601.033398871143</v>
      </c>
      <c r="H6" s="1175">
        <v>13.574336606971862</v>
      </c>
      <c r="I6" s="1176">
        <v>14.462462984751927</v>
      </c>
      <c r="J6" s="1173">
        <v>4054.1478810000008</v>
      </c>
      <c r="K6" s="1184">
        <v>2048.0438690000005</v>
      </c>
      <c r="L6" s="636">
        <v>2002.9823369999999</v>
      </c>
      <c r="M6" s="1175">
        <v>8.2937500000000011</v>
      </c>
      <c r="N6" s="1176">
        <v>8.4125000000000014</v>
      </c>
      <c r="P6" s="887" t="s">
        <v>409</v>
      </c>
      <c r="Q6" s="1173">
        <v>617507.14899999998</v>
      </c>
      <c r="R6" s="1184">
        <v>305161.66300000006</v>
      </c>
      <c r="S6" s="636">
        <v>312345.48599999992</v>
      </c>
      <c r="T6" s="1173">
        <v>65877.453066999995</v>
      </c>
      <c r="U6" s="1184">
        <v>32281.425853049914</v>
      </c>
      <c r="V6" s="636">
        <v>33587.981362950093</v>
      </c>
      <c r="W6" s="1175">
        <v>13.19895240933656</v>
      </c>
      <c r="X6" s="1176">
        <v>14.050541719688514</v>
      </c>
      <c r="Y6" s="1173">
        <v>4053.4198810000012</v>
      </c>
      <c r="Z6" s="1184">
        <v>2047.6779690000005</v>
      </c>
      <c r="AA6" s="636">
        <v>2002.6202370000001</v>
      </c>
      <c r="AB6" s="1175">
        <v>8.2387096774193562</v>
      </c>
      <c r="AC6" s="1176">
        <v>8.361290322580647</v>
      </c>
    </row>
    <row r="7" spans="1:29">
      <c r="A7" s="887" t="s">
        <v>410</v>
      </c>
      <c r="B7" s="1173">
        <v>424314.00700000004</v>
      </c>
      <c r="C7" s="1184">
        <v>219340.87499999997</v>
      </c>
      <c r="D7" s="636">
        <v>204973.13200000001</v>
      </c>
      <c r="E7" s="1173">
        <v>97724.23273399999</v>
      </c>
      <c r="F7" s="1184">
        <v>49825.90109920215</v>
      </c>
      <c r="G7" s="636">
        <v>47881.825731797828</v>
      </c>
      <c r="H7" s="1175">
        <v>27.559159942772734</v>
      </c>
      <c r="I7" s="1176">
        <v>28.568999885885795</v>
      </c>
      <c r="J7" s="1173">
        <v>4782.4295949999996</v>
      </c>
      <c r="K7" s="1184">
        <v>2389.7565029999996</v>
      </c>
      <c r="L7" s="636">
        <v>2388.495445999999</v>
      </c>
      <c r="M7" s="1175">
        <v>7.8428571428571425</v>
      </c>
      <c r="N7" s="1176">
        <v>8.1047619047619044</v>
      </c>
      <c r="P7" s="887" t="s">
        <v>410</v>
      </c>
      <c r="Q7" s="1173">
        <v>424314.00700000004</v>
      </c>
      <c r="R7" s="1184">
        <v>219340.87499999997</v>
      </c>
      <c r="S7" s="636">
        <v>204973.13200000001</v>
      </c>
      <c r="T7" s="1173">
        <v>97724.23273399999</v>
      </c>
      <c r="U7" s="1184">
        <v>49825.90109920215</v>
      </c>
      <c r="V7" s="636">
        <v>47881.825731797828</v>
      </c>
      <c r="W7" s="1175">
        <v>27.559159942772741</v>
      </c>
      <c r="X7" s="1176">
        <v>28.568999885885795</v>
      </c>
      <c r="Y7" s="1173">
        <v>4782.4295949999987</v>
      </c>
      <c r="Z7" s="1184">
        <v>2389.7565029999996</v>
      </c>
      <c r="AA7" s="636">
        <v>2388.495445999999</v>
      </c>
      <c r="AB7" s="1175">
        <v>7.8428571428571425</v>
      </c>
      <c r="AC7" s="1176">
        <v>8.1047619047619062</v>
      </c>
    </row>
    <row r="8" spans="1:29">
      <c r="A8" s="887" t="s">
        <v>411</v>
      </c>
      <c r="B8" s="1173">
        <v>1743864.8019999999</v>
      </c>
      <c r="C8" s="1184">
        <v>899045.76699999988</v>
      </c>
      <c r="D8" s="636">
        <v>844819.03500000003</v>
      </c>
      <c r="E8" s="1173">
        <v>629507.41760799999</v>
      </c>
      <c r="F8" s="1184">
        <v>315089.37171466241</v>
      </c>
      <c r="G8" s="636">
        <v>314406.96669333766</v>
      </c>
      <c r="H8" s="1175">
        <v>26.681733741231554</v>
      </c>
      <c r="I8" s="1176">
        <v>28.56894051684796</v>
      </c>
      <c r="J8" s="1173">
        <v>52088.125120000012</v>
      </c>
      <c r="K8" s="1184">
        <v>26948.434360000003</v>
      </c>
      <c r="L8" s="636">
        <v>25135.198571000001</v>
      </c>
      <c r="M8" s="1175">
        <v>34.912500000000001</v>
      </c>
      <c r="N8" s="1176">
        <v>35.850000000000009</v>
      </c>
      <c r="P8" s="887" t="s">
        <v>411</v>
      </c>
      <c r="Q8" s="1173">
        <v>1743864.8019999999</v>
      </c>
      <c r="R8" s="1184">
        <v>899045.76699999988</v>
      </c>
      <c r="S8" s="636">
        <v>844819.03500000003</v>
      </c>
      <c r="T8" s="1173">
        <v>629507.41760799999</v>
      </c>
      <c r="U8" s="1184">
        <v>315089.37171466241</v>
      </c>
      <c r="V8" s="636">
        <v>314406.96669333766</v>
      </c>
      <c r="W8" s="1175">
        <v>26.681733741231554</v>
      </c>
      <c r="X8" s="1176">
        <v>28.56894051684796</v>
      </c>
      <c r="Y8" s="1173">
        <v>52088.125120000012</v>
      </c>
      <c r="Z8" s="1184">
        <v>26948.434360000003</v>
      </c>
      <c r="AA8" s="636">
        <v>25135.198571000001</v>
      </c>
      <c r="AB8" s="1175">
        <v>34.912500000000001</v>
      </c>
      <c r="AC8" s="1176">
        <v>35.850000000000009</v>
      </c>
    </row>
    <row r="9" spans="1:29">
      <c r="A9" s="887" t="s">
        <v>7</v>
      </c>
      <c r="B9" s="1173">
        <v>838369.91500000004</v>
      </c>
      <c r="C9" s="1184">
        <v>413351.2844</v>
      </c>
      <c r="D9" s="636">
        <v>425018.63059999997</v>
      </c>
      <c r="E9" s="1173">
        <v>90533.402000000002</v>
      </c>
      <c r="F9" s="1184">
        <v>46822.066441396659</v>
      </c>
      <c r="G9" s="636">
        <v>43711.335558603343</v>
      </c>
      <c r="H9" s="1175">
        <v>13.037820330682456</v>
      </c>
      <c r="I9" s="1176">
        <v>13.398572909309733</v>
      </c>
      <c r="J9" s="1173">
        <v>3.3782999999999994</v>
      </c>
      <c r="K9" s="1184">
        <v>1.7331999999999996</v>
      </c>
      <c r="L9" s="636">
        <v>1.6450999999999998</v>
      </c>
      <c r="M9" s="1175">
        <v>0.33333333333333326</v>
      </c>
      <c r="N9" s="1176">
        <v>0.33333333333333326</v>
      </c>
      <c r="P9" s="887" t="s">
        <v>7</v>
      </c>
      <c r="Q9" s="1173">
        <v>698781.11899999995</v>
      </c>
      <c r="R9" s="1184">
        <v>344243.58439999999</v>
      </c>
      <c r="S9" s="636">
        <v>354537.53460000001</v>
      </c>
      <c r="T9" s="1173">
        <v>70407.558000000005</v>
      </c>
      <c r="U9" s="1184">
        <v>36900.028356044037</v>
      </c>
      <c r="V9" s="636">
        <v>33507.529643955961</v>
      </c>
      <c r="W9" s="1175">
        <v>13.557288398923356</v>
      </c>
      <c r="X9" s="1176">
        <v>14.150822854214324</v>
      </c>
      <c r="Y9" s="1173">
        <v>3.3782999999999994</v>
      </c>
      <c r="Z9" s="1184">
        <v>1.7331999999999996</v>
      </c>
      <c r="AA9" s="636">
        <v>1.6450999999999998</v>
      </c>
      <c r="AB9" s="1175">
        <v>0.43478260869565211</v>
      </c>
      <c r="AC9" s="1176">
        <v>0.43478260869565211</v>
      </c>
    </row>
    <row r="10" spans="1:29">
      <c r="A10" s="885" t="s">
        <v>5563</v>
      </c>
      <c r="B10" s="1205">
        <v>7345825.5569999963</v>
      </c>
      <c r="C10" s="1196">
        <v>3705574.3633104479</v>
      </c>
      <c r="D10" s="1197">
        <v>3640251.1936895517</v>
      </c>
      <c r="E10" s="1206">
        <v>1494361.8872579997</v>
      </c>
      <c r="F10" s="1196">
        <v>743260.41716059844</v>
      </c>
      <c r="G10" s="1197">
        <v>751006.50084940158</v>
      </c>
      <c r="H10" s="1201">
        <v>20.667459674556181</v>
      </c>
      <c r="I10" s="1202">
        <v>21.478699465253701</v>
      </c>
      <c r="J10" s="1206">
        <v>172428.21621900014</v>
      </c>
      <c r="K10" s="1196">
        <v>87939.613986000026</v>
      </c>
      <c r="L10" s="1197">
        <v>84455.535289000021</v>
      </c>
      <c r="M10" s="1201">
        <v>17.313131313131308</v>
      </c>
      <c r="N10" s="1202">
        <v>17.473737373737372</v>
      </c>
      <c r="P10" s="885" t="s">
        <v>5563</v>
      </c>
      <c r="Q10" s="1205">
        <v>7199393.7099999962</v>
      </c>
      <c r="R10" s="1196">
        <v>3633082.8513104473</v>
      </c>
      <c r="S10" s="1197">
        <v>3566310.8586895522</v>
      </c>
      <c r="T10" s="1206">
        <v>1473003.1276600002</v>
      </c>
      <c r="U10" s="1196">
        <v>732750.29939654085</v>
      </c>
      <c r="V10" s="1197">
        <v>740157.87133445917</v>
      </c>
      <c r="W10" s="1201">
        <v>20.921094764220083</v>
      </c>
      <c r="X10" s="1202">
        <v>21.816207104049148</v>
      </c>
      <c r="Y10" s="1206">
        <v>172337.55016300012</v>
      </c>
      <c r="Z10" s="1196">
        <v>87892.331314000039</v>
      </c>
      <c r="AA10" s="1197">
        <v>84412.151662000018</v>
      </c>
      <c r="AB10" s="1201">
        <v>17.118232044198887</v>
      </c>
      <c r="AC10" s="1202">
        <v>17.334254143646412</v>
      </c>
    </row>
    <row r="11" spans="1:29">
      <c r="W11" s="49"/>
      <c r="X11" s="49"/>
    </row>
    <row r="12" spans="1:29">
      <c r="A12" s="870" t="s">
        <v>732</v>
      </c>
      <c r="B12" s="1204" t="s">
        <v>6111</v>
      </c>
      <c r="C12" s="1198" t="s">
        <v>6112</v>
      </c>
      <c r="D12" s="1200" t="s">
        <v>6113</v>
      </c>
      <c r="E12" s="1204" t="s">
        <v>2876</v>
      </c>
      <c r="F12" s="1198" t="s">
        <v>6114</v>
      </c>
      <c r="G12" s="1200" t="s">
        <v>6115</v>
      </c>
      <c r="H12" s="1198" t="s">
        <v>6117</v>
      </c>
      <c r="I12" s="1200" t="s">
        <v>6116</v>
      </c>
      <c r="J12" s="1204" t="s">
        <v>6118</v>
      </c>
      <c r="K12" s="1198" t="s">
        <v>6119</v>
      </c>
      <c r="L12" s="1200" t="s">
        <v>6120</v>
      </c>
      <c r="M12" s="1198" t="s">
        <v>6132</v>
      </c>
      <c r="N12" s="1200" t="s">
        <v>6133</v>
      </c>
      <c r="P12" s="870" t="s">
        <v>732</v>
      </c>
      <c r="Q12" s="1204" t="s">
        <v>6111</v>
      </c>
      <c r="R12" s="1198" t="s">
        <v>6112</v>
      </c>
      <c r="S12" s="1200" t="s">
        <v>6113</v>
      </c>
      <c r="T12" s="1204" t="s">
        <v>2876</v>
      </c>
      <c r="U12" s="1198" t="s">
        <v>6114</v>
      </c>
      <c r="V12" s="1200" t="s">
        <v>6115</v>
      </c>
      <c r="W12" s="1198" t="s">
        <v>6117</v>
      </c>
      <c r="X12" s="1200" t="s">
        <v>6116</v>
      </c>
      <c r="Y12" s="1204" t="s">
        <v>6118</v>
      </c>
      <c r="Z12" s="1198" t="s">
        <v>6119</v>
      </c>
      <c r="AA12" s="1200" t="s">
        <v>6120</v>
      </c>
      <c r="AB12" s="1198" t="s">
        <v>6132</v>
      </c>
      <c r="AC12" s="1200" t="s">
        <v>6133</v>
      </c>
    </row>
    <row r="13" spans="1:29">
      <c r="A13" s="1207" t="s">
        <v>17</v>
      </c>
      <c r="B13" s="1173">
        <v>1311842.9579999999</v>
      </c>
      <c r="C13" s="1179">
        <v>647674.80639999988</v>
      </c>
      <c r="D13" s="636">
        <v>664168.15159999998</v>
      </c>
      <c r="E13" s="1173">
        <v>146287.58538999996</v>
      </c>
      <c r="F13" s="1179">
        <v>74024.786599043175</v>
      </c>
      <c r="G13" s="636">
        <v>72262.968570956815</v>
      </c>
      <c r="H13" s="1175">
        <v>14.31557547134377</v>
      </c>
      <c r="I13" s="1176">
        <v>15.099169147530221</v>
      </c>
      <c r="J13" s="1173">
        <v>1028.5383079999999</v>
      </c>
      <c r="K13" s="1179">
        <v>525.73922700000003</v>
      </c>
      <c r="L13" s="636">
        <v>504.84133400000002</v>
      </c>
      <c r="M13" s="1175">
        <v>2.8932203389830509</v>
      </c>
      <c r="N13" s="1176">
        <v>2.8711864406779659</v>
      </c>
      <c r="P13" s="1207" t="s">
        <v>17</v>
      </c>
      <c r="Q13" s="1173">
        <v>1172162.344</v>
      </c>
      <c r="R13" s="1179">
        <v>578523.21740000008</v>
      </c>
      <c r="S13" s="636">
        <v>593639.12659999996</v>
      </c>
      <c r="T13" s="1173">
        <v>126137.62438999998</v>
      </c>
      <c r="U13" s="1179">
        <v>64091.683549611618</v>
      </c>
      <c r="V13" s="636">
        <v>62046.110620388376</v>
      </c>
      <c r="W13" s="1175">
        <v>14.511582928046659</v>
      </c>
      <c r="X13" s="1176">
        <v>15.433935213141233</v>
      </c>
      <c r="Y13" s="1173">
        <v>1027.8103079999998</v>
      </c>
      <c r="Z13" s="1179">
        <v>525.37332700000002</v>
      </c>
      <c r="AA13" s="636">
        <v>504.47923399999996</v>
      </c>
      <c r="AB13" s="1175">
        <v>3.1509803921568631</v>
      </c>
      <c r="AC13" s="1176">
        <v>3.1254901960784314</v>
      </c>
    </row>
    <row r="14" spans="1:29">
      <c r="A14" s="1208" t="s">
        <v>12</v>
      </c>
      <c r="B14" s="1173">
        <v>2467195.3359999992</v>
      </c>
      <c r="C14" s="1179">
        <v>1248972.098</v>
      </c>
      <c r="D14" s="636">
        <v>1218223.2379999999</v>
      </c>
      <c r="E14" s="1211">
        <v>159117.20657999997</v>
      </c>
      <c r="F14" s="1179">
        <v>77082.162091738166</v>
      </c>
      <c r="G14" s="636">
        <v>81996.738970261926</v>
      </c>
      <c r="H14" s="1175">
        <v>14.234689832536059</v>
      </c>
      <c r="I14" s="1176">
        <v>14.945738712511851</v>
      </c>
      <c r="J14" s="1173">
        <v>10820.282825</v>
      </c>
      <c r="K14" s="1179">
        <v>5553.5110430000022</v>
      </c>
      <c r="L14" s="636">
        <v>5252.7762360000033</v>
      </c>
      <c r="M14" s="1175">
        <v>7.3127272727272716</v>
      </c>
      <c r="N14" s="1176">
        <v>7.3054545454545448</v>
      </c>
      <c r="P14" s="1208" t="s">
        <v>12</v>
      </c>
      <c r="Q14" s="1173">
        <v>2461780.3779999991</v>
      </c>
      <c r="R14" s="1179">
        <v>1246310.466</v>
      </c>
      <c r="S14" s="636">
        <v>1215469.9119999998</v>
      </c>
      <c r="T14" s="1173">
        <v>158249.92816099999</v>
      </c>
      <c r="U14" s="1179">
        <v>76676.093342141379</v>
      </c>
      <c r="V14" s="636">
        <v>81535.469495858706</v>
      </c>
      <c r="W14" s="1175">
        <v>14.167736918397672</v>
      </c>
      <c r="X14" s="1176">
        <v>15.009955905015499</v>
      </c>
      <c r="Y14" s="1173">
        <v>10795.635129000002</v>
      </c>
      <c r="Z14" s="1179">
        <v>5540.178533000003</v>
      </c>
      <c r="AA14" s="636">
        <v>5241.4376200000033</v>
      </c>
      <c r="AB14" s="1175">
        <v>6.194117647058822</v>
      </c>
      <c r="AC14" s="1176">
        <v>6.3470588235294114</v>
      </c>
    </row>
    <row r="15" spans="1:29">
      <c r="A15" s="1208" t="s">
        <v>20</v>
      </c>
      <c r="B15" s="1173">
        <v>2670967.2080000001</v>
      </c>
      <c r="C15" s="1179">
        <v>1362435.1469104483</v>
      </c>
      <c r="D15" s="636">
        <v>1308532.0610895522</v>
      </c>
      <c r="E15" s="1173">
        <v>841099.8084369998</v>
      </c>
      <c r="F15" s="1179">
        <v>419650.80832484824</v>
      </c>
      <c r="G15" s="636">
        <v>421372.54523515183</v>
      </c>
      <c r="H15" s="1175">
        <v>24.616990887157591</v>
      </c>
      <c r="I15" s="1176">
        <v>25.62199466871699</v>
      </c>
      <c r="J15" s="1173">
        <v>84231.269535000029</v>
      </c>
      <c r="K15" s="1179">
        <v>43294.64297500001</v>
      </c>
      <c r="L15" s="636">
        <v>40907.457678999985</v>
      </c>
      <c r="M15" s="1175">
        <v>24.284000000000006</v>
      </c>
      <c r="N15" s="1176">
        <v>24.643999999999995</v>
      </c>
      <c r="P15" s="1208" t="s">
        <v>20</v>
      </c>
      <c r="Q15" s="1173">
        <v>2669630.9330000007</v>
      </c>
      <c r="R15" s="1179">
        <v>1361756.8559104481</v>
      </c>
      <c r="S15" s="636">
        <v>1307874.0770895521</v>
      </c>
      <c r="T15" s="1173">
        <v>840758.28825799993</v>
      </c>
      <c r="U15" s="1179">
        <v>419479.862359819</v>
      </c>
      <c r="V15" s="636">
        <v>421202.04314518109</v>
      </c>
      <c r="W15" s="1175">
        <v>24.228716945548772</v>
      </c>
      <c r="X15" s="1176">
        <v>25.272864155887834</v>
      </c>
      <c r="Y15" s="1173">
        <v>84165.979175000015</v>
      </c>
      <c r="Z15" s="1179">
        <v>43261.058713000006</v>
      </c>
      <c r="AA15" s="636">
        <v>40875.774767999996</v>
      </c>
      <c r="AB15" s="1175">
        <v>21.797777777777775</v>
      </c>
      <c r="AC15" s="1176">
        <v>22.177777777777774</v>
      </c>
    </row>
    <row r="16" spans="1:29">
      <c r="A16" s="1209" t="s">
        <v>9</v>
      </c>
      <c r="B16" s="1173">
        <v>895820.05500000005</v>
      </c>
      <c r="C16" s="1179">
        <v>446492.31199999992</v>
      </c>
      <c r="D16" s="636">
        <v>449327.74300000007</v>
      </c>
      <c r="E16" s="1211">
        <v>347857.28685099992</v>
      </c>
      <c r="F16" s="1179">
        <v>172502.66014496883</v>
      </c>
      <c r="G16" s="636">
        <v>175374.24807303114</v>
      </c>
      <c r="H16" s="1175">
        <v>36.287664047219977</v>
      </c>
      <c r="I16" s="1176">
        <v>37.024004464469094</v>
      </c>
      <c r="J16" s="1173">
        <v>76348.125551000019</v>
      </c>
      <c r="K16" s="1179">
        <v>38565.720741000005</v>
      </c>
      <c r="L16" s="636">
        <v>37790.460039999991</v>
      </c>
      <c r="M16" s="1175">
        <v>48.261764705882349</v>
      </c>
      <c r="N16" s="1176">
        <v>48.717647058823516</v>
      </c>
      <c r="P16" s="1209" t="s">
        <v>9</v>
      </c>
      <c r="Q16" s="1173">
        <v>895820.05500000005</v>
      </c>
      <c r="R16" s="1179">
        <v>446492.31200000003</v>
      </c>
      <c r="S16" s="636">
        <v>449327.74300000007</v>
      </c>
      <c r="T16" s="1173">
        <v>347857.28685099998</v>
      </c>
      <c r="U16" s="1179">
        <v>172502.6601449688</v>
      </c>
      <c r="V16" s="636">
        <v>175374.24807303114</v>
      </c>
      <c r="W16" s="1175">
        <v>36.287664047219977</v>
      </c>
      <c r="X16" s="1176">
        <v>37.024004464469094</v>
      </c>
      <c r="Y16" s="1173">
        <v>76348.125551000005</v>
      </c>
      <c r="Z16" s="1179">
        <v>38565.720741000012</v>
      </c>
      <c r="AA16" s="636">
        <v>37790.460039999991</v>
      </c>
      <c r="AB16" s="1175">
        <v>48.261764705882349</v>
      </c>
      <c r="AC16" s="1176">
        <v>48.717647058823516</v>
      </c>
    </row>
    <row r="17" spans="1:29">
      <c r="A17" s="1210" t="s">
        <v>5563</v>
      </c>
      <c r="B17" s="1205">
        <v>7345825.557</v>
      </c>
      <c r="C17" s="1195">
        <v>3705574.3633104484</v>
      </c>
      <c r="D17" s="1197">
        <v>3640251.1936895531</v>
      </c>
      <c r="E17" s="1206">
        <v>1494361.8872580002</v>
      </c>
      <c r="F17" s="1195">
        <v>743260.41716059775</v>
      </c>
      <c r="G17" s="1197">
        <v>751006.50084940204</v>
      </c>
      <c r="H17" s="1201">
        <v>20.667459674556177</v>
      </c>
      <c r="I17" s="1202">
        <v>21.478699465253705</v>
      </c>
      <c r="J17" s="1206">
        <v>172428.21621899997</v>
      </c>
      <c r="K17" s="1195">
        <v>87939.613985999997</v>
      </c>
      <c r="L17" s="1197">
        <v>84455.535289000007</v>
      </c>
      <c r="M17" s="1201">
        <v>17.313131313131308</v>
      </c>
      <c r="N17" s="1202">
        <v>17.473737373737368</v>
      </c>
      <c r="P17" s="1210" t="s">
        <v>5563</v>
      </c>
      <c r="Q17" s="1205">
        <v>7199393.71</v>
      </c>
      <c r="R17" s="1195">
        <v>3633082.8513104487</v>
      </c>
      <c r="S17" s="1197">
        <v>3566310.8586895526</v>
      </c>
      <c r="T17" s="1206">
        <v>1473003.1276600005</v>
      </c>
      <c r="U17" s="1195">
        <v>732750.29939654027</v>
      </c>
      <c r="V17" s="1197">
        <v>740157.87133445952</v>
      </c>
      <c r="W17" s="1201">
        <v>20.921094764220072</v>
      </c>
      <c r="X17" s="1202">
        <v>21.816207104049148</v>
      </c>
      <c r="Y17" s="1206">
        <v>172337.55016299992</v>
      </c>
      <c r="Z17" s="1195">
        <v>87892.33131400001</v>
      </c>
      <c r="AA17" s="1197">
        <v>84412.151662000018</v>
      </c>
      <c r="AB17" s="1201">
        <v>17.118232044198894</v>
      </c>
      <c r="AC17" s="1202">
        <v>17.334254143646401</v>
      </c>
    </row>
    <row r="18" spans="1:29">
      <c r="W18" s="49"/>
      <c r="X18" s="49"/>
    </row>
    <row r="19" spans="1:29">
      <c r="A19" s="1203" t="s">
        <v>6124</v>
      </c>
    </row>
    <row r="20" spans="1:29">
      <c r="A20" s="884" t="s">
        <v>5564</v>
      </c>
      <c r="B20" s="1204" t="s">
        <v>6111</v>
      </c>
      <c r="C20" s="1199" t="s">
        <v>6112</v>
      </c>
      <c r="D20" s="1200" t="s">
        <v>6113</v>
      </c>
      <c r="E20" s="1204" t="s">
        <v>2876</v>
      </c>
      <c r="F20" s="1199" t="s">
        <v>6114</v>
      </c>
      <c r="G20" s="1200" t="s">
        <v>6115</v>
      </c>
      <c r="H20" s="1198" t="s">
        <v>6117</v>
      </c>
      <c r="I20" s="1200" t="s">
        <v>6116</v>
      </c>
      <c r="J20" s="1204" t="s">
        <v>6118</v>
      </c>
      <c r="K20" s="1199" t="s">
        <v>6119</v>
      </c>
      <c r="L20" s="1200" t="s">
        <v>6120</v>
      </c>
      <c r="M20" s="1198" t="s">
        <v>6132</v>
      </c>
      <c r="N20" s="1200" t="s">
        <v>6133</v>
      </c>
    </row>
    <row r="21" spans="1:29">
      <c r="A21" s="886" t="s">
        <v>406</v>
      </c>
      <c r="B21" s="1173">
        <v>1000528.6450000001</v>
      </c>
      <c r="C21" s="1184">
        <v>500266.97</v>
      </c>
      <c r="D21" s="636">
        <v>500261.6750000001</v>
      </c>
      <c r="E21" s="1173">
        <v>437112.34599400003</v>
      </c>
      <c r="F21" s="1184">
        <v>217346.99191751951</v>
      </c>
      <c r="G21" s="636">
        <v>219738.82781948047</v>
      </c>
      <c r="H21" s="1175">
        <v>36.50491199689862</v>
      </c>
      <c r="I21" s="1176">
        <v>37.121888413103328</v>
      </c>
      <c r="J21" s="1173">
        <v>93703.235605999987</v>
      </c>
      <c r="K21" s="1184">
        <v>47344.623892000011</v>
      </c>
      <c r="L21" s="636">
        <v>46348.949685</v>
      </c>
      <c r="M21" s="1175">
        <v>43.112500000000004</v>
      </c>
      <c r="N21" s="1176">
        <v>43.56666666666667</v>
      </c>
    </row>
    <row r="22" spans="1:29">
      <c r="A22" s="887" t="s">
        <v>407</v>
      </c>
      <c r="B22" s="1173">
        <v>2230165.6909999996</v>
      </c>
      <c r="C22" s="1184">
        <v>1133364.4950000001</v>
      </c>
      <c r="D22" s="636">
        <v>1096801.1959999998</v>
      </c>
      <c r="E22" s="1173">
        <v>139258.93886700002</v>
      </c>
      <c r="F22" s="1184">
        <v>68385.65021238316</v>
      </c>
      <c r="G22" s="636">
        <v>70855.004537616987</v>
      </c>
      <c r="H22" s="1175">
        <v>17.289170952620481</v>
      </c>
      <c r="I22" s="1176">
        <v>17.743323958298458</v>
      </c>
      <c r="J22" s="1173">
        <v>16984.641939000001</v>
      </c>
      <c r="K22" s="1184">
        <v>8830.4182600000022</v>
      </c>
      <c r="L22" s="636">
        <v>8148.0809670000026</v>
      </c>
      <c r="M22" s="1175">
        <v>19.848275862068967</v>
      </c>
      <c r="N22" s="1176">
        <v>19.634482758620688</v>
      </c>
    </row>
    <row r="23" spans="1:29">
      <c r="A23" s="887" t="s">
        <v>408</v>
      </c>
      <c r="B23" s="1173">
        <v>490983.52999999991</v>
      </c>
      <c r="C23" s="1184">
        <v>234999.41991044776</v>
      </c>
      <c r="D23" s="636">
        <v>255984.11008955221</v>
      </c>
      <c r="E23" s="1173">
        <v>34323.979987999985</v>
      </c>
      <c r="F23" s="1184">
        <v>13497.944958305607</v>
      </c>
      <c r="G23" s="636">
        <v>20811.507109694398</v>
      </c>
      <c r="H23" s="1175">
        <v>7.3608557337781049</v>
      </c>
      <c r="I23" s="1176">
        <v>8.7706310323626351</v>
      </c>
      <c r="J23" s="1173">
        <v>812.25777799999901</v>
      </c>
      <c r="K23" s="1184">
        <v>376.60390199999983</v>
      </c>
      <c r="L23" s="636">
        <v>430.18318300000021</v>
      </c>
      <c r="M23" s="1175">
        <v>2.1199999999999979</v>
      </c>
      <c r="N23" s="1176">
        <v>2.0999999999999988</v>
      </c>
    </row>
    <row r="24" spans="1:29">
      <c r="A24" s="887" t="s">
        <v>409</v>
      </c>
      <c r="B24" s="1173">
        <v>617598.96699999995</v>
      </c>
      <c r="C24" s="1184">
        <v>305205.55200000008</v>
      </c>
      <c r="D24" s="636">
        <v>312393.41499999986</v>
      </c>
      <c r="E24" s="1173">
        <v>65901.570066999993</v>
      </c>
      <c r="F24" s="1184">
        <v>32292.490817128848</v>
      </c>
      <c r="G24" s="636">
        <v>33601.033398871143</v>
      </c>
      <c r="H24" s="1175">
        <v>13.57433660697186</v>
      </c>
      <c r="I24" s="1176">
        <v>14.462462984751928</v>
      </c>
      <c r="J24" s="1173">
        <v>4054.1478809999994</v>
      </c>
      <c r="K24" s="1184">
        <v>2048.0438690000001</v>
      </c>
      <c r="L24" s="636">
        <v>2002.9823370000001</v>
      </c>
      <c r="M24" s="1175">
        <v>8.2937499999999993</v>
      </c>
      <c r="N24" s="1176">
        <v>8.4124999999999996</v>
      </c>
    </row>
    <row r="25" spans="1:29">
      <c r="A25" s="887" t="s">
        <v>410</v>
      </c>
      <c r="B25" s="1173">
        <v>424314.00700000004</v>
      </c>
      <c r="C25" s="1184">
        <v>219340.87499999997</v>
      </c>
      <c r="D25" s="636">
        <v>204973.13200000001</v>
      </c>
      <c r="E25" s="1173">
        <v>97724.232734000005</v>
      </c>
      <c r="F25" s="1184">
        <v>49825.90109920215</v>
      </c>
      <c r="G25" s="636">
        <v>47881.825731797828</v>
      </c>
      <c r="H25" s="1175">
        <v>27.559159942772734</v>
      </c>
      <c r="I25" s="1176">
        <v>28.568999885885795</v>
      </c>
      <c r="J25" s="1173">
        <v>4782.4295949999996</v>
      </c>
      <c r="K25" s="1184">
        <v>2389.7565029999996</v>
      </c>
      <c r="L25" s="636">
        <v>2388.495445999999</v>
      </c>
      <c r="M25" s="1175">
        <v>7.8428571428571425</v>
      </c>
      <c r="N25" s="1176">
        <v>8.1047619047619062</v>
      </c>
    </row>
    <row r="26" spans="1:29">
      <c r="A26" s="887" t="s">
        <v>411</v>
      </c>
      <c r="B26" s="1173">
        <v>1743864.8019999999</v>
      </c>
      <c r="C26" s="1184">
        <v>899045.76699999988</v>
      </c>
      <c r="D26" s="636">
        <v>844819.03500000003</v>
      </c>
      <c r="E26" s="1173">
        <v>629507.41760799999</v>
      </c>
      <c r="F26" s="1184">
        <v>315089.37171466241</v>
      </c>
      <c r="G26" s="636">
        <v>314406.96669333766</v>
      </c>
      <c r="H26" s="1175">
        <v>26.681733741231554</v>
      </c>
      <c r="I26" s="1176">
        <v>28.56894051684796</v>
      </c>
      <c r="J26" s="1173">
        <v>52088.125120000012</v>
      </c>
      <c r="K26" s="1184">
        <v>26948.434360000003</v>
      </c>
      <c r="L26" s="636">
        <v>25135.198571000001</v>
      </c>
      <c r="M26" s="1175">
        <v>34.912500000000001</v>
      </c>
      <c r="N26" s="1176">
        <v>35.850000000000009</v>
      </c>
    </row>
    <row r="27" spans="1:29">
      <c r="A27" s="885" t="s">
        <v>5563</v>
      </c>
      <c r="B27" s="1205">
        <v>6507455.6419999981</v>
      </c>
      <c r="C27" s="1196">
        <v>3292223.0789104481</v>
      </c>
      <c r="D27" s="1197">
        <v>3215232.5630895519</v>
      </c>
      <c r="E27" s="1206">
        <v>1403828.4852580002</v>
      </c>
      <c r="F27" s="1196">
        <v>696438.35071920161</v>
      </c>
      <c r="G27" s="1197">
        <v>707295.16529079829</v>
      </c>
      <c r="H27" s="1201">
        <v>22.029895271676491</v>
      </c>
      <c r="I27" s="1202">
        <v>22.921579207386561</v>
      </c>
      <c r="J27" s="1206">
        <v>172424.83791900013</v>
      </c>
      <c r="K27" s="1196">
        <v>87937.880786000023</v>
      </c>
      <c r="L27" s="1197">
        <v>84453.890189000042</v>
      </c>
      <c r="M27" s="1201">
        <v>20.345238095238091</v>
      </c>
      <c r="N27" s="1202">
        <v>20.534523809523812</v>
      </c>
    </row>
    <row r="29" spans="1:29">
      <c r="A29" s="870" t="s">
        <v>732</v>
      </c>
      <c r="B29" s="1204" t="s">
        <v>6111</v>
      </c>
      <c r="C29" s="1198" t="s">
        <v>6112</v>
      </c>
      <c r="D29" s="1200" t="s">
        <v>6113</v>
      </c>
      <c r="E29" s="1204" t="s">
        <v>2876</v>
      </c>
      <c r="F29" s="1198" t="s">
        <v>6114</v>
      </c>
      <c r="G29" s="1200" t="s">
        <v>6115</v>
      </c>
      <c r="H29" s="1198" t="s">
        <v>6117</v>
      </c>
      <c r="I29" s="1200" t="s">
        <v>6116</v>
      </c>
      <c r="J29" s="1204" t="s">
        <v>6118</v>
      </c>
      <c r="K29" s="1198" t="s">
        <v>6119</v>
      </c>
      <c r="L29" s="1200" t="s">
        <v>6120</v>
      </c>
      <c r="M29" s="1198" t="s">
        <v>6132</v>
      </c>
      <c r="N29" s="1200" t="s">
        <v>6133</v>
      </c>
    </row>
    <row r="30" spans="1:29">
      <c r="A30" s="1207" t="s">
        <v>17</v>
      </c>
      <c r="B30" s="1173">
        <v>510017.9219999999</v>
      </c>
      <c r="C30" s="1179">
        <v>252345.22999999998</v>
      </c>
      <c r="D30" s="636">
        <v>257672.69199999998</v>
      </c>
      <c r="E30" s="1173">
        <v>58802.928389999979</v>
      </c>
      <c r="F30" s="1179">
        <v>28565.383525245183</v>
      </c>
      <c r="G30" s="636">
        <v>30237.714644754826</v>
      </c>
      <c r="H30" s="1175">
        <v>15.10962812419776</v>
      </c>
      <c r="I30" s="1176">
        <v>16.338216313944422</v>
      </c>
      <c r="J30" s="1173">
        <v>1025.1600080000001</v>
      </c>
      <c r="K30" s="1179">
        <v>524.00602700000002</v>
      </c>
      <c r="L30" s="636">
        <v>503.196234</v>
      </c>
      <c r="M30" s="1175">
        <v>5.1838709677419352</v>
      </c>
      <c r="N30" s="1176">
        <v>5.1419354838709674</v>
      </c>
    </row>
    <row r="31" spans="1:29">
      <c r="A31" s="1208" t="s">
        <v>12</v>
      </c>
      <c r="B31" s="1173">
        <v>2455805.7739999997</v>
      </c>
      <c r="C31" s="1179">
        <v>1243250.1560000002</v>
      </c>
      <c r="D31" s="636">
        <v>1212555.6179999996</v>
      </c>
      <c r="E31" s="1173">
        <v>158253.20757999996</v>
      </c>
      <c r="F31" s="1179">
        <v>76671.803498223861</v>
      </c>
      <c r="G31" s="636">
        <v>81543.098563776206</v>
      </c>
      <c r="H31" s="1175">
        <v>14.365486562226815</v>
      </c>
      <c r="I31" s="1176">
        <v>15.074288089215527</v>
      </c>
      <c r="J31" s="1173">
        <v>10820.282825000004</v>
      </c>
      <c r="K31" s="1179">
        <v>5553.5110430000022</v>
      </c>
      <c r="L31" s="636">
        <v>5252.7762360000042</v>
      </c>
      <c r="M31" s="1175">
        <v>7.448148148148146</v>
      </c>
      <c r="N31" s="1176">
        <v>7.4407407407407389</v>
      </c>
    </row>
    <row r="32" spans="1:29">
      <c r="A32" s="1208" t="s">
        <v>20</v>
      </c>
      <c r="B32" s="1173">
        <v>2670967.2080000006</v>
      </c>
      <c r="C32" s="1179">
        <v>1362435.1469104483</v>
      </c>
      <c r="D32" s="636">
        <v>1308532.061089552</v>
      </c>
      <c r="E32" s="1173">
        <v>841099.80843699991</v>
      </c>
      <c r="F32" s="1179">
        <v>419650.80832484819</v>
      </c>
      <c r="G32" s="636">
        <v>421372.54523515183</v>
      </c>
      <c r="H32" s="1175">
        <v>24.616990887157591</v>
      </c>
      <c r="I32" s="1176">
        <v>25.621994668716983</v>
      </c>
      <c r="J32" s="1173">
        <v>84231.269535000014</v>
      </c>
      <c r="K32" s="1179">
        <v>43294.642975000002</v>
      </c>
      <c r="L32" s="636">
        <v>40907.457678999999</v>
      </c>
      <c r="M32" s="1175">
        <v>24.283999999999992</v>
      </c>
      <c r="N32" s="1176">
        <v>24.643999999999995</v>
      </c>
    </row>
    <row r="33" spans="1:28">
      <c r="A33" s="1209" t="s">
        <v>9</v>
      </c>
      <c r="B33" s="1173">
        <v>870664.73800000001</v>
      </c>
      <c r="C33" s="1179">
        <v>434192.54599999997</v>
      </c>
      <c r="D33" s="636">
        <v>436472.1920000001</v>
      </c>
      <c r="E33" s="1173">
        <v>345672.54085099994</v>
      </c>
      <c r="F33" s="1179">
        <v>171550.35537088444</v>
      </c>
      <c r="G33" s="636">
        <v>174141.80684711548</v>
      </c>
      <c r="H33" s="1175">
        <v>37.152670153739159</v>
      </c>
      <c r="I33" s="1176">
        <v>37.855433662278081</v>
      </c>
      <c r="J33" s="1173">
        <v>76348.125551000005</v>
      </c>
      <c r="K33" s="1179">
        <v>38565.720741000012</v>
      </c>
      <c r="L33" s="636">
        <v>37790.460039999998</v>
      </c>
      <c r="M33" s="1175">
        <v>49.724242424242426</v>
      </c>
      <c r="N33" s="1176">
        <v>50.193939393939388</v>
      </c>
    </row>
    <row r="34" spans="1:28">
      <c r="A34" s="1210" t="s">
        <v>5563</v>
      </c>
      <c r="B34" s="1205">
        <v>6507455.642</v>
      </c>
      <c r="C34" s="1195">
        <v>3292223.0789104486</v>
      </c>
      <c r="D34" s="1197">
        <v>3215232.5630895523</v>
      </c>
      <c r="E34" s="1206">
        <v>1403828.4852580002</v>
      </c>
      <c r="F34" s="1195">
        <v>696438.35071920126</v>
      </c>
      <c r="G34" s="1197">
        <v>707295.16529079853</v>
      </c>
      <c r="H34" s="1201">
        <v>22.029895271676491</v>
      </c>
      <c r="I34" s="1202">
        <v>22.921579207386557</v>
      </c>
      <c r="J34" s="1206">
        <v>172424.83791899993</v>
      </c>
      <c r="K34" s="1195">
        <v>87937.880786000009</v>
      </c>
      <c r="L34" s="1197">
        <v>84453.890189000012</v>
      </c>
      <c r="M34" s="1201">
        <v>20.345238095238095</v>
      </c>
      <c r="N34" s="1202">
        <v>20.534523809523805</v>
      </c>
    </row>
    <row r="37" spans="1:28">
      <c r="C37" s="49"/>
      <c r="E37" s="49"/>
      <c r="G37" s="49"/>
      <c r="H37"/>
      <c r="M37"/>
    </row>
    <row r="38" spans="1:28">
      <c r="C38" s="49"/>
      <c r="E38" s="49"/>
      <c r="G38" s="49"/>
      <c r="H38"/>
      <c r="M38"/>
    </row>
    <row r="39" spans="1:28">
      <c r="C39" s="49"/>
      <c r="E39" s="49"/>
      <c r="G39" s="49"/>
      <c r="H39"/>
      <c r="M39"/>
    </row>
    <row r="40" spans="1:28">
      <c r="C40" s="49"/>
      <c r="E40" s="49"/>
      <c r="G40" s="49"/>
      <c r="H40"/>
      <c r="M40"/>
      <c r="AB40"/>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16"/>
  <sheetViews>
    <sheetView zoomScale="90" zoomScaleNormal="90" workbookViewId="0">
      <pane xSplit="5" ySplit="1" topLeftCell="H82" activePane="bottomRight" state="frozen"/>
      <selection pane="topRight" activeCell="E1" sqref="E1"/>
      <selection pane="bottomLeft" activeCell="A2" sqref="A2"/>
      <selection pane="bottomRight" activeCell="U93" sqref="U93"/>
    </sheetView>
  </sheetViews>
  <sheetFormatPr defaultRowHeight="15"/>
  <cols>
    <col min="1" max="1" width="5.7109375" style="49" customWidth="1"/>
    <col min="2" max="2" width="17" customWidth="1"/>
    <col min="3" max="3" width="5.85546875" style="49" customWidth="1"/>
    <col min="4" max="4" width="6.85546875" style="49" customWidth="1"/>
    <col min="5" max="5" width="9.5703125" style="49" customWidth="1"/>
    <col min="6" max="6" width="7.7109375" customWidth="1"/>
    <col min="7" max="8" width="11.7109375" customWidth="1"/>
    <col min="9" max="10" width="12.7109375" customWidth="1"/>
    <col min="11" max="11" width="5.7109375" style="49" customWidth="1"/>
    <col min="12" max="12" width="12.7109375" customWidth="1"/>
    <col min="13" max="13" width="8.7109375" style="49" customWidth="1"/>
    <col min="14" max="14" width="9.85546875" style="49" customWidth="1"/>
    <col min="15" max="16" width="8.140625" style="49" customWidth="1"/>
    <col min="17" max="17" width="3" customWidth="1"/>
    <col min="18" max="18" width="2.7109375" customWidth="1"/>
    <col min="19" max="20" width="2.42578125" customWidth="1"/>
    <col min="21" max="21" width="12.42578125" style="48" customWidth="1"/>
    <col min="22" max="22" width="6.140625" style="48" customWidth="1"/>
    <col min="23" max="23" width="7.28515625" style="49" customWidth="1"/>
    <col min="24" max="25" width="12.85546875" style="48" customWidth="1"/>
    <col min="26" max="27" width="9.140625" style="717"/>
    <col min="28" max="28" width="3.7109375" customWidth="1"/>
  </cols>
  <sheetData>
    <row r="1" spans="1:29">
      <c r="A1" s="52" t="s">
        <v>0</v>
      </c>
      <c r="B1" s="91" t="s">
        <v>5010</v>
      </c>
      <c r="C1" s="52" t="s">
        <v>733</v>
      </c>
      <c r="D1" s="52" t="s">
        <v>405</v>
      </c>
      <c r="E1" s="52" t="s">
        <v>5011</v>
      </c>
      <c r="F1" s="708" t="s">
        <v>1603</v>
      </c>
      <c r="G1" s="91" t="s">
        <v>5012</v>
      </c>
      <c r="H1" s="91" t="s">
        <v>5013</v>
      </c>
      <c r="I1" s="91" t="s">
        <v>5138</v>
      </c>
      <c r="J1" s="91" t="s">
        <v>5014</v>
      </c>
      <c r="K1" s="52" t="s">
        <v>5015</v>
      </c>
      <c r="L1" s="91" t="s">
        <v>5139</v>
      </c>
      <c r="M1" s="52" t="s">
        <v>5016</v>
      </c>
      <c r="N1" s="52" t="s">
        <v>5017</v>
      </c>
      <c r="O1" s="52" t="s">
        <v>5018</v>
      </c>
      <c r="P1" s="709" t="s">
        <v>5148</v>
      </c>
      <c r="U1" s="716" t="s">
        <v>933</v>
      </c>
      <c r="V1" s="716" t="s">
        <v>733</v>
      </c>
      <c r="W1" s="715" t="s">
        <v>1603</v>
      </c>
      <c r="X1" s="716" t="s">
        <v>5143</v>
      </c>
      <c r="Y1" s="716" t="s">
        <v>5144</v>
      </c>
      <c r="Z1" s="716" t="s">
        <v>5140</v>
      </c>
      <c r="AA1" s="716" t="s">
        <v>5145</v>
      </c>
      <c r="AC1" s="70" t="s">
        <v>5146</v>
      </c>
    </row>
    <row r="2" spans="1:29">
      <c r="A2" s="49">
        <v>1</v>
      </c>
      <c r="B2" t="s">
        <v>8</v>
      </c>
      <c r="C2" s="49" t="s">
        <v>747</v>
      </c>
      <c r="D2" s="49" t="s">
        <v>5019</v>
      </c>
      <c r="E2" s="49" t="s">
        <v>725</v>
      </c>
      <c r="F2" s="49" t="s">
        <v>145</v>
      </c>
      <c r="G2" t="s">
        <v>145</v>
      </c>
      <c r="H2" t="s">
        <v>145</v>
      </c>
      <c r="I2" s="710" t="s">
        <v>145</v>
      </c>
      <c r="J2" s="710" t="s">
        <v>145</v>
      </c>
      <c r="K2" s="707">
        <v>5</v>
      </c>
      <c r="L2" t="s">
        <v>145</v>
      </c>
      <c r="M2" s="49" t="s">
        <v>725</v>
      </c>
      <c r="N2" s="49" t="s">
        <v>725</v>
      </c>
      <c r="O2" s="49" t="s">
        <v>725</v>
      </c>
      <c r="P2" s="595" t="s">
        <v>725</v>
      </c>
      <c r="U2" s="714" t="s">
        <v>11</v>
      </c>
      <c r="V2" s="718" t="s">
        <v>748</v>
      </c>
      <c r="W2" s="719">
        <v>2009</v>
      </c>
      <c r="X2" s="713">
        <v>450000</v>
      </c>
      <c r="Y2" s="713">
        <v>900000</v>
      </c>
    </row>
    <row r="3" spans="1:29">
      <c r="A3" s="49">
        <v>2</v>
      </c>
      <c r="B3" t="s">
        <v>11</v>
      </c>
      <c r="C3" s="49" t="s">
        <v>748</v>
      </c>
      <c r="D3" s="49" t="s">
        <v>5020</v>
      </c>
      <c r="E3" s="49" t="s">
        <v>728</v>
      </c>
      <c r="F3" s="49">
        <v>2009</v>
      </c>
      <c r="G3" t="s">
        <v>5021</v>
      </c>
      <c r="H3" t="s">
        <v>5104</v>
      </c>
      <c r="I3" s="594">
        <v>450000</v>
      </c>
      <c r="J3" s="594">
        <v>900000</v>
      </c>
      <c r="K3" s="707">
        <v>5</v>
      </c>
      <c r="L3" s="435">
        <v>900000</v>
      </c>
      <c r="M3" s="49" t="s">
        <v>725</v>
      </c>
      <c r="N3" s="49" t="s">
        <v>725</v>
      </c>
      <c r="O3" s="49" t="s">
        <v>725</v>
      </c>
      <c r="P3" s="595" t="s">
        <v>725</v>
      </c>
      <c r="U3" s="714" t="s">
        <v>14</v>
      </c>
      <c r="V3" s="718" t="s">
        <v>749</v>
      </c>
      <c r="W3" s="719">
        <v>2010</v>
      </c>
      <c r="X3" s="713">
        <v>500000</v>
      </c>
      <c r="Y3" s="713">
        <v>500000</v>
      </c>
    </row>
    <row r="4" spans="1:29">
      <c r="A4" s="49">
        <v>3</v>
      </c>
      <c r="B4" t="s">
        <v>14</v>
      </c>
      <c r="C4" s="49" t="s">
        <v>749</v>
      </c>
      <c r="D4" s="49" t="s">
        <v>5022</v>
      </c>
      <c r="E4" s="49" t="s">
        <v>728</v>
      </c>
      <c r="F4" s="49">
        <v>2010</v>
      </c>
      <c r="G4" t="s">
        <v>5023</v>
      </c>
      <c r="H4" t="s">
        <v>5024</v>
      </c>
      <c r="I4" s="594">
        <v>500000</v>
      </c>
      <c r="J4" s="594">
        <v>500000</v>
      </c>
      <c r="K4" s="707">
        <v>5</v>
      </c>
      <c r="L4" s="435">
        <v>500000</v>
      </c>
      <c r="M4" s="49" t="s">
        <v>725</v>
      </c>
      <c r="N4" s="49" t="s">
        <v>725</v>
      </c>
      <c r="O4" s="49" t="s">
        <v>725</v>
      </c>
      <c r="P4" s="595" t="s">
        <v>725</v>
      </c>
      <c r="U4" s="714" t="s">
        <v>16</v>
      </c>
      <c r="V4" s="718" t="s">
        <v>3143</v>
      </c>
      <c r="W4" s="719">
        <v>2006</v>
      </c>
      <c r="X4" s="713">
        <v>4000</v>
      </c>
      <c r="Y4" s="713">
        <v>19000</v>
      </c>
    </row>
    <row r="5" spans="1:29">
      <c r="A5" s="49">
        <v>4</v>
      </c>
      <c r="B5" t="s">
        <v>16</v>
      </c>
      <c r="C5" s="49" t="s">
        <v>3143</v>
      </c>
      <c r="D5" s="49" t="s">
        <v>5020</v>
      </c>
      <c r="E5" s="49" t="s">
        <v>728</v>
      </c>
      <c r="F5" s="49">
        <v>2006</v>
      </c>
      <c r="G5" t="s">
        <v>5025</v>
      </c>
      <c r="H5" t="s">
        <v>5024</v>
      </c>
      <c r="I5" s="594">
        <v>4000</v>
      </c>
      <c r="J5" s="594">
        <v>19000</v>
      </c>
      <c r="K5" s="707">
        <v>5</v>
      </c>
      <c r="L5" s="435">
        <v>19000</v>
      </c>
      <c r="M5" s="49" t="s">
        <v>725</v>
      </c>
      <c r="N5" s="49" t="s">
        <v>725</v>
      </c>
      <c r="O5" s="49" t="s">
        <v>725</v>
      </c>
      <c r="P5" s="595" t="s">
        <v>503</v>
      </c>
      <c r="U5" s="714" t="s">
        <v>22</v>
      </c>
      <c r="V5" s="718" t="s">
        <v>752</v>
      </c>
      <c r="W5" s="719">
        <v>2010</v>
      </c>
      <c r="X5" s="713">
        <v>2000000</v>
      </c>
      <c r="Y5" s="713">
        <v>1500000</v>
      </c>
    </row>
    <row r="6" spans="1:29">
      <c r="A6" s="49">
        <v>5</v>
      </c>
      <c r="B6" t="s">
        <v>19</v>
      </c>
      <c r="C6" s="49" t="s">
        <v>750</v>
      </c>
      <c r="D6" s="49" t="s">
        <v>452</v>
      </c>
      <c r="E6" s="49" t="s">
        <v>725</v>
      </c>
      <c r="F6" s="49" t="s">
        <v>145</v>
      </c>
      <c r="G6" t="s">
        <v>145</v>
      </c>
      <c r="H6" t="s">
        <v>145</v>
      </c>
      <c r="I6" s="710" t="s">
        <v>145</v>
      </c>
      <c r="J6" s="710" t="s">
        <v>145</v>
      </c>
      <c r="K6" s="707">
        <v>10</v>
      </c>
      <c r="L6" t="s">
        <v>145</v>
      </c>
      <c r="M6" s="49" t="s">
        <v>725</v>
      </c>
      <c r="N6" s="49" t="s">
        <v>725</v>
      </c>
      <c r="O6" s="49" t="s">
        <v>725</v>
      </c>
      <c r="P6" s="595" t="s">
        <v>725</v>
      </c>
      <c r="U6" s="714" t="s">
        <v>24</v>
      </c>
      <c r="V6" s="718" t="s">
        <v>754</v>
      </c>
      <c r="W6" s="707">
        <v>2005</v>
      </c>
      <c r="X6" s="713">
        <v>1800000</v>
      </c>
      <c r="Y6" s="713">
        <v>10800000</v>
      </c>
      <c r="Z6" s="718" t="s">
        <v>728</v>
      </c>
      <c r="AA6" s="718" t="s">
        <v>728</v>
      </c>
    </row>
    <row r="7" spans="1:29">
      <c r="A7" s="49">
        <v>6</v>
      </c>
      <c r="B7" t="s">
        <v>21</v>
      </c>
      <c r="C7" s="49" t="s">
        <v>751</v>
      </c>
      <c r="D7" s="49" t="s">
        <v>5026</v>
      </c>
      <c r="E7" s="49" t="s">
        <v>725</v>
      </c>
      <c r="F7" s="49" t="s">
        <v>145</v>
      </c>
      <c r="G7" t="s">
        <v>145</v>
      </c>
      <c r="H7" t="s">
        <v>145</v>
      </c>
      <c r="I7" s="710" t="s">
        <v>145</v>
      </c>
      <c r="J7" s="710" t="s">
        <v>145</v>
      </c>
      <c r="K7" s="707">
        <v>5</v>
      </c>
      <c r="L7" t="s">
        <v>145</v>
      </c>
      <c r="M7" s="49" t="s">
        <v>725</v>
      </c>
      <c r="N7" s="49" t="s">
        <v>725</v>
      </c>
      <c r="O7" s="49" t="s">
        <v>725</v>
      </c>
      <c r="P7" s="595" t="s">
        <v>725</v>
      </c>
      <c r="U7" s="714" t="s">
        <v>26</v>
      </c>
      <c r="V7" s="718" t="s">
        <v>755</v>
      </c>
      <c r="W7" s="707">
        <v>2006</v>
      </c>
      <c r="X7" s="713">
        <v>500000</v>
      </c>
      <c r="Y7" s="713">
        <v>2500000</v>
      </c>
      <c r="Z7" s="718" t="s">
        <v>728</v>
      </c>
    </row>
    <row r="8" spans="1:29">
      <c r="A8" s="49">
        <v>7</v>
      </c>
      <c r="B8" t="s">
        <v>22</v>
      </c>
      <c r="C8" s="49" t="s">
        <v>752</v>
      </c>
      <c r="D8" s="49" t="s">
        <v>5026</v>
      </c>
      <c r="E8" s="49" t="s">
        <v>728</v>
      </c>
      <c r="F8" s="49">
        <v>2010</v>
      </c>
      <c r="G8" t="s">
        <v>5023</v>
      </c>
      <c r="H8" t="s">
        <v>5024</v>
      </c>
      <c r="I8" s="594">
        <v>2000000</v>
      </c>
      <c r="J8" s="594">
        <v>1500000</v>
      </c>
      <c r="K8" s="707">
        <v>5</v>
      </c>
      <c r="L8" s="435">
        <v>1500000</v>
      </c>
      <c r="M8" s="49" t="s">
        <v>725</v>
      </c>
      <c r="N8" s="49" t="s">
        <v>725</v>
      </c>
      <c r="O8" s="49" t="s">
        <v>725</v>
      </c>
      <c r="P8" s="595" t="s">
        <v>5121</v>
      </c>
      <c r="U8" s="714" t="s">
        <v>29</v>
      </c>
      <c r="V8" s="718" t="s">
        <v>734</v>
      </c>
      <c r="W8" s="707">
        <v>2007</v>
      </c>
      <c r="X8" s="713">
        <v>52000</v>
      </c>
      <c r="Y8" s="713">
        <v>200000</v>
      </c>
    </row>
    <row r="9" spans="1:29">
      <c r="A9" s="49">
        <v>8</v>
      </c>
      <c r="B9" t="s">
        <v>23</v>
      </c>
      <c r="C9" s="49" t="s">
        <v>753</v>
      </c>
      <c r="D9" s="49" t="s">
        <v>5020</v>
      </c>
      <c r="E9" s="49" t="s">
        <v>5027</v>
      </c>
      <c r="F9" s="49">
        <v>2011</v>
      </c>
      <c r="G9" t="s">
        <v>5028</v>
      </c>
      <c r="H9" t="s">
        <v>5104</v>
      </c>
      <c r="I9" s="594">
        <v>15000</v>
      </c>
      <c r="J9" s="710" t="s">
        <v>145</v>
      </c>
      <c r="K9" s="707">
        <v>10</v>
      </c>
      <c r="L9" t="s">
        <v>145</v>
      </c>
      <c r="M9" s="49" t="s">
        <v>725</v>
      </c>
      <c r="N9" s="49" t="s">
        <v>725</v>
      </c>
      <c r="O9" s="49" t="s">
        <v>725</v>
      </c>
      <c r="P9" s="595" t="s">
        <v>5122</v>
      </c>
      <c r="U9" s="714" t="s">
        <v>35</v>
      </c>
      <c r="V9" s="718" t="s">
        <v>761</v>
      </c>
      <c r="W9" s="707">
        <v>2004</v>
      </c>
      <c r="X9" s="713">
        <v>500000</v>
      </c>
      <c r="Y9" s="713">
        <v>3500000</v>
      </c>
    </row>
    <row r="10" spans="1:29">
      <c r="A10" s="49">
        <v>9</v>
      </c>
      <c r="B10" t="s">
        <v>24</v>
      </c>
      <c r="C10" s="49" t="s">
        <v>754</v>
      </c>
      <c r="D10" s="49" t="s">
        <v>407</v>
      </c>
      <c r="E10" s="49" t="s">
        <v>728</v>
      </c>
      <c r="F10" s="49">
        <v>2005</v>
      </c>
      <c r="G10" t="s">
        <v>5029</v>
      </c>
      <c r="H10" t="s">
        <v>5024</v>
      </c>
      <c r="I10" s="594">
        <v>1800000</v>
      </c>
      <c r="J10" s="594">
        <v>10800000</v>
      </c>
      <c r="K10" s="707">
        <v>10</v>
      </c>
      <c r="L10" s="435">
        <v>10800000</v>
      </c>
      <c r="M10" s="49" t="s">
        <v>728</v>
      </c>
      <c r="N10" s="49" t="s">
        <v>728</v>
      </c>
      <c r="O10" s="49" t="s">
        <v>5030</v>
      </c>
      <c r="P10" s="595" t="s">
        <v>503</v>
      </c>
      <c r="U10" s="714" t="s">
        <v>41</v>
      </c>
      <c r="V10" s="718" t="s">
        <v>766</v>
      </c>
      <c r="W10" s="707">
        <v>2009</v>
      </c>
      <c r="X10" s="713">
        <v>300000</v>
      </c>
      <c r="Y10" s="713">
        <v>600000</v>
      </c>
    </row>
    <row r="11" spans="1:29">
      <c r="A11" s="49">
        <v>10</v>
      </c>
      <c r="B11" t="s">
        <v>26</v>
      </c>
      <c r="C11" s="49" t="s">
        <v>755</v>
      </c>
      <c r="D11" s="49" t="s">
        <v>5020</v>
      </c>
      <c r="E11" s="49" t="s">
        <v>728</v>
      </c>
      <c r="F11" s="49">
        <v>2006</v>
      </c>
      <c r="G11" t="s">
        <v>5031</v>
      </c>
      <c r="H11" t="s">
        <v>5104</v>
      </c>
      <c r="I11" s="594">
        <v>500000</v>
      </c>
      <c r="J11" s="594">
        <v>2500000</v>
      </c>
      <c r="K11" s="707">
        <v>10</v>
      </c>
      <c r="L11" s="435">
        <v>2500000</v>
      </c>
      <c r="M11" s="49" t="s">
        <v>728</v>
      </c>
      <c r="N11" s="49" t="s">
        <v>725</v>
      </c>
      <c r="O11" s="49" t="s">
        <v>725</v>
      </c>
      <c r="P11" s="595" t="s">
        <v>503</v>
      </c>
      <c r="U11" s="714" t="s">
        <v>42</v>
      </c>
      <c r="V11" s="718" t="s">
        <v>767</v>
      </c>
      <c r="W11" s="707">
        <v>2010</v>
      </c>
      <c r="X11" s="713">
        <v>100000</v>
      </c>
      <c r="Y11" s="713">
        <v>120000</v>
      </c>
    </row>
    <row r="12" spans="1:29">
      <c r="A12" s="49">
        <v>11</v>
      </c>
      <c r="B12" t="s">
        <v>27</v>
      </c>
      <c r="C12" s="49" t="s">
        <v>756</v>
      </c>
      <c r="D12" s="49" t="s">
        <v>5020</v>
      </c>
      <c r="E12" s="49" t="s">
        <v>5027</v>
      </c>
      <c r="F12" s="49" t="s">
        <v>5128</v>
      </c>
      <c r="G12" t="s">
        <v>5105</v>
      </c>
      <c r="H12" t="s">
        <v>5104</v>
      </c>
      <c r="I12" s="594">
        <v>150000</v>
      </c>
      <c r="J12" s="710" t="s">
        <v>145</v>
      </c>
      <c r="K12" s="707">
        <v>5</v>
      </c>
      <c r="L12" t="s">
        <v>145</v>
      </c>
      <c r="M12" s="49" t="s">
        <v>725</v>
      </c>
      <c r="N12" s="49" t="s">
        <v>725</v>
      </c>
      <c r="O12" s="49" t="s">
        <v>725</v>
      </c>
      <c r="P12" s="595" t="s">
        <v>725</v>
      </c>
      <c r="U12" s="714" t="s">
        <v>43</v>
      </c>
      <c r="V12" s="718" t="s">
        <v>768</v>
      </c>
      <c r="W12" s="707">
        <v>2010</v>
      </c>
      <c r="X12" s="713">
        <v>1500000</v>
      </c>
      <c r="Y12" s="713">
        <v>2200000</v>
      </c>
    </row>
    <row r="13" spans="1:29">
      <c r="A13" s="49">
        <v>12</v>
      </c>
      <c r="B13" t="s">
        <v>29</v>
      </c>
      <c r="C13" s="49" t="s">
        <v>734</v>
      </c>
      <c r="D13" s="49" t="s">
        <v>5026</v>
      </c>
      <c r="E13" s="49" t="s">
        <v>728</v>
      </c>
      <c r="F13" s="49">
        <v>2007</v>
      </c>
      <c r="G13" t="s">
        <v>5032</v>
      </c>
      <c r="H13" t="s">
        <v>5104</v>
      </c>
      <c r="I13" s="594">
        <v>52000</v>
      </c>
      <c r="J13" s="594">
        <v>200000</v>
      </c>
      <c r="K13" s="707">
        <v>5</v>
      </c>
      <c r="L13" s="435">
        <v>200000</v>
      </c>
      <c r="M13" s="49" t="s">
        <v>725</v>
      </c>
      <c r="N13" s="49" t="s">
        <v>725</v>
      </c>
      <c r="O13" s="49" t="s">
        <v>725</v>
      </c>
      <c r="P13" s="595" t="s">
        <v>725</v>
      </c>
      <c r="U13" s="714" t="s">
        <v>45</v>
      </c>
      <c r="V13" s="718" t="s">
        <v>769</v>
      </c>
      <c r="W13" s="707">
        <v>2007</v>
      </c>
      <c r="X13" s="713">
        <v>21000</v>
      </c>
      <c r="Y13" s="713">
        <v>80000</v>
      </c>
    </row>
    <row r="14" spans="1:29">
      <c r="A14" s="49">
        <v>13</v>
      </c>
      <c r="B14" t="s">
        <v>30</v>
      </c>
      <c r="C14" s="49" t="s">
        <v>757</v>
      </c>
      <c r="D14" s="49" t="s">
        <v>5022</v>
      </c>
      <c r="E14" s="49" t="s">
        <v>5027</v>
      </c>
      <c r="F14" s="49" t="s">
        <v>5128</v>
      </c>
      <c r="G14" t="s">
        <v>5105</v>
      </c>
      <c r="H14" t="s">
        <v>5024</v>
      </c>
      <c r="I14" s="710" t="s">
        <v>145</v>
      </c>
      <c r="J14" s="710" t="s">
        <v>145</v>
      </c>
      <c r="K14" s="707">
        <v>5</v>
      </c>
      <c r="L14" t="s">
        <v>145</v>
      </c>
      <c r="M14" s="49" t="s">
        <v>725</v>
      </c>
      <c r="N14" s="49" t="s">
        <v>725</v>
      </c>
      <c r="O14" s="49" t="s">
        <v>725</v>
      </c>
      <c r="P14" s="595" t="s">
        <v>725</v>
      </c>
      <c r="U14" s="714" t="s">
        <v>47</v>
      </c>
      <c r="V14" s="718" t="s">
        <v>770</v>
      </c>
      <c r="W14" s="707">
        <v>2010</v>
      </c>
      <c r="X14" s="713">
        <v>500000</v>
      </c>
      <c r="Y14" s="713">
        <v>750000</v>
      </c>
    </row>
    <row r="15" spans="1:29">
      <c r="A15" s="49">
        <v>14</v>
      </c>
      <c r="B15" t="s">
        <v>31</v>
      </c>
      <c r="C15" s="49" t="s">
        <v>758</v>
      </c>
      <c r="D15" s="49" t="s">
        <v>5019</v>
      </c>
      <c r="E15" s="49" t="s">
        <v>725</v>
      </c>
      <c r="F15" s="49" t="s">
        <v>145</v>
      </c>
      <c r="G15" t="s">
        <v>145</v>
      </c>
      <c r="H15" t="s">
        <v>145</v>
      </c>
      <c r="I15" s="710" t="s">
        <v>145</v>
      </c>
      <c r="J15" s="710" t="s">
        <v>145</v>
      </c>
      <c r="K15" s="707">
        <v>5</v>
      </c>
      <c r="L15" t="s">
        <v>145</v>
      </c>
      <c r="M15" s="49" t="s">
        <v>725</v>
      </c>
      <c r="N15" s="49" t="s">
        <v>725</v>
      </c>
      <c r="O15" s="49" t="s">
        <v>725</v>
      </c>
      <c r="P15" s="595" t="s">
        <v>725</v>
      </c>
      <c r="U15" s="714" t="s">
        <v>51</v>
      </c>
      <c r="V15" s="718" t="s">
        <v>773</v>
      </c>
      <c r="W15" s="707">
        <v>2008</v>
      </c>
      <c r="X15" s="713">
        <v>220000</v>
      </c>
      <c r="Y15" s="713">
        <v>600000</v>
      </c>
    </row>
    <row r="16" spans="1:29">
      <c r="A16" s="49">
        <v>15</v>
      </c>
      <c r="B16" t="s">
        <v>33</v>
      </c>
      <c r="C16" s="49" t="s">
        <v>759</v>
      </c>
      <c r="D16" s="49" t="s">
        <v>5026</v>
      </c>
      <c r="E16" s="49" t="s">
        <v>725</v>
      </c>
      <c r="F16" s="49" t="s">
        <v>145</v>
      </c>
      <c r="G16" t="s">
        <v>145</v>
      </c>
      <c r="H16" t="s">
        <v>145</v>
      </c>
      <c r="I16" s="710" t="s">
        <v>145</v>
      </c>
      <c r="J16" s="710" t="s">
        <v>145</v>
      </c>
      <c r="K16" s="707">
        <v>5</v>
      </c>
      <c r="L16" t="s">
        <v>145</v>
      </c>
      <c r="M16" s="49" t="s">
        <v>725</v>
      </c>
      <c r="N16" s="49" t="s">
        <v>725</v>
      </c>
      <c r="O16" s="49" t="s">
        <v>725</v>
      </c>
      <c r="P16" s="595" t="s">
        <v>725</v>
      </c>
      <c r="U16" s="714" t="s">
        <v>53</v>
      </c>
      <c r="V16" s="718" t="s">
        <v>775</v>
      </c>
      <c r="W16" s="707">
        <v>2009</v>
      </c>
      <c r="X16" s="713">
        <v>3500000</v>
      </c>
      <c r="Y16" s="713">
        <v>50000</v>
      </c>
      <c r="Z16" s="718" t="s">
        <v>728</v>
      </c>
      <c r="AA16" s="718" t="s">
        <v>728</v>
      </c>
    </row>
    <row r="17" spans="1:27">
      <c r="A17" s="49">
        <v>16</v>
      </c>
      <c r="B17" t="s">
        <v>34</v>
      </c>
      <c r="C17" s="49" t="s">
        <v>760</v>
      </c>
      <c r="D17" s="49" t="s">
        <v>5020</v>
      </c>
      <c r="E17" s="49" t="s">
        <v>5027</v>
      </c>
      <c r="F17" s="49" t="s">
        <v>5128</v>
      </c>
      <c r="G17" t="s">
        <v>5105</v>
      </c>
      <c r="H17" t="s">
        <v>5104</v>
      </c>
      <c r="I17" s="594">
        <v>190000</v>
      </c>
      <c r="J17" s="710" t="s">
        <v>145</v>
      </c>
      <c r="K17" s="707">
        <v>5</v>
      </c>
      <c r="L17" t="s">
        <v>145</v>
      </c>
      <c r="M17" s="49" t="s">
        <v>725</v>
      </c>
      <c r="N17" s="49" t="s">
        <v>725</v>
      </c>
      <c r="O17" s="49" t="s">
        <v>725</v>
      </c>
      <c r="P17" s="595" t="s">
        <v>725</v>
      </c>
      <c r="U17" s="714" t="s">
        <v>58</v>
      </c>
      <c r="V17" s="718" t="s">
        <v>779</v>
      </c>
      <c r="W17" s="707">
        <v>2009</v>
      </c>
      <c r="X17" s="713">
        <v>300000</v>
      </c>
      <c r="Y17" s="713">
        <v>480000</v>
      </c>
    </row>
    <row r="18" spans="1:27">
      <c r="A18" s="49">
        <v>17</v>
      </c>
      <c r="B18" t="s">
        <v>35</v>
      </c>
      <c r="C18" s="49" t="s">
        <v>761</v>
      </c>
      <c r="D18" s="49" t="s">
        <v>5020</v>
      </c>
      <c r="E18" s="49" t="s">
        <v>728</v>
      </c>
      <c r="F18" s="49">
        <v>2004</v>
      </c>
      <c r="G18" t="s">
        <v>5033</v>
      </c>
      <c r="H18" t="s">
        <v>5106</v>
      </c>
      <c r="I18" s="594">
        <v>500000</v>
      </c>
      <c r="J18" s="594">
        <v>3500000</v>
      </c>
      <c r="K18" s="707">
        <v>5</v>
      </c>
      <c r="L18" s="435">
        <v>2500000</v>
      </c>
      <c r="M18" s="49" t="s">
        <v>725</v>
      </c>
      <c r="N18" s="49" t="s">
        <v>725</v>
      </c>
      <c r="O18" s="49" t="s">
        <v>725</v>
      </c>
      <c r="P18" s="595" t="s">
        <v>725</v>
      </c>
      <c r="U18" s="714" t="s">
        <v>65</v>
      </c>
      <c r="V18" s="718" t="s">
        <v>3144</v>
      </c>
      <c r="W18" s="707">
        <v>2009</v>
      </c>
      <c r="X18" s="713">
        <v>250000</v>
      </c>
      <c r="Y18" s="713">
        <v>400000</v>
      </c>
    </row>
    <row r="19" spans="1:27">
      <c r="A19" s="49">
        <v>18</v>
      </c>
      <c r="B19" t="s">
        <v>36</v>
      </c>
      <c r="C19" s="49" t="s">
        <v>762</v>
      </c>
      <c r="D19" s="49" t="s">
        <v>5026</v>
      </c>
      <c r="E19" s="49" t="s">
        <v>725</v>
      </c>
      <c r="F19" s="49" t="s">
        <v>145</v>
      </c>
      <c r="G19" t="s">
        <v>145</v>
      </c>
      <c r="H19" t="s">
        <v>145</v>
      </c>
      <c r="I19" s="710" t="s">
        <v>145</v>
      </c>
      <c r="J19" s="710" t="s">
        <v>145</v>
      </c>
      <c r="K19" s="707">
        <v>5</v>
      </c>
      <c r="L19" t="s">
        <v>145</v>
      </c>
      <c r="M19" s="49" t="s">
        <v>725</v>
      </c>
      <c r="N19" s="49" t="s">
        <v>725</v>
      </c>
      <c r="O19" s="49" t="s">
        <v>725</v>
      </c>
      <c r="P19" s="595" t="s">
        <v>725</v>
      </c>
      <c r="U19" s="714" t="s">
        <v>5141</v>
      </c>
      <c r="V19" s="718" t="s">
        <v>736</v>
      </c>
      <c r="W19" s="707">
        <v>2008</v>
      </c>
      <c r="X19" s="713">
        <v>200000</v>
      </c>
      <c r="Y19" s="713">
        <v>600000</v>
      </c>
    </row>
    <row r="20" spans="1:27">
      <c r="A20" s="49">
        <v>19</v>
      </c>
      <c r="B20" t="s">
        <v>38</v>
      </c>
      <c r="C20" s="49" t="s">
        <v>763</v>
      </c>
      <c r="D20" s="49" t="s">
        <v>452</v>
      </c>
      <c r="E20" s="49" t="s">
        <v>725</v>
      </c>
      <c r="F20" s="49" t="s">
        <v>145</v>
      </c>
      <c r="G20" t="s">
        <v>145</v>
      </c>
      <c r="H20" t="s">
        <v>145</v>
      </c>
      <c r="I20" s="710" t="s">
        <v>145</v>
      </c>
      <c r="J20" s="710" t="s">
        <v>145</v>
      </c>
      <c r="K20" s="707">
        <v>5</v>
      </c>
      <c r="L20" t="s">
        <v>145</v>
      </c>
      <c r="M20" s="49" t="s">
        <v>725</v>
      </c>
      <c r="N20" s="49" t="s">
        <v>725</v>
      </c>
      <c r="O20" s="49" t="s">
        <v>725</v>
      </c>
      <c r="P20" s="595" t="s">
        <v>725</v>
      </c>
      <c r="U20" s="714" t="s">
        <v>71</v>
      </c>
      <c r="V20" s="718" t="s">
        <v>784</v>
      </c>
      <c r="W20" s="707">
        <v>2009</v>
      </c>
      <c r="X20" s="713">
        <v>200000</v>
      </c>
      <c r="Y20" s="713">
        <v>400000</v>
      </c>
    </row>
    <row r="21" spans="1:27">
      <c r="A21" s="49">
        <v>20</v>
      </c>
      <c r="B21" t="s">
        <v>462</v>
      </c>
      <c r="C21" s="49" t="s">
        <v>5118</v>
      </c>
      <c r="D21" s="49" t="s">
        <v>5026</v>
      </c>
      <c r="E21" s="49" t="s">
        <v>5107</v>
      </c>
      <c r="F21" s="49" t="s">
        <v>145</v>
      </c>
      <c r="G21" t="s">
        <v>145</v>
      </c>
      <c r="H21" t="s">
        <v>5104</v>
      </c>
      <c r="I21" s="710" t="s">
        <v>145</v>
      </c>
      <c r="J21" s="710" t="s">
        <v>145</v>
      </c>
      <c r="K21" s="707">
        <v>5</v>
      </c>
      <c r="L21" t="s">
        <v>145</v>
      </c>
      <c r="M21" s="49" t="s">
        <v>725</v>
      </c>
      <c r="N21" s="49" t="s">
        <v>725</v>
      </c>
      <c r="O21" s="49" t="s">
        <v>725</v>
      </c>
      <c r="P21" s="595" t="s">
        <v>725</v>
      </c>
      <c r="U21" s="714" t="s">
        <v>75</v>
      </c>
      <c r="V21" s="718" t="s">
        <v>786</v>
      </c>
      <c r="W21" s="707">
        <v>2010</v>
      </c>
      <c r="X21" s="713">
        <v>32000</v>
      </c>
      <c r="Y21" s="713">
        <v>16000</v>
      </c>
    </row>
    <row r="22" spans="1:27">
      <c r="A22" s="49">
        <v>21</v>
      </c>
      <c r="B22" t="s">
        <v>39</v>
      </c>
      <c r="C22" s="49" t="s">
        <v>764</v>
      </c>
      <c r="D22" s="49" t="s">
        <v>5019</v>
      </c>
      <c r="E22" s="49" t="s">
        <v>725</v>
      </c>
      <c r="F22" s="49" t="s">
        <v>145</v>
      </c>
      <c r="G22" t="s">
        <v>145</v>
      </c>
      <c r="H22" t="s">
        <v>145</v>
      </c>
      <c r="I22" s="710" t="s">
        <v>145</v>
      </c>
      <c r="J22" s="710" t="s">
        <v>145</v>
      </c>
      <c r="K22" s="707">
        <v>5</v>
      </c>
      <c r="L22" t="s">
        <v>145</v>
      </c>
      <c r="M22" s="49" t="s">
        <v>725</v>
      </c>
      <c r="N22" s="49" t="s">
        <v>725</v>
      </c>
      <c r="O22" s="49" t="s">
        <v>725</v>
      </c>
      <c r="P22" s="595" t="s">
        <v>725</v>
      </c>
      <c r="U22" s="714" t="s">
        <v>77</v>
      </c>
      <c r="V22" s="718" t="s">
        <v>787</v>
      </c>
      <c r="W22" s="707">
        <v>2006</v>
      </c>
      <c r="X22" s="713">
        <v>800000</v>
      </c>
      <c r="Y22" s="713">
        <v>2700000</v>
      </c>
      <c r="Z22" s="718" t="s">
        <v>728</v>
      </c>
    </row>
    <row r="23" spans="1:27">
      <c r="A23" s="49">
        <v>22</v>
      </c>
      <c r="B23" t="s">
        <v>40</v>
      </c>
      <c r="C23" s="49" t="s">
        <v>765</v>
      </c>
      <c r="D23" s="49" t="s">
        <v>5026</v>
      </c>
      <c r="E23" s="49" t="s">
        <v>725</v>
      </c>
      <c r="F23" s="49" t="s">
        <v>145</v>
      </c>
      <c r="G23" t="s">
        <v>145</v>
      </c>
      <c r="H23" t="s">
        <v>145</v>
      </c>
      <c r="I23" s="710" t="s">
        <v>145</v>
      </c>
      <c r="J23" s="710" t="s">
        <v>145</v>
      </c>
      <c r="K23" s="707">
        <v>5</v>
      </c>
      <c r="L23" t="s">
        <v>145</v>
      </c>
      <c r="M23" s="49" t="s">
        <v>725</v>
      </c>
      <c r="N23" s="49" t="s">
        <v>725</v>
      </c>
      <c r="O23" s="49" t="s">
        <v>725</v>
      </c>
      <c r="P23" s="595" t="s">
        <v>725</v>
      </c>
      <c r="U23" s="714" t="s">
        <v>79</v>
      </c>
      <c r="V23" s="718" t="s">
        <v>788</v>
      </c>
      <c r="W23" s="707">
        <v>2006</v>
      </c>
      <c r="X23" s="713">
        <v>750000</v>
      </c>
      <c r="Y23" s="713">
        <v>3750000</v>
      </c>
    </row>
    <row r="24" spans="1:27">
      <c r="A24" s="49">
        <v>23</v>
      </c>
      <c r="B24" t="s">
        <v>41</v>
      </c>
      <c r="C24" s="49" t="s">
        <v>766</v>
      </c>
      <c r="D24" s="49" t="s">
        <v>5020</v>
      </c>
      <c r="E24" s="49" t="s">
        <v>728</v>
      </c>
      <c r="F24" s="49">
        <v>2009</v>
      </c>
      <c r="G24" t="s">
        <v>5034</v>
      </c>
      <c r="H24" t="s">
        <v>5024</v>
      </c>
      <c r="I24" s="594">
        <v>300000</v>
      </c>
      <c r="J24" s="594">
        <v>600000</v>
      </c>
      <c r="K24" s="707">
        <v>5</v>
      </c>
      <c r="L24" s="435">
        <v>600000</v>
      </c>
      <c r="M24" s="49" t="s">
        <v>725</v>
      </c>
      <c r="N24" s="49" t="s">
        <v>725</v>
      </c>
      <c r="O24" s="49" t="s">
        <v>725</v>
      </c>
      <c r="P24" s="595" t="s">
        <v>725</v>
      </c>
      <c r="U24" s="714" t="s">
        <v>84</v>
      </c>
      <c r="V24" s="718" t="s">
        <v>791</v>
      </c>
      <c r="W24" s="707">
        <v>2004</v>
      </c>
      <c r="X24" s="713">
        <v>480000</v>
      </c>
      <c r="Y24" s="713">
        <v>3360000</v>
      </c>
    </row>
    <row r="25" spans="1:27">
      <c r="A25" s="49">
        <v>24</v>
      </c>
      <c r="B25" t="s">
        <v>42</v>
      </c>
      <c r="C25" s="49" t="s">
        <v>767</v>
      </c>
      <c r="D25" s="49" t="s">
        <v>452</v>
      </c>
      <c r="E25" s="49" t="s">
        <v>728</v>
      </c>
      <c r="F25" s="49">
        <v>2010</v>
      </c>
      <c r="G25" t="s">
        <v>5035</v>
      </c>
      <c r="H25" t="s">
        <v>5024</v>
      </c>
      <c r="I25" s="594">
        <v>100000</v>
      </c>
      <c r="J25" s="594">
        <v>120000</v>
      </c>
      <c r="K25" s="707">
        <v>5</v>
      </c>
      <c r="L25" s="435">
        <v>120000</v>
      </c>
      <c r="M25" s="49" t="s">
        <v>725</v>
      </c>
      <c r="N25" s="49" t="s">
        <v>725</v>
      </c>
      <c r="O25" s="49" t="s">
        <v>725</v>
      </c>
      <c r="P25" s="595" t="s">
        <v>725</v>
      </c>
      <c r="U25" s="714" t="s">
        <v>93</v>
      </c>
      <c r="V25" s="718" t="s">
        <v>796</v>
      </c>
      <c r="W25" s="707">
        <v>2007</v>
      </c>
      <c r="X25" s="713">
        <v>50000</v>
      </c>
      <c r="Y25" s="713">
        <v>200000</v>
      </c>
    </row>
    <row r="26" spans="1:27">
      <c r="A26" s="49">
        <v>25</v>
      </c>
      <c r="B26" t="s">
        <v>43</v>
      </c>
      <c r="C26" s="49" t="s">
        <v>768</v>
      </c>
      <c r="D26" s="49" t="s">
        <v>5026</v>
      </c>
      <c r="E26" s="49" t="s">
        <v>728</v>
      </c>
      <c r="F26" s="49">
        <v>2010</v>
      </c>
      <c r="G26" t="s">
        <v>5036</v>
      </c>
      <c r="H26" t="s">
        <v>5108</v>
      </c>
      <c r="I26" s="594">
        <v>1500000</v>
      </c>
      <c r="J26" s="594">
        <v>2200000</v>
      </c>
      <c r="K26" s="707">
        <v>5</v>
      </c>
      <c r="L26" s="435">
        <v>2200000</v>
      </c>
      <c r="M26" s="49" t="s">
        <v>725</v>
      </c>
      <c r="N26" s="49" t="s">
        <v>725</v>
      </c>
      <c r="O26" s="49" t="s">
        <v>725</v>
      </c>
      <c r="P26" s="595" t="s">
        <v>5121</v>
      </c>
      <c r="U26" s="714" t="s">
        <v>97</v>
      </c>
      <c r="V26" s="718" t="s">
        <v>799</v>
      </c>
      <c r="W26" s="707">
        <v>2006</v>
      </c>
      <c r="X26" s="713">
        <v>400000</v>
      </c>
      <c r="Y26" s="713">
        <v>2000000</v>
      </c>
      <c r="Z26" s="718" t="s">
        <v>5027</v>
      </c>
    </row>
    <row r="27" spans="1:27">
      <c r="A27" s="49">
        <v>26</v>
      </c>
      <c r="B27" t="s">
        <v>45</v>
      </c>
      <c r="C27" s="49" t="s">
        <v>769</v>
      </c>
      <c r="D27" s="49" t="s">
        <v>407</v>
      </c>
      <c r="E27" s="49" t="s">
        <v>728</v>
      </c>
      <c r="F27" s="49">
        <v>2007</v>
      </c>
      <c r="G27" t="s">
        <v>5037</v>
      </c>
      <c r="H27" t="s">
        <v>5108</v>
      </c>
      <c r="I27" s="594">
        <v>21000</v>
      </c>
      <c r="J27" s="594">
        <v>80000</v>
      </c>
      <c r="K27" s="707">
        <v>10</v>
      </c>
      <c r="L27" s="435">
        <v>80000</v>
      </c>
      <c r="M27" s="49" t="s">
        <v>725</v>
      </c>
      <c r="N27" s="49" t="s">
        <v>725</v>
      </c>
      <c r="O27" s="49" t="s">
        <v>5038</v>
      </c>
      <c r="P27" s="595" t="s">
        <v>5122</v>
      </c>
      <c r="U27" s="714" t="s">
        <v>98</v>
      </c>
      <c r="V27" s="718" t="s">
        <v>800</v>
      </c>
      <c r="W27" s="707">
        <v>2006</v>
      </c>
      <c r="X27" s="713">
        <v>3500000</v>
      </c>
      <c r="Y27" s="713">
        <v>18000000</v>
      </c>
      <c r="Z27" s="718" t="s">
        <v>728</v>
      </c>
    </row>
    <row r="28" spans="1:27">
      <c r="A28" s="49">
        <v>27</v>
      </c>
      <c r="B28" t="s">
        <v>47</v>
      </c>
      <c r="C28" s="49" t="s">
        <v>770</v>
      </c>
      <c r="D28" s="49" t="s">
        <v>5020</v>
      </c>
      <c r="E28" s="49" t="s">
        <v>728</v>
      </c>
      <c r="F28" s="49">
        <v>2010</v>
      </c>
      <c r="G28" t="s">
        <v>5035</v>
      </c>
      <c r="H28" t="s">
        <v>5104</v>
      </c>
      <c r="I28" s="594">
        <v>500000</v>
      </c>
      <c r="J28" s="594">
        <v>750000</v>
      </c>
      <c r="K28" s="707">
        <v>5</v>
      </c>
      <c r="L28" s="435">
        <v>750000</v>
      </c>
      <c r="M28" s="49" t="s">
        <v>725</v>
      </c>
      <c r="N28" s="49" t="s">
        <v>725</v>
      </c>
      <c r="O28" s="49" t="s">
        <v>725</v>
      </c>
      <c r="P28" s="595" t="s">
        <v>5121</v>
      </c>
      <c r="U28" s="714" t="s">
        <v>99</v>
      </c>
      <c r="V28" s="718" t="s">
        <v>801</v>
      </c>
      <c r="W28" s="707">
        <v>2009</v>
      </c>
      <c r="X28" s="720" t="s">
        <v>5142</v>
      </c>
      <c r="Y28" s="720" t="s">
        <v>5142</v>
      </c>
    </row>
    <row r="29" spans="1:27">
      <c r="A29" s="49">
        <v>28</v>
      </c>
      <c r="B29" t="s">
        <v>49</v>
      </c>
      <c r="C29" s="49" t="s">
        <v>771</v>
      </c>
      <c r="D29" s="49" t="s">
        <v>452</v>
      </c>
      <c r="E29" s="49" t="s">
        <v>725</v>
      </c>
      <c r="F29" s="49" t="s">
        <v>145</v>
      </c>
      <c r="G29" t="s">
        <v>145</v>
      </c>
      <c r="H29" t="s">
        <v>145</v>
      </c>
      <c r="I29" s="710" t="s">
        <v>145</v>
      </c>
      <c r="J29" s="710" t="s">
        <v>145</v>
      </c>
      <c r="K29" s="707">
        <v>5</v>
      </c>
      <c r="L29" t="s">
        <v>145</v>
      </c>
      <c r="M29" s="49" t="s">
        <v>725</v>
      </c>
      <c r="N29" s="49" t="s">
        <v>725</v>
      </c>
      <c r="O29" s="49" t="s">
        <v>725</v>
      </c>
      <c r="P29" s="595" t="s">
        <v>725</v>
      </c>
      <c r="U29" s="714" t="s">
        <v>101</v>
      </c>
      <c r="V29" s="718" t="s">
        <v>802</v>
      </c>
      <c r="W29" s="707">
        <v>2010</v>
      </c>
      <c r="X29" s="713">
        <v>35000</v>
      </c>
      <c r="Y29" s="713">
        <v>35000</v>
      </c>
    </row>
    <row r="30" spans="1:27">
      <c r="A30" s="49">
        <v>29</v>
      </c>
      <c r="B30" t="s">
        <v>50</v>
      </c>
      <c r="C30" s="49" t="s">
        <v>772</v>
      </c>
      <c r="D30" s="49" t="s">
        <v>452</v>
      </c>
      <c r="E30" s="49" t="s">
        <v>725</v>
      </c>
      <c r="F30" s="49" t="s">
        <v>145</v>
      </c>
      <c r="G30" t="s">
        <v>145</v>
      </c>
      <c r="H30" t="s">
        <v>145</v>
      </c>
      <c r="I30" s="710" t="s">
        <v>145</v>
      </c>
      <c r="J30" s="710" t="s">
        <v>145</v>
      </c>
      <c r="K30" s="707">
        <v>5</v>
      </c>
      <c r="L30" t="s">
        <v>145</v>
      </c>
      <c r="M30" s="49" t="s">
        <v>725</v>
      </c>
      <c r="N30" s="49" t="s">
        <v>725</v>
      </c>
      <c r="O30" s="49" t="s">
        <v>725</v>
      </c>
      <c r="P30" s="595" t="s">
        <v>725</v>
      </c>
      <c r="U30" s="714" t="s">
        <v>103</v>
      </c>
      <c r="V30" s="718" t="s">
        <v>803</v>
      </c>
      <c r="W30" s="707">
        <v>2005</v>
      </c>
      <c r="X30" s="713">
        <v>3000000</v>
      </c>
      <c r="Y30" s="713">
        <v>15500000</v>
      </c>
      <c r="Z30" s="718" t="s">
        <v>728</v>
      </c>
      <c r="AA30" s="718" t="s">
        <v>728</v>
      </c>
    </row>
    <row r="31" spans="1:27">
      <c r="A31" s="49">
        <v>30</v>
      </c>
      <c r="B31" t="s">
        <v>51</v>
      </c>
      <c r="C31" s="49" t="s">
        <v>773</v>
      </c>
      <c r="D31" s="49" t="s">
        <v>407</v>
      </c>
      <c r="E31" s="49" t="s">
        <v>728</v>
      </c>
      <c r="F31" s="49">
        <v>2008</v>
      </c>
      <c r="G31" t="s">
        <v>5039</v>
      </c>
      <c r="H31" t="s">
        <v>5108</v>
      </c>
      <c r="I31" s="594">
        <v>220000</v>
      </c>
      <c r="J31" s="594">
        <v>600000</v>
      </c>
      <c r="K31" s="707">
        <v>5</v>
      </c>
      <c r="L31" s="435">
        <v>600000</v>
      </c>
      <c r="M31" s="49" t="s">
        <v>725</v>
      </c>
      <c r="N31" s="49" t="s">
        <v>725</v>
      </c>
      <c r="O31" s="49" t="s">
        <v>725</v>
      </c>
      <c r="P31" s="595" t="s">
        <v>725</v>
      </c>
      <c r="U31" s="714" t="s">
        <v>105</v>
      </c>
      <c r="V31" s="718" t="s">
        <v>804</v>
      </c>
      <c r="W31" s="719">
        <v>2010</v>
      </c>
      <c r="X31" s="713">
        <v>240000</v>
      </c>
      <c r="Y31" s="713">
        <v>240000</v>
      </c>
    </row>
    <row r="32" spans="1:27">
      <c r="A32" s="49">
        <v>31</v>
      </c>
      <c r="B32" t="s">
        <v>52</v>
      </c>
      <c r="C32" s="49" t="s">
        <v>774</v>
      </c>
      <c r="D32" s="49" t="s">
        <v>452</v>
      </c>
      <c r="E32" s="49" t="s">
        <v>5027</v>
      </c>
      <c r="F32" s="49" t="s">
        <v>5128</v>
      </c>
      <c r="G32" t="s">
        <v>5105</v>
      </c>
      <c r="H32" t="s">
        <v>5024</v>
      </c>
      <c r="I32" s="710" t="s">
        <v>145</v>
      </c>
      <c r="J32" s="710" t="s">
        <v>145</v>
      </c>
      <c r="K32" s="707">
        <v>5</v>
      </c>
      <c r="L32" t="s">
        <v>145</v>
      </c>
      <c r="M32" s="49" t="s">
        <v>725</v>
      </c>
      <c r="N32" s="49" t="s">
        <v>725</v>
      </c>
      <c r="O32" s="49" t="s">
        <v>725</v>
      </c>
      <c r="P32" s="595" t="s">
        <v>725</v>
      </c>
      <c r="U32" s="714" t="s">
        <v>107</v>
      </c>
      <c r="V32" s="718" t="s">
        <v>805</v>
      </c>
      <c r="W32" s="707">
        <v>2006</v>
      </c>
      <c r="X32" s="713">
        <v>1000000</v>
      </c>
      <c r="Y32" s="713">
        <v>4000000</v>
      </c>
    </row>
    <row r="33" spans="1:27">
      <c r="A33" s="49">
        <v>32</v>
      </c>
      <c r="B33" t="s">
        <v>53</v>
      </c>
      <c r="C33" s="49" t="s">
        <v>775</v>
      </c>
      <c r="D33" s="49" t="s">
        <v>5026</v>
      </c>
      <c r="E33" s="49" t="s">
        <v>5109</v>
      </c>
      <c r="F33" s="49">
        <v>2009</v>
      </c>
      <c r="G33" t="s">
        <v>5040</v>
      </c>
      <c r="H33" t="s">
        <v>5024</v>
      </c>
      <c r="I33" s="594">
        <v>3500000</v>
      </c>
      <c r="J33" s="594">
        <v>50000</v>
      </c>
      <c r="K33" s="707">
        <v>5</v>
      </c>
      <c r="L33" s="435">
        <v>50000</v>
      </c>
      <c r="M33" s="49" t="s">
        <v>728</v>
      </c>
      <c r="N33" s="49" t="s">
        <v>728</v>
      </c>
      <c r="O33" s="49" t="s">
        <v>725</v>
      </c>
      <c r="P33" s="595" t="s">
        <v>5123</v>
      </c>
      <c r="U33" s="714" t="s">
        <v>118</v>
      </c>
      <c r="V33" s="718" t="s">
        <v>813</v>
      </c>
      <c r="W33" s="707">
        <v>2007</v>
      </c>
      <c r="X33" s="713">
        <v>500000</v>
      </c>
      <c r="Y33" s="713">
        <v>1500000</v>
      </c>
      <c r="Z33" s="718" t="s">
        <v>728</v>
      </c>
    </row>
    <row r="34" spans="1:27">
      <c r="A34" s="49">
        <v>33</v>
      </c>
      <c r="B34" t="s">
        <v>4919</v>
      </c>
      <c r="C34" s="49" t="s">
        <v>776</v>
      </c>
      <c r="D34" s="49" t="s">
        <v>452</v>
      </c>
      <c r="E34" s="49" t="s">
        <v>725</v>
      </c>
      <c r="F34" s="49" t="s">
        <v>145</v>
      </c>
      <c r="G34" t="s">
        <v>145</v>
      </c>
      <c r="H34" t="s">
        <v>145</v>
      </c>
      <c r="I34" s="710" t="s">
        <v>145</v>
      </c>
      <c r="J34" s="710" t="s">
        <v>145</v>
      </c>
      <c r="K34" s="707">
        <v>5</v>
      </c>
      <c r="L34" t="s">
        <v>145</v>
      </c>
      <c r="M34" s="49" t="s">
        <v>725</v>
      </c>
      <c r="N34" s="49" t="s">
        <v>725</v>
      </c>
      <c r="O34" s="49" t="s">
        <v>725</v>
      </c>
      <c r="P34" s="595" t="s">
        <v>725</v>
      </c>
      <c r="U34" s="714" t="s">
        <v>119</v>
      </c>
      <c r="V34" s="718" t="s">
        <v>814</v>
      </c>
      <c r="W34" s="707">
        <v>2006</v>
      </c>
      <c r="X34" s="713">
        <v>800000</v>
      </c>
      <c r="Y34" s="713">
        <v>3500000</v>
      </c>
      <c r="Z34" s="718" t="s">
        <v>728</v>
      </c>
    </row>
    <row r="35" spans="1:27">
      <c r="A35" s="49">
        <v>34</v>
      </c>
      <c r="B35" t="s">
        <v>56</v>
      </c>
      <c r="C35" s="49" t="s">
        <v>777</v>
      </c>
      <c r="D35" s="49" t="s">
        <v>452</v>
      </c>
      <c r="E35" s="49" t="s">
        <v>725</v>
      </c>
      <c r="F35" s="49" t="s">
        <v>5128</v>
      </c>
      <c r="G35" t="s">
        <v>5110</v>
      </c>
      <c r="H35" t="s">
        <v>145</v>
      </c>
      <c r="I35" s="710" t="s">
        <v>145</v>
      </c>
      <c r="J35" s="710" t="s">
        <v>145</v>
      </c>
      <c r="K35" s="707">
        <v>3</v>
      </c>
      <c r="L35" t="s">
        <v>145</v>
      </c>
      <c r="M35" s="49" t="s">
        <v>725</v>
      </c>
      <c r="N35" s="49" t="s">
        <v>725</v>
      </c>
      <c r="O35" s="49" t="s">
        <v>725</v>
      </c>
      <c r="P35" s="595" t="s">
        <v>725</v>
      </c>
      <c r="U35" s="714" t="s">
        <v>120</v>
      </c>
      <c r="V35" s="718" t="s">
        <v>815</v>
      </c>
      <c r="W35" s="707">
        <v>2006</v>
      </c>
      <c r="X35" s="713">
        <v>45000</v>
      </c>
      <c r="Y35" s="713">
        <v>200000</v>
      </c>
    </row>
    <row r="36" spans="1:27">
      <c r="A36" s="49">
        <v>35</v>
      </c>
      <c r="B36" t="s">
        <v>57</v>
      </c>
      <c r="C36" s="49" t="s">
        <v>778</v>
      </c>
      <c r="D36" s="49" t="s">
        <v>452</v>
      </c>
      <c r="E36" s="49" t="s">
        <v>725</v>
      </c>
      <c r="F36" s="49" t="s">
        <v>5128</v>
      </c>
      <c r="G36" t="s">
        <v>5110</v>
      </c>
      <c r="H36" t="s">
        <v>145</v>
      </c>
      <c r="I36" s="710" t="s">
        <v>145</v>
      </c>
      <c r="J36" s="710" t="s">
        <v>145</v>
      </c>
      <c r="K36" s="707">
        <v>5</v>
      </c>
      <c r="L36" t="s">
        <v>145</v>
      </c>
      <c r="M36" s="49" t="s">
        <v>725</v>
      </c>
      <c r="N36" s="49" t="s">
        <v>725</v>
      </c>
      <c r="O36" s="49" t="s">
        <v>725</v>
      </c>
      <c r="P36" s="595" t="s">
        <v>725</v>
      </c>
      <c r="U36" s="714" t="s">
        <v>122</v>
      </c>
      <c r="V36" s="718" t="s">
        <v>816</v>
      </c>
      <c r="W36" s="707">
        <v>2008</v>
      </c>
      <c r="X36" s="713">
        <v>12000000</v>
      </c>
      <c r="Y36" s="713">
        <v>20000000</v>
      </c>
      <c r="Z36" s="718" t="s">
        <v>728</v>
      </c>
    </row>
    <row r="37" spans="1:27">
      <c r="A37" s="49">
        <v>36</v>
      </c>
      <c r="B37" t="s">
        <v>58</v>
      </c>
      <c r="C37" s="49" t="s">
        <v>779</v>
      </c>
      <c r="D37" s="49" t="s">
        <v>5026</v>
      </c>
      <c r="E37" s="49" t="s">
        <v>728</v>
      </c>
      <c r="F37" s="49">
        <v>2009</v>
      </c>
      <c r="G37" t="s">
        <v>5041</v>
      </c>
      <c r="H37" t="s">
        <v>5108</v>
      </c>
      <c r="I37" s="594">
        <v>300000</v>
      </c>
      <c r="J37" s="594">
        <v>480000</v>
      </c>
      <c r="K37" s="707">
        <v>5</v>
      </c>
      <c r="L37" s="435">
        <v>480000</v>
      </c>
      <c r="M37" s="49" t="s">
        <v>725</v>
      </c>
      <c r="N37" s="49" t="s">
        <v>725</v>
      </c>
      <c r="O37" s="49" t="s">
        <v>725</v>
      </c>
      <c r="P37" s="595" t="s">
        <v>5121</v>
      </c>
      <c r="U37" s="714" t="s">
        <v>123</v>
      </c>
      <c r="V37" s="718" t="s">
        <v>817</v>
      </c>
      <c r="W37" s="707">
        <v>2010</v>
      </c>
      <c r="X37" s="713">
        <v>2500000</v>
      </c>
      <c r="Y37" s="713">
        <v>2500000</v>
      </c>
      <c r="AA37" s="718" t="s">
        <v>728</v>
      </c>
    </row>
    <row r="38" spans="1:27">
      <c r="A38" s="49">
        <v>37</v>
      </c>
      <c r="B38" t="s">
        <v>59</v>
      </c>
      <c r="C38" s="49" t="s">
        <v>780</v>
      </c>
      <c r="D38" s="49" t="s">
        <v>407</v>
      </c>
      <c r="E38" s="49" t="s">
        <v>5027</v>
      </c>
      <c r="F38" s="49">
        <v>2011</v>
      </c>
      <c r="G38" t="s">
        <v>5042</v>
      </c>
      <c r="H38" t="s">
        <v>5108</v>
      </c>
      <c r="I38" s="594">
        <v>7000000</v>
      </c>
      <c r="J38" s="710" t="s">
        <v>145</v>
      </c>
      <c r="K38" s="707">
        <v>5</v>
      </c>
      <c r="L38" t="s">
        <v>145</v>
      </c>
      <c r="M38" s="49" t="s">
        <v>728</v>
      </c>
      <c r="N38" s="49" t="s">
        <v>725</v>
      </c>
      <c r="O38" s="49" t="s">
        <v>725</v>
      </c>
      <c r="P38" s="595" t="s">
        <v>503</v>
      </c>
      <c r="U38" s="714" t="s">
        <v>125</v>
      </c>
      <c r="V38" s="718" t="s">
        <v>739</v>
      </c>
      <c r="W38" s="707">
        <v>2007</v>
      </c>
      <c r="X38" s="713">
        <v>1000000</v>
      </c>
      <c r="Y38" s="713">
        <v>1500000</v>
      </c>
    </row>
    <row r="39" spans="1:27">
      <c r="A39" s="49">
        <v>38</v>
      </c>
      <c r="B39" t="s">
        <v>61</v>
      </c>
      <c r="C39" s="49" t="s">
        <v>781</v>
      </c>
      <c r="D39" s="49" t="s">
        <v>5026</v>
      </c>
      <c r="E39" s="49" t="s">
        <v>5027</v>
      </c>
      <c r="F39" s="49" t="s">
        <v>145</v>
      </c>
      <c r="G39" t="s">
        <v>145</v>
      </c>
      <c r="H39" t="s">
        <v>5104</v>
      </c>
      <c r="I39" s="710" t="s">
        <v>145</v>
      </c>
      <c r="J39" s="710" t="s">
        <v>145</v>
      </c>
      <c r="K39" s="707">
        <v>10</v>
      </c>
      <c r="L39" t="s">
        <v>145</v>
      </c>
      <c r="M39" s="49" t="s">
        <v>725</v>
      </c>
      <c r="N39" s="49" t="s">
        <v>725</v>
      </c>
      <c r="O39" s="49" t="s">
        <v>725</v>
      </c>
      <c r="P39" s="595" t="s">
        <v>5121</v>
      </c>
      <c r="U39" s="714" t="s">
        <v>129</v>
      </c>
      <c r="V39" s="718" t="s">
        <v>819</v>
      </c>
      <c r="W39" s="707">
        <v>2011</v>
      </c>
      <c r="X39" s="713">
        <v>600000</v>
      </c>
      <c r="Y39" s="713">
        <v>2800000</v>
      </c>
      <c r="Z39" s="718" t="s">
        <v>5027</v>
      </c>
    </row>
    <row r="40" spans="1:27">
      <c r="A40" s="49">
        <v>39</v>
      </c>
      <c r="B40" t="s">
        <v>63</v>
      </c>
      <c r="C40" s="49" t="s">
        <v>782</v>
      </c>
      <c r="D40" s="49" t="s">
        <v>452</v>
      </c>
      <c r="E40" s="49" t="s">
        <v>725</v>
      </c>
      <c r="F40" s="49" t="s">
        <v>145</v>
      </c>
      <c r="G40" t="s">
        <v>145</v>
      </c>
      <c r="H40" t="s">
        <v>145</v>
      </c>
      <c r="I40" s="710" t="s">
        <v>145</v>
      </c>
      <c r="J40" s="710" t="s">
        <v>145</v>
      </c>
      <c r="K40" s="49" t="s">
        <v>145</v>
      </c>
      <c r="L40" t="s">
        <v>145</v>
      </c>
      <c r="M40" s="49" t="s">
        <v>725</v>
      </c>
      <c r="N40" s="49" t="s">
        <v>725</v>
      </c>
      <c r="O40" s="49" t="s">
        <v>725</v>
      </c>
      <c r="P40" s="595" t="s">
        <v>725</v>
      </c>
      <c r="U40" s="714" t="s">
        <v>132</v>
      </c>
      <c r="V40" s="718" t="s">
        <v>821</v>
      </c>
      <c r="W40" s="707">
        <v>2009</v>
      </c>
      <c r="X40" s="713">
        <v>2500000</v>
      </c>
      <c r="Y40" s="713">
        <v>11200000</v>
      </c>
    </row>
    <row r="41" spans="1:27">
      <c r="A41" s="49">
        <v>40</v>
      </c>
      <c r="B41" t="s">
        <v>1602</v>
      </c>
      <c r="C41" s="49" t="s">
        <v>735</v>
      </c>
      <c r="D41" s="49" t="s">
        <v>452</v>
      </c>
      <c r="E41" s="49" t="s">
        <v>725</v>
      </c>
      <c r="F41" s="49" t="s">
        <v>5128</v>
      </c>
      <c r="G41" t="s">
        <v>5110</v>
      </c>
      <c r="H41" t="s">
        <v>145</v>
      </c>
      <c r="I41" s="710" t="s">
        <v>145</v>
      </c>
      <c r="J41" s="710" t="s">
        <v>145</v>
      </c>
      <c r="K41" s="707">
        <v>5</v>
      </c>
      <c r="L41" t="s">
        <v>145</v>
      </c>
      <c r="M41" s="49" t="s">
        <v>725</v>
      </c>
      <c r="N41" s="49" t="s">
        <v>725</v>
      </c>
      <c r="O41" s="49" t="s">
        <v>725</v>
      </c>
      <c r="P41" s="595" t="s">
        <v>5121</v>
      </c>
      <c r="U41" s="714" t="s">
        <v>135</v>
      </c>
      <c r="V41" s="718" t="s">
        <v>823</v>
      </c>
      <c r="W41" s="707">
        <v>2006</v>
      </c>
      <c r="X41" s="713">
        <v>4200000</v>
      </c>
      <c r="Y41" s="713">
        <v>20000000</v>
      </c>
      <c r="Z41" s="718" t="s">
        <v>728</v>
      </c>
      <c r="AA41" s="718" t="s">
        <v>728</v>
      </c>
    </row>
    <row r="42" spans="1:27">
      <c r="A42" s="49">
        <v>41</v>
      </c>
      <c r="B42" t="s">
        <v>65</v>
      </c>
      <c r="C42" s="49" t="s">
        <v>3144</v>
      </c>
      <c r="D42" s="49" t="s">
        <v>452</v>
      </c>
      <c r="E42" s="49" t="s">
        <v>728</v>
      </c>
      <c r="F42" s="49">
        <v>2009</v>
      </c>
      <c r="G42" t="s">
        <v>5043</v>
      </c>
      <c r="H42" t="s">
        <v>5024</v>
      </c>
      <c r="I42" s="594">
        <v>250000</v>
      </c>
      <c r="J42" s="594">
        <v>400000</v>
      </c>
      <c r="K42" s="707">
        <v>5</v>
      </c>
      <c r="L42" s="435">
        <v>400000</v>
      </c>
      <c r="M42" s="49" t="s">
        <v>725</v>
      </c>
      <c r="N42" s="49" t="s">
        <v>725</v>
      </c>
      <c r="O42" s="49" t="s">
        <v>725</v>
      </c>
      <c r="P42" s="595" t="s">
        <v>725</v>
      </c>
      <c r="U42" s="714" t="s">
        <v>139</v>
      </c>
      <c r="V42" s="718" t="s">
        <v>825</v>
      </c>
      <c r="W42" s="707">
        <v>2009</v>
      </c>
      <c r="X42" s="713">
        <v>65000</v>
      </c>
      <c r="Y42" s="713">
        <v>130000</v>
      </c>
      <c r="Z42" s="718" t="s">
        <v>728</v>
      </c>
    </row>
    <row r="43" spans="1:27">
      <c r="A43" s="49">
        <v>42</v>
      </c>
      <c r="B43" t="s">
        <v>67</v>
      </c>
      <c r="C43" s="49" t="s">
        <v>783</v>
      </c>
      <c r="D43" s="49" t="s">
        <v>5026</v>
      </c>
      <c r="E43" s="49" t="s">
        <v>725</v>
      </c>
      <c r="F43" s="49" t="s">
        <v>145</v>
      </c>
      <c r="G43" t="s">
        <v>145</v>
      </c>
      <c r="H43" t="s">
        <v>145</v>
      </c>
      <c r="I43" s="710" t="s">
        <v>145</v>
      </c>
      <c r="J43" s="710" t="s">
        <v>145</v>
      </c>
      <c r="K43" s="707">
        <v>5</v>
      </c>
      <c r="L43" t="s">
        <v>145</v>
      </c>
      <c r="M43" s="49" t="s">
        <v>725</v>
      </c>
      <c r="N43" s="49" t="s">
        <v>725</v>
      </c>
      <c r="O43" s="49" t="s">
        <v>725</v>
      </c>
      <c r="P43" s="595" t="s">
        <v>725</v>
      </c>
      <c r="U43" s="714" t="s">
        <v>146</v>
      </c>
      <c r="V43" s="718" t="s">
        <v>829</v>
      </c>
      <c r="W43" s="707">
        <v>2008</v>
      </c>
      <c r="X43" s="713">
        <v>4000000</v>
      </c>
      <c r="Y43" s="713">
        <v>10000000</v>
      </c>
      <c r="Z43" s="718" t="s">
        <v>728</v>
      </c>
    </row>
    <row r="44" spans="1:27">
      <c r="A44" s="49">
        <v>43</v>
      </c>
      <c r="B44" t="s">
        <v>3479</v>
      </c>
      <c r="C44" s="49" t="s">
        <v>736</v>
      </c>
      <c r="D44" s="49" t="s">
        <v>452</v>
      </c>
      <c r="E44" s="49" t="s">
        <v>728</v>
      </c>
      <c r="F44" s="49">
        <v>2008</v>
      </c>
      <c r="G44" t="s">
        <v>5044</v>
      </c>
      <c r="H44" t="s">
        <v>5104</v>
      </c>
      <c r="I44" s="594">
        <v>200000</v>
      </c>
      <c r="J44" s="594">
        <v>600000</v>
      </c>
      <c r="K44" s="707">
        <v>5</v>
      </c>
      <c r="L44" s="435">
        <v>600000</v>
      </c>
      <c r="M44" s="49" t="s">
        <v>725</v>
      </c>
      <c r="N44" s="49" t="s">
        <v>725</v>
      </c>
      <c r="O44" s="49" t="s">
        <v>725</v>
      </c>
      <c r="P44" s="595" t="s">
        <v>5122</v>
      </c>
      <c r="U44" s="714" t="s">
        <v>148</v>
      </c>
      <c r="V44" s="718" t="s">
        <v>830</v>
      </c>
      <c r="W44" s="707">
        <v>2010</v>
      </c>
      <c r="X44" s="713">
        <v>300000</v>
      </c>
      <c r="Y44" s="713">
        <v>200000</v>
      </c>
    </row>
    <row r="45" spans="1:27">
      <c r="A45" s="49">
        <v>44</v>
      </c>
      <c r="B45" t="s">
        <v>71</v>
      </c>
      <c r="C45" s="49" t="s">
        <v>784</v>
      </c>
      <c r="D45" s="49" t="s">
        <v>5020</v>
      </c>
      <c r="E45" s="49" t="s">
        <v>728</v>
      </c>
      <c r="F45" s="49">
        <v>2009</v>
      </c>
      <c r="G45" t="s">
        <v>5045</v>
      </c>
      <c r="H45" t="s">
        <v>5104</v>
      </c>
      <c r="I45" s="594">
        <v>200000</v>
      </c>
      <c r="J45" s="594">
        <v>400000</v>
      </c>
      <c r="K45" s="707">
        <v>5</v>
      </c>
      <c r="L45" s="435">
        <v>400000</v>
      </c>
      <c r="M45" s="49" t="s">
        <v>725</v>
      </c>
      <c r="N45" s="49" t="s">
        <v>725</v>
      </c>
      <c r="O45" s="49" t="s">
        <v>725</v>
      </c>
      <c r="P45" s="595" t="s">
        <v>5121</v>
      </c>
      <c r="U45" s="714" t="s">
        <v>154</v>
      </c>
      <c r="V45" s="718" t="s">
        <v>834</v>
      </c>
      <c r="W45" s="707">
        <v>2007</v>
      </c>
      <c r="X45" s="713">
        <v>300000</v>
      </c>
      <c r="Y45" s="713">
        <v>1000000</v>
      </c>
      <c r="Z45" s="718" t="s">
        <v>728</v>
      </c>
    </row>
    <row r="46" spans="1:27">
      <c r="A46" s="49">
        <v>45</v>
      </c>
      <c r="B46" t="s">
        <v>73</v>
      </c>
      <c r="C46" s="49" t="s">
        <v>785</v>
      </c>
      <c r="D46" s="49" t="s">
        <v>5026</v>
      </c>
      <c r="E46" s="49" t="s">
        <v>725</v>
      </c>
      <c r="F46" s="49" t="s">
        <v>145</v>
      </c>
      <c r="G46" t="s">
        <v>145</v>
      </c>
      <c r="H46" t="s">
        <v>145</v>
      </c>
      <c r="I46" s="710" t="s">
        <v>145</v>
      </c>
      <c r="J46" s="710" t="s">
        <v>145</v>
      </c>
      <c r="K46" s="707">
        <v>5</v>
      </c>
      <c r="L46" t="s">
        <v>145</v>
      </c>
      <c r="M46" s="49" t="s">
        <v>725</v>
      </c>
      <c r="N46" s="49" t="s">
        <v>725</v>
      </c>
      <c r="O46" s="49" t="s">
        <v>725</v>
      </c>
      <c r="P46" s="595" t="s">
        <v>503</v>
      </c>
      <c r="U46" s="714" t="s">
        <v>159</v>
      </c>
      <c r="V46" s="718" t="s">
        <v>837</v>
      </c>
      <c r="W46" s="707">
        <v>2011</v>
      </c>
      <c r="X46" s="713">
        <v>14000</v>
      </c>
      <c r="Y46" s="713">
        <v>4000</v>
      </c>
    </row>
    <row r="47" spans="1:27">
      <c r="A47" s="49">
        <v>46</v>
      </c>
      <c r="B47" t="s">
        <v>75</v>
      </c>
      <c r="C47" s="49" t="s">
        <v>786</v>
      </c>
      <c r="D47" s="49" t="s">
        <v>5020</v>
      </c>
      <c r="E47" s="49" t="s">
        <v>728</v>
      </c>
      <c r="F47" s="49">
        <v>2010</v>
      </c>
      <c r="G47" t="s">
        <v>5046</v>
      </c>
      <c r="H47" t="s">
        <v>5104</v>
      </c>
      <c r="I47" s="594">
        <v>32000</v>
      </c>
      <c r="J47" s="594">
        <v>16000</v>
      </c>
      <c r="K47" s="707">
        <v>5</v>
      </c>
      <c r="L47" s="435">
        <v>16000</v>
      </c>
      <c r="M47" s="49" t="s">
        <v>725</v>
      </c>
      <c r="N47" s="49" t="s">
        <v>725</v>
      </c>
      <c r="O47" s="49" t="s">
        <v>725</v>
      </c>
      <c r="P47" s="595" t="s">
        <v>5121</v>
      </c>
      <c r="U47" s="714" t="s">
        <v>161</v>
      </c>
      <c r="V47" s="718" t="s">
        <v>838</v>
      </c>
      <c r="W47" s="707">
        <v>2009</v>
      </c>
      <c r="X47" s="713">
        <v>20000</v>
      </c>
      <c r="Y47" s="713">
        <v>30000</v>
      </c>
    </row>
    <row r="48" spans="1:27">
      <c r="A48" s="49">
        <v>47</v>
      </c>
      <c r="B48" t="s">
        <v>77</v>
      </c>
      <c r="C48" s="49" t="s">
        <v>787</v>
      </c>
      <c r="D48" s="49" t="s">
        <v>5020</v>
      </c>
      <c r="E48" s="49" t="s">
        <v>728</v>
      </c>
      <c r="F48" s="49">
        <v>2006</v>
      </c>
      <c r="G48" t="s">
        <v>5025</v>
      </c>
      <c r="H48" t="s">
        <v>5104</v>
      </c>
      <c r="I48" s="594">
        <v>800000</v>
      </c>
      <c r="J48" s="594">
        <v>2700000</v>
      </c>
      <c r="K48" s="707">
        <v>10</v>
      </c>
      <c r="L48" s="435">
        <v>2700000</v>
      </c>
      <c r="M48" s="49" t="s">
        <v>728</v>
      </c>
      <c r="N48" s="49" t="s">
        <v>725</v>
      </c>
      <c r="O48" s="49" t="s">
        <v>725</v>
      </c>
      <c r="P48" s="595" t="s">
        <v>5121</v>
      </c>
      <c r="U48" s="714" t="s">
        <v>162</v>
      </c>
      <c r="V48" s="718" t="s">
        <v>839</v>
      </c>
      <c r="W48" s="707">
        <v>2006</v>
      </c>
      <c r="X48" s="713">
        <v>6700</v>
      </c>
      <c r="Y48" s="713">
        <v>30000</v>
      </c>
    </row>
    <row r="49" spans="1:27">
      <c r="A49" s="49">
        <v>48</v>
      </c>
      <c r="B49" t="s">
        <v>79</v>
      </c>
      <c r="C49" s="49" t="s">
        <v>788</v>
      </c>
      <c r="D49" s="49" t="s">
        <v>5020</v>
      </c>
      <c r="E49" s="49" t="s">
        <v>728</v>
      </c>
      <c r="F49" s="49">
        <v>2006</v>
      </c>
      <c r="G49" t="s">
        <v>5047</v>
      </c>
      <c r="H49" t="s">
        <v>5111</v>
      </c>
      <c r="I49" s="594">
        <v>750000</v>
      </c>
      <c r="J49" s="594">
        <v>3750000</v>
      </c>
      <c r="K49" s="707">
        <v>10</v>
      </c>
      <c r="L49" s="435">
        <v>3750000</v>
      </c>
      <c r="M49" s="49" t="s">
        <v>725</v>
      </c>
      <c r="N49" s="49" t="s">
        <v>725</v>
      </c>
      <c r="O49" s="49" t="s">
        <v>725</v>
      </c>
      <c r="P49" s="595" t="s">
        <v>725</v>
      </c>
      <c r="U49" s="714" t="s">
        <v>163</v>
      </c>
      <c r="V49" s="718" t="s">
        <v>840</v>
      </c>
      <c r="W49" s="707">
        <v>2006</v>
      </c>
      <c r="X49" s="713">
        <v>230000</v>
      </c>
      <c r="Y49" s="713">
        <v>1100000</v>
      </c>
      <c r="Z49" s="718" t="s">
        <v>5027</v>
      </c>
    </row>
    <row r="50" spans="1:27">
      <c r="A50" s="49">
        <v>49</v>
      </c>
      <c r="B50" t="s">
        <v>81</v>
      </c>
      <c r="C50" s="49" t="s">
        <v>789</v>
      </c>
      <c r="D50" s="49" t="s">
        <v>452</v>
      </c>
      <c r="E50" s="49" t="s">
        <v>725</v>
      </c>
      <c r="F50" s="49" t="s">
        <v>145</v>
      </c>
      <c r="G50" t="s">
        <v>145</v>
      </c>
      <c r="H50" t="s">
        <v>145</v>
      </c>
      <c r="I50" s="710" t="s">
        <v>145</v>
      </c>
      <c r="J50" s="710" t="s">
        <v>145</v>
      </c>
      <c r="K50" s="707">
        <v>5</v>
      </c>
      <c r="L50" t="s">
        <v>145</v>
      </c>
      <c r="M50" s="49" t="s">
        <v>725</v>
      </c>
      <c r="N50" s="49" t="s">
        <v>725</v>
      </c>
      <c r="O50" s="49" t="s">
        <v>725</v>
      </c>
      <c r="P50" s="595" t="s">
        <v>725</v>
      </c>
      <c r="U50" s="714" t="s">
        <v>165</v>
      </c>
      <c r="V50" s="718" t="s">
        <v>841</v>
      </c>
      <c r="W50" s="707">
        <v>2006</v>
      </c>
      <c r="X50" s="713">
        <v>25000</v>
      </c>
      <c r="Y50" s="713">
        <v>110000</v>
      </c>
      <c r="Z50" s="718" t="s">
        <v>5027</v>
      </c>
    </row>
    <row r="51" spans="1:27">
      <c r="A51" s="49">
        <v>50</v>
      </c>
      <c r="B51" t="s">
        <v>83</v>
      </c>
      <c r="C51" s="49" t="s">
        <v>790</v>
      </c>
      <c r="D51" s="49" t="s">
        <v>5026</v>
      </c>
      <c r="E51" s="49" t="s">
        <v>725</v>
      </c>
      <c r="F51" s="49" t="s">
        <v>145</v>
      </c>
      <c r="G51" t="s">
        <v>145</v>
      </c>
      <c r="H51" t="s">
        <v>145</v>
      </c>
      <c r="I51" s="710" t="s">
        <v>145</v>
      </c>
      <c r="J51" s="710" t="s">
        <v>145</v>
      </c>
      <c r="K51" s="707">
        <v>5</v>
      </c>
      <c r="L51" t="s">
        <v>145</v>
      </c>
      <c r="M51" s="49" t="s">
        <v>725</v>
      </c>
      <c r="N51" s="49" t="s">
        <v>725</v>
      </c>
      <c r="O51" s="49" t="s">
        <v>725</v>
      </c>
      <c r="P51" s="595" t="s">
        <v>725</v>
      </c>
      <c r="U51" s="714" t="s">
        <v>167</v>
      </c>
      <c r="V51" s="718" t="s">
        <v>842</v>
      </c>
      <c r="W51" s="707">
        <v>2009</v>
      </c>
      <c r="X51" s="713">
        <v>180000</v>
      </c>
      <c r="Y51" s="713">
        <v>150000</v>
      </c>
      <c r="Z51" s="718" t="s">
        <v>728</v>
      </c>
    </row>
    <row r="52" spans="1:27">
      <c r="A52" s="49">
        <v>51</v>
      </c>
      <c r="B52" t="s">
        <v>84</v>
      </c>
      <c r="C52" s="49" t="s">
        <v>791</v>
      </c>
      <c r="D52" s="49" t="s">
        <v>5026</v>
      </c>
      <c r="E52" s="49" t="s">
        <v>728</v>
      </c>
      <c r="F52" s="49">
        <v>2004</v>
      </c>
      <c r="G52" t="s">
        <v>5048</v>
      </c>
      <c r="H52" t="s">
        <v>5024</v>
      </c>
      <c r="I52" s="594">
        <v>480000</v>
      </c>
      <c r="J52" s="594">
        <v>3360000</v>
      </c>
      <c r="K52" s="707">
        <v>5</v>
      </c>
      <c r="L52" s="435">
        <v>2500000</v>
      </c>
      <c r="M52" s="49" t="s">
        <v>725</v>
      </c>
      <c r="N52" s="49" t="s">
        <v>725</v>
      </c>
      <c r="O52" s="49" t="s">
        <v>725</v>
      </c>
      <c r="P52" s="595" t="s">
        <v>725</v>
      </c>
      <c r="U52" s="714" t="s">
        <v>396</v>
      </c>
      <c r="V52" s="718" t="s">
        <v>740</v>
      </c>
      <c r="W52" s="707">
        <v>2007</v>
      </c>
      <c r="X52" s="721">
        <v>180000</v>
      </c>
      <c r="Y52" s="721">
        <v>1100000</v>
      </c>
    </row>
    <row r="53" spans="1:27">
      <c r="A53" s="49">
        <v>52</v>
      </c>
      <c r="B53" t="s">
        <v>86</v>
      </c>
      <c r="C53" s="49" t="s">
        <v>792</v>
      </c>
      <c r="D53" s="49" t="s">
        <v>5026</v>
      </c>
      <c r="E53" s="49" t="s">
        <v>725</v>
      </c>
      <c r="F53" s="49" t="s">
        <v>145</v>
      </c>
      <c r="G53" t="s">
        <v>145</v>
      </c>
      <c r="H53" t="s">
        <v>145</v>
      </c>
      <c r="I53" s="710" t="s">
        <v>145</v>
      </c>
      <c r="J53" s="710" t="s">
        <v>145</v>
      </c>
      <c r="K53" s="707">
        <v>5</v>
      </c>
      <c r="L53" t="s">
        <v>145</v>
      </c>
      <c r="M53" s="49" t="s">
        <v>725</v>
      </c>
      <c r="N53" s="49" t="s">
        <v>725</v>
      </c>
      <c r="O53" s="49" t="s">
        <v>725</v>
      </c>
      <c r="P53" s="595" t="s">
        <v>725</v>
      </c>
      <c r="U53" s="714" t="s">
        <v>168</v>
      </c>
      <c r="V53" s="718" t="s">
        <v>843</v>
      </c>
      <c r="W53" s="707">
        <v>2010</v>
      </c>
      <c r="X53" s="721">
        <v>80000</v>
      </c>
      <c r="Y53" s="721">
        <v>80000</v>
      </c>
    </row>
    <row r="54" spans="1:27">
      <c r="A54" s="49">
        <v>53</v>
      </c>
      <c r="B54" t="s">
        <v>87</v>
      </c>
      <c r="C54" s="49" t="s">
        <v>737</v>
      </c>
      <c r="D54" s="49" t="s">
        <v>5022</v>
      </c>
      <c r="E54" s="49" t="s">
        <v>725</v>
      </c>
      <c r="F54" s="49" t="s">
        <v>145</v>
      </c>
      <c r="G54" t="s">
        <v>145</v>
      </c>
      <c r="H54" t="s">
        <v>145</v>
      </c>
      <c r="I54" s="710" t="s">
        <v>145</v>
      </c>
      <c r="J54" s="710" t="s">
        <v>145</v>
      </c>
      <c r="K54" s="707">
        <v>5</v>
      </c>
      <c r="L54" t="s">
        <v>145</v>
      </c>
      <c r="M54" s="49" t="s">
        <v>725</v>
      </c>
      <c r="N54" s="49" t="s">
        <v>725</v>
      </c>
      <c r="O54" s="49" t="s">
        <v>5038</v>
      </c>
      <c r="P54" s="595" t="s">
        <v>5122</v>
      </c>
      <c r="U54" s="714" t="s">
        <v>172</v>
      </c>
      <c r="V54" s="718" t="s">
        <v>845</v>
      </c>
      <c r="W54" s="707">
        <v>2010</v>
      </c>
      <c r="X54" s="721">
        <v>1300000</v>
      </c>
      <c r="Y54" s="721">
        <v>1500000</v>
      </c>
    </row>
    <row r="55" spans="1:27">
      <c r="A55" s="49">
        <v>54</v>
      </c>
      <c r="B55" t="s">
        <v>89</v>
      </c>
      <c r="C55" s="49" t="s">
        <v>793</v>
      </c>
      <c r="D55" s="49" t="s">
        <v>5026</v>
      </c>
      <c r="E55" s="49" t="s">
        <v>725</v>
      </c>
      <c r="F55" s="49" t="s">
        <v>145</v>
      </c>
      <c r="G55" t="s">
        <v>145</v>
      </c>
      <c r="H55" t="s">
        <v>145</v>
      </c>
      <c r="I55" s="710" t="s">
        <v>145</v>
      </c>
      <c r="J55" s="710" t="s">
        <v>145</v>
      </c>
      <c r="K55" s="707">
        <v>5</v>
      </c>
      <c r="L55" t="s">
        <v>145</v>
      </c>
      <c r="M55" s="49" t="s">
        <v>725</v>
      </c>
      <c r="N55" s="49" t="s">
        <v>725</v>
      </c>
      <c r="O55" s="49" t="s">
        <v>725</v>
      </c>
      <c r="P55" s="595" t="s">
        <v>725</v>
      </c>
      <c r="U55" s="714" t="s">
        <v>174</v>
      </c>
      <c r="V55" s="718" t="s">
        <v>846</v>
      </c>
      <c r="W55" s="707">
        <v>2007</v>
      </c>
      <c r="X55" s="721">
        <v>30000</v>
      </c>
      <c r="Y55" s="721">
        <v>100000</v>
      </c>
    </row>
    <row r="56" spans="1:27">
      <c r="A56" s="49">
        <v>55</v>
      </c>
      <c r="B56" t="s">
        <v>91</v>
      </c>
      <c r="C56" s="49" t="s">
        <v>794</v>
      </c>
      <c r="D56" s="49" t="s">
        <v>452</v>
      </c>
      <c r="E56" s="49" t="s">
        <v>725</v>
      </c>
      <c r="F56" s="49" t="s">
        <v>5128</v>
      </c>
      <c r="G56" t="s">
        <v>5110</v>
      </c>
      <c r="H56" t="s">
        <v>145</v>
      </c>
      <c r="I56" s="710" t="s">
        <v>145</v>
      </c>
      <c r="J56" s="710" t="s">
        <v>145</v>
      </c>
      <c r="K56" s="707">
        <v>5</v>
      </c>
      <c r="L56" t="s">
        <v>145</v>
      </c>
      <c r="M56" s="49" t="s">
        <v>725</v>
      </c>
      <c r="N56" s="49" t="s">
        <v>725</v>
      </c>
      <c r="O56" s="49" t="s">
        <v>725</v>
      </c>
      <c r="P56" s="595" t="s">
        <v>5121</v>
      </c>
      <c r="U56" s="714" t="s">
        <v>176</v>
      </c>
      <c r="V56" s="718" t="s">
        <v>848</v>
      </c>
      <c r="W56" s="707">
        <v>2008</v>
      </c>
      <c r="X56" s="721">
        <v>16000</v>
      </c>
      <c r="Y56" s="721">
        <v>40000</v>
      </c>
    </row>
    <row r="57" spans="1:27">
      <c r="A57" s="49">
        <v>56</v>
      </c>
      <c r="B57" t="s">
        <v>92</v>
      </c>
      <c r="C57" s="49" t="s">
        <v>795</v>
      </c>
      <c r="D57" s="49" t="s">
        <v>452</v>
      </c>
      <c r="E57" s="49" t="s">
        <v>725</v>
      </c>
      <c r="F57" s="49" t="s">
        <v>145</v>
      </c>
      <c r="G57" t="s">
        <v>145</v>
      </c>
      <c r="H57" t="s">
        <v>145</v>
      </c>
      <c r="I57" s="710" t="s">
        <v>145</v>
      </c>
      <c r="J57" s="710" t="s">
        <v>145</v>
      </c>
      <c r="K57" s="707">
        <v>5</v>
      </c>
      <c r="L57" t="s">
        <v>145</v>
      </c>
      <c r="M57" s="49" t="s">
        <v>725</v>
      </c>
      <c r="N57" s="49" t="s">
        <v>725</v>
      </c>
      <c r="O57" s="49" t="s">
        <v>725</v>
      </c>
      <c r="P57" s="595" t="s">
        <v>725</v>
      </c>
      <c r="U57" s="714" t="s">
        <v>185</v>
      </c>
      <c r="V57" s="718" t="s">
        <v>855</v>
      </c>
      <c r="W57" s="707">
        <v>2005</v>
      </c>
      <c r="X57" s="721">
        <v>3000</v>
      </c>
      <c r="Y57" s="721">
        <v>18000</v>
      </c>
    </row>
    <row r="58" spans="1:27">
      <c r="A58" s="49">
        <v>57</v>
      </c>
      <c r="B58" t="s">
        <v>93</v>
      </c>
      <c r="C58" s="49" t="s">
        <v>796</v>
      </c>
      <c r="D58" s="49" t="s">
        <v>5020</v>
      </c>
      <c r="E58" s="49" t="s">
        <v>728</v>
      </c>
      <c r="F58" s="49">
        <v>2007</v>
      </c>
      <c r="G58" t="s">
        <v>5049</v>
      </c>
      <c r="H58" t="s">
        <v>5104</v>
      </c>
      <c r="I58" s="594">
        <v>50000</v>
      </c>
      <c r="J58" s="594">
        <v>200000</v>
      </c>
      <c r="K58" s="707">
        <v>5</v>
      </c>
      <c r="L58" s="435">
        <v>200000</v>
      </c>
      <c r="M58" s="49" t="s">
        <v>725</v>
      </c>
      <c r="N58" s="49" t="s">
        <v>725</v>
      </c>
      <c r="O58" s="49" t="s">
        <v>725</v>
      </c>
      <c r="P58" s="595" t="s">
        <v>725</v>
      </c>
      <c r="U58" s="714" t="s">
        <v>188</v>
      </c>
      <c r="V58" s="718" t="s">
        <v>857</v>
      </c>
      <c r="W58" s="707">
        <v>2008</v>
      </c>
      <c r="X58" s="721">
        <v>20000</v>
      </c>
      <c r="Y58" s="721">
        <v>70000</v>
      </c>
    </row>
    <row r="59" spans="1:27">
      <c r="A59" s="49">
        <v>58</v>
      </c>
      <c r="B59" t="s">
        <v>94</v>
      </c>
      <c r="C59" s="49" t="s">
        <v>797</v>
      </c>
      <c r="D59" s="49" t="s">
        <v>452</v>
      </c>
      <c r="E59" s="49" t="s">
        <v>725</v>
      </c>
      <c r="F59" s="49" t="s">
        <v>145</v>
      </c>
      <c r="G59" t="s">
        <v>145</v>
      </c>
      <c r="H59" t="s">
        <v>145</v>
      </c>
      <c r="I59" s="710" t="s">
        <v>145</v>
      </c>
      <c r="J59" s="710" t="s">
        <v>145</v>
      </c>
      <c r="K59" s="707">
        <v>5</v>
      </c>
      <c r="L59" t="s">
        <v>145</v>
      </c>
      <c r="M59" s="49" t="s">
        <v>725</v>
      </c>
      <c r="N59" s="49" t="s">
        <v>725</v>
      </c>
      <c r="O59" s="49" t="s">
        <v>725</v>
      </c>
      <c r="P59" s="595" t="s">
        <v>725</v>
      </c>
      <c r="U59" s="714" t="s">
        <v>189</v>
      </c>
      <c r="V59" s="718" t="s">
        <v>858</v>
      </c>
      <c r="W59" s="707">
        <v>2010</v>
      </c>
      <c r="X59" s="721">
        <v>200000</v>
      </c>
      <c r="Y59" s="721">
        <v>150000</v>
      </c>
      <c r="Z59" s="718" t="s">
        <v>728</v>
      </c>
    </row>
    <row r="60" spans="1:27">
      <c r="A60" s="49">
        <v>59</v>
      </c>
      <c r="B60" t="s">
        <v>96</v>
      </c>
      <c r="C60" s="49" t="s">
        <v>798</v>
      </c>
      <c r="D60" s="49" t="s">
        <v>407</v>
      </c>
      <c r="E60" s="49" t="s">
        <v>725</v>
      </c>
      <c r="F60" s="49" t="s">
        <v>145</v>
      </c>
      <c r="G60" t="s">
        <v>145</v>
      </c>
      <c r="H60" t="s">
        <v>145</v>
      </c>
      <c r="I60" s="710" t="s">
        <v>145</v>
      </c>
      <c r="J60" s="710" t="s">
        <v>145</v>
      </c>
      <c r="K60" s="707">
        <v>5</v>
      </c>
      <c r="L60" t="s">
        <v>145</v>
      </c>
      <c r="M60" s="49" t="s">
        <v>725</v>
      </c>
      <c r="N60" s="49" t="s">
        <v>725</v>
      </c>
      <c r="O60" s="49" t="s">
        <v>725</v>
      </c>
      <c r="P60" s="595" t="s">
        <v>725</v>
      </c>
      <c r="U60" s="714" t="s">
        <v>191</v>
      </c>
      <c r="V60" s="718" t="s">
        <v>859</v>
      </c>
      <c r="W60" s="707">
        <v>2011</v>
      </c>
      <c r="X60" s="721">
        <v>200000</v>
      </c>
      <c r="Y60" s="721">
        <v>20000</v>
      </c>
    </row>
    <row r="61" spans="1:27">
      <c r="A61" s="49">
        <v>60</v>
      </c>
      <c r="B61" t="s">
        <v>97</v>
      </c>
      <c r="C61" s="49" t="s">
        <v>799</v>
      </c>
      <c r="D61" s="49" t="s">
        <v>5020</v>
      </c>
      <c r="E61" s="49" t="s">
        <v>728</v>
      </c>
      <c r="F61" s="49">
        <v>2006</v>
      </c>
      <c r="G61" t="s">
        <v>5050</v>
      </c>
      <c r="H61" t="s">
        <v>5104</v>
      </c>
      <c r="I61" s="594">
        <v>400000</v>
      </c>
      <c r="J61" s="594">
        <v>2000000</v>
      </c>
      <c r="K61" s="707">
        <v>10</v>
      </c>
      <c r="L61" s="435">
        <v>2000000</v>
      </c>
      <c r="M61" s="49" t="s">
        <v>5027</v>
      </c>
      <c r="N61" s="49" t="s">
        <v>725</v>
      </c>
      <c r="O61" s="49" t="s">
        <v>5030</v>
      </c>
      <c r="P61" s="595" t="s">
        <v>503</v>
      </c>
      <c r="U61" s="714" t="s">
        <v>198</v>
      </c>
      <c r="V61" s="718" t="s">
        <v>863</v>
      </c>
      <c r="W61" s="707">
        <v>2006</v>
      </c>
      <c r="X61" s="721">
        <v>1800000</v>
      </c>
      <c r="Y61" s="721">
        <v>10000000</v>
      </c>
      <c r="Z61" s="718" t="s">
        <v>728</v>
      </c>
    </row>
    <row r="62" spans="1:27">
      <c r="A62" s="49">
        <v>61</v>
      </c>
      <c r="B62" t="s">
        <v>98</v>
      </c>
      <c r="C62" s="49" t="s">
        <v>800</v>
      </c>
      <c r="D62" s="49" t="s">
        <v>5020</v>
      </c>
      <c r="E62" s="49" t="s">
        <v>728</v>
      </c>
      <c r="F62" s="49">
        <v>2006</v>
      </c>
      <c r="G62" t="s">
        <v>5051</v>
      </c>
      <c r="H62" t="s">
        <v>5104</v>
      </c>
      <c r="I62" s="594">
        <v>3500000</v>
      </c>
      <c r="J62" s="594">
        <v>18000000</v>
      </c>
      <c r="K62" s="707">
        <v>10</v>
      </c>
      <c r="L62" s="435">
        <v>18000000</v>
      </c>
      <c r="M62" s="49" t="s">
        <v>728</v>
      </c>
      <c r="N62" s="49" t="s">
        <v>725</v>
      </c>
      <c r="O62" s="49" t="s">
        <v>725</v>
      </c>
      <c r="P62" s="595" t="s">
        <v>725</v>
      </c>
      <c r="U62" s="714" t="s">
        <v>199</v>
      </c>
      <c r="V62" s="718" t="s">
        <v>864</v>
      </c>
      <c r="W62" s="707">
        <v>2005</v>
      </c>
      <c r="X62" s="721">
        <v>720000</v>
      </c>
      <c r="Y62" s="721">
        <v>2600000</v>
      </c>
      <c r="Z62" s="718" t="s">
        <v>728</v>
      </c>
      <c r="AA62" s="718" t="s">
        <v>728</v>
      </c>
    </row>
    <row r="63" spans="1:27">
      <c r="A63" s="49">
        <v>62</v>
      </c>
      <c r="B63" t="s">
        <v>99</v>
      </c>
      <c r="C63" s="49" t="s">
        <v>801</v>
      </c>
      <c r="D63" s="49" t="s">
        <v>452</v>
      </c>
      <c r="E63" s="49" t="s">
        <v>728</v>
      </c>
      <c r="F63" s="49">
        <v>2009</v>
      </c>
      <c r="G63" t="s">
        <v>5052</v>
      </c>
      <c r="H63" t="s">
        <v>5104</v>
      </c>
      <c r="I63" s="710" t="s">
        <v>145</v>
      </c>
      <c r="J63" s="710" t="s">
        <v>145</v>
      </c>
      <c r="K63" s="707">
        <v>5</v>
      </c>
      <c r="L63" t="s">
        <v>145</v>
      </c>
      <c r="M63" s="49" t="s">
        <v>725</v>
      </c>
      <c r="N63" s="49" t="s">
        <v>725</v>
      </c>
      <c r="O63" s="49" t="s">
        <v>725</v>
      </c>
      <c r="P63" s="595" t="s">
        <v>725</v>
      </c>
      <c r="U63" s="714" t="s">
        <v>204</v>
      </c>
      <c r="V63" s="718" t="s">
        <v>867</v>
      </c>
      <c r="W63" s="707">
        <v>2007</v>
      </c>
      <c r="X63" s="721">
        <v>1100000</v>
      </c>
      <c r="Y63" s="721">
        <v>5000000</v>
      </c>
      <c r="Z63" s="718" t="s">
        <v>728</v>
      </c>
    </row>
    <row r="64" spans="1:27">
      <c r="A64" s="49">
        <v>63</v>
      </c>
      <c r="B64" t="s">
        <v>100</v>
      </c>
      <c r="C64" s="49" t="s">
        <v>738</v>
      </c>
      <c r="D64" s="49" t="s">
        <v>452</v>
      </c>
      <c r="E64" s="49" t="s">
        <v>725</v>
      </c>
      <c r="F64" s="49" t="s">
        <v>145</v>
      </c>
      <c r="G64" t="s">
        <v>145</v>
      </c>
      <c r="H64" t="s">
        <v>145</v>
      </c>
      <c r="I64" s="710" t="s">
        <v>145</v>
      </c>
      <c r="J64" s="710" t="s">
        <v>145</v>
      </c>
      <c r="K64" s="707">
        <v>5</v>
      </c>
      <c r="L64" t="s">
        <v>145</v>
      </c>
      <c r="M64" s="49" t="s">
        <v>725</v>
      </c>
      <c r="N64" s="49" t="s">
        <v>725</v>
      </c>
      <c r="O64" s="49" t="s">
        <v>725</v>
      </c>
      <c r="P64" s="595" t="s">
        <v>5122</v>
      </c>
      <c r="U64" s="714" t="s">
        <v>206</v>
      </c>
      <c r="V64" s="718" t="s">
        <v>868</v>
      </c>
      <c r="W64" s="707">
        <v>2005</v>
      </c>
      <c r="X64" s="721">
        <v>600000</v>
      </c>
      <c r="Y64" s="721">
        <v>3600000</v>
      </c>
      <c r="Z64" s="718" t="s">
        <v>728</v>
      </c>
    </row>
    <row r="65" spans="1:27">
      <c r="A65" s="49">
        <v>64</v>
      </c>
      <c r="B65" t="s">
        <v>101</v>
      </c>
      <c r="C65" s="49" t="s">
        <v>802</v>
      </c>
      <c r="D65" s="49" t="s">
        <v>5020</v>
      </c>
      <c r="E65" s="49" t="s">
        <v>728</v>
      </c>
      <c r="F65" s="49">
        <v>2010</v>
      </c>
      <c r="G65" t="s">
        <v>5053</v>
      </c>
      <c r="H65" t="s">
        <v>5104</v>
      </c>
      <c r="I65" s="594">
        <v>35000</v>
      </c>
      <c r="J65" s="594">
        <v>35000</v>
      </c>
      <c r="K65" s="707">
        <v>5</v>
      </c>
      <c r="L65" s="435">
        <v>35000</v>
      </c>
      <c r="M65" s="49" t="s">
        <v>725</v>
      </c>
      <c r="N65" s="49" t="s">
        <v>725</v>
      </c>
      <c r="O65" s="49" t="s">
        <v>725</v>
      </c>
      <c r="P65" s="595" t="s">
        <v>725</v>
      </c>
      <c r="U65" s="714" t="s">
        <v>218</v>
      </c>
      <c r="V65" s="718" t="s">
        <v>876</v>
      </c>
      <c r="W65" s="707">
        <v>2008</v>
      </c>
      <c r="X65" s="721">
        <v>5000000</v>
      </c>
      <c r="Y65" s="721">
        <v>12000000</v>
      </c>
    </row>
    <row r="66" spans="1:27">
      <c r="A66" s="49">
        <v>65</v>
      </c>
      <c r="B66" t="s">
        <v>103</v>
      </c>
      <c r="C66" s="49" t="s">
        <v>803</v>
      </c>
      <c r="D66" s="49" t="s">
        <v>5020</v>
      </c>
      <c r="E66" s="49" t="s">
        <v>728</v>
      </c>
      <c r="F66" s="49">
        <v>2005</v>
      </c>
      <c r="G66" t="s">
        <v>5054</v>
      </c>
      <c r="H66" t="s">
        <v>5104</v>
      </c>
      <c r="I66" s="594">
        <v>3000000</v>
      </c>
      <c r="J66" s="594">
        <v>15500000</v>
      </c>
      <c r="K66" s="707">
        <v>10</v>
      </c>
      <c r="L66" s="435">
        <v>15500000</v>
      </c>
      <c r="M66" s="49" t="s">
        <v>728</v>
      </c>
      <c r="N66" s="49" t="s">
        <v>728</v>
      </c>
      <c r="O66" s="49" t="s">
        <v>5030</v>
      </c>
      <c r="P66" s="595" t="s">
        <v>503</v>
      </c>
      <c r="U66" s="714" t="s">
        <v>220</v>
      </c>
      <c r="V66" s="718" t="s">
        <v>877</v>
      </c>
      <c r="W66" s="707">
        <v>2006</v>
      </c>
      <c r="X66" s="721">
        <v>1500000</v>
      </c>
      <c r="Y66" s="721">
        <v>7500000</v>
      </c>
    </row>
    <row r="67" spans="1:27">
      <c r="A67" s="49">
        <v>66</v>
      </c>
      <c r="B67" t="s">
        <v>105</v>
      </c>
      <c r="C67" s="49" t="s">
        <v>804</v>
      </c>
      <c r="D67" s="49" t="s">
        <v>452</v>
      </c>
      <c r="E67" s="49" t="s">
        <v>728</v>
      </c>
      <c r="F67" s="49">
        <v>2010</v>
      </c>
      <c r="G67" t="s">
        <v>5023</v>
      </c>
      <c r="H67" t="s">
        <v>5024</v>
      </c>
      <c r="I67" s="594">
        <v>240000</v>
      </c>
      <c r="J67" s="594">
        <v>240000</v>
      </c>
      <c r="K67" s="707">
        <v>5</v>
      </c>
      <c r="L67" s="435">
        <v>240000</v>
      </c>
      <c r="M67" s="49" t="s">
        <v>725</v>
      </c>
      <c r="N67" s="49" t="s">
        <v>725</v>
      </c>
      <c r="O67" s="49" t="s">
        <v>725</v>
      </c>
      <c r="P67" s="595" t="s">
        <v>725</v>
      </c>
      <c r="U67" s="714" t="s">
        <v>221</v>
      </c>
      <c r="V67" s="718" t="s">
        <v>878</v>
      </c>
      <c r="W67" s="707">
        <v>2006</v>
      </c>
      <c r="X67" s="721">
        <v>400000</v>
      </c>
      <c r="Y67" s="721">
        <v>2000000</v>
      </c>
      <c r="Z67" s="718" t="s">
        <v>5027</v>
      </c>
      <c r="AA67" s="718" t="s">
        <v>728</v>
      </c>
    </row>
    <row r="68" spans="1:27">
      <c r="A68" s="49">
        <v>67</v>
      </c>
      <c r="B68" t="s">
        <v>107</v>
      </c>
      <c r="C68" s="49" t="s">
        <v>805</v>
      </c>
      <c r="D68" s="49" t="s">
        <v>5020</v>
      </c>
      <c r="E68" s="49" t="s">
        <v>728</v>
      </c>
      <c r="F68" s="49">
        <v>2006</v>
      </c>
      <c r="G68" t="s">
        <v>5055</v>
      </c>
      <c r="H68" t="s">
        <v>5104</v>
      </c>
      <c r="I68" s="594">
        <v>1000000</v>
      </c>
      <c r="J68" s="594">
        <v>4000000</v>
      </c>
      <c r="K68" s="707">
        <v>5</v>
      </c>
      <c r="L68" s="435">
        <v>4000000</v>
      </c>
      <c r="M68" s="49" t="s">
        <v>725</v>
      </c>
      <c r="N68" s="49" t="s">
        <v>725</v>
      </c>
      <c r="O68" s="49" t="s">
        <v>725</v>
      </c>
      <c r="P68" s="595" t="s">
        <v>725</v>
      </c>
      <c r="U68" s="714" t="s">
        <v>222</v>
      </c>
      <c r="V68" s="718" t="s">
        <v>879</v>
      </c>
      <c r="W68" s="707">
        <v>2008</v>
      </c>
      <c r="X68" s="721">
        <v>15000</v>
      </c>
      <c r="Y68" s="721">
        <v>45000</v>
      </c>
    </row>
    <row r="69" spans="1:27">
      <c r="A69" s="49">
        <v>68</v>
      </c>
      <c r="B69" t="s">
        <v>108</v>
      </c>
      <c r="C69" s="49" t="s">
        <v>806</v>
      </c>
      <c r="D69" s="49" t="s">
        <v>5026</v>
      </c>
      <c r="E69" s="49" t="s">
        <v>725</v>
      </c>
      <c r="F69" s="49" t="s">
        <v>145</v>
      </c>
      <c r="G69" t="s">
        <v>145</v>
      </c>
      <c r="H69" t="s">
        <v>145</v>
      </c>
      <c r="I69" s="710" t="s">
        <v>145</v>
      </c>
      <c r="J69" s="710" t="s">
        <v>145</v>
      </c>
      <c r="K69" s="707">
        <v>5</v>
      </c>
      <c r="L69" t="s">
        <v>145</v>
      </c>
      <c r="M69" s="49" t="s">
        <v>725</v>
      </c>
      <c r="N69" s="49" t="s">
        <v>725</v>
      </c>
      <c r="O69" s="49" t="s">
        <v>725</v>
      </c>
      <c r="P69" s="595" t="s">
        <v>725</v>
      </c>
      <c r="U69" s="714" t="s">
        <v>224</v>
      </c>
      <c r="V69" s="718" t="s">
        <v>3145</v>
      </c>
      <c r="W69" s="707">
        <v>2009</v>
      </c>
      <c r="X69" s="721">
        <v>1000000</v>
      </c>
      <c r="Y69" s="721">
        <v>2000000</v>
      </c>
    </row>
    <row r="70" spans="1:27">
      <c r="A70" s="49">
        <v>69</v>
      </c>
      <c r="B70" t="s">
        <v>109</v>
      </c>
      <c r="C70" s="49" t="s">
        <v>807</v>
      </c>
      <c r="D70" s="49" t="s">
        <v>5026</v>
      </c>
      <c r="E70" s="49" t="s">
        <v>725</v>
      </c>
      <c r="F70" s="49" t="s">
        <v>145</v>
      </c>
      <c r="G70" t="s">
        <v>145</v>
      </c>
      <c r="H70" t="s">
        <v>145</v>
      </c>
      <c r="I70" s="710" t="s">
        <v>145</v>
      </c>
      <c r="J70" s="710" t="s">
        <v>145</v>
      </c>
      <c r="K70" s="707">
        <v>5</v>
      </c>
      <c r="L70" t="s">
        <v>145</v>
      </c>
      <c r="M70" s="49" t="s">
        <v>725</v>
      </c>
      <c r="N70" s="49" t="s">
        <v>725</v>
      </c>
      <c r="O70" s="49" t="s">
        <v>725</v>
      </c>
      <c r="P70" s="595" t="s">
        <v>725</v>
      </c>
      <c r="U70" s="714" t="s">
        <v>226</v>
      </c>
      <c r="V70" s="718" t="s">
        <v>880</v>
      </c>
      <c r="W70" s="707">
        <v>2006</v>
      </c>
      <c r="X70" s="721">
        <v>2200000</v>
      </c>
      <c r="Y70" s="721">
        <v>7500000</v>
      </c>
      <c r="Z70" s="718" t="s">
        <v>5027</v>
      </c>
    </row>
    <row r="71" spans="1:27">
      <c r="A71" s="49">
        <v>70</v>
      </c>
      <c r="B71" t="s">
        <v>111</v>
      </c>
      <c r="C71" s="49" t="s">
        <v>808</v>
      </c>
      <c r="D71" s="49" t="s">
        <v>452</v>
      </c>
      <c r="E71" s="49" t="s">
        <v>725</v>
      </c>
      <c r="F71" s="49" t="s">
        <v>145</v>
      </c>
      <c r="G71" t="s">
        <v>145</v>
      </c>
      <c r="H71" t="s">
        <v>145</v>
      </c>
      <c r="I71" s="710" t="s">
        <v>145</v>
      </c>
      <c r="J71" s="710" t="s">
        <v>145</v>
      </c>
      <c r="K71" s="707">
        <v>5</v>
      </c>
      <c r="L71" t="s">
        <v>145</v>
      </c>
      <c r="M71" s="49" t="s">
        <v>725</v>
      </c>
      <c r="N71" s="49" t="s">
        <v>725</v>
      </c>
      <c r="O71" s="49" t="s">
        <v>725</v>
      </c>
      <c r="P71" s="595" t="s">
        <v>725</v>
      </c>
      <c r="U71" s="714" t="s">
        <v>234</v>
      </c>
      <c r="V71" s="718" t="s">
        <v>886</v>
      </c>
      <c r="W71" s="707">
        <v>2006</v>
      </c>
      <c r="X71" s="721">
        <v>2000</v>
      </c>
      <c r="Y71" s="721">
        <v>10000</v>
      </c>
    </row>
    <row r="72" spans="1:27">
      <c r="A72" s="49">
        <v>71</v>
      </c>
      <c r="B72" t="s">
        <v>112</v>
      </c>
      <c r="C72" s="49" t="s">
        <v>809</v>
      </c>
      <c r="D72" s="49" t="s">
        <v>452</v>
      </c>
      <c r="E72" s="49" t="s">
        <v>725</v>
      </c>
      <c r="F72" s="49" t="s">
        <v>145</v>
      </c>
      <c r="G72" t="s">
        <v>145</v>
      </c>
      <c r="H72" t="s">
        <v>145</v>
      </c>
      <c r="I72" s="710" t="s">
        <v>145</v>
      </c>
      <c r="J72" s="710" t="s">
        <v>145</v>
      </c>
      <c r="K72" s="707">
        <v>5</v>
      </c>
      <c r="L72" t="s">
        <v>145</v>
      </c>
      <c r="M72" s="49" t="s">
        <v>725</v>
      </c>
      <c r="N72" s="49" t="s">
        <v>725</v>
      </c>
      <c r="O72" s="49" t="s">
        <v>725</v>
      </c>
      <c r="P72" s="595" t="s">
        <v>725</v>
      </c>
      <c r="U72" s="714" t="s">
        <v>239</v>
      </c>
      <c r="V72" s="718" t="s">
        <v>888</v>
      </c>
      <c r="W72" s="707">
        <v>2007</v>
      </c>
      <c r="X72" s="721">
        <v>620000</v>
      </c>
      <c r="Y72" s="721">
        <v>1300000</v>
      </c>
    </row>
    <row r="73" spans="1:27">
      <c r="A73" s="49">
        <v>72</v>
      </c>
      <c r="B73" t="s">
        <v>113</v>
      </c>
      <c r="C73" s="49" t="s">
        <v>810</v>
      </c>
      <c r="D73" s="49" t="s">
        <v>5026</v>
      </c>
      <c r="E73" s="49" t="s">
        <v>725</v>
      </c>
      <c r="F73" s="49" t="s">
        <v>145</v>
      </c>
      <c r="G73" t="s">
        <v>145</v>
      </c>
      <c r="H73" t="s">
        <v>145</v>
      </c>
      <c r="I73" s="710" t="s">
        <v>145</v>
      </c>
      <c r="J73" s="710" t="s">
        <v>145</v>
      </c>
      <c r="K73" s="707">
        <v>5</v>
      </c>
      <c r="L73" t="s">
        <v>145</v>
      </c>
      <c r="M73" s="49" t="s">
        <v>725</v>
      </c>
      <c r="N73" s="49" t="s">
        <v>725</v>
      </c>
      <c r="O73" s="49" t="s">
        <v>725</v>
      </c>
      <c r="P73" s="595" t="s">
        <v>725</v>
      </c>
      <c r="U73" s="714" t="s">
        <v>241</v>
      </c>
      <c r="V73" s="718" t="s">
        <v>889</v>
      </c>
      <c r="W73" s="707">
        <v>2008</v>
      </c>
      <c r="X73" s="721">
        <v>440000</v>
      </c>
      <c r="Y73" s="721">
        <v>1300000</v>
      </c>
    </row>
    <row r="74" spans="1:27">
      <c r="A74" s="49">
        <v>73</v>
      </c>
      <c r="B74" t="s">
        <v>115</v>
      </c>
      <c r="C74" s="49" t="s">
        <v>811</v>
      </c>
      <c r="D74" s="49" t="s">
        <v>5026</v>
      </c>
      <c r="E74" s="49" t="s">
        <v>725</v>
      </c>
      <c r="F74" s="49" t="s">
        <v>145</v>
      </c>
      <c r="G74" t="s">
        <v>145</v>
      </c>
      <c r="H74" t="s">
        <v>145</v>
      </c>
      <c r="I74" s="710" t="s">
        <v>145</v>
      </c>
      <c r="J74" s="710" t="s">
        <v>145</v>
      </c>
      <c r="K74" s="707">
        <v>5</v>
      </c>
      <c r="L74" t="s">
        <v>145</v>
      </c>
      <c r="M74" s="49" t="s">
        <v>725</v>
      </c>
      <c r="N74" s="49" t="s">
        <v>725</v>
      </c>
      <c r="O74" s="49" t="s">
        <v>725</v>
      </c>
      <c r="P74" s="595" t="s">
        <v>725</v>
      </c>
      <c r="U74" s="714" t="s">
        <v>244</v>
      </c>
      <c r="V74" s="718" t="s">
        <v>892</v>
      </c>
      <c r="W74" s="707">
        <v>2006</v>
      </c>
      <c r="X74" s="721">
        <v>600000</v>
      </c>
      <c r="Y74" s="721">
        <v>3000000</v>
      </c>
      <c r="Z74" s="718" t="s">
        <v>728</v>
      </c>
      <c r="AA74" s="718" t="s">
        <v>728</v>
      </c>
    </row>
    <row r="75" spans="1:27">
      <c r="A75" s="49">
        <v>74</v>
      </c>
      <c r="B75" t="s">
        <v>116</v>
      </c>
      <c r="C75" s="49" t="s">
        <v>812</v>
      </c>
      <c r="D75" s="49" t="s">
        <v>5026</v>
      </c>
      <c r="E75" s="49" t="s">
        <v>725</v>
      </c>
      <c r="F75" s="49" t="s">
        <v>145</v>
      </c>
      <c r="G75" t="s">
        <v>145</v>
      </c>
      <c r="H75" t="s">
        <v>145</v>
      </c>
      <c r="I75" s="710" t="s">
        <v>145</v>
      </c>
      <c r="J75" s="710" t="s">
        <v>145</v>
      </c>
      <c r="K75" s="707">
        <v>5</v>
      </c>
      <c r="L75" t="s">
        <v>145</v>
      </c>
      <c r="M75" s="49" t="s">
        <v>725</v>
      </c>
      <c r="N75" s="49" t="s">
        <v>725</v>
      </c>
      <c r="O75" s="49" t="s">
        <v>725</v>
      </c>
      <c r="P75" s="595" t="s">
        <v>5122</v>
      </c>
      <c r="U75" s="714" t="s">
        <v>317</v>
      </c>
      <c r="V75" s="718" t="s">
        <v>893</v>
      </c>
      <c r="W75" s="707">
        <v>2008</v>
      </c>
      <c r="X75" s="721">
        <v>750000</v>
      </c>
      <c r="Y75" s="721">
        <v>1500000</v>
      </c>
      <c r="Z75" s="718" t="s">
        <v>728</v>
      </c>
    </row>
    <row r="76" spans="1:27">
      <c r="A76" s="49">
        <v>75</v>
      </c>
      <c r="B76" t="s">
        <v>118</v>
      </c>
      <c r="C76" s="49" t="s">
        <v>813</v>
      </c>
      <c r="D76" s="49" t="s">
        <v>407</v>
      </c>
      <c r="E76" s="49" t="s">
        <v>728</v>
      </c>
      <c r="F76" s="49">
        <v>2007</v>
      </c>
      <c r="G76" t="s">
        <v>5056</v>
      </c>
      <c r="H76" t="s">
        <v>5024</v>
      </c>
      <c r="I76" s="594">
        <v>500000</v>
      </c>
      <c r="J76" s="594">
        <v>1500000</v>
      </c>
      <c r="K76" s="707">
        <v>10</v>
      </c>
      <c r="L76" s="435">
        <v>1500000</v>
      </c>
      <c r="M76" s="49" t="s">
        <v>728</v>
      </c>
      <c r="N76" s="49" t="s">
        <v>725</v>
      </c>
      <c r="O76" s="49" t="s">
        <v>725</v>
      </c>
      <c r="P76" s="595" t="s">
        <v>5121</v>
      </c>
      <c r="U76" s="714" t="s">
        <v>246</v>
      </c>
      <c r="V76" s="718" t="s">
        <v>894</v>
      </c>
      <c r="W76" s="707">
        <v>2006</v>
      </c>
      <c r="X76" s="721">
        <v>51000</v>
      </c>
      <c r="Y76" s="721">
        <v>250000</v>
      </c>
    </row>
    <row r="77" spans="1:27">
      <c r="A77" s="49">
        <v>76</v>
      </c>
      <c r="B77" t="s">
        <v>119</v>
      </c>
      <c r="C77" s="49" t="s">
        <v>814</v>
      </c>
      <c r="D77" s="49" t="s">
        <v>5020</v>
      </c>
      <c r="E77" s="49" t="s">
        <v>728</v>
      </c>
      <c r="F77" s="49">
        <v>2006</v>
      </c>
      <c r="G77" t="s">
        <v>5057</v>
      </c>
      <c r="H77" t="s">
        <v>5104</v>
      </c>
      <c r="I77" s="594">
        <v>800000</v>
      </c>
      <c r="J77" s="594">
        <v>3500000</v>
      </c>
      <c r="K77" s="707">
        <v>10</v>
      </c>
      <c r="L77" s="435">
        <v>3500000</v>
      </c>
      <c r="M77" s="49" t="s">
        <v>728</v>
      </c>
      <c r="N77" s="49" t="s">
        <v>725</v>
      </c>
      <c r="O77" s="49" t="s">
        <v>725</v>
      </c>
      <c r="P77" s="595" t="s">
        <v>725</v>
      </c>
      <c r="U77" s="714" t="s">
        <v>247</v>
      </c>
      <c r="V77" s="718" t="s">
        <v>895</v>
      </c>
      <c r="W77" s="707">
        <v>2009</v>
      </c>
      <c r="X77" s="720" t="s">
        <v>5142</v>
      </c>
      <c r="Y77" s="720" t="s">
        <v>5142</v>
      </c>
    </row>
    <row r="78" spans="1:27">
      <c r="A78" s="49">
        <v>77</v>
      </c>
      <c r="B78" t="s">
        <v>120</v>
      </c>
      <c r="C78" s="49" t="s">
        <v>815</v>
      </c>
      <c r="D78" s="49" t="s">
        <v>5020</v>
      </c>
      <c r="E78" s="49" t="s">
        <v>728</v>
      </c>
      <c r="F78" s="49">
        <v>2006</v>
      </c>
      <c r="G78" t="s">
        <v>5058</v>
      </c>
      <c r="H78" t="s">
        <v>5104</v>
      </c>
      <c r="I78" s="594">
        <v>45000</v>
      </c>
      <c r="J78" s="594">
        <v>200000</v>
      </c>
      <c r="K78" s="707">
        <v>5</v>
      </c>
      <c r="L78" s="435">
        <v>200000</v>
      </c>
      <c r="M78" s="49" t="s">
        <v>725</v>
      </c>
      <c r="N78" s="49" t="s">
        <v>725</v>
      </c>
      <c r="O78" s="49" t="s">
        <v>725</v>
      </c>
      <c r="P78" s="595" t="s">
        <v>5121</v>
      </c>
      <c r="U78" s="714" t="s">
        <v>249</v>
      </c>
      <c r="V78" s="718" t="s">
        <v>896</v>
      </c>
      <c r="W78" s="707">
        <v>2007</v>
      </c>
      <c r="X78" s="720" t="s">
        <v>5142</v>
      </c>
      <c r="Y78" s="720" t="s">
        <v>5142</v>
      </c>
    </row>
    <row r="79" spans="1:27">
      <c r="A79" s="49">
        <v>78</v>
      </c>
      <c r="B79" t="s">
        <v>122</v>
      </c>
      <c r="C79" s="49" t="s">
        <v>816</v>
      </c>
      <c r="D79" s="49" t="s">
        <v>5019</v>
      </c>
      <c r="E79" s="49" t="s">
        <v>728</v>
      </c>
      <c r="F79" s="49">
        <v>2008</v>
      </c>
      <c r="G79" t="s">
        <v>5112</v>
      </c>
      <c r="H79" t="s">
        <v>5104</v>
      </c>
      <c r="I79" s="594">
        <v>12000000</v>
      </c>
      <c r="J79" s="594">
        <v>20000000</v>
      </c>
      <c r="K79" s="707">
        <v>5</v>
      </c>
      <c r="L79" s="435">
        <v>20000000</v>
      </c>
      <c r="M79" s="49" t="s">
        <v>728</v>
      </c>
      <c r="N79" s="49" t="s">
        <v>725</v>
      </c>
      <c r="O79" s="49" t="s">
        <v>725</v>
      </c>
      <c r="P79" s="595" t="s">
        <v>503</v>
      </c>
      <c r="U79" s="714" t="s">
        <v>252</v>
      </c>
      <c r="V79" s="718" t="s">
        <v>899</v>
      </c>
      <c r="W79" s="707">
        <v>2006</v>
      </c>
      <c r="X79" s="721">
        <v>2000000</v>
      </c>
      <c r="Y79" s="721">
        <v>10000000</v>
      </c>
      <c r="Z79" s="718" t="s">
        <v>5027</v>
      </c>
    </row>
    <row r="80" spans="1:27">
      <c r="A80" s="49">
        <v>79</v>
      </c>
      <c r="B80" t="s">
        <v>123</v>
      </c>
      <c r="C80" s="49" t="s">
        <v>817</v>
      </c>
      <c r="D80" s="49" t="s">
        <v>407</v>
      </c>
      <c r="E80" s="49" t="s">
        <v>728</v>
      </c>
      <c r="F80" s="49">
        <v>2010</v>
      </c>
      <c r="G80" t="s">
        <v>5023</v>
      </c>
      <c r="H80" t="s">
        <v>5108</v>
      </c>
      <c r="I80" s="594">
        <v>2500000</v>
      </c>
      <c r="J80" s="594">
        <v>2500000</v>
      </c>
      <c r="K80" s="707">
        <v>5</v>
      </c>
      <c r="L80" s="435">
        <v>2500000</v>
      </c>
      <c r="M80" s="49" t="s">
        <v>725</v>
      </c>
      <c r="N80" s="49" t="s">
        <v>728</v>
      </c>
      <c r="O80" s="49" t="s">
        <v>725</v>
      </c>
      <c r="P80" s="595" t="s">
        <v>5121</v>
      </c>
      <c r="U80" s="714" t="s">
        <v>255</v>
      </c>
      <c r="V80" s="718" t="s">
        <v>901</v>
      </c>
      <c r="W80" s="707">
        <v>2009</v>
      </c>
      <c r="X80" s="721">
        <v>100000</v>
      </c>
      <c r="Y80" s="721">
        <v>200000</v>
      </c>
    </row>
    <row r="81" spans="1:27">
      <c r="A81" s="49">
        <v>80</v>
      </c>
      <c r="B81" t="s">
        <v>125</v>
      </c>
      <c r="C81" s="49" t="s">
        <v>739</v>
      </c>
      <c r="D81" s="49" t="s">
        <v>5022</v>
      </c>
      <c r="E81" s="49" t="s">
        <v>728</v>
      </c>
      <c r="F81" s="49">
        <v>2007</v>
      </c>
      <c r="G81" t="s">
        <v>5059</v>
      </c>
      <c r="H81" t="s">
        <v>5024</v>
      </c>
      <c r="I81" s="594">
        <v>1000000</v>
      </c>
      <c r="J81" s="594">
        <v>1500000</v>
      </c>
      <c r="K81" s="707">
        <v>5</v>
      </c>
      <c r="L81" s="435">
        <v>1500000</v>
      </c>
      <c r="M81" s="49" t="s">
        <v>725</v>
      </c>
      <c r="N81" s="49" t="s">
        <v>725</v>
      </c>
      <c r="O81" s="49" t="s">
        <v>725</v>
      </c>
      <c r="P81" s="595" t="s">
        <v>5121</v>
      </c>
      <c r="U81" s="714" t="s">
        <v>259</v>
      </c>
      <c r="V81" s="718" t="s">
        <v>904</v>
      </c>
      <c r="W81" s="707">
        <v>2005</v>
      </c>
      <c r="X81" s="721">
        <v>825000</v>
      </c>
      <c r="Y81" s="721">
        <v>5100000</v>
      </c>
      <c r="Z81" s="718" t="s">
        <v>5027</v>
      </c>
    </row>
    <row r="82" spans="1:27">
      <c r="A82" s="49">
        <v>81</v>
      </c>
      <c r="B82" t="s">
        <v>127</v>
      </c>
      <c r="C82" s="49" t="s">
        <v>818</v>
      </c>
      <c r="D82" s="49" t="s">
        <v>5022</v>
      </c>
      <c r="E82" s="49" t="s">
        <v>5113</v>
      </c>
      <c r="F82" s="49">
        <v>2009</v>
      </c>
      <c r="G82" t="s">
        <v>5060</v>
      </c>
      <c r="H82" t="s">
        <v>5024</v>
      </c>
      <c r="I82" s="710" t="s">
        <v>145</v>
      </c>
      <c r="J82" s="710" t="s">
        <v>145</v>
      </c>
      <c r="K82" s="707">
        <v>5</v>
      </c>
      <c r="L82" t="s">
        <v>145</v>
      </c>
      <c r="M82" s="49" t="s">
        <v>725</v>
      </c>
      <c r="N82" s="49" t="s">
        <v>725</v>
      </c>
      <c r="O82" s="49" t="s">
        <v>725</v>
      </c>
      <c r="P82" s="595" t="s">
        <v>725</v>
      </c>
      <c r="U82" s="714" t="s">
        <v>260</v>
      </c>
      <c r="V82" s="718" t="s">
        <v>905</v>
      </c>
      <c r="W82" s="707">
        <v>2006</v>
      </c>
      <c r="X82" s="721">
        <v>750000</v>
      </c>
      <c r="Y82" s="721">
        <v>3500000</v>
      </c>
      <c r="Z82" s="718" t="s">
        <v>728</v>
      </c>
    </row>
    <row r="83" spans="1:27">
      <c r="A83" s="49">
        <v>82</v>
      </c>
      <c r="B83" t="s">
        <v>129</v>
      </c>
      <c r="C83" s="49" t="s">
        <v>819</v>
      </c>
      <c r="D83" s="49" t="s">
        <v>5020</v>
      </c>
      <c r="E83" s="49" t="s">
        <v>728</v>
      </c>
      <c r="F83" s="49">
        <v>2006</v>
      </c>
      <c r="G83" t="s">
        <v>5061</v>
      </c>
      <c r="H83" t="s">
        <v>5024</v>
      </c>
      <c r="I83" s="594">
        <v>600000</v>
      </c>
      <c r="J83" s="594">
        <v>2800000</v>
      </c>
      <c r="K83" s="707">
        <v>10</v>
      </c>
      <c r="L83" s="435">
        <v>2800000</v>
      </c>
      <c r="M83" s="49" t="s">
        <v>5027</v>
      </c>
      <c r="N83" s="49" t="s">
        <v>725</v>
      </c>
      <c r="O83" s="49" t="s">
        <v>725</v>
      </c>
      <c r="P83" s="595" t="s">
        <v>5121</v>
      </c>
      <c r="U83" s="714" t="s">
        <v>930</v>
      </c>
      <c r="V83" s="718" t="s">
        <v>746</v>
      </c>
      <c r="W83" s="707">
        <v>2008</v>
      </c>
      <c r="X83" s="721">
        <v>1500000</v>
      </c>
      <c r="Y83" s="721">
        <v>4000000</v>
      </c>
    </row>
    <row r="84" spans="1:27">
      <c r="A84" s="49">
        <v>83</v>
      </c>
      <c r="B84" t="s">
        <v>131</v>
      </c>
      <c r="C84" s="49" t="s">
        <v>820</v>
      </c>
      <c r="D84" s="49" t="s">
        <v>5022</v>
      </c>
      <c r="E84" s="49" t="s">
        <v>5027</v>
      </c>
      <c r="F84" s="49" t="s">
        <v>145</v>
      </c>
      <c r="G84" t="s">
        <v>5105</v>
      </c>
      <c r="H84" t="s">
        <v>5104</v>
      </c>
      <c r="I84" s="594">
        <v>600000</v>
      </c>
      <c r="J84" s="710" t="s">
        <v>145</v>
      </c>
      <c r="K84" s="707">
        <v>5</v>
      </c>
      <c r="L84" t="s">
        <v>145</v>
      </c>
      <c r="M84" s="49" t="s">
        <v>725</v>
      </c>
      <c r="N84" s="49" t="s">
        <v>725</v>
      </c>
      <c r="O84" s="49" t="s">
        <v>725</v>
      </c>
      <c r="P84" s="595" t="s">
        <v>5121</v>
      </c>
      <c r="U84" s="714" t="s">
        <v>263</v>
      </c>
      <c r="V84" s="718" t="s">
        <v>907</v>
      </c>
      <c r="W84" s="707">
        <v>2010</v>
      </c>
      <c r="X84" s="721">
        <v>40000</v>
      </c>
      <c r="Y84" s="721">
        <v>50000</v>
      </c>
    </row>
    <row r="85" spans="1:27">
      <c r="A85" s="49">
        <v>84</v>
      </c>
      <c r="B85" t="s">
        <v>132</v>
      </c>
      <c r="C85" s="49" t="s">
        <v>821</v>
      </c>
      <c r="D85" s="49" t="s">
        <v>5020</v>
      </c>
      <c r="E85" s="49" t="s">
        <v>728</v>
      </c>
      <c r="F85" s="49">
        <v>2006</v>
      </c>
      <c r="G85" t="s">
        <v>5062</v>
      </c>
      <c r="H85" t="s">
        <v>5104</v>
      </c>
      <c r="I85" s="594">
        <v>2500000</v>
      </c>
      <c r="J85" s="594">
        <v>11200000</v>
      </c>
      <c r="K85" s="707">
        <v>10</v>
      </c>
      <c r="L85" s="435">
        <v>11200000</v>
      </c>
      <c r="M85" s="49" t="s">
        <v>725</v>
      </c>
      <c r="N85" s="49" t="s">
        <v>725</v>
      </c>
      <c r="O85" s="49" t="s">
        <v>725</v>
      </c>
      <c r="P85" s="595" t="s">
        <v>725</v>
      </c>
      <c r="U85" s="714" t="s">
        <v>267</v>
      </c>
      <c r="V85" s="718" t="s">
        <v>909</v>
      </c>
      <c r="W85" s="707">
        <v>2005</v>
      </c>
      <c r="X85" s="721">
        <v>860000</v>
      </c>
      <c r="Y85" s="721">
        <v>5200000</v>
      </c>
    </row>
    <row r="86" spans="1:27">
      <c r="A86" s="49">
        <v>85</v>
      </c>
      <c r="B86" t="s">
        <v>133</v>
      </c>
      <c r="C86" s="49" t="s">
        <v>822</v>
      </c>
      <c r="D86" s="49" t="s">
        <v>5026</v>
      </c>
      <c r="E86" s="49" t="s">
        <v>5027</v>
      </c>
      <c r="F86" s="49" t="s">
        <v>145</v>
      </c>
      <c r="G86" t="s">
        <v>5105</v>
      </c>
      <c r="H86" t="s">
        <v>5108</v>
      </c>
      <c r="I86" s="710" t="s">
        <v>145</v>
      </c>
      <c r="J86" s="710" t="s">
        <v>145</v>
      </c>
      <c r="K86" s="707">
        <v>5</v>
      </c>
      <c r="L86" t="s">
        <v>145</v>
      </c>
      <c r="M86" s="49" t="s">
        <v>725</v>
      </c>
      <c r="N86" s="49" t="s">
        <v>725</v>
      </c>
      <c r="O86" s="49" t="s">
        <v>725</v>
      </c>
      <c r="P86" s="595" t="s">
        <v>725</v>
      </c>
      <c r="U86" s="714" t="s">
        <v>269</v>
      </c>
      <c r="V86" s="718" t="s">
        <v>910</v>
      </c>
      <c r="W86" s="707">
        <v>2009</v>
      </c>
      <c r="X86" s="721">
        <v>30000</v>
      </c>
      <c r="Y86" s="721">
        <v>50000</v>
      </c>
    </row>
    <row r="87" spans="1:27">
      <c r="A87" s="49">
        <v>86</v>
      </c>
      <c r="B87" t="s">
        <v>135</v>
      </c>
      <c r="C87" s="49" t="s">
        <v>823</v>
      </c>
      <c r="D87" s="49" t="s">
        <v>407</v>
      </c>
      <c r="E87" s="49" t="s">
        <v>728</v>
      </c>
      <c r="F87" s="49">
        <v>2006</v>
      </c>
      <c r="G87" t="s">
        <v>5063</v>
      </c>
      <c r="H87" t="s">
        <v>5024</v>
      </c>
      <c r="I87" s="594">
        <v>4200000</v>
      </c>
      <c r="J87" s="594">
        <v>20000000</v>
      </c>
      <c r="K87" s="707">
        <v>10</v>
      </c>
      <c r="L87" s="435">
        <v>20000000</v>
      </c>
      <c r="M87" s="49" t="s">
        <v>728</v>
      </c>
      <c r="N87" s="49" t="s">
        <v>728</v>
      </c>
      <c r="O87" s="49" t="s">
        <v>5064</v>
      </c>
      <c r="P87" s="595" t="s">
        <v>5121</v>
      </c>
      <c r="U87" s="714" t="s">
        <v>276</v>
      </c>
      <c r="V87" s="718" t="s">
        <v>914</v>
      </c>
      <c r="W87" s="707">
        <v>2010</v>
      </c>
      <c r="X87" s="721">
        <v>1430000</v>
      </c>
      <c r="Y87" s="721">
        <v>1500000</v>
      </c>
    </row>
    <row r="88" spans="1:27">
      <c r="A88" s="49">
        <v>87</v>
      </c>
      <c r="B88" t="s">
        <v>137</v>
      </c>
      <c r="C88" s="49" t="s">
        <v>824</v>
      </c>
      <c r="D88" s="49" t="s">
        <v>5022</v>
      </c>
      <c r="E88" s="49" t="s">
        <v>725</v>
      </c>
      <c r="F88" s="49" t="s">
        <v>145</v>
      </c>
      <c r="G88" t="s">
        <v>145</v>
      </c>
      <c r="H88" t="s">
        <v>145</v>
      </c>
      <c r="I88" s="710" t="s">
        <v>145</v>
      </c>
      <c r="J88" s="710" t="s">
        <v>145</v>
      </c>
      <c r="K88" s="707">
        <v>5</v>
      </c>
      <c r="L88" t="s">
        <v>145</v>
      </c>
      <c r="M88" s="49" t="s">
        <v>725</v>
      </c>
      <c r="N88" s="49" t="s">
        <v>725</v>
      </c>
      <c r="O88" s="49" t="s">
        <v>725</v>
      </c>
      <c r="P88" s="595" t="s">
        <v>5124</v>
      </c>
      <c r="U88" s="714" t="s">
        <v>278</v>
      </c>
      <c r="V88" s="718" t="s">
        <v>915</v>
      </c>
      <c r="W88" s="707">
        <v>2008</v>
      </c>
      <c r="X88" s="721">
        <v>80000</v>
      </c>
      <c r="Y88" s="721">
        <v>200000</v>
      </c>
    </row>
    <row r="89" spans="1:27">
      <c r="A89" s="49">
        <v>88</v>
      </c>
      <c r="B89" t="s">
        <v>139</v>
      </c>
      <c r="C89" s="49" t="s">
        <v>825</v>
      </c>
      <c r="D89" s="49" t="s">
        <v>5019</v>
      </c>
      <c r="E89" s="49" t="s">
        <v>728</v>
      </c>
      <c r="F89" s="49">
        <v>2009</v>
      </c>
      <c r="G89" t="s">
        <v>5040</v>
      </c>
      <c r="H89" t="s">
        <v>5024</v>
      </c>
      <c r="I89" s="594">
        <v>65000</v>
      </c>
      <c r="J89" s="594">
        <v>130000</v>
      </c>
      <c r="K89" s="707">
        <v>5</v>
      </c>
      <c r="L89" s="435">
        <v>130000</v>
      </c>
      <c r="M89" s="49" t="s">
        <v>728</v>
      </c>
      <c r="N89" s="49" t="s">
        <v>725</v>
      </c>
      <c r="O89" s="49" t="s">
        <v>725</v>
      </c>
      <c r="P89" s="595" t="s">
        <v>503</v>
      </c>
      <c r="U89" s="714" t="s">
        <v>283</v>
      </c>
      <c r="V89" s="718" t="s">
        <v>919</v>
      </c>
      <c r="W89" s="707">
        <v>2010</v>
      </c>
      <c r="X89" s="721">
        <v>300000</v>
      </c>
      <c r="Y89" s="721">
        <v>400000</v>
      </c>
      <c r="Z89" s="718" t="s">
        <v>728</v>
      </c>
    </row>
    <row r="90" spans="1:27">
      <c r="A90" s="49">
        <v>89</v>
      </c>
      <c r="B90" t="s">
        <v>141</v>
      </c>
      <c r="C90" s="49" t="s">
        <v>826</v>
      </c>
      <c r="D90" s="49" t="s">
        <v>452</v>
      </c>
      <c r="E90" s="49" t="s">
        <v>5027</v>
      </c>
      <c r="F90" s="49" t="s">
        <v>5128</v>
      </c>
      <c r="G90" t="s">
        <v>5105</v>
      </c>
      <c r="H90" t="s">
        <v>5024</v>
      </c>
      <c r="I90" s="710">
        <v>200000</v>
      </c>
      <c r="J90" s="594" t="s">
        <v>145</v>
      </c>
      <c r="K90" s="707">
        <v>10</v>
      </c>
      <c r="L90" t="s">
        <v>145</v>
      </c>
      <c r="M90" s="49" t="s">
        <v>725</v>
      </c>
      <c r="N90" s="49" t="s">
        <v>725</v>
      </c>
      <c r="O90" s="49" t="s">
        <v>725</v>
      </c>
      <c r="P90" s="595" t="s">
        <v>725</v>
      </c>
      <c r="U90" s="714" t="s">
        <v>284</v>
      </c>
      <c r="V90" s="718" t="s">
        <v>920</v>
      </c>
      <c r="W90" s="707">
        <v>2006</v>
      </c>
      <c r="X90" s="721">
        <v>5000000</v>
      </c>
      <c r="Y90" s="721">
        <v>27000000</v>
      </c>
      <c r="Z90" s="718" t="s">
        <v>728</v>
      </c>
      <c r="AA90" s="718" t="s">
        <v>728</v>
      </c>
    </row>
    <row r="91" spans="1:27">
      <c r="A91" s="49">
        <v>90</v>
      </c>
      <c r="B91" t="s">
        <v>143</v>
      </c>
      <c r="C91" s="49" t="s">
        <v>827</v>
      </c>
      <c r="D91" s="49" t="s">
        <v>407</v>
      </c>
      <c r="E91" s="49" t="s">
        <v>725</v>
      </c>
      <c r="F91" s="49" t="s">
        <v>145</v>
      </c>
      <c r="G91" t="s">
        <v>145</v>
      </c>
      <c r="H91" t="s">
        <v>145</v>
      </c>
      <c r="I91" s="710" t="s">
        <v>145</v>
      </c>
      <c r="J91" s="710" t="s">
        <v>145</v>
      </c>
      <c r="K91" s="707">
        <v>5</v>
      </c>
      <c r="L91" t="s">
        <v>145</v>
      </c>
      <c r="M91" s="49" t="s">
        <v>725</v>
      </c>
      <c r="N91" s="49" t="s">
        <v>725</v>
      </c>
      <c r="O91" s="49" t="s">
        <v>725</v>
      </c>
      <c r="P91" s="595" t="s">
        <v>725</v>
      </c>
      <c r="U91" s="714" t="s">
        <v>285</v>
      </c>
      <c r="V91" s="718" t="s">
        <v>742</v>
      </c>
      <c r="W91" s="707">
        <v>2006</v>
      </c>
      <c r="X91" s="721">
        <v>13000000</v>
      </c>
      <c r="Y91" s="721">
        <v>72000000</v>
      </c>
      <c r="Z91" s="718" t="s">
        <v>728</v>
      </c>
      <c r="AA91" s="718" t="s">
        <v>728</v>
      </c>
    </row>
    <row r="92" spans="1:27">
      <c r="A92" s="49">
        <v>91</v>
      </c>
      <c r="B92" t="s">
        <v>2333</v>
      </c>
      <c r="C92" s="49" t="s">
        <v>828</v>
      </c>
      <c r="D92" s="49" t="s">
        <v>407</v>
      </c>
      <c r="E92" s="49" t="s">
        <v>725</v>
      </c>
      <c r="F92" s="49" t="s">
        <v>145</v>
      </c>
      <c r="G92" t="s">
        <v>145</v>
      </c>
      <c r="H92" t="s">
        <v>145</v>
      </c>
      <c r="I92" s="710" t="s">
        <v>145</v>
      </c>
      <c r="J92" s="710" t="s">
        <v>145</v>
      </c>
      <c r="K92" s="707">
        <v>5</v>
      </c>
      <c r="L92" t="s">
        <v>145</v>
      </c>
      <c r="M92" s="49" t="s">
        <v>725</v>
      </c>
      <c r="N92" s="49" t="s">
        <v>725</v>
      </c>
      <c r="O92" s="49" t="s">
        <v>725</v>
      </c>
      <c r="P92" s="595" t="s">
        <v>725</v>
      </c>
      <c r="U92" s="714" t="s">
        <v>5103</v>
      </c>
      <c r="V92" s="718" t="s">
        <v>5119</v>
      </c>
      <c r="W92" s="707">
        <v>2008</v>
      </c>
      <c r="X92" s="720">
        <v>0</v>
      </c>
      <c r="Y92" s="721">
        <v>2000</v>
      </c>
    </row>
    <row r="93" spans="1:27">
      <c r="A93" s="49">
        <v>92</v>
      </c>
      <c r="B93" t="s">
        <v>146</v>
      </c>
      <c r="C93" s="49" t="s">
        <v>829</v>
      </c>
      <c r="D93" s="49" t="s">
        <v>407</v>
      </c>
      <c r="E93" s="49" t="s">
        <v>728</v>
      </c>
      <c r="F93" s="49">
        <v>2008</v>
      </c>
      <c r="G93" t="s">
        <v>5065</v>
      </c>
      <c r="H93" t="s">
        <v>5024</v>
      </c>
      <c r="I93" s="594">
        <v>4000000</v>
      </c>
      <c r="J93" s="594">
        <v>10000000</v>
      </c>
      <c r="K93" s="707">
        <v>10</v>
      </c>
      <c r="L93" s="435">
        <v>10000000</v>
      </c>
      <c r="M93" s="49" t="s">
        <v>728</v>
      </c>
      <c r="N93" s="49" t="s">
        <v>725</v>
      </c>
      <c r="O93" s="49" t="s">
        <v>725</v>
      </c>
      <c r="P93" s="595" t="s">
        <v>5125</v>
      </c>
      <c r="U93" s="714" t="s">
        <v>290</v>
      </c>
      <c r="V93" s="718" t="s">
        <v>924</v>
      </c>
      <c r="W93" s="707">
        <v>2007</v>
      </c>
      <c r="X93" s="721">
        <v>420000</v>
      </c>
      <c r="Y93" s="721">
        <v>1200000</v>
      </c>
    </row>
    <row r="94" spans="1:27">
      <c r="A94" s="49">
        <v>93</v>
      </c>
      <c r="B94" t="s">
        <v>148</v>
      </c>
      <c r="C94" s="49" t="s">
        <v>830</v>
      </c>
      <c r="D94" s="49" t="s">
        <v>5020</v>
      </c>
      <c r="E94" s="49" t="s">
        <v>728</v>
      </c>
      <c r="F94" s="49">
        <v>2010</v>
      </c>
      <c r="G94" t="s">
        <v>5023</v>
      </c>
      <c r="H94" t="s">
        <v>5114</v>
      </c>
      <c r="I94" s="594">
        <v>300000</v>
      </c>
      <c r="J94" s="594">
        <v>200000</v>
      </c>
      <c r="K94" s="707">
        <v>5</v>
      </c>
      <c r="L94" s="435">
        <v>200000</v>
      </c>
      <c r="M94" s="49" t="s">
        <v>725</v>
      </c>
      <c r="N94" s="49" t="s">
        <v>725</v>
      </c>
      <c r="O94" s="49" t="s">
        <v>725</v>
      </c>
      <c r="P94" s="595" t="s">
        <v>725</v>
      </c>
    </row>
    <row r="95" spans="1:27">
      <c r="A95" s="49">
        <v>94</v>
      </c>
      <c r="B95" t="s">
        <v>149</v>
      </c>
      <c r="C95" s="49" t="s">
        <v>831</v>
      </c>
      <c r="D95" s="49" t="s">
        <v>5022</v>
      </c>
      <c r="E95" s="49" t="s">
        <v>5027</v>
      </c>
      <c r="F95" s="49" t="s">
        <v>5128</v>
      </c>
      <c r="G95" t="s">
        <v>5105</v>
      </c>
      <c r="H95" t="s">
        <v>5024</v>
      </c>
      <c r="I95" s="710" t="s">
        <v>145</v>
      </c>
      <c r="J95" s="710" t="s">
        <v>145</v>
      </c>
      <c r="K95" s="707">
        <v>5</v>
      </c>
      <c r="L95" t="s">
        <v>145</v>
      </c>
      <c r="M95" s="49" t="s">
        <v>725</v>
      </c>
      <c r="N95" s="49" t="s">
        <v>725</v>
      </c>
      <c r="O95" s="49" t="s">
        <v>725</v>
      </c>
      <c r="P95" s="595" t="s">
        <v>725</v>
      </c>
      <c r="X95" s="723">
        <f>SUM(X2:X94)</f>
        <v>97631700</v>
      </c>
      <c r="Y95" s="723">
        <f>SUM(Y2:Y94)</f>
        <v>345039000</v>
      </c>
    </row>
    <row r="96" spans="1:27">
      <c r="A96" s="49">
        <v>95</v>
      </c>
      <c r="B96" t="s">
        <v>316</v>
      </c>
      <c r="C96" s="49" t="s">
        <v>832</v>
      </c>
      <c r="D96" s="49" t="s">
        <v>5019</v>
      </c>
      <c r="E96" s="49" t="s">
        <v>725</v>
      </c>
      <c r="F96" s="49" t="s">
        <v>145</v>
      </c>
      <c r="G96" t="s">
        <v>145</v>
      </c>
      <c r="H96" t="s">
        <v>145</v>
      </c>
      <c r="I96" s="710" t="s">
        <v>145</v>
      </c>
      <c r="J96" s="710" t="s">
        <v>145</v>
      </c>
      <c r="K96" s="707">
        <v>5</v>
      </c>
      <c r="L96" t="s">
        <v>145</v>
      </c>
      <c r="M96" s="49" t="s">
        <v>725</v>
      </c>
      <c r="N96" s="49" t="s">
        <v>725</v>
      </c>
      <c r="O96" s="49" t="s">
        <v>725</v>
      </c>
      <c r="P96" s="595" t="s">
        <v>503</v>
      </c>
    </row>
    <row r="97" spans="1:16">
      <c r="A97" s="49">
        <v>96</v>
      </c>
      <c r="B97" t="s">
        <v>152</v>
      </c>
      <c r="C97" s="49" t="s">
        <v>833</v>
      </c>
      <c r="D97" s="49" t="s">
        <v>407</v>
      </c>
      <c r="E97" s="49" t="s">
        <v>725</v>
      </c>
      <c r="F97" s="49" t="s">
        <v>145</v>
      </c>
      <c r="G97" t="s">
        <v>145</v>
      </c>
      <c r="H97" t="s">
        <v>145</v>
      </c>
      <c r="I97" s="710" t="s">
        <v>145</v>
      </c>
      <c r="J97" s="710" t="s">
        <v>145</v>
      </c>
      <c r="K97" s="707">
        <v>5</v>
      </c>
      <c r="L97" t="s">
        <v>145</v>
      </c>
      <c r="M97" s="49" t="s">
        <v>725</v>
      </c>
      <c r="N97" s="49" t="s">
        <v>725</v>
      </c>
      <c r="O97" s="49" t="s">
        <v>725</v>
      </c>
      <c r="P97" s="595" t="s">
        <v>725</v>
      </c>
    </row>
    <row r="98" spans="1:16">
      <c r="A98" s="49">
        <v>97</v>
      </c>
      <c r="B98" t="s">
        <v>154</v>
      </c>
      <c r="C98" s="49" t="s">
        <v>834</v>
      </c>
      <c r="D98" s="49" t="s">
        <v>5020</v>
      </c>
      <c r="E98" s="49" t="s">
        <v>728</v>
      </c>
      <c r="F98" s="49">
        <v>2007</v>
      </c>
      <c r="G98" t="s">
        <v>5066</v>
      </c>
      <c r="H98" t="s">
        <v>5104</v>
      </c>
      <c r="I98" s="594">
        <v>300000</v>
      </c>
      <c r="J98" s="594">
        <v>1000000</v>
      </c>
      <c r="K98" s="707">
        <v>10</v>
      </c>
      <c r="L98" s="435">
        <v>1000000</v>
      </c>
      <c r="M98" s="49" t="s">
        <v>728</v>
      </c>
      <c r="N98" s="49" t="s">
        <v>725</v>
      </c>
      <c r="O98" s="49" t="s">
        <v>725</v>
      </c>
      <c r="P98" s="595" t="s">
        <v>725</v>
      </c>
    </row>
    <row r="99" spans="1:16">
      <c r="A99" s="49">
        <v>98</v>
      </c>
      <c r="B99" t="s">
        <v>156</v>
      </c>
      <c r="C99" s="49" t="s">
        <v>835</v>
      </c>
      <c r="D99" s="49" t="s">
        <v>5022</v>
      </c>
      <c r="E99" s="49" t="s">
        <v>5027</v>
      </c>
      <c r="F99" s="49" t="s">
        <v>5129</v>
      </c>
      <c r="G99" t="s">
        <v>5115</v>
      </c>
      <c r="H99" t="s">
        <v>5104</v>
      </c>
      <c r="I99" s="594">
        <v>100000</v>
      </c>
      <c r="J99" s="710" t="s">
        <v>145</v>
      </c>
      <c r="K99" s="707">
        <v>5</v>
      </c>
      <c r="L99" t="s">
        <v>145</v>
      </c>
      <c r="M99" s="49" t="s">
        <v>725</v>
      </c>
      <c r="N99" s="49" t="s">
        <v>725</v>
      </c>
      <c r="O99" s="49" t="s">
        <v>725</v>
      </c>
      <c r="P99" s="595" t="s">
        <v>725</v>
      </c>
    </row>
    <row r="100" spans="1:16">
      <c r="A100" s="49">
        <v>99</v>
      </c>
      <c r="B100" t="s">
        <v>158</v>
      </c>
      <c r="C100" s="49" t="s">
        <v>836</v>
      </c>
      <c r="D100" s="49" t="s">
        <v>452</v>
      </c>
      <c r="E100" s="49" t="s">
        <v>725</v>
      </c>
      <c r="F100" s="49" t="s">
        <v>145</v>
      </c>
      <c r="G100" t="s">
        <v>145</v>
      </c>
      <c r="H100" t="s">
        <v>145</v>
      </c>
      <c r="I100" s="710" t="s">
        <v>145</v>
      </c>
      <c r="J100" s="710" t="s">
        <v>145</v>
      </c>
      <c r="K100" s="707">
        <v>5</v>
      </c>
      <c r="L100" t="s">
        <v>145</v>
      </c>
      <c r="M100" s="49" t="s">
        <v>725</v>
      </c>
      <c r="N100" s="49" t="s">
        <v>725</v>
      </c>
      <c r="O100" s="49" t="s">
        <v>725</v>
      </c>
      <c r="P100" s="595" t="s">
        <v>725</v>
      </c>
    </row>
    <row r="101" spans="1:16">
      <c r="A101" s="49">
        <v>100</v>
      </c>
      <c r="B101" t="s">
        <v>159</v>
      </c>
      <c r="C101" s="49" t="s">
        <v>837</v>
      </c>
      <c r="D101" s="49" t="s">
        <v>452</v>
      </c>
      <c r="E101" s="49" t="s">
        <v>728</v>
      </c>
      <c r="F101" s="49">
        <v>2011</v>
      </c>
      <c r="G101" t="s">
        <v>5042</v>
      </c>
      <c r="H101" t="s">
        <v>5104</v>
      </c>
      <c r="I101" s="594">
        <v>14000</v>
      </c>
      <c r="J101" s="594">
        <v>4000</v>
      </c>
      <c r="K101" s="707">
        <v>5</v>
      </c>
      <c r="L101" s="435">
        <v>4000</v>
      </c>
      <c r="M101" s="49" t="s">
        <v>725</v>
      </c>
      <c r="N101" s="49" t="s">
        <v>725</v>
      </c>
      <c r="O101" s="49" t="s">
        <v>725</v>
      </c>
      <c r="P101" s="595" t="s">
        <v>725</v>
      </c>
    </row>
    <row r="102" spans="1:16">
      <c r="A102" s="49">
        <v>101</v>
      </c>
      <c r="B102" t="s">
        <v>161</v>
      </c>
      <c r="C102" s="49" t="s">
        <v>838</v>
      </c>
      <c r="D102" s="49" t="s">
        <v>5022</v>
      </c>
      <c r="E102" s="49" t="s">
        <v>728</v>
      </c>
      <c r="F102" s="49">
        <v>2009</v>
      </c>
      <c r="G102" t="s">
        <v>5060</v>
      </c>
      <c r="H102" t="s">
        <v>5024</v>
      </c>
      <c r="I102" s="594">
        <v>20000</v>
      </c>
      <c r="J102" s="594">
        <v>30000</v>
      </c>
      <c r="K102" s="707">
        <v>5</v>
      </c>
      <c r="L102" s="435">
        <v>30000</v>
      </c>
      <c r="M102" s="49" t="s">
        <v>725</v>
      </c>
      <c r="N102" s="49" t="s">
        <v>725</v>
      </c>
      <c r="O102" s="49" t="s">
        <v>725</v>
      </c>
      <c r="P102" s="595" t="s">
        <v>503</v>
      </c>
    </row>
    <row r="103" spans="1:16">
      <c r="A103" s="49">
        <v>102</v>
      </c>
      <c r="B103" t="s">
        <v>162</v>
      </c>
      <c r="C103" s="49" t="s">
        <v>839</v>
      </c>
      <c r="D103" s="49" t="s">
        <v>5020</v>
      </c>
      <c r="E103" s="49" t="s">
        <v>728</v>
      </c>
      <c r="F103" s="49">
        <v>2006</v>
      </c>
      <c r="G103" t="s">
        <v>5062</v>
      </c>
      <c r="H103" t="s">
        <v>5104</v>
      </c>
      <c r="I103" s="594">
        <v>6700</v>
      </c>
      <c r="J103" s="594">
        <v>30000</v>
      </c>
      <c r="K103" s="707">
        <v>10</v>
      </c>
      <c r="L103" s="435">
        <v>30000</v>
      </c>
      <c r="M103" s="49" t="s">
        <v>725</v>
      </c>
      <c r="N103" s="49" t="s">
        <v>725</v>
      </c>
      <c r="O103" s="49" t="s">
        <v>725</v>
      </c>
      <c r="P103" s="595" t="s">
        <v>725</v>
      </c>
    </row>
    <row r="104" spans="1:16">
      <c r="A104" s="49">
        <v>103</v>
      </c>
      <c r="B104" t="s">
        <v>163</v>
      </c>
      <c r="C104" s="49" t="s">
        <v>840</v>
      </c>
      <c r="D104" s="49" t="s">
        <v>5020</v>
      </c>
      <c r="E104" s="49" t="s">
        <v>728</v>
      </c>
      <c r="F104" s="49">
        <v>2006</v>
      </c>
      <c r="G104" t="s">
        <v>5067</v>
      </c>
      <c r="H104" t="s">
        <v>5104</v>
      </c>
      <c r="I104" s="594">
        <v>230000</v>
      </c>
      <c r="J104" s="594">
        <v>1100000</v>
      </c>
      <c r="K104" s="707">
        <v>10</v>
      </c>
      <c r="L104" s="435">
        <v>1100000</v>
      </c>
      <c r="M104" s="49" t="s">
        <v>5027</v>
      </c>
      <c r="N104" s="49" t="s">
        <v>725</v>
      </c>
      <c r="O104" s="49" t="s">
        <v>725</v>
      </c>
      <c r="P104" s="595" t="s">
        <v>725</v>
      </c>
    </row>
    <row r="105" spans="1:16">
      <c r="A105" s="49">
        <v>104</v>
      </c>
      <c r="B105" t="s">
        <v>165</v>
      </c>
      <c r="C105" s="49" t="s">
        <v>841</v>
      </c>
      <c r="D105" s="49" t="s">
        <v>5020</v>
      </c>
      <c r="E105" s="49" t="s">
        <v>728</v>
      </c>
      <c r="F105" s="49">
        <v>2006</v>
      </c>
      <c r="G105" t="s">
        <v>5067</v>
      </c>
      <c r="H105" t="s">
        <v>5104</v>
      </c>
      <c r="I105" s="594">
        <v>25000</v>
      </c>
      <c r="J105" s="594">
        <v>110000</v>
      </c>
      <c r="K105" s="707">
        <v>5</v>
      </c>
      <c r="L105" s="435">
        <v>110000</v>
      </c>
      <c r="M105" s="49" t="s">
        <v>5027</v>
      </c>
      <c r="N105" s="49" t="s">
        <v>725</v>
      </c>
      <c r="O105" s="49" t="s">
        <v>725</v>
      </c>
      <c r="P105" s="595" t="s">
        <v>725</v>
      </c>
    </row>
    <row r="106" spans="1:16">
      <c r="A106" s="49">
        <v>105</v>
      </c>
      <c r="B106" t="s">
        <v>167</v>
      </c>
      <c r="C106" s="49" t="s">
        <v>842</v>
      </c>
      <c r="D106" s="49" t="s">
        <v>407</v>
      </c>
      <c r="E106" s="49" t="s">
        <v>728</v>
      </c>
      <c r="F106" s="49">
        <v>2009</v>
      </c>
      <c r="G106" t="s">
        <v>5068</v>
      </c>
      <c r="H106" t="s">
        <v>5108</v>
      </c>
      <c r="I106" s="594">
        <v>180000</v>
      </c>
      <c r="J106" s="594">
        <v>150000</v>
      </c>
      <c r="K106" s="707">
        <v>10</v>
      </c>
      <c r="L106" s="435">
        <v>150000</v>
      </c>
      <c r="M106" s="49" t="s">
        <v>728</v>
      </c>
      <c r="N106" s="49" t="s">
        <v>725</v>
      </c>
      <c r="O106" s="49" t="s">
        <v>725</v>
      </c>
      <c r="P106" s="595" t="s">
        <v>503</v>
      </c>
    </row>
    <row r="107" spans="1:16">
      <c r="A107" s="49">
        <v>106</v>
      </c>
      <c r="B107" t="s">
        <v>396</v>
      </c>
      <c r="C107" s="49" t="s">
        <v>740</v>
      </c>
      <c r="D107" s="49" t="s">
        <v>5020</v>
      </c>
      <c r="E107" s="49" t="s">
        <v>728</v>
      </c>
      <c r="F107" s="49">
        <v>2007</v>
      </c>
      <c r="G107" t="s">
        <v>5069</v>
      </c>
      <c r="H107" t="s">
        <v>5104</v>
      </c>
      <c r="I107" s="594">
        <v>180000</v>
      </c>
      <c r="J107" s="594">
        <v>1100000</v>
      </c>
      <c r="K107" s="707">
        <v>10</v>
      </c>
      <c r="L107" s="435">
        <v>1100000</v>
      </c>
      <c r="M107" s="49" t="s">
        <v>725</v>
      </c>
      <c r="N107" s="49" t="s">
        <v>725</v>
      </c>
      <c r="O107" s="49" t="s">
        <v>725</v>
      </c>
      <c r="P107" s="595" t="s">
        <v>503</v>
      </c>
    </row>
    <row r="108" spans="1:16">
      <c r="A108" s="49">
        <v>107</v>
      </c>
      <c r="B108" t="s">
        <v>168</v>
      </c>
      <c r="C108" s="49" t="s">
        <v>843</v>
      </c>
      <c r="D108" s="49" t="s">
        <v>452</v>
      </c>
      <c r="E108" s="49" t="s">
        <v>728</v>
      </c>
      <c r="F108" s="49">
        <v>2010</v>
      </c>
      <c r="G108" t="s">
        <v>5023</v>
      </c>
      <c r="H108" t="s">
        <v>5024</v>
      </c>
      <c r="I108" s="594">
        <v>80000</v>
      </c>
      <c r="J108" s="594">
        <v>80000</v>
      </c>
      <c r="K108" s="707">
        <v>5</v>
      </c>
      <c r="L108" s="435">
        <v>80000</v>
      </c>
      <c r="M108" s="49" t="s">
        <v>725</v>
      </c>
      <c r="N108" s="49" t="s">
        <v>725</v>
      </c>
      <c r="O108" s="49" t="s">
        <v>725</v>
      </c>
      <c r="P108" s="595" t="s">
        <v>725</v>
      </c>
    </row>
    <row r="109" spans="1:16">
      <c r="A109" s="49">
        <v>108</v>
      </c>
      <c r="B109" t="s">
        <v>170</v>
      </c>
      <c r="C109" s="49" t="s">
        <v>844</v>
      </c>
      <c r="D109" s="49" t="s">
        <v>452</v>
      </c>
      <c r="E109" s="49" t="s">
        <v>725</v>
      </c>
      <c r="F109" s="49" t="s">
        <v>145</v>
      </c>
      <c r="G109" t="s">
        <v>145</v>
      </c>
      <c r="H109" t="s">
        <v>145</v>
      </c>
      <c r="I109" s="710" t="s">
        <v>145</v>
      </c>
      <c r="J109" s="710" t="s">
        <v>145</v>
      </c>
      <c r="K109" s="707">
        <v>5</v>
      </c>
      <c r="L109" t="s">
        <v>145</v>
      </c>
      <c r="M109" s="49" t="s">
        <v>725</v>
      </c>
      <c r="N109" s="49" t="s">
        <v>725</v>
      </c>
      <c r="O109" s="49" t="s">
        <v>725</v>
      </c>
      <c r="P109" s="595" t="s">
        <v>725</v>
      </c>
    </row>
    <row r="110" spans="1:16">
      <c r="A110" s="49">
        <v>109</v>
      </c>
      <c r="B110" t="s">
        <v>172</v>
      </c>
      <c r="C110" s="49" t="s">
        <v>845</v>
      </c>
      <c r="D110" s="49" t="s">
        <v>407</v>
      </c>
      <c r="E110" s="49" t="s">
        <v>728</v>
      </c>
      <c r="F110" s="49">
        <v>1998</v>
      </c>
      <c r="G110" t="s">
        <v>5116</v>
      </c>
      <c r="H110" t="s">
        <v>5104</v>
      </c>
      <c r="I110" s="594">
        <v>1300000</v>
      </c>
      <c r="J110" s="594">
        <v>1500000</v>
      </c>
      <c r="K110" s="707">
        <v>5</v>
      </c>
      <c r="L110" s="435">
        <v>1500000</v>
      </c>
      <c r="M110" s="49" t="s">
        <v>725</v>
      </c>
      <c r="N110" s="49" t="s">
        <v>725</v>
      </c>
      <c r="O110" s="49" t="s">
        <v>5064</v>
      </c>
      <c r="P110" s="595" t="s">
        <v>5122</v>
      </c>
    </row>
    <row r="111" spans="1:16">
      <c r="A111" s="49">
        <v>110</v>
      </c>
      <c r="B111" t="s">
        <v>174</v>
      </c>
      <c r="C111" s="49" t="s">
        <v>846</v>
      </c>
      <c r="D111" s="49" t="s">
        <v>5019</v>
      </c>
      <c r="E111" s="49" t="s">
        <v>728</v>
      </c>
      <c r="F111" s="49">
        <v>2007</v>
      </c>
      <c r="G111" t="s">
        <v>5070</v>
      </c>
      <c r="H111" t="s">
        <v>5104</v>
      </c>
      <c r="I111" s="594">
        <v>30000</v>
      </c>
      <c r="J111" s="594">
        <v>100000</v>
      </c>
      <c r="K111" s="707">
        <v>5</v>
      </c>
      <c r="L111" s="435">
        <v>100000</v>
      </c>
      <c r="M111" s="49" t="s">
        <v>725</v>
      </c>
      <c r="N111" s="49" t="s">
        <v>725</v>
      </c>
      <c r="O111" s="49" t="s">
        <v>725</v>
      </c>
      <c r="P111" s="595" t="s">
        <v>725</v>
      </c>
    </row>
    <row r="112" spans="1:16">
      <c r="A112" s="49">
        <v>111</v>
      </c>
      <c r="B112" t="s">
        <v>175</v>
      </c>
      <c r="C112" s="49" t="s">
        <v>847</v>
      </c>
      <c r="D112" s="49" t="s">
        <v>452</v>
      </c>
      <c r="E112" s="49" t="s">
        <v>725</v>
      </c>
      <c r="F112" s="49" t="s">
        <v>145</v>
      </c>
      <c r="G112" t="s">
        <v>145</v>
      </c>
      <c r="H112" t="s">
        <v>145</v>
      </c>
      <c r="I112" s="710" t="s">
        <v>145</v>
      </c>
      <c r="J112" s="710" t="s">
        <v>145</v>
      </c>
      <c r="K112" s="707">
        <v>5</v>
      </c>
      <c r="L112" t="s">
        <v>145</v>
      </c>
      <c r="M112" s="49" t="s">
        <v>725</v>
      </c>
      <c r="N112" s="49" t="s">
        <v>725</v>
      </c>
      <c r="O112" s="49" t="s">
        <v>725</v>
      </c>
      <c r="P112" s="595" t="s">
        <v>725</v>
      </c>
    </row>
    <row r="113" spans="1:16">
      <c r="A113" s="49">
        <v>112</v>
      </c>
      <c r="B113" t="s">
        <v>176</v>
      </c>
      <c r="C113" s="49" t="s">
        <v>848</v>
      </c>
      <c r="D113" s="49" t="s">
        <v>5020</v>
      </c>
      <c r="E113" s="49" t="s">
        <v>728</v>
      </c>
      <c r="F113" s="49">
        <v>2008</v>
      </c>
      <c r="G113" t="s">
        <v>5071</v>
      </c>
      <c r="H113" t="s">
        <v>5104</v>
      </c>
      <c r="I113" s="594">
        <v>16000</v>
      </c>
      <c r="J113" s="594">
        <v>40000</v>
      </c>
      <c r="K113" s="707">
        <v>10</v>
      </c>
      <c r="L113" s="435">
        <v>40000</v>
      </c>
      <c r="M113" s="49" t="s">
        <v>725</v>
      </c>
      <c r="N113" s="49" t="s">
        <v>725</v>
      </c>
      <c r="O113" s="49" t="s">
        <v>725</v>
      </c>
      <c r="P113" s="595" t="s">
        <v>725</v>
      </c>
    </row>
    <row r="114" spans="1:16">
      <c r="A114" s="49">
        <v>113</v>
      </c>
      <c r="B114" t="s">
        <v>177</v>
      </c>
      <c r="C114" s="49" t="s">
        <v>849</v>
      </c>
      <c r="D114" s="49" t="s">
        <v>407</v>
      </c>
      <c r="E114" s="49" t="s">
        <v>725</v>
      </c>
      <c r="F114" s="49" t="s">
        <v>145</v>
      </c>
      <c r="G114" t="s">
        <v>145</v>
      </c>
      <c r="H114" t="s">
        <v>145</v>
      </c>
      <c r="I114" s="710" t="s">
        <v>145</v>
      </c>
      <c r="J114" s="710" t="s">
        <v>145</v>
      </c>
      <c r="K114" s="707">
        <v>5</v>
      </c>
      <c r="L114" t="s">
        <v>145</v>
      </c>
      <c r="M114" s="49" t="s">
        <v>725</v>
      </c>
      <c r="N114" s="49" t="s">
        <v>725</v>
      </c>
      <c r="O114" s="49" t="s">
        <v>725</v>
      </c>
      <c r="P114" s="595" t="s">
        <v>725</v>
      </c>
    </row>
    <row r="115" spans="1:16">
      <c r="A115" s="49">
        <v>114</v>
      </c>
      <c r="B115" t="s">
        <v>178</v>
      </c>
      <c r="C115" s="49" t="s">
        <v>850</v>
      </c>
      <c r="D115" s="49" t="s">
        <v>452</v>
      </c>
      <c r="E115" s="49" t="s">
        <v>725</v>
      </c>
      <c r="F115" s="49" t="s">
        <v>145</v>
      </c>
      <c r="G115" t="s">
        <v>145</v>
      </c>
      <c r="H115" t="s">
        <v>145</v>
      </c>
      <c r="I115" s="710" t="s">
        <v>145</v>
      </c>
      <c r="J115" s="710" t="s">
        <v>145</v>
      </c>
      <c r="K115" s="707">
        <v>5</v>
      </c>
      <c r="L115" t="s">
        <v>145</v>
      </c>
      <c r="M115" s="49" t="s">
        <v>725</v>
      </c>
      <c r="N115" s="49" t="s">
        <v>725</v>
      </c>
      <c r="O115" s="49" t="s">
        <v>725</v>
      </c>
      <c r="P115" s="595" t="s">
        <v>725</v>
      </c>
    </row>
    <row r="116" spans="1:16">
      <c r="A116" s="49">
        <v>115</v>
      </c>
      <c r="B116" t="s">
        <v>179</v>
      </c>
      <c r="C116" s="49" t="s">
        <v>851</v>
      </c>
      <c r="D116" s="49" t="s">
        <v>452</v>
      </c>
      <c r="E116" s="49" t="s">
        <v>725</v>
      </c>
      <c r="F116" s="49" t="s">
        <v>145</v>
      </c>
      <c r="G116" t="s">
        <v>145</v>
      </c>
      <c r="H116" t="s">
        <v>145</v>
      </c>
      <c r="I116" s="710" t="s">
        <v>145</v>
      </c>
      <c r="J116" s="710" t="s">
        <v>145</v>
      </c>
      <c r="K116" s="707">
        <v>5</v>
      </c>
      <c r="L116" t="s">
        <v>145</v>
      </c>
      <c r="M116" s="49" t="s">
        <v>725</v>
      </c>
      <c r="N116" s="49" t="s">
        <v>725</v>
      </c>
      <c r="O116" s="49" t="s">
        <v>725</v>
      </c>
      <c r="P116" s="595" t="s">
        <v>725</v>
      </c>
    </row>
    <row r="117" spans="1:16">
      <c r="A117" s="49">
        <v>116</v>
      </c>
      <c r="B117" t="s">
        <v>180</v>
      </c>
      <c r="C117" s="49" t="s">
        <v>852</v>
      </c>
      <c r="D117" s="49" t="s">
        <v>5026</v>
      </c>
      <c r="E117" s="49" t="s">
        <v>5027</v>
      </c>
      <c r="F117" s="49" t="s">
        <v>5128</v>
      </c>
      <c r="G117" t="s">
        <v>5130</v>
      </c>
      <c r="H117" s="711" t="s">
        <v>5104</v>
      </c>
      <c r="I117" s="594">
        <v>1000000</v>
      </c>
      <c r="J117" s="594" t="s">
        <v>145</v>
      </c>
      <c r="K117" s="707">
        <v>5</v>
      </c>
      <c r="L117" t="s">
        <v>145</v>
      </c>
      <c r="M117" s="49" t="s">
        <v>725</v>
      </c>
      <c r="N117" s="49" t="s">
        <v>725</v>
      </c>
      <c r="O117" s="49" t="s">
        <v>725</v>
      </c>
      <c r="P117" s="595" t="s">
        <v>725</v>
      </c>
    </row>
    <row r="118" spans="1:16">
      <c r="A118" s="49">
        <v>117</v>
      </c>
      <c r="B118" t="s">
        <v>182</v>
      </c>
      <c r="C118" s="49" t="s">
        <v>853</v>
      </c>
      <c r="D118" s="49" t="s">
        <v>407</v>
      </c>
      <c r="E118" s="49" t="s">
        <v>725</v>
      </c>
      <c r="F118" s="49" t="s">
        <v>145</v>
      </c>
      <c r="G118" t="s">
        <v>145</v>
      </c>
      <c r="H118" t="s">
        <v>145</v>
      </c>
      <c r="I118" s="710" t="s">
        <v>145</v>
      </c>
      <c r="J118" s="710" t="s">
        <v>145</v>
      </c>
      <c r="K118" s="707">
        <v>5</v>
      </c>
      <c r="L118" t="s">
        <v>145</v>
      </c>
      <c r="M118" s="49" t="s">
        <v>725</v>
      </c>
      <c r="N118" s="49" t="s">
        <v>725</v>
      </c>
      <c r="O118" s="49" t="s">
        <v>725</v>
      </c>
      <c r="P118" s="595" t="s">
        <v>725</v>
      </c>
    </row>
    <row r="119" spans="1:16">
      <c r="A119" s="49">
        <v>118</v>
      </c>
      <c r="B119" t="s">
        <v>183</v>
      </c>
      <c r="C119" s="49" t="s">
        <v>854</v>
      </c>
      <c r="D119" s="49" t="s">
        <v>5020</v>
      </c>
      <c r="E119" s="49" t="s">
        <v>5113</v>
      </c>
      <c r="F119" s="49">
        <v>2008</v>
      </c>
      <c r="G119" t="s">
        <v>5072</v>
      </c>
      <c r="H119" t="s">
        <v>5024</v>
      </c>
      <c r="I119" s="594">
        <v>40000</v>
      </c>
      <c r="J119" s="710" t="s">
        <v>145</v>
      </c>
      <c r="K119" s="707">
        <v>5</v>
      </c>
      <c r="L119" t="s">
        <v>145</v>
      </c>
      <c r="M119" s="49" t="s">
        <v>5027</v>
      </c>
      <c r="N119" s="49" t="s">
        <v>725</v>
      </c>
      <c r="O119" s="49" t="s">
        <v>725</v>
      </c>
      <c r="P119" s="595" t="s">
        <v>725</v>
      </c>
    </row>
    <row r="120" spans="1:16">
      <c r="A120" s="49">
        <v>119</v>
      </c>
      <c r="B120" t="s">
        <v>185</v>
      </c>
      <c r="C120" s="49" t="s">
        <v>855</v>
      </c>
      <c r="D120" s="49" t="s">
        <v>5020</v>
      </c>
      <c r="E120" s="49" t="s">
        <v>728</v>
      </c>
      <c r="F120" s="49">
        <v>2005</v>
      </c>
      <c r="G120" t="s">
        <v>5073</v>
      </c>
      <c r="H120" t="s">
        <v>5114</v>
      </c>
      <c r="I120" s="594">
        <v>3000</v>
      </c>
      <c r="J120" s="594">
        <v>18000</v>
      </c>
      <c r="K120" s="707">
        <v>5</v>
      </c>
      <c r="L120" s="435">
        <v>15000</v>
      </c>
      <c r="M120" s="49" t="s">
        <v>725</v>
      </c>
      <c r="N120" s="49" t="s">
        <v>725</v>
      </c>
      <c r="O120" s="49" t="s">
        <v>725</v>
      </c>
      <c r="P120" s="595" t="s">
        <v>725</v>
      </c>
    </row>
    <row r="121" spans="1:16">
      <c r="A121" s="49">
        <v>120</v>
      </c>
      <c r="B121" t="s">
        <v>186</v>
      </c>
      <c r="C121" s="49" t="s">
        <v>856</v>
      </c>
      <c r="D121" s="49" t="s">
        <v>407</v>
      </c>
      <c r="E121" s="49" t="s">
        <v>725</v>
      </c>
      <c r="F121" s="49" t="s">
        <v>145</v>
      </c>
      <c r="G121" t="s">
        <v>145</v>
      </c>
      <c r="H121" t="s">
        <v>145</v>
      </c>
      <c r="I121" s="710" t="s">
        <v>145</v>
      </c>
      <c r="J121" s="710" t="s">
        <v>145</v>
      </c>
      <c r="K121" s="707">
        <v>5</v>
      </c>
      <c r="L121" t="s">
        <v>145</v>
      </c>
      <c r="M121" s="49" t="s">
        <v>725</v>
      </c>
      <c r="N121" s="49" t="s">
        <v>725</v>
      </c>
      <c r="O121" s="49" t="s">
        <v>725</v>
      </c>
      <c r="P121" s="595" t="s">
        <v>725</v>
      </c>
    </row>
    <row r="122" spans="1:16">
      <c r="A122" s="49">
        <v>121</v>
      </c>
      <c r="B122" t="s">
        <v>188</v>
      </c>
      <c r="C122" s="49" t="s">
        <v>857</v>
      </c>
      <c r="D122" s="49" t="s">
        <v>5020</v>
      </c>
      <c r="E122" s="49" t="s">
        <v>728</v>
      </c>
      <c r="F122" s="49">
        <v>2008</v>
      </c>
      <c r="G122" t="s">
        <v>5074</v>
      </c>
      <c r="H122" t="s">
        <v>5024</v>
      </c>
      <c r="I122" s="594">
        <v>20000</v>
      </c>
      <c r="J122" s="594">
        <v>70000</v>
      </c>
      <c r="K122" s="707">
        <v>5</v>
      </c>
      <c r="L122" s="435">
        <v>70000</v>
      </c>
      <c r="M122" s="49" t="s">
        <v>725</v>
      </c>
      <c r="N122" s="49" t="s">
        <v>725</v>
      </c>
      <c r="O122" s="49" t="s">
        <v>725</v>
      </c>
      <c r="P122" s="595" t="s">
        <v>725</v>
      </c>
    </row>
    <row r="123" spans="1:16">
      <c r="A123" s="49">
        <v>122</v>
      </c>
      <c r="B123" t="s">
        <v>189</v>
      </c>
      <c r="C123" s="49" t="s">
        <v>858</v>
      </c>
      <c r="D123" s="49" t="s">
        <v>5022</v>
      </c>
      <c r="E123" s="49" t="s">
        <v>728</v>
      </c>
      <c r="F123" s="49">
        <v>2010</v>
      </c>
      <c r="G123" t="s">
        <v>5023</v>
      </c>
      <c r="H123" t="s">
        <v>5104</v>
      </c>
      <c r="I123" s="594">
        <v>200000</v>
      </c>
      <c r="J123" s="594">
        <v>150000</v>
      </c>
      <c r="K123" s="707">
        <v>5</v>
      </c>
      <c r="L123" s="435">
        <v>150000</v>
      </c>
      <c r="M123" s="49" t="s">
        <v>728</v>
      </c>
      <c r="N123" s="49" t="s">
        <v>725</v>
      </c>
      <c r="O123" s="49" t="s">
        <v>725</v>
      </c>
      <c r="P123" s="595" t="s">
        <v>725</v>
      </c>
    </row>
    <row r="124" spans="1:16">
      <c r="A124" s="49">
        <v>123</v>
      </c>
      <c r="B124" t="s">
        <v>191</v>
      </c>
      <c r="C124" s="49" t="s">
        <v>859</v>
      </c>
      <c r="D124" s="49" t="s">
        <v>452</v>
      </c>
      <c r="E124" s="49" t="s">
        <v>728</v>
      </c>
      <c r="F124" s="49">
        <v>2011</v>
      </c>
      <c r="G124" t="s">
        <v>5042</v>
      </c>
      <c r="H124" t="s">
        <v>5024</v>
      </c>
      <c r="I124" s="594">
        <v>200000</v>
      </c>
      <c r="J124" s="594">
        <v>20000</v>
      </c>
      <c r="K124" s="707">
        <v>5</v>
      </c>
      <c r="L124" s="435">
        <v>20000</v>
      </c>
      <c r="M124" s="49" t="s">
        <v>725</v>
      </c>
      <c r="N124" s="49" t="s">
        <v>725</v>
      </c>
      <c r="O124" s="49" t="s">
        <v>725</v>
      </c>
      <c r="P124" s="595" t="s">
        <v>725</v>
      </c>
    </row>
    <row r="125" spans="1:16">
      <c r="A125" s="49">
        <v>124</v>
      </c>
      <c r="B125" t="s">
        <v>192</v>
      </c>
      <c r="C125" s="49" t="s">
        <v>860</v>
      </c>
      <c r="D125" s="49" t="s">
        <v>407</v>
      </c>
      <c r="E125" s="49" t="s">
        <v>725</v>
      </c>
      <c r="F125" s="49" t="s">
        <v>145</v>
      </c>
      <c r="G125" t="s">
        <v>145</v>
      </c>
      <c r="H125" t="s">
        <v>145</v>
      </c>
      <c r="I125" s="710" t="s">
        <v>145</v>
      </c>
      <c r="J125" s="710" t="s">
        <v>145</v>
      </c>
      <c r="K125" s="707">
        <v>5</v>
      </c>
      <c r="L125" t="s">
        <v>145</v>
      </c>
      <c r="M125" s="49" t="s">
        <v>725</v>
      </c>
      <c r="N125" s="49" t="s">
        <v>725</v>
      </c>
      <c r="O125" s="49" t="s">
        <v>725</v>
      </c>
      <c r="P125" s="595" t="s">
        <v>725</v>
      </c>
    </row>
    <row r="126" spans="1:16">
      <c r="A126" s="49">
        <v>125</v>
      </c>
      <c r="B126" t="s">
        <v>193</v>
      </c>
      <c r="C126" s="49" t="s">
        <v>861</v>
      </c>
      <c r="D126" s="49" t="s">
        <v>452</v>
      </c>
      <c r="E126" s="49" t="s">
        <v>725</v>
      </c>
      <c r="F126" s="49" t="s">
        <v>145</v>
      </c>
      <c r="G126" t="s">
        <v>145</v>
      </c>
      <c r="H126" t="s">
        <v>145</v>
      </c>
      <c r="I126" s="710" t="s">
        <v>145</v>
      </c>
      <c r="J126" s="710" t="s">
        <v>145</v>
      </c>
      <c r="K126" s="707">
        <v>5</v>
      </c>
      <c r="L126" t="s">
        <v>145</v>
      </c>
      <c r="M126" s="49" t="s">
        <v>725</v>
      </c>
      <c r="N126" s="49" t="s">
        <v>725</v>
      </c>
      <c r="O126" s="49" t="s">
        <v>725</v>
      </c>
      <c r="P126" s="595" t="s">
        <v>725</v>
      </c>
    </row>
    <row r="127" spans="1:16">
      <c r="A127" s="49">
        <v>126</v>
      </c>
      <c r="B127" t="s">
        <v>195</v>
      </c>
      <c r="C127" s="49" t="s">
        <v>745</v>
      </c>
      <c r="D127" s="49" t="s">
        <v>407</v>
      </c>
      <c r="E127" s="49" t="s">
        <v>725</v>
      </c>
      <c r="F127" s="49" t="s">
        <v>145</v>
      </c>
      <c r="G127" t="s">
        <v>145</v>
      </c>
      <c r="H127" t="s">
        <v>145</v>
      </c>
      <c r="I127" s="710" t="s">
        <v>145</v>
      </c>
      <c r="J127" s="710" t="s">
        <v>145</v>
      </c>
      <c r="K127" s="707">
        <v>5</v>
      </c>
      <c r="L127" t="s">
        <v>145</v>
      </c>
      <c r="M127" s="49" t="s">
        <v>725</v>
      </c>
      <c r="N127" s="49" t="s">
        <v>725</v>
      </c>
      <c r="O127" s="49" t="s">
        <v>725</v>
      </c>
      <c r="P127" s="595" t="s">
        <v>725</v>
      </c>
    </row>
    <row r="128" spans="1:16">
      <c r="A128" s="49">
        <v>127</v>
      </c>
      <c r="B128" t="s">
        <v>196</v>
      </c>
      <c r="C128" s="49" t="s">
        <v>862</v>
      </c>
      <c r="D128" s="49" t="s">
        <v>5019</v>
      </c>
      <c r="E128" s="49" t="s">
        <v>725</v>
      </c>
      <c r="F128" s="49" t="s">
        <v>145</v>
      </c>
      <c r="G128" t="s">
        <v>145</v>
      </c>
      <c r="H128" t="s">
        <v>145</v>
      </c>
      <c r="I128" s="594">
        <v>850000</v>
      </c>
      <c r="J128" s="710" t="s">
        <v>145</v>
      </c>
      <c r="K128" s="707">
        <v>5</v>
      </c>
      <c r="L128" t="s">
        <v>145</v>
      </c>
      <c r="M128" s="49" t="s">
        <v>725</v>
      </c>
      <c r="N128" s="49" t="s">
        <v>725</v>
      </c>
      <c r="O128" s="49" t="s">
        <v>725</v>
      </c>
      <c r="P128" s="595" t="s">
        <v>725</v>
      </c>
    </row>
    <row r="129" spans="1:16">
      <c r="A129" s="49">
        <v>128</v>
      </c>
      <c r="B129" t="s">
        <v>198</v>
      </c>
      <c r="C129" s="49" t="s">
        <v>863</v>
      </c>
      <c r="D129" s="49" t="s">
        <v>5020</v>
      </c>
      <c r="E129" s="49" t="s">
        <v>728</v>
      </c>
      <c r="F129" s="49">
        <v>2006</v>
      </c>
      <c r="G129" t="s">
        <v>5055</v>
      </c>
      <c r="H129" t="s">
        <v>5104</v>
      </c>
      <c r="I129" s="594">
        <v>1800000</v>
      </c>
      <c r="J129" s="594">
        <v>10000000</v>
      </c>
      <c r="K129" s="707">
        <v>5</v>
      </c>
      <c r="L129" s="435">
        <v>10000000</v>
      </c>
      <c r="M129" s="49" t="s">
        <v>728</v>
      </c>
      <c r="N129" s="49" t="s">
        <v>725</v>
      </c>
      <c r="O129" s="49" t="s">
        <v>5075</v>
      </c>
      <c r="P129" s="595" t="s">
        <v>5126</v>
      </c>
    </row>
    <row r="130" spans="1:16">
      <c r="A130" s="49">
        <v>129</v>
      </c>
      <c r="B130" t="s">
        <v>199</v>
      </c>
      <c r="C130" s="49" t="s">
        <v>864</v>
      </c>
      <c r="D130" s="49" t="s">
        <v>407</v>
      </c>
      <c r="E130" s="49" t="s">
        <v>728</v>
      </c>
      <c r="F130" s="49">
        <v>2005</v>
      </c>
      <c r="G130" t="s">
        <v>5076</v>
      </c>
      <c r="H130" t="s">
        <v>5024</v>
      </c>
      <c r="I130" s="594">
        <v>720000</v>
      </c>
      <c r="J130" s="594">
        <v>2600000</v>
      </c>
      <c r="K130" s="707">
        <v>5</v>
      </c>
      <c r="L130" s="435">
        <v>2600000</v>
      </c>
      <c r="M130" s="49" t="s">
        <v>728</v>
      </c>
      <c r="N130" s="49" t="s">
        <v>728</v>
      </c>
      <c r="O130" s="49" t="s">
        <v>5030</v>
      </c>
      <c r="P130" s="595" t="s">
        <v>503</v>
      </c>
    </row>
    <row r="131" spans="1:16">
      <c r="A131" s="49">
        <v>130</v>
      </c>
      <c r="B131" t="s">
        <v>201</v>
      </c>
      <c r="C131" s="49" t="s">
        <v>865</v>
      </c>
      <c r="D131" s="49" t="s">
        <v>5026</v>
      </c>
      <c r="E131" s="49" t="s">
        <v>725</v>
      </c>
      <c r="F131" s="49" t="s">
        <v>145</v>
      </c>
      <c r="G131" t="s">
        <v>145</v>
      </c>
      <c r="H131" t="s">
        <v>145</v>
      </c>
      <c r="I131" s="710" t="s">
        <v>145</v>
      </c>
      <c r="J131" s="710" t="s">
        <v>145</v>
      </c>
      <c r="K131" s="707">
        <v>5</v>
      </c>
      <c r="L131" t="s">
        <v>145</v>
      </c>
      <c r="M131" s="49" t="s">
        <v>725</v>
      </c>
      <c r="N131" s="49" t="s">
        <v>725</v>
      </c>
      <c r="O131" s="49" t="s">
        <v>725</v>
      </c>
      <c r="P131" s="595" t="s">
        <v>725</v>
      </c>
    </row>
    <row r="132" spans="1:16">
      <c r="A132" s="49">
        <v>131</v>
      </c>
      <c r="B132" t="s">
        <v>203</v>
      </c>
      <c r="C132" s="49" t="s">
        <v>866</v>
      </c>
      <c r="D132" s="49" t="s">
        <v>452</v>
      </c>
      <c r="E132" s="49" t="s">
        <v>725</v>
      </c>
      <c r="F132" s="49" t="s">
        <v>145</v>
      </c>
      <c r="G132" t="s">
        <v>145</v>
      </c>
      <c r="H132" t="s">
        <v>145</v>
      </c>
      <c r="I132" s="594">
        <v>25000</v>
      </c>
      <c r="J132" s="710" t="s">
        <v>145</v>
      </c>
      <c r="K132" s="707">
        <v>3</v>
      </c>
      <c r="L132" t="s">
        <v>145</v>
      </c>
      <c r="M132" s="49" t="s">
        <v>725</v>
      </c>
      <c r="N132" s="49" t="s">
        <v>725</v>
      </c>
      <c r="O132" s="49" t="s">
        <v>725</v>
      </c>
      <c r="P132" s="595" t="s">
        <v>725</v>
      </c>
    </row>
    <row r="133" spans="1:16">
      <c r="A133" s="49">
        <v>132</v>
      </c>
      <c r="B133" t="s">
        <v>204</v>
      </c>
      <c r="C133" s="49" t="s">
        <v>867</v>
      </c>
      <c r="D133" s="49" t="s">
        <v>452</v>
      </c>
      <c r="E133" s="49" t="s">
        <v>728</v>
      </c>
      <c r="F133" s="49">
        <v>2007</v>
      </c>
      <c r="G133" t="s">
        <v>5077</v>
      </c>
      <c r="H133" t="s">
        <v>5104</v>
      </c>
      <c r="I133" s="594">
        <v>1100000</v>
      </c>
      <c r="J133" s="594">
        <v>5000000</v>
      </c>
      <c r="K133" s="707">
        <v>5</v>
      </c>
      <c r="L133" s="435">
        <v>5000000</v>
      </c>
      <c r="M133" s="49" t="s">
        <v>728</v>
      </c>
      <c r="N133" s="49" t="s">
        <v>725</v>
      </c>
      <c r="O133" s="49" t="s">
        <v>725</v>
      </c>
      <c r="P133" s="595" t="s">
        <v>725</v>
      </c>
    </row>
    <row r="134" spans="1:16">
      <c r="A134" s="49">
        <v>133</v>
      </c>
      <c r="B134" t="s">
        <v>206</v>
      </c>
      <c r="C134" s="49" t="s">
        <v>868</v>
      </c>
      <c r="D134" s="49" t="s">
        <v>5020</v>
      </c>
      <c r="E134" s="49" t="s">
        <v>728</v>
      </c>
      <c r="F134" s="49">
        <v>2005</v>
      </c>
      <c r="G134" t="s">
        <v>5078</v>
      </c>
      <c r="H134" t="s">
        <v>5079</v>
      </c>
      <c r="I134" s="594">
        <v>600000</v>
      </c>
      <c r="J134" s="594">
        <v>3600000</v>
      </c>
      <c r="K134" s="707">
        <v>10</v>
      </c>
      <c r="L134" s="435">
        <v>3000000</v>
      </c>
      <c r="M134" s="49" t="s">
        <v>728</v>
      </c>
      <c r="N134" s="49" t="s">
        <v>725</v>
      </c>
      <c r="O134" s="49" t="s">
        <v>725</v>
      </c>
      <c r="P134" s="595" t="s">
        <v>725</v>
      </c>
    </row>
    <row r="135" spans="1:16">
      <c r="A135" s="49">
        <v>134</v>
      </c>
      <c r="B135" t="s">
        <v>207</v>
      </c>
      <c r="C135" s="49" t="s">
        <v>869</v>
      </c>
      <c r="D135" s="49" t="s">
        <v>5022</v>
      </c>
      <c r="E135" s="49" t="s">
        <v>5027</v>
      </c>
      <c r="F135" s="49" t="s">
        <v>5128</v>
      </c>
      <c r="G135" t="s">
        <v>5105</v>
      </c>
      <c r="H135" t="s">
        <v>5024</v>
      </c>
      <c r="I135" s="710" t="s">
        <v>145</v>
      </c>
      <c r="J135" s="710" t="s">
        <v>145</v>
      </c>
      <c r="K135" s="707">
        <v>5</v>
      </c>
      <c r="L135" t="s">
        <v>145</v>
      </c>
      <c r="M135" s="49" t="s">
        <v>725</v>
      </c>
      <c r="N135" s="49" t="s">
        <v>725</v>
      </c>
      <c r="O135" s="49" t="s">
        <v>725</v>
      </c>
      <c r="P135" s="595" t="s">
        <v>725</v>
      </c>
    </row>
    <row r="136" spans="1:16">
      <c r="A136" s="49">
        <v>135</v>
      </c>
      <c r="B136" t="s">
        <v>209</v>
      </c>
      <c r="C136" s="49" t="s">
        <v>870</v>
      </c>
      <c r="D136" s="49" t="s">
        <v>5019</v>
      </c>
      <c r="E136" s="49" t="s">
        <v>5113</v>
      </c>
      <c r="F136" s="49">
        <v>2004</v>
      </c>
      <c r="G136" t="s">
        <v>5080</v>
      </c>
      <c r="H136" t="s">
        <v>5104</v>
      </c>
      <c r="I136" s="594">
        <v>1500000</v>
      </c>
      <c r="J136" s="710" t="s">
        <v>145</v>
      </c>
      <c r="K136" s="707">
        <v>5</v>
      </c>
      <c r="L136" t="s">
        <v>145</v>
      </c>
      <c r="M136" s="49" t="s">
        <v>725</v>
      </c>
      <c r="N136" s="49" t="s">
        <v>725</v>
      </c>
      <c r="O136" s="49" t="s">
        <v>725</v>
      </c>
      <c r="P136" s="595" t="s">
        <v>503</v>
      </c>
    </row>
    <row r="137" spans="1:16">
      <c r="A137" s="49">
        <v>136</v>
      </c>
      <c r="B137" t="s">
        <v>211</v>
      </c>
      <c r="C137" s="49" t="s">
        <v>871</v>
      </c>
      <c r="D137" s="49" t="s">
        <v>407</v>
      </c>
      <c r="E137" s="49" t="s">
        <v>725</v>
      </c>
      <c r="F137" s="49" t="s">
        <v>145</v>
      </c>
      <c r="G137" t="s">
        <v>145</v>
      </c>
      <c r="H137" t="s">
        <v>145</v>
      </c>
      <c r="I137" s="710" t="s">
        <v>145</v>
      </c>
      <c r="J137" s="710" t="s">
        <v>145</v>
      </c>
      <c r="K137" s="707">
        <v>5</v>
      </c>
      <c r="L137" t="s">
        <v>145</v>
      </c>
      <c r="M137" s="49" t="s">
        <v>725</v>
      </c>
      <c r="N137" s="49" t="s">
        <v>725</v>
      </c>
      <c r="O137" s="49" t="s">
        <v>725</v>
      </c>
      <c r="P137" s="595" t="s">
        <v>725</v>
      </c>
    </row>
    <row r="138" spans="1:16">
      <c r="A138" s="49">
        <v>137</v>
      </c>
      <c r="B138" t="s">
        <v>293</v>
      </c>
      <c r="C138" s="49" t="s">
        <v>3450</v>
      </c>
      <c r="D138" s="49" t="s">
        <v>5022</v>
      </c>
      <c r="E138" s="49" t="s">
        <v>725</v>
      </c>
      <c r="F138" s="49" t="s">
        <v>145</v>
      </c>
      <c r="G138" t="s">
        <v>145</v>
      </c>
      <c r="H138" t="s">
        <v>145</v>
      </c>
      <c r="I138" s="710" t="s">
        <v>145</v>
      </c>
      <c r="J138" s="710" t="s">
        <v>145</v>
      </c>
      <c r="K138" s="707">
        <v>5</v>
      </c>
      <c r="L138" t="s">
        <v>145</v>
      </c>
      <c r="M138" s="49" t="s">
        <v>725</v>
      </c>
      <c r="N138" s="49" t="s">
        <v>725</v>
      </c>
      <c r="O138" s="49" t="s">
        <v>725</v>
      </c>
      <c r="P138" s="595" t="s">
        <v>725</v>
      </c>
    </row>
    <row r="139" spans="1:16">
      <c r="A139" s="49">
        <v>138</v>
      </c>
      <c r="B139" t="s">
        <v>212</v>
      </c>
      <c r="C139" s="49" t="s">
        <v>872</v>
      </c>
      <c r="D139" s="49" t="s">
        <v>5026</v>
      </c>
      <c r="E139" s="49" t="s">
        <v>5027</v>
      </c>
      <c r="F139" s="49">
        <v>2012</v>
      </c>
      <c r="G139" t="s">
        <v>5081</v>
      </c>
      <c r="H139" t="s">
        <v>5024</v>
      </c>
      <c r="I139" s="710" t="s">
        <v>145</v>
      </c>
      <c r="J139" s="710" t="s">
        <v>145</v>
      </c>
      <c r="K139" s="707">
        <v>5</v>
      </c>
      <c r="L139" t="s">
        <v>145</v>
      </c>
      <c r="M139" s="49" t="s">
        <v>725</v>
      </c>
      <c r="N139" s="49" t="s">
        <v>725</v>
      </c>
      <c r="O139" s="49" t="s">
        <v>725</v>
      </c>
      <c r="P139" s="595" t="s">
        <v>725</v>
      </c>
    </row>
    <row r="140" spans="1:16">
      <c r="A140" s="49">
        <v>139</v>
      </c>
      <c r="B140" t="s">
        <v>213</v>
      </c>
      <c r="C140" s="49" t="s">
        <v>873</v>
      </c>
      <c r="D140" s="49" t="s">
        <v>407</v>
      </c>
      <c r="E140" s="49" t="s">
        <v>725</v>
      </c>
      <c r="F140" s="49" t="s">
        <v>145</v>
      </c>
      <c r="G140" t="s">
        <v>145</v>
      </c>
      <c r="H140" t="s">
        <v>145</v>
      </c>
      <c r="I140" s="710" t="s">
        <v>145</v>
      </c>
      <c r="J140" s="710" t="s">
        <v>145</v>
      </c>
      <c r="K140" s="707">
        <v>5</v>
      </c>
      <c r="L140" t="s">
        <v>145</v>
      </c>
      <c r="M140" s="49" t="s">
        <v>725</v>
      </c>
      <c r="N140" s="49" t="s">
        <v>725</v>
      </c>
      <c r="O140" s="49" t="s">
        <v>725</v>
      </c>
      <c r="P140" s="595" t="s">
        <v>725</v>
      </c>
    </row>
    <row r="141" spans="1:16">
      <c r="A141" s="49">
        <v>140</v>
      </c>
      <c r="B141" t="s">
        <v>214</v>
      </c>
      <c r="C141" s="49" t="s">
        <v>874</v>
      </c>
      <c r="D141" s="49" t="s">
        <v>5026</v>
      </c>
      <c r="E141" s="49" t="s">
        <v>725</v>
      </c>
      <c r="F141" s="49" t="s">
        <v>145</v>
      </c>
      <c r="G141" t="s">
        <v>145</v>
      </c>
      <c r="H141" t="s">
        <v>145</v>
      </c>
      <c r="I141" s="710" t="s">
        <v>145</v>
      </c>
      <c r="J141" s="710" t="s">
        <v>145</v>
      </c>
      <c r="K141" s="707">
        <v>5</v>
      </c>
      <c r="L141" t="s">
        <v>145</v>
      </c>
      <c r="M141" s="49" t="s">
        <v>725</v>
      </c>
      <c r="N141" s="49" t="s">
        <v>725</v>
      </c>
      <c r="O141" s="49" t="s">
        <v>725</v>
      </c>
      <c r="P141" s="595" t="s">
        <v>5122</v>
      </c>
    </row>
    <row r="142" spans="1:16">
      <c r="A142" s="49">
        <v>141</v>
      </c>
      <c r="B142" t="s">
        <v>216</v>
      </c>
      <c r="C142" s="49" t="s">
        <v>875</v>
      </c>
      <c r="D142" s="49" t="s">
        <v>5026</v>
      </c>
      <c r="E142" s="49" t="s">
        <v>725</v>
      </c>
      <c r="F142" s="49" t="s">
        <v>145</v>
      </c>
      <c r="G142" t="s">
        <v>145</v>
      </c>
      <c r="H142" t="s">
        <v>145</v>
      </c>
      <c r="I142" s="710" t="s">
        <v>145</v>
      </c>
      <c r="J142" s="710" t="s">
        <v>145</v>
      </c>
      <c r="K142" s="707">
        <v>5</v>
      </c>
      <c r="L142" t="s">
        <v>145</v>
      </c>
      <c r="M142" s="49" t="s">
        <v>725</v>
      </c>
      <c r="N142" s="49" t="s">
        <v>725</v>
      </c>
      <c r="O142" s="49" t="s">
        <v>725</v>
      </c>
      <c r="P142" s="595" t="s">
        <v>725</v>
      </c>
    </row>
    <row r="143" spans="1:16">
      <c r="A143" s="49">
        <v>142</v>
      </c>
      <c r="B143" t="s">
        <v>218</v>
      </c>
      <c r="C143" s="49" t="s">
        <v>876</v>
      </c>
      <c r="D143" s="49" t="s">
        <v>407</v>
      </c>
      <c r="E143" s="49" t="s">
        <v>728</v>
      </c>
      <c r="F143" s="49">
        <v>2008</v>
      </c>
      <c r="G143" t="s">
        <v>5082</v>
      </c>
      <c r="H143" t="s">
        <v>5024</v>
      </c>
      <c r="I143" s="594">
        <v>5000000</v>
      </c>
      <c r="J143" s="594">
        <v>12000000</v>
      </c>
      <c r="K143" s="707">
        <v>5</v>
      </c>
      <c r="L143" s="435">
        <v>12000000</v>
      </c>
      <c r="M143" s="49" t="s">
        <v>725</v>
      </c>
      <c r="N143" s="49" t="s">
        <v>725</v>
      </c>
      <c r="O143" s="49" t="s">
        <v>725</v>
      </c>
      <c r="P143" s="595" t="s">
        <v>725</v>
      </c>
    </row>
    <row r="144" spans="1:16">
      <c r="A144" s="49">
        <v>143</v>
      </c>
      <c r="B144" t="s">
        <v>220</v>
      </c>
      <c r="C144" s="49" t="s">
        <v>877</v>
      </c>
      <c r="D144" s="49" t="s">
        <v>5020</v>
      </c>
      <c r="E144" s="49" t="s">
        <v>728</v>
      </c>
      <c r="F144" s="49">
        <v>2006</v>
      </c>
      <c r="G144" t="s">
        <v>5067</v>
      </c>
      <c r="H144" t="s">
        <v>5104</v>
      </c>
      <c r="I144" s="594">
        <v>1500000</v>
      </c>
      <c r="J144" s="594">
        <v>7500000</v>
      </c>
      <c r="K144" s="707">
        <v>5</v>
      </c>
      <c r="L144" s="435">
        <v>6000000</v>
      </c>
      <c r="M144" s="49" t="s">
        <v>725</v>
      </c>
      <c r="N144" s="49" t="s">
        <v>725</v>
      </c>
      <c r="O144" s="49" t="s">
        <v>725</v>
      </c>
      <c r="P144" s="595" t="s">
        <v>725</v>
      </c>
    </row>
    <row r="145" spans="1:16">
      <c r="A145" s="49">
        <v>144</v>
      </c>
      <c r="B145" t="s">
        <v>221</v>
      </c>
      <c r="C145" s="49" t="s">
        <v>878</v>
      </c>
      <c r="D145" s="49" t="s">
        <v>5020</v>
      </c>
      <c r="E145" s="49" t="s">
        <v>728</v>
      </c>
      <c r="F145" s="49">
        <v>2006</v>
      </c>
      <c r="G145" t="s">
        <v>5083</v>
      </c>
      <c r="H145" t="s">
        <v>5104</v>
      </c>
      <c r="I145" s="594">
        <v>400000</v>
      </c>
      <c r="J145" s="594">
        <v>2000000</v>
      </c>
      <c r="K145" s="707">
        <v>10</v>
      </c>
      <c r="L145" s="435">
        <v>2000000</v>
      </c>
      <c r="M145" s="49" t="s">
        <v>5027</v>
      </c>
      <c r="N145" s="49" t="s">
        <v>728</v>
      </c>
      <c r="O145" s="49" t="s">
        <v>5030</v>
      </c>
      <c r="P145" s="595" t="s">
        <v>503</v>
      </c>
    </row>
    <row r="146" spans="1:16">
      <c r="A146" s="49">
        <v>145</v>
      </c>
      <c r="B146" t="s">
        <v>222</v>
      </c>
      <c r="C146" s="49" t="s">
        <v>879</v>
      </c>
      <c r="D146" s="49" t="s">
        <v>5022</v>
      </c>
      <c r="E146" s="49" t="s">
        <v>728</v>
      </c>
      <c r="F146" s="49">
        <v>2008</v>
      </c>
      <c r="G146" t="s">
        <v>5084</v>
      </c>
      <c r="H146" t="s">
        <v>5024</v>
      </c>
      <c r="I146" s="594">
        <v>15000</v>
      </c>
      <c r="J146" s="594">
        <v>45000</v>
      </c>
      <c r="K146" s="707">
        <v>5</v>
      </c>
      <c r="L146" s="435">
        <v>45000</v>
      </c>
      <c r="M146" s="49" t="s">
        <v>725</v>
      </c>
      <c r="N146" s="49" t="s">
        <v>725</v>
      </c>
      <c r="O146" s="49" t="s">
        <v>725</v>
      </c>
      <c r="P146" s="595" t="s">
        <v>725</v>
      </c>
    </row>
    <row r="147" spans="1:16">
      <c r="A147" s="49">
        <v>146</v>
      </c>
      <c r="B147" t="s">
        <v>224</v>
      </c>
      <c r="C147" s="49" t="s">
        <v>3145</v>
      </c>
      <c r="D147" s="49" t="s">
        <v>5020</v>
      </c>
      <c r="E147" s="49" t="s">
        <v>728</v>
      </c>
      <c r="F147" s="49">
        <v>2009</v>
      </c>
      <c r="G147" t="s">
        <v>5040</v>
      </c>
      <c r="H147" t="s">
        <v>5104</v>
      </c>
      <c r="I147" s="594">
        <v>1000000</v>
      </c>
      <c r="J147" s="594">
        <v>2000000</v>
      </c>
      <c r="K147" s="707">
        <v>5</v>
      </c>
      <c r="L147" s="435">
        <v>2000000</v>
      </c>
      <c r="M147" s="49" t="s">
        <v>725</v>
      </c>
      <c r="N147" s="49" t="s">
        <v>725</v>
      </c>
      <c r="O147" s="49" t="s">
        <v>725</v>
      </c>
      <c r="P147" s="595" t="s">
        <v>725</v>
      </c>
    </row>
    <row r="148" spans="1:16">
      <c r="A148" s="49">
        <v>147</v>
      </c>
      <c r="B148" t="s">
        <v>226</v>
      </c>
      <c r="C148" s="49" t="s">
        <v>880</v>
      </c>
      <c r="D148" s="49" t="s">
        <v>5020</v>
      </c>
      <c r="E148" s="49" t="s">
        <v>728</v>
      </c>
      <c r="F148" s="49">
        <v>2006</v>
      </c>
      <c r="G148" t="s">
        <v>5025</v>
      </c>
      <c r="H148" t="s">
        <v>5024</v>
      </c>
      <c r="I148" s="594">
        <v>2200000</v>
      </c>
      <c r="J148" s="594">
        <v>7500000</v>
      </c>
      <c r="K148" s="707">
        <v>10</v>
      </c>
      <c r="L148" s="435">
        <v>7500000</v>
      </c>
      <c r="M148" s="49" t="s">
        <v>5027</v>
      </c>
      <c r="N148" s="49" t="s">
        <v>725</v>
      </c>
      <c r="O148" s="49" t="s">
        <v>725</v>
      </c>
      <c r="P148" s="595" t="s">
        <v>725</v>
      </c>
    </row>
    <row r="149" spans="1:16">
      <c r="A149" s="49">
        <v>148</v>
      </c>
      <c r="B149" t="s">
        <v>227</v>
      </c>
      <c r="C149" s="49" t="s">
        <v>881</v>
      </c>
      <c r="D149" s="49" t="s">
        <v>452</v>
      </c>
      <c r="E149" s="49" t="s">
        <v>725</v>
      </c>
      <c r="F149" s="49" t="s">
        <v>145</v>
      </c>
      <c r="G149" t="s">
        <v>145</v>
      </c>
      <c r="H149" t="s">
        <v>145</v>
      </c>
      <c r="I149" s="710" t="s">
        <v>145</v>
      </c>
      <c r="J149" s="710" t="s">
        <v>145</v>
      </c>
      <c r="K149" s="707">
        <v>5</v>
      </c>
      <c r="L149" t="s">
        <v>145</v>
      </c>
      <c r="M149" s="49" t="s">
        <v>725</v>
      </c>
      <c r="N149" s="49" t="s">
        <v>725</v>
      </c>
      <c r="O149" s="49" t="s">
        <v>725</v>
      </c>
      <c r="P149" s="595" t="s">
        <v>725</v>
      </c>
    </row>
    <row r="150" spans="1:16">
      <c r="A150" s="49">
        <v>149</v>
      </c>
      <c r="B150" t="s">
        <v>403</v>
      </c>
      <c r="C150" s="49" t="s">
        <v>883</v>
      </c>
      <c r="D150" s="49" t="s">
        <v>5026</v>
      </c>
      <c r="E150" s="49" t="s">
        <v>725</v>
      </c>
      <c r="F150" s="49" t="s">
        <v>145</v>
      </c>
      <c r="G150" t="s">
        <v>145</v>
      </c>
      <c r="H150" t="s">
        <v>145</v>
      </c>
      <c r="I150" s="710" t="s">
        <v>145</v>
      </c>
      <c r="J150" s="710" t="s">
        <v>145</v>
      </c>
      <c r="K150" s="707">
        <v>5</v>
      </c>
      <c r="L150" t="s">
        <v>145</v>
      </c>
      <c r="M150" s="49" t="s">
        <v>725</v>
      </c>
      <c r="N150" s="49" t="s">
        <v>725</v>
      </c>
      <c r="O150" s="49" t="s">
        <v>725</v>
      </c>
      <c r="P150" s="595" t="s">
        <v>725</v>
      </c>
    </row>
    <row r="151" spans="1:16">
      <c r="A151" s="49">
        <v>150</v>
      </c>
      <c r="B151" t="s">
        <v>232</v>
      </c>
      <c r="C151" s="49" t="s">
        <v>885</v>
      </c>
      <c r="D151" s="49" t="s">
        <v>407</v>
      </c>
      <c r="E151" s="49" t="s">
        <v>725</v>
      </c>
      <c r="F151" s="49" t="s">
        <v>145</v>
      </c>
      <c r="G151" t="s">
        <v>145</v>
      </c>
      <c r="H151" t="s">
        <v>145</v>
      </c>
      <c r="I151" s="710" t="s">
        <v>145</v>
      </c>
      <c r="J151" s="710" t="s">
        <v>145</v>
      </c>
      <c r="K151" s="707">
        <v>5</v>
      </c>
      <c r="L151" t="s">
        <v>145</v>
      </c>
      <c r="M151" s="49" t="s">
        <v>725</v>
      </c>
      <c r="N151" s="49" t="s">
        <v>725</v>
      </c>
      <c r="O151" s="49" t="s">
        <v>725</v>
      </c>
      <c r="P151" s="595" t="s">
        <v>725</v>
      </c>
    </row>
    <row r="152" spans="1:16">
      <c r="A152" s="49">
        <v>151</v>
      </c>
      <c r="B152" t="s">
        <v>234</v>
      </c>
      <c r="C152" s="49" t="s">
        <v>886</v>
      </c>
      <c r="D152" s="49" t="s">
        <v>5020</v>
      </c>
      <c r="E152" s="49" t="s">
        <v>728</v>
      </c>
      <c r="F152" s="49">
        <v>2006</v>
      </c>
      <c r="G152" t="s">
        <v>5085</v>
      </c>
      <c r="H152" t="s">
        <v>5024</v>
      </c>
      <c r="I152" s="594">
        <v>2000</v>
      </c>
      <c r="J152" s="594">
        <v>10000</v>
      </c>
      <c r="K152" s="707">
        <v>5</v>
      </c>
      <c r="L152" s="435">
        <v>10000</v>
      </c>
      <c r="M152" s="49" t="s">
        <v>725</v>
      </c>
      <c r="N152" s="49" t="s">
        <v>725</v>
      </c>
      <c r="O152" s="49" t="s">
        <v>725</v>
      </c>
      <c r="P152" s="595" t="s">
        <v>725</v>
      </c>
    </row>
    <row r="153" spans="1:16">
      <c r="A153" s="49">
        <v>152</v>
      </c>
      <c r="B153" t="s">
        <v>934</v>
      </c>
      <c r="C153" s="49" t="s">
        <v>741</v>
      </c>
      <c r="D153" s="49" t="s">
        <v>452</v>
      </c>
      <c r="E153" s="49" t="s">
        <v>725</v>
      </c>
      <c r="F153" s="49" t="s">
        <v>145</v>
      </c>
      <c r="G153" t="s">
        <v>145</v>
      </c>
      <c r="H153" t="s">
        <v>145</v>
      </c>
      <c r="I153" s="710" t="s">
        <v>145</v>
      </c>
      <c r="J153" s="710" t="s">
        <v>145</v>
      </c>
      <c r="K153" s="707">
        <v>5</v>
      </c>
      <c r="L153" t="s">
        <v>145</v>
      </c>
      <c r="M153" s="49" t="s">
        <v>725</v>
      </c>
      <c r="N153" s="49" t="s">
        <v>725</v>
      </c>
      <c r="O153" s="49" t="s">
        <v>725</v>
      </c>
      <c r="P153" s="595" t="s">
        <v>725</v>
      </c>
    </row>
    <row r="154" spans="1:16">
      <c r="A154" s="49">
        <v>153</v>
      </c>
      <c r="B154" t="s">
        <v>237</v>
      </c>
      <c r="C154" s="49" t="s">
        <v>887</v>
      </c>
      <c r="D154" s="49" t="s">
        <v>5022</v>
      </c>
      <c r="E154" s="49" t="s">
        <v>5027</v>
      </c>
      <c r="F154" s="49" t="s">
        <v>5131</v>
      </c>
      <c r="G154" t="s">
        <v>5117</v>
      </c>
      <c r="H154" t="s">
        <v>5104</v>
      </c>
      <c r="I154" s="594">
        <v>220000</v>
      </c>
      <c r="J154" s="710" t="s">
        <v>145</v>
      </c>
      <c r="K154" s="707">
        <v>5</v>
      </c>
      <c r="L154" t="s">
        <v>145</v>
      </c>
      <c r="M154" s="49" t="s">
        <v>725</v>
      </c>
      <c r="N154" s="49" t="s">
        <v>725</v>
      </c>
      <c r="O154" s="49" t="s">
        <v>725</v>
      </c>
      <c r="P154" s="595" t="s">
        <v>5121</v>
      </c>
    </row>
    <row r="155" spans="1:16">
      <c r="A155" s="49">
        <v>154</v>
      </c>
      <c r="B155" t="s">
        <v>239</v>
      </c>
      <c r="C155" s="49" t="s">
        <v>888</v>
      </c>
      <c r="D155" s="49" t="s">
        <v>452</v>
      </c>
      <c r="E155" s="49" t="s">
        <v>728</v>
      </c>
      <c r="F155" s="49">
        <v>2007</v>
      </c>
      <c r="G155" t="s">
        <v>5086</v>
      </c>
      <c r="H155" t="s">
        <v>5114</v>
      </c>
      <c r="I155" s="594">
        <v>620000</v>
      </c>
      <c r="J155" s="594">
        <v>1300000</v>
      </c>
      <c r="K155" s="707">
        <v>5</v>
      </c>
      <c r="L155" s="435">
        <v>1300000</v>
      </c>
      <c r="M155" s="49" t="s">
        <v>725</v>
      </c>
      <c r="N155" s="49" t="s">
        <v>725</v>
      </c>
      <c r="O155" s="49" t="s">
        <v>725</v>
      </c>
      <c r="P155" s="595" t="s">
        <v>725</v>
      </c>
    </row>
    <row r="156" spans="1:16">
      <c r="A156" s="49">
        <v>155</v>
      </c>
      <c r="B156" t="s">
        <v>241</v>
      </c>
      <c r="C156" s="49" t="s">
        <v>889</v>
      </c>
      <c r="D156" s="49" t="s">
        <v>5020</v>
      </c>
      <c r="E156" s="49" t="s">
        <v>728</v>
      </c>
      <c r="F156" s="49">
        <v>2008</v>
      </c>
      <c r="G156" t="s">
        <v>5087</v>
      </c>
      <c r="H156" t="s">
        <v>5114</v>
      </c>
      <c r="I156" s="594">
        <v>440000</v>
      </c>
      <c r="J156" s="594">
        <v>1300000</v>
      </c>
      <c r="K156" s="707">
        <v>10</v>
      </c>
      <c r="L156" s="435">
        <v>1300000</v>
      </c>
      <c r="M156" s="49" t="s">
        <v>725</v>
      </c>
      <c r="N156" s="49" t="s">
        <v>725</v>
      </c>
      <c r="O156" s="49" t="s">
        <v>5038</v>
      </c>
      <c r="P156" s="595" t="s">
        <v>725</v>
      </c>
    </row>
    <row r="157" spans="1:16">
      <c r="A157" s="49">
        <v>156</v>
      </c>
      <c r="B157" t="s">
        <v>242</v>
      </c>
      <c r="C157" s="49" t="s">
        <v>890</v>
      </c>
      <c r="D157" s="49" t="s">
        <v>452</v>
      </c>
      <c r="E157" s="49" t="s">
        <v>725</v>
      </c>
      <c r="F157" s="49" t="s">
        <v>145</v>
      </c>
      <c r="G157" t="s">
        <v>145</v>
      </c>
      <c r="H157" t="s">
        <v>145</v>
      </c>
      <c r="I157" s="710" t="s">
        <v>145</v>
      </c>
      <c r="J157" s="710" t="s">
        <v>145</v>
      </c>
      <c r="K157" s="707">
        <v>5</v>
      </c>
      <c r="L157" t="s">
        <v>145</v>
      </c>
      <c r="M157" s="49" t="s">
        <v>725</v>
      </c>
      <c r="N157" s="49" t="s">
        <v>725</v>
      </c>
      <c r="O157" s="49" t="s">
        <v>725</v>
      </c>
      <c r="P157" s="595" t="s">
        <v>725</v>
      </c>
    </row>
    <row r="158" spans="1:16">
      <c r="A158" s="49">
        <v>157</v>
      </c>
      <c r="B158" t="s">
        <v>243</v>
      </c>
      <c r="C158" s="49" t="s">
        <v>891</v>
      </c>
      <c r="D158" s="49" t="s">
        <v>452</v>
      </c>
      <c r="E158" s="49" t="s">
        <v>725</v>
      </c>
      <c r="F158" s="49" t="s">
        <v>145</v>
      </c>
      <c r="G158" t="s">
        <v>145</v>
      </c>
      <c r="H158" t="s">
        <v>145</v>
      </c>
      <c r="I158" s="710" t="s">
        <v>145</v>
      </c>
      <c r="J158" s="710" t="s">
        <v>145</v>
      </c>
      <c r="K158" s="707">
        <v>5</v>
      </c>
      <c r="L158" t="s">
        <v>145</v>
      </c>
      <c r="M158" s="49" t="s">
        <v>725</v>
      </c>
      <c r="N158" s="49" t="s">
        <v>725</v>
      </c>
      <c r="O158" s="49" t="s">
        <v>725</v>
      </c>
      <c r="P158" s="595" t="s">
        <v>725</v>
      </c>
    </row>
    <row r="159" spans="1:16">
      <c r="A159" s="49">
        <v>158</v>
      </c>
      <c r="B159" t="s">
        <v>244</v>
      </c>
      <c r="C159" s="49" t="s">
        <v>892</v>
      </c>
      <c r="D159" s="49" t="s">
        <v>407</v>
      </c>
      <c r="E159" s="49" t="s">
        <v>728</v>
      </c>
      <c r="F159" s="49">
        <v>2006</v>
      </c>
      <c r="G159" t="s">
        <v>5088</v>
      </c>
      <c r="H159" t="s">
        <v>5104</v>
      </c>
      <c r="I159" s="594">
        <v>600000</v>
      </c>
      <c r="J159" s="594">
        <v>3000000</v>
      </c>
      <c r="K159" s="707">
        <v>5</v>
      </c>
      <c r="L159" s="435">
        <v>3000000</v>
      </c>
      <c r="M159" s="49" t="s">
        <v>728</v>
      </c>
      <c r="N159" s="49" t="s">
        <v>728</v>
      </c>
      <c r="O159" s="49" t="s">
        <v>5038</v>
      </c>
      <c r="P159" s="595" t="s">
        <v>5124</v>
      </c>
    </row>
    <row r="160" spans="1:16">
      <c r="A160" s="49">
        <v>159</v>
      </c>
      <c r="B160" t="s">
        <v>317</v>
      </c>
      <c r="C160" s="49" t="s">
        <v>893</v>
      </c>
      <c r="D160" s="49" t="s">
        <v>5020</v>
      </c>
      <c r="E160" s="49" t="s">
        <v>728</v>
      </c>
      <c r="F160" s="49">
        <v>2008</v>
      </c>
      <c r="G160" t="s">
        <v>5089</v>
      </c>
      <c r="H160" t="s">
        <v>5104</v>
      </c>
      <c r="I160" s="594">
        <v>750000</v>
      </c>
      <c r="J160" s="594">
        <v>1500000</v>
      </c>
      <c r="K160" s="707">
        <v>10</v>
      </c>
      <c r="L160" s="435">
        <v>1500000</v>
      </c>
      <c r="M160" s="49" t="s">
        <v>728</v>
      </c>
      <c r="N160" s="49" t="s">
        <v>725</v>
      </c>
      <c r="O160" s="49" t="s">
        <v>725</v>
      </c>
      <c r="P160" s="595" t="s">
        <v>725</v>
      </c>
    </row>
    <row r="161" spans="1:16">
      <c r="A161" s="49">
        <v>160</v>
      </c>
      <c r="B161" t="s">
        <v>246</v>
      </c>
      <c r="C161" s="49" t="s">
        <v>894</v>
      </c>
      <c r="D161" s="49" t="s">
        <v>5020</v>
      </c>
      <c r="E161" s="49" t="s">
        <v>728</v>
      </c>
      <c r="F161" s="49">
        <v>2006</v>
      </c>
      <c r="G161" t="s">
        <v>5067</v>
      </c>
      <c r="H161" t="s">
        <v>5104</v>
      </c>
      <c r="I161" s="594">
        <v>51000</v>
      </c>
      <c r="J161" s="594">
        <v>250000</v>
      </c>
      <c r="K161" s="707">
        <v>10</v>
      </c>
      <c r="L161" s="594">
        <v>250000</v>
      </c>
      <c r="M161" s="49" t="s">
        <v>725</v>
      </c>
      <c r="N161" s="49" t="s">
        <v>725</v>
      </c>
      <c r="O161" s="49" t="s">
        <v>725</v>
      </c>
      <c r="P161" s="595" t="s">
        <v>725</v>
      </c>
    </row>
    <row r="162" spans="1:16">
      <c r="A162" s="49">
        <v>161</v>
      </c>
      <c r="B162" t="s">
        <v>247</v>
      </c>
      <c r="C162" s="49" t="s">
        <v>895</v>
      </c>
      <c r="D162" s="49" t="s">
        <v>407</v>
      </c>
      <c r="E162" s="49" t="s">
        <v>728</v>
      </c>
      <c r="F162" s="49">
        <v>2009</v>
      </c>
      <c r="G162" t="s">
        <v>5060</v>
      </c>
      <c r="H162" t="s">
        <v>5024</v>
      </c>
      <c r="I162" s="710" t="s">
        <v>145</v>
      </c>
      <c r="J162" s="710" t="s">
        <v>145</v>
      </c>
      <c r="K162" s="707">
        <v>5</v>
      </c>
      <c r="L162" s="710" t="s">
        <v>145</v>
      </c>
      <c r="M162" s="49" t="s">
        <v>725</v>
      </c>
      <c r="N162" s="49" t="s">
        <v>725</v>
      </c>
      <c r="O162" s="49" t="s">
        <v>725</v>
      </c>
      <c r="P162" s="595" t="s">
        <v>725</v>
      </c>
    </row>
    <row r="163" spans="1:16">
      <c r="A163" s="49">
        <v>162</v>
      </c>
      <c r="B163" t="s">
        <v>249</v>
      </c>
      <c r="C163" s="49" t="s">
        <v>896</v>
      </c>
      <c r="D163" s="49" t="s">
        <v>452</v>
      </c>
      <c r="E163" s="49" t="s">
        <v>728</v>
      </c>
      <c r="F163" s="49">
        <v>2007</v>
      </c>
      <c r="G163" t="s">
        <v>5090</v>
      </c>
      <c r="H163" t="s">
        <v>5104</v>
      </c>
      <c r="I163" s="710" t="s">
        <v>145</v>
      </c>
      <c r="J163" s="710" t="s">
        <v>145</v>
      </c>
      <c r="K163" s="707">
        <v>5</v>
      </c>
      <c r="L163" s="710" t="s">
        <v>145</v>
      </c>
      <c r="M163" s="49" t="s">
        <v>725</v>
      </c>
      <c r="N163" s="49" t="s">
        <v>725</v>
      </c>
      <c r="O163" s="49" t="s">
        <v>725</v>
      </c>
      <c r="P163" s="595" t="s">
        <v>725</v>
      </c>
    </row>
    <row r="164" spans="1:16">
      <c r="A164" s="49">
        <v>163</v>
      </c>
      <c r="B164" t="s">
        <v>250</v>
      </c>
      <c r="C164" s="49" t="s">
        <v>897</v>
      </c>
      <c r="D164" s="49" t="s">
        <v>452</v>
      </c>
      <c r="E164" s="49" t="s">
        <v>5027</v>
      </c>
      <c r="F164" s="49" t="s">
        <v>5128</v>
      </c>
      <c r="G164" t="s">
        <v>5105</v>
      </c>
      <c r="H164" t="s">
        <v>5104</v>
      </c>
      <c r="I164" s="594">
        <v>650000</v>
      </c>
      <c r="J164" s="710" t="s">
        <v>145</v>
      </c>
      <c r="K164" s="707">
        <v>10</v>
      </c>
      <c r="L164" s="710" t="s">
        <v>145</v>
      </c>
      <c r="M164" s="49" t="s">
        <v>725</v>
      </c>
      <c r="N164" s="49" t="s">
        <v>725</v>
      </c>
      <c r="O164" s="49" t="s">
        <v>725</v>
      </c>
      <c r="P164" s="595" t="s">
        <v>5121</v>
      </c>
    </row>
    <row r="165" spans="1:16">
      <c r="A165" s="49">
        <v>164</v>
      </c>
      <c r="B165" t="s">
        <v>252</v>
      </c>
      <c r="C165" s="49" t="s">
        <v>899</v>
      </c>
      <c r="D165" s="49" t="s">
        <v>5020</v>
      </c>
      <c r="E165" s="49" t="s">
        <v>728</v>
      </c>
      <c r="F165" s="49">
        <v>2006</v>
      </c>
      <c r="G165" t="s">
        <v>5091</v>
      </c>
      <c r="H165" t="s">
        <v>5104</v>
      </c>
      <c r="I165" s="594">
        <v>2000000</v>
      </c>
      <c r="J165" s="594">
        <v>10000000</v>
      </c>
      <c r="K165" s="707">
        <v>10</v>
      </c>
      <c r="L165" s="594">
        <v>10000000</v>
      </c>
      <c r="M165" s="49" t="s">
        <v>5027</v>
      </c>
      <c r="N165" s="49" t="s">
        <v>725</v>
      </c>
      <c r="O165" s="49" t="s">
        <v>725</v>
      </c>
      <c r="P165" s="595" t="s">
        <v>725</v>
      </c>
    </row>
    <row r="166" spans="1:16">
      <c r="A166" s="49">
        <v>165</v>
      </c>
      <c r="B166" t="s">
        <v>253</v>
      </c>
      <c r="C166" s="49" t="s">
        <v>900</v>
      </c>
      <c r="D166" s="49" t="s">
        <v>5019</v>
      </c>
      <c r="E166" s="49" t="s">
        <v>5027</v>
      </c>
      <c r="F166" s="49" t="s">
        <v>5129</v>
      </c>
      <c r="G166" t="s">
        <v>5115</v>
      </c>
      <c r="H166" t="s">
        <v>5024</v>
      </c>
      <c r="I166" s="710" t="s">
        <v>145</v>
      </c>
      <c r="J166" s="710" t="s">
        <v>145</v>
      </c>
      <c r="K166" s="707">
        <v>5</v>
      </c>
      <c r="L166" s="710" t="s">
        <v>145</v>
      </c>
      <c r="M166" s="49" t="s">
        <v>725</v>
      </c>
      <c r="N166" s="49" t="s">
        <v>725</v>
      </c>
      <c r="O166" s="49" t="s">
        <v>725</v>
      </c>
      <c r="P166" s="595" t="s">
        <v>725</v>
      </c>
    </row>
    <row r="167" spans="1:16">
      <c r="A167" s="49">
        <v>166</v>
      </c>
      <c r="B167" t="s">
        <v>402</v>
      </c>
      <c r="C167" s="49" t="s">
        <v>882</v>
      </c>
      <c r="D167" s="49" t="s">
        <v>5026</v>
      </c>
      <c r="E167" s="49" t="s">
        <v>725</v>
      </c>
      <c r="F167" s="49" t="s">
        <v>145</v>
      </c>
      <c r="G167" t="s">
        <v>145</v>
      </c>
      <c r="H167" t="s">
        <v>145</v>
      </c>
      <c r="I167" s="710" t="s">
        <v>145</v>
      </c>
      <c r="J167" s="710" t="s">
        <v>145</v>
      </c>
      <c r="K167" s="707">
        <v>5</v>
      </c>
      <c r="L167" s="710" t="s">
        <v>145</v>
      </c>
      <c r="M167" s="49" t="s">
        <v>725</v>
      </c>
      <c r="N167" s="49" t="s">
        <v>725</v>
      </c>
      <c r="O167" s="49" t="s">
        <v>725</v>
      </c>
      <c r="P167" s="595" t="s">
        <v>725</v>
      </c>
    </row>
    <row r="168" spans="1:16">
      <c r="A168" s="49">
        <v>167</v>
      </c>
      <c r="B168" t="s">
        <v>404</v>
      </c>
      <c r="C168" s="49" t="s">
        <v>884</v>
      </c>
      <c r="D168" s="49" t="s">
        <v>5026</v>
      </c>
      <c r="E168" s="49" t="s">
        <v>725</v>
      </c>
      <c r="F168" s="49" t="s">
        <v>145</v>
      </c>
      <c r="G168" t="s">
        <v>145</v>
      </c>
      <c r="H168" t="s">
        <v>145</v>
      </c>
      <c r="I168" s="710" t="s">
        <v>145</v>
      </c>
      <c r="J168" s="710" t="s">
        <v>145</v>
      </c>
      <c r="K168" s="707">
        <v>5</v>
      </c>
      <c r="L168" s="710" t="s">
        <v>145</v>
      </c>
      <c r="M168" s="49" t="s">
        <v>725</v>
      </c>
      <c r="N168" s="49" t="s">
        <v>725</v>
      </c>
      <c r="O168" s="49" t="s">
        <v>725</v>
      </c>
      <c r="P168" s="595" t="s">
        <v>725</v>
      </c>
    </row>
    <row r="169" spans="1:16">
      <c r="A169" s="49">
        <v>168</v>
      </c>
      <c r="B169" t="s">
        <v>255</v>
      </c>
      <c r="C169" s="49" t="s">
        <v>901</v>
      </c>
      <c r="D169" s="49" t="s">
        <v>452</v>
      </c>
      <c r="E169" s="49" t="s">
        <v>728</v>
      </c>
      <c r="F169" s="49">
        <v>2009</v>
      </c>
      <c r="G169" t="s">
        <v>5092</v>
      </c>
      <c r="H169" t="s">
        <v>5108</v>
      </c>
      <c r="I169" s="594">
        <v>100000</v>
      </c>
      <c r="J169" s="594">
        <v>200000</v>
      </c>
      <c r="K169" s="707">
        <v>5</v>
      </c>
      <c r="L169" s="594">
        <v>200000</v>
      </c>
      <c r="M169" s="49" t="s">
        <v>725</v>
      </c>
      <c r="N169" s="49" t="s">
        <v>725</v>
      </c>
      <c r="O169" s="49" t="s">
        <v>725</v>
      </c>
      <c r="P169" s="595" t="s">
        <v>725</v>
      </c>
    </row>
    <row r="170" spans="1:16">
      <c r="A170" s="49">
        <v>169</v>
      </c>
      <c r="B170" t="s">
        <v>257</v>
      </c>
      <c r="C170" s="49" t="s">
        <v>902</v>
      </c>
      <c r="D170" s="49" t="s">
        <v>452</v>
      </c>
      <c r="E170" s="49" t="s">
        <v>725</v>
      </c>
      <c r="F170" s="49" t="s">
        <v>145</v>
      </c>
      <c r="G170" t="s">
        <v>145</v>
      </c>
      <c r="H170" t="s">
        <v>145</v>
      </c>
      <c r="I170" s="710" t="s">
        <v>145</v>
      </c>
      <c r="J170" s="710" t="s">
        <v>145</v>
      </c>
      <c r="K170" s="707">
        <v>5</v>
      </c>
      <c r="L170" s="710" t="s">
        <v>145</v>
      </c>
      <c r="M170" s="49" t="s">
        <v>725</v>
      </c>
      <c r="N170" s="49" t="s">
        <v>725</v>
      </c>
      <c r="O170" s="49" t="s">
        <v>725</v>
      </c>
      <c r="P170" s="595" t="s">
        <v>725</v>
      </c>
    </row>
    <row r="171" spans="1:16">
      <c r="A171" s="49">
        <v>170</v>
      </c>
      <c r="B171" t="s">
        <v>258</v>
      </c>
      <c r="C171" s="49" t="s">
        <v>903</v>
      </c>
      <c r="D171" s="49" t="s">
        <v>452</v>
      </c>
      <c r="E171" s="49" t="s">
        <v>725</v>
      </c>
      <c r="F171" s="49" t="s">
        <v>145</v>
      </c>
      <c r="G171" t="s">
        <v>145</v>
      </c>
      <c r="H171" t="s">
        <v>145</v>
      </c>
      <c r="I171" s="710" t="s">
        <v>145</v>
      </c>
      <c r="J171" s="710" t="s">
        <v>145</v>
      </c>
      <c r="K171" s="707">
        <v>5</v>
      </c>
      <c r="L171" s="710" t="s">
        <v>145</v>
      </c>
      <c r="M171" s="49" t="s">
        <v>725</v>
      </c>
      <c r="N171" s="49" t="s">
        <v>725</v>
      </c>
      <c r="O171" s="49" t="s">
        <v>725</v>
      </c>
      <c r="P171" s="595" t="s">
        <v>725</v>
      </c>
    </row>
    <row r="172" spans="1:16">
      <c r="A172" s="49">
        <v>171</v>
      </c>
      <c r="B172" t="s">
        <v>259</v>
      </c>
      <c r="C172" s="49" t="s">
        <v>904</v>
      </c>
      <c r="D172" s="49" t="s">
        <v>5020</v>
      </c>
      <c r="E172" s="49" t="s">
        <v>728</v>
      </c>
      <c r="F172" s="49">
        <v>2005</v>
      </c>
      <c r="G172" t="s">
        <v>5078</v>
      </c>
      <c r="H172" t="s">
        <v>5104</v>
      </c>
      <c r="I172" s="594">
        <v>825000</v>
      </c>
      <c r="J172" s="594">
        <v>5100000</v>
      </c>
      <c r="K172" s="707">
        <v>5</v>
      </c>
      <c r="L172" s="594">
        <v>4900000</v>
      </c>
      <c r="M172" s="49" t="s">
        <v>5027</v>
      </c>
      <c r="N172" s="49" t="s">
        <v>725</v>
      </c>
      <c r="O172" s="49" t="s">
        <v>725</v>
      </c>
      <c r="P172" s="595" t="s">
        <v>725</v>
      </c>
    </row>
    <row r="173" spans="1:16">
      <c r="A173" s="49">
        <v>172</v>
      </c>
      <c r="B173" t="s">
        <v>260</v>
      </c>
      <c r="C173" s="49" t="s">
        <v>905</v>
      </c>
      <c r="D173" s="49" t="s">
        <v>5020</v>
      </c>
      <c r="E173" s="49" t="s">
        <v>728</v>
      </c>
      <c r="F173" s="49">
        <v>2006</v>
      </c>
      <c r="G173" t="s">
        <v>5025</v>
      </c>
      <c r="H173" t="s">
        <v>5104</v>
      </c>
      <c r="I173" s="594">
        <v>750000</v>
      </c>
      <c r="J173" s="594">
        <v>3500000</v>
      </c>
      <c r="K173" s="707">
        <v>10</v>
      </c>
      <c r="L173" s="594">
        <v>3500000</v>
      </c>
      <c r="M173" s="49" t="s">
        <v>728</v>
      </c>
      <c r="N173" s="49" t="s">
        <v>725</v>
      </c>
      <c r="O173" s="49" t="s">
        <v>5093</v>
      </c>
      <c r="P173" s="595" t="s">
        <v>725</v>
      </c>
    </row>
    <row r="174" spans="1:16">
      <c r="A174" s="49">
        <v>173</v>
      </c>
      <c r="B174" t="s">
        <v>262</v>
      </c>
      <c r="C174" s="49" t="s">
        <v>906</v>
      </c>
      <c r="D174" s="49" t="s">
        <v>5022</v>
      </c>
      <c r="E174" s="49" t="s">
        <v>725</v>
      </c>
      <c r="F174" s="49" t="s">
        <v>145</v>
      </c>
      <c r="G174" t="s">
        <v>145</v>
      </c>
      <c r="H174" t="s">
        <v>145</v>
      </c>
      <c r="I174" s="710" t="s">
        <v>145</v>
      </c>
      <c r="J174" s="710" t="s">
        <v>145</v>
      </c>
      <c r="K174" s="707">
        <v>5</v>
      </c>
      <c r="L174" s="710" t="s">
        <v>145</v>
      </c>
      <c r="M174" s="49" t="s">
        <v>725</v>
      </c>
      <c r="N174" s="49" t="s">
        <v>725</v>
      </c>
      <c r="O174" s="49" t="s">
        <v>725</v>
      </c>
      <c r="P174" s="595" t="s">
        <v>725</v>
      </c>
    </row>
    <row r="175" spans="1:16">
      <c r="A175" s="49">
        <v>174</v>
      </c>
      <c r="B175" t="s">
        <v>930</v>
      </c>
      <c r="C175" s="49" t="s">
        <v>746</v>
      </c>
      <c r="D175" s="49" t="s">
        <v>407</v>
      </c>
      <c r="E175" s="49" t="s">
        <v>728</v>
      </c>
      <c r="F175" s="49">
        <v>2008</v>
      </c>
      <c r="G175" t="s">
        <v>5094</v>
      </c>
      <c r="H175" t="s">
        <v>5024</v>
      </c>
      <c r="I175" s="594">
        <v>1500000</v>
      </c>
      <c r="J175" s="594">
        <v>4000000</v>
      </c>
      <c r="K175" s="707">
        <v>10</v>
      </c>
      <c r="L175" s="594">
        <v>4000000</v>
      </c>
      <c r="M175" s="49" t="s">
        <v>725</v>
      </c>
      <c r="N175" s="49" t="s">
        <v>725</v>
      </c>
      <c r="O175" s="49" t="s">
        <v>725</v>
      </c>
      <c r="P175" s="595" t="s">
        <v>5121</v>
      </c>
    </row>
    <row r="176" spans="1:16">
      <c r="A176" s="49">
        <v>175</v>
      </c>
      <c r="B176" t="s">
        <v>263</v>
      </c>
      <c r="C176" s="49" t="s">
        <v>907</v>
      </c>
      <c r="D176" s="49" t="s">
        <v>5019</v>
      </c>
      <c r="E176" s="49" t="s">
        <v>5109</v>
      </c>
      <c r="F176" s="49">
        <v>2010</v>
      </c>
      <c r="G176" t="s">
        <v>5095</v>
      </c>
      <c r="H176" t="s">
        <v>5024</v>
      </c>
      <c r="I176" s="594">
        <v>40000</v>
      </c>
      <c r="J176" s="594">
        <v>50000</v>
      </c>
      <c r="K176" s="707">
        <v>5</v>
      </c>
      <c r="L176" s="594">
        <v>50000</v>
      </c>
      <c r="M176" s="49" t="s">
        <v>725</v>
      </c>
      <c r="N176" s="49" t="s">
        <v>725</v>
      </c>
      <c r="O176" s="49" t="s">
        <v>725</v>
      </c>
      <c r="P176" s="595" t="s">
        <v>503</v>
      </c>
    </row>
    <row r="177" spans="1:16">
      <c r="A177" s="49">
        <v>176</v>
      </c>
      <c r="B177" t="s">
        <v>265</v>
      </c>
      <c r="C177" s="49" t="s">
        <v>908</v>
      </c>
      <c r="D177" s="49" t="s">
        <v>452</v>
      </c>
      <c r="E177" s="49" t="s">
        <v>725</v>
      </c>
      <c r="F177" s="49" t="s">
        <v>145</v>
      </c>
      <c r="G177" t="s">
        <v>145</v>
      </c>
      <c r="H177" t="s">
        <v>145</v>
      </c>
      <c r="I177" s="710" t="s">
        <v>145</v>
      </c>
      <c r="J177" s="710" t="s">
        <v>145</v>
      </c>
      <c r="K177" s="707">
        <v>5</v>
      </c>
      <c r="L177" s="710" t="s">
        <v>145</v>
      </c>
      <c r="M177" s="49" t="s">
        <v>725</v>
      </c>
      <c r="N177" s="49" t="s">
        <v>725</v>
      </c>
      <c r="O177" s="49" t="s">
        <v>725</v>
      </c>
      <c r="P177" s="595" t="s">
        <v>725</v>
      </c>
    </row>
    <row r="178" spans="1:16">
      <c r="A178" s="49">
        <v>177</v>
      </c>
      <c r="B178" t="s">
        <v>267</v>
      </c>
      <c r="C178" s="49" t="s">
        <v>909</v>
      </c>
      <c r="D178" s="49" t="s">
        <v>407</v>
      </c>
      <c r="E178" s="49" t="s">
        <v>728</v>
      </c>
      <c r="F178" s="49">
        <v>2005</v>
      </c>
      <c r="G178" t="s">
        <v>5096</v>
      </c>
      <c r="H178" t="s">
        <v>5104</v>
      </c>
      <c r="I178" s="594">
        <v>860000</v>
      </c>
      <c r="J178" s="594">
        <v>5200000</v>
      </c>
      <c r="K178" s="707">
        <v>5</v>
      </c>
      <c r="L178" s="594">
        <v>4300000</v>
      </c>
      <c r="M178" s="49" t="s">
        <v>725</v>
      </c>
      <c r="N178" s="49" t="s">
        <v>725</v>
      </c>
      <c r="O178" s="49" t="s">
        <v>725</v>
      </c>
      <c r="P178" s="595" t="s">
        <v>725</v>
      </c>
    </row>
    <row r="179" spans="1:16">
      <c r="A179" s="49">
        <v>178</v>
      </c>
      <c r="B179" t="s">
        <v>268</v>
      </c>
      <c r="C179" s="49" t="s">
        <v>3146</v>
      </c>
      <c r="D179" s="49" t="s">
        <v>407</v>
      </c>
      <c r="E179" s="49" t="s">
        <v>725</v>
      </c>
      <c r="F179" s="49" t="s">
        <v>145</v>
      </c>
      <c r="G179" t="s">
        <v>145</v>
      </c>
      <c r="H179" t="s">
        <v>145</v>
      </c>
      <c r="I179" s="710" t="s">
        <v>145</v>
      </c>
      <c r="J179" s="710" t="s">
        <v>145</v>
      </c>
      <c r="K179" s="707">
        <v>5</v>
      </c>
      <c r="L179" s="710" t="s">
        <v>145</v>
      </c>
      <c r="M179" s="49" t="s">
        <v>725</v>
      </c>
      <c r="N179" s="49" t="s">
        <v>725</v>
      </c>
      <c r="O179" s="49" t="s">
        <v>725</v>
      </c>
      <c r="P179" s="595" t="s">
        <v>725</v>
      </c>
    </row>
    <row r="180" spans="1:16">
      <c r="A180" s="49">
        <v>179</v>
      </c>
      <c r="B180" t="s">
        <v>269</v>
      </c>
      <c r="C180" s="49" t="s">
        <v>910</v>
      </c>
      <c r="D180" s="49" t="s">
        <v>452</v>
      </c>
      <c r="E180" s="49" t="s">
        <v>728</v>
      </c>
      <c r="F180" s="49">
        <v>2009</v>
      </c>
      <c r="G180" t="s">
        <v>5097</v>
      </c>
      <c r="H180" t="s">
        <v>5108</v>
      </c>
      <c r="I180" s="594">
        <v>30000</v>
      </c>
      <c r="J180" s="594">
        <v>50000</v>
      </c>
      <c r="K180" s="707">
        <v>5</v>
      </c>
      <c r="L180" s="594">
        <v>50000</v>
      </c>
      <c r="M180" s="49" t="s">
        <v>725</v>
      </c>
      <c r="N180" s="49" t="s">
        <v>725</v>
      </c>
      <c r="O180" s="49" t="s">
        <v>725</v>
      </c>
      <c r="P180" s="595" t="s">
        <v>725</v>
      </c>
    </row>
    <row r="181" spans="1:16">
      <c r="A181" s="49">
        <v>180</v>
      </c>
      <c r="B181" t="s">
        <v>270</v>
      </c>
      <c r="C181" s="49" t="s">
        <v>911</v>
      </c>
      <c r="D181" s="49" t="s">
        <v>407</v>
      </c>
      <c r="E181" s="49" t="s">
        <v>725</v>
      </c>
      <c r="F181" s="49" t="s">
        <v>145</v>
      </c>
      <c r="G181" t="s">
        <v>145</v>
      </c>
      <c r="H181" t="s">
        <v>145</v>
      </c>
      <c r="I181" s="710" t="s">
        <v>145</v>
      </c>
      <c r="J181" s="710" t="s">
        <v>145</v>
      </c>
      <c r="K181" s="707">
        <v>5</v>
      </c>
      <c r="L181" s="710" t="s">
        <v>145</v>
      </c>
      <c r="M181" s="49" t="s">
        <v>725</v>
      </c>
      <c r="N181" s="49" t="s">
        <v>725</v>
      </c>
      <c r="O181" s="49" t="s">
        <v>725</v>
      </c>
      <c r="P181" s="595" t="s">
        <v>725</v>
      </c>
    </row>
    <row r="182" spans="1:16">
      <c r="A182" s="49">
        <v>181</v>
      </c>
      <c r="B182" t="s">
        <v>272</v>
      </c>
      <c r="C182" s="49" t="s">
        <v>912</v>
      </c>
      <c r="D182" s="49" t="s">
        <v>5026</v>
      </c>
      <c r="E182" s="49" t="s">
        <v>725</v>
      </c>
      <c r="F182" s="49" t="s">
        <v>145</v>
      </c>
      <c r="G182" t="s">
        <v>145</v>
      </c>
      <c r="H182" t="s">
        <v>145</v>
      </c>
      <c r="I182" s="710" t="s">
        <v>145</v>
      </c>
      <c r="J182" s="710" t="s">
        <v>145</v>
      </c>
      <c r="K182" s="707">
        <v>5</v>
      </c>
      <c r="L182" s="710" t="s">
        <v>145</v>
      </c>
      <c r="M182" s="49" t="s">
        <v>725</v>
      </c>
      <c r="N182" s="49" t="s">
        <v>725</v>
      </c>
      <c r="O182" s="49" t="s">
        <v>725</v>
      </c>
      <c r="P182" s="595" t="s">
        <v>725</v>
      </c>
    </row>
    <row r="183" spans="1:16">
      <c r="A183" s="49">
        <v>182</v>
      </c>
      <c r="B183" t="s">
        <v>274</v>
      </c>
      <c r="C183" s="49" t="s">
        <v>913</v>
      </c>
      <c r="D183" s="49" t="s">
        <v>5022</v>
      </c>
      <c r="E183" s="49" t="s">
        <v>725</v>
      </c>
      <c r="F183" s="49" t="s">
        <v>145</v>
      </c>
      <c r="G183" t="s">
        <v>145</v>
      </c>
      <c r="H183" t="s">
        <v>145</v>
      </c>
      <c r="I183" s="710" t="s">
        <v>145</v>
      </c>
      <c r="J183" s="710" t="s">
        <v>145</v>
      </c>
      <c r="K183" s="707">
        <v>5</v>
      </c>
      <c r="L183" s="710" t="s">
        <v>145</v>
      </c>
      <c r="M183" s="49" t="s">
        <v>725</v>
      </c>
      <c r="N183" s="49" t="s">
        <v>725</v>
      </c>
      <c r="O183" s="49" t="s">
        <v>725</v>
      </c>
      <c r="P183" s="595" t="s">
        <v>725</v>
      </c>
    </row>
    <row r="184" spans="1:16">
      <c r="A184" s="49">
        <v>183</v>
      </c>
      <c r="B184" t="s">
        <v>276</v>
      </c>
      <c r="C184" s="49" t="s">
        <v>914</v>
      </c>
      <c r="D184" s="49" t="s">
        <v>5020</v>
      </c>
      <c r="E184" s="49" t="s">
        <v>728</v>
      </c>
      <c r="F184" s="49">
        <v>2010</v>
      </c>
      <c r="G184" t="s">
        <v>5053</v>
      </c>
      <c r="H184" t="s">
        <v>5024</v>
      </c>
      <c r="I184" s="594">
        <v>1430000</v>
      </c>
      <c r="J184" s="594">
        <v>1500000</v>
      </c>
      <c r="K184" s="707">
        <v>5</v>
      </c>
      <c r="L184" s="594">
        <v>1500000</v>
      </c>
      <c r="M184" s="49" t="s">
        <v>725</v>
      </c>
      <c r="N184" s="49" t="s">
        <v>725</v>
      </c>
      <c r="O184" s="49" t="s">
        <v>725</v>
      </c>
      <c r="P184" s="595" t="s">
        <v>725</v>
      </c>
    </row>
    <row r="185" spans="1:16">
      <c r="A185" s="49">
        <v>184</v>
      </c>
      <c r="B185" t="s">
        <v>278</v>
      </c>
      <c r="C185" s="49" t="s">
        <v>915</v>
      </c>
      <c r="D185" s="49" t="s">
        <v>5019</v>
      </c>
      <c r="E185" s="49" t="s">
        <v>728</v>
      </c>
      <c r="F185" s="49">
        <v>2008</v>
      </c>
      <c r="G185" t="s">
        <v>5098</v>
      </c>
      <c r="H185" t="s">
        <v>5024</v>
      </c>
      <c r="I185" s="594">
        <v>80000</v>
      </c>
      <c r="J185" s="594">
        <v>200000</v>
      </c>
      <c r="K185" s="707">
        <v>5</v>
      </c>
      <c r="L185" s="594">
        <v>200000</v>
      </c>
      <c r="M185" s="49" t="s">
        <v>725</v>
      </c>
      <c r="N185" s="49" t="s">
        <v>725</v>
      </c>
      <c r="O185" s="49" t="s">
        <v>725</v>
      </c>
      <c r="P185" s="595" t="s">
        <v>503</v>
      </c>
    </row>
    <row r="186" spans="1:16">
      <c r="A186" s="49">
        <v>185</v>
      </c>
      <c r="B186" t="s">
        <v>279</v>
      </c>
      <c r="C186" s="49" t="s">
        <v>916</v>
      </c>
      <c r="D186" s="49" t="s">
        <v>407</v>
      </c>
      <c r="E186" s="49" t="s">
        <v>725</v>
      </c>
      <c r="F186" s="49" t="s">
        <v>145</v>
      </c>
      <c r="G186" t="s">
        <v>145</v>
      </c>
      <c r="H186" t="s">
        <v>145</v>
      </c>
      <c r="I186" s="710" t="s">
        <v>145</v>
      </c>
      <c r="J186" s="710" t="s">
        <v>145</v>
      </c>
      <c r="K186" s="707">
        <v>5</v>
      </c>
      <c r="L186" s="710" t="s">
        <v>145</v>
      </c>
      <c r="M186" s="49" t="s">
        <v>725</v>
      </c>
      <c r="N186" s="49" t="s">
        <v>725</v>
      </c>
      <c r="O186" s="49" t="s">
        <v>725</v>
      </c>
      <c r="P186" s="595" t="s">
        <v>725</v>
      </c>
    </row>
    <row r="187" spans="1:16">
      <c r="A187" s="49">
        <v>186</v>
      </c>
      <c r="B187" t="s">
        <v>280</v>
      </c>
      <c r="C187" s="49" t="s">
        <v>917</v>
      </c>
      <c r="D187" s="49" t="s">
        <v>452</v>
      </c>
      <c r="E187" s="49" t="s">
        <v>725</v>
      </c>
      <c r="F187" s="49" t="s">
        <v>145</v>
      </c>
      <c r="G187" t="s">
        <v>145</v>
      </c>
      <c r="H187" t="s">
        <v>145</v>
      </c>
      <c r="I187" s="710" t="s">
        <v>145</v>
      </c>
      <c r="J187" s="710" t="s">
        <v>145</v>
      </c>
      <c r="K187" s="707">
        <v>5</v>
      </c>
      <c r="L187" s="710" t="s">
        <v>145</v>
      </c>
      <c r="M187" s="49" t="s">
        <v>725</v>
      </c>
      <c r="N187" s="49" t="s">
        <v>725</v>
      </c>
      <c r="O187" s="49" t="s">
        <v>725</v>
      </c>
      <c r="P187" s="595" t="s">
        <v>725</v>
      </c>
    </row>
    <row r="188" spans="1:16">
      <c r="A188" s="49">
        <v>187</v>
      </c>
      <c r="B188" t="s">
        <v>282</v>
      </c>
      <c r="C188" s="49" t="s">
        <v>918</v>
      </c>
      <c r="D188" s="49" t="s">
        <v>5020</v>
      </c>
      <c r="E188" s="49" t="s">
        <v>5027</v>
      </c>
      <c r="F188" s="49">
        <v>2013</v>
      </c>
      <c r="G188" t="s">
        <v>5099</v>
      </c>
      <c r="H188" t="s">
        <v>5024</v>
      </c>
      <c r="I188" s="710" t="s">
        <v>145</v>
      </c>
      <c r="J188" s="710" t="s">
        <v>145</v>
      </c>
      <c r="K188" s="707">
        <v>10</v>
      </c>
      <c r="L188" s="710" t="s">
        <v>145</v>
      </c>
      <c r="M188" s="49" t="s">
        <v>728</v>
      </c>
      <c r="N188" s="49" t="s">
        <v>725</v>
      </c>
      <c r="O188" s="49" t="s">
        <v>725</v>
      </c>
      <c r="P188" s="595" t="s">
        <v>725</v>
      </c>
    </row>
    <row r="189" spans="1:16">
      <c r="A189" s="49">
        <v>188</v>
      </c>
      <c r="B189" t="s">
        <v>283</v>
      </c>
      <c r="C189" s="49" t="s">
        <v>919</v>
      </c>
      <c r="D189" s="49" t="s">
        <v>5022</v>
      </c>
      <c r="E189" s="49" t="s">
        <v>728</v>
      </c>
      <c r="F189" s="49">
        <v>2010</v>
      </c>
      <c r="G189" t="s">
        <v>5023</v>
      </c>
      <c r="H189" t="s">
        <v>5104</v>
      </c>
      <c r="I189" s="594">
        <v>300000</v>
      </c>
      <c r="J189" s="594">
        <v>400000</v>
      </c>
      <c r="K189" s="707">
        <v>5</v>
      </c>
      <c r="L189" s="594">
        <v>400000</v>
      </c>
      <c r="M189" s="49" t="s">
        <v>728</v>
      </c>
      <c r="N189" s="49" t="s">
        <v>725</v>
      </c>
      <c r="O189" s="49" t="s">
        <v>5100</v>
      </c>
      <c r="P189" s="595" t="s">
        <v>5126</v>
      </c>
    </row>
    <row r="190" spans="1:16">
      <c r="A190" s="49">
        <v>189</v>
      </c>
      <c r="B190" t="s">
        <v>284</v>
      </c>
      <c r="C190" s="49" t="s">
        <v>920</v>
      </c>
      <c r="D190" s="49" t="s">
        <v>5020</v>
      </c>
      <c r="E190" s="49" t="s">
        <v>728</v>
      </c>
      <c r="F190" s="49">
        <v>2006</v>
      </c>
      <c r="G190" t="s">
        <v>5101</v>
      </c>
      <c r="H190" t="s">
        <v>5024</v>
      </c>
      <c r="I190" s="594">
        <v>5000000</v>
      </c>
      <c r="J190" s="594">
        <v>27000000</v>
      </c>
      <c r="K190" s="707">
        <v>10</v>
      </c>
      <c r="L190" s="594">
        <v>27000000</v>
      </c>
      <c r="M190" s="49" t="s">
        <v>728</v>
      </c>
      <c r="N190" s="49" t="s">
        <v>728</v>
      </c>
      <c r="O190" s="49" t="s">
        <v>5064</v>
      </c>
      <c r="P190" s="595" t="s">
        <v>5121</v>
      </c>
    </row>
    <row r="191" spans="1:16">
      <c r="A191" s="49">
        <v>190</v>
      </c>
      <c r="B191" t="s">
        <v>286</v>
      </c>
      <c r="C191" s="49" t="s">
        <v>921</v>
      </c>
      <c r="D191" s="49" t="s">
        <v>5026</v>
      </c>
      <c r="E191" s="49" t="s">
        <v>725</v>
      </c>
      <c r="F191" s="49" t="s">
        <v>145</v>
      </c>
      <c r="G191" t="s">
        <v>145</v>
      </c>
      <c r="H191" t="s">
        <v>145</v>
      </c>
      <c r="I191" s="710" t="s">
        <v>145</v>
      </c>
      <c r="J191" s="710" t="s">
        <v>145</v>
      </c>
      <c r="K191" s="707">
        <v>5</v>
      </c>
      <c r="L191" s="710" t="s">
        <v>145</v>
      </c>
      <c r="M191" s="49" t="s">
        <v>725</v>
      </c>
      <c r="N191" s="49" t="s">
        <v>725</v>
      </c>
      <c r="O191" s="49" t="s">
        <v>725</v>
      </c>
      <c r="P191" s="595" t="s">
        <v>725</v>
      </c>
    </row>
    <row r="192" spans="1:16">
      <c r="A192" s="49">
        <v>191</v>
      </c>
      <c r="B192" t="s">
        <v>285</v>
      </c>
      <c r="C192" s="49" t="s">
        <v>742</v>
      </c>
      <c r="D192" s="49" t="s">
        <v>5026</v>
      </c>
      <c r="E192" s="49" t="s">
        <v>728</v>
      </c>
      <c r="F192" s="49">
        <v>2006</v>
      </c>
      <c r="G192" t="s">
        <v>5091</v>
      </c>
      <c r="H192" t="s">
        <v>5024</v>
      </c>
      <c r="I192" s="594">
        <v>13000000</v>
      </c>
      <c r="J192" s="594">
        <v>72000000</v>
      </c>
      <c r="K192" s="707">
        <v>10</v>
      </c>
      <c r="L192" s="594">
        <v>72000000</v>
      </c>
      <c r="M192" s="49" t="s">
        <v>728</v>
      </c>
      <c r="N192" s="49" t="s">
        <v>728</v>
      </c>
      <c r="O192" s="49" t="s">
        <v>5038</v>
      </c>
      <c r="P192" s="595" t="s">
        <v>5121</v>
      </c>
    </row>
    <row r="193" spans="1:16">
      <c r="A193" s="49">
        <v>192</v>
      </c>
      <c r="B193" t="s">
        <v>288</v>
      </c>
      <c r="C193" s="49" t="s">
        <v>922</v>
      </c>
      <c r="D193" s="49" t="s">
        <v>5019</v>
      </c>
      <c r="E193" s="49" t="s">
        <v>5027</v>
      </c>
      <c r="F193" s="49" t="s">
        <v>5129</v>
      </c>
      <c r="G193" t="s">
        <v>5115</v>
      </c>
      <c r="H193" t="s">
        <v>5108</v>
      </c>
      <c r="I193" s="594">
        <v>600000</v>
      </c>
      <c r="J193" s="710" t="s">
        <v>145</v>
      </c>
      <c r="K193" s="707">
        <v>5</v>
      </c>
      <c r="L193" s="710" t="s">
        <v>145</v>
      </c>
      <c r="M193" s="49" t="s">
        <v>725</v>
      </c>
      <c r="N193" s="49" t="s">
        <v>725</v>
      </c>
      <c r="O193" s="49" t="s">
        <v>725</v>
      </c>
      <c r="P193" s="595" t="s">
        <v>725</v>
      </c>
    </row>
    <row r="194" spans="1:16">
      <c r="A194" s="49">
        <v>193</v>
      </c>
      <c r="B194" t="s">
        <v>289</v>
      </c>
      <c r="C194" s="49" t="s">
        <v>923</v>
      </c>
      <c r="D194" s="49" t="s">
        <v>407</v>
      </c>
      <c r="E194" s="49" t="s">
        <v>725</v>
      </c>
      <c r="F194" s="49" t="s">
        <v>145</v>
      </c>
      <c r="G194" t="s">
        <v>145</v>
      </c>
      <c r="H194" t="s">
        <v>145</v>
      </c>
      <c r="I194" s="710" t="s">
        <v>145</v>
      </c>
      <c r="J194" s="710" t="s">
        <v>145</v>
      </c>
      <c r="K194" s="707">
        <v>5</v>
      </c>
      <c r="L194" s="710" t="s">
        <v>145</v>
      </c>
      <c r="M194" s="49" t="s">
        <v>725</v>
      </c>
      <c r="N194" s="49" t="s">
        <v>725</v>
      </c>
      <c r="O194" s="49" t="s">
        <v>725</v>
      </c>
      <c r="P194" s="595" t="s">
        <v>725</v>
      </c>
    </row>
    <row r="195" spans="1:16">
      <c r="A195" s="49">
        <v>194</v>
      </c>
      <c r="B195" t="s">
        <v>5103</v>
      </c>
      <c r="C195" s="49" t="s">
        <v>5119</v>
      </c>
      <c r="D195" s="49" t="s">
        <v>5020</v>
      </c>
      <c r="E195" s="49" t="s">
        <v>728</v>
      </c>
      <c r="F195" s="49">
        <v>2008</v>
      </c>
      <c r="G195" t="s">
        <v>5102</v>
      </c>
      <c r="H195" t="s">
        <v>5024</v>
      </c>
      <c r="I195" s="594">
        <v>2000</v>
      </c>
      <c r="J195" s="710" t="s">
        <v>145</v>
      </c>
      <c r="K195" s="707">
        <v>5</v>
      </c>
      <c r="L195" s="594">
        <v>2000</v>
      </c>
      <c r="M195" s="49" t="s">
        <v>725</v>
      </c>
      <c r="N195" s="49" t="s">
        <v>725</v>
      </c>
      <c r="O195" s="49" t="s">
        <v>725</v>
      </c>
      <c r="P195" s="595" t="s">
        <v>725</v>
      </c>
    </row>
    <row r="196" spans="1:16">
      <c r="A196" s="49">
        <v>195</v>
      </c>
      <c r="B196" t="s">
        <v>290</v>
      </c>
      <c r="C196" s="49" t="s">
        <v>924</v>
      </c>
      <c r="D196" s="49" t="s">
        <v>5026</v>
      </c>
      <c r="E196" s="49" t="s">
        <v>728</v>
      </c>
      <c r="F196" s="49">
        <v>2007</v>
      </c>
      <c r="G196" t="s">
        <v>5059</v>
      </c>
      <c r="H196" t="s">
        <v>5104</v>
      </c>
      <c r="I196" s="594">
        <v>420000</v>
      </c>
      <c r="J196" s="594">
        <v>1200000</v>
      </c>
      <c r="K196" s="707">
        <v>5</v>
      </c>
      <c r="L196" s="594">
        <v>1200000</v>
      </c>
      <c r="M196" s="49" t="s">
        <v>725</v>
      </c>
      <c r="N196" s="49" t="s">
        <v>725</v>
      </c>
      <c r="O196" s="49" t="s">
        <v>725</v>
      </c>
      <c r="P196" s="595" t="s">
        <v>5121</v>
      </c>
    </row>
    <row r="197" spans="1:16">
      <c r="A197" s="49">
        <v>196</v>
      </c>
      <c r="B197" t="s">
        <v>927</v>
      </c>
      <c r="C197" s="49" t="s">
        <v>743</v>
      </c>
      <c r="D197" s="49" t="s">
        <v>407</v>
      </c>
      <c r="E197" s="49" t="s">
        <v>5027</v>
      </c>
      <c r="F197" s="49" t="s">
        <v>5128</v>
      </c>
      <c r="G197" t="s">
        <v>5105</v>
      </c>
      <c r="H197" t="s">
        <v>5024</v>
      </c>
      <c r="I197" s="594">
        <v>400000</v>
      </c>
      <c r="J197" s="710" t="s">
        <v>145</v>
      </c>
      <c r="K197" s="707">
        <v>5</v>
      </c>
      <c r="L197" s="710" t="s">
        <v>145</v>
      </c>
      <c r="M197" s="49" t="s">
        <v>725</v>
      </c>
      <c r="N197" s="49" t="s">
        <v>725</v>
      </c>
      <c r="O197" s="49" t="s">
        <v>725</v>
      </c>
      <c r="P197" s="595" t="s">
        <v>503</v>
      </c>
    </row>
    <row r="198" spans="1:16">
      <c r="A198" s="49">
        <v>197</v>
      </c>
      <c r="B198" t="s">
        <v>294</v>
      </c>
      <c r="C198" s="49" t="s">
        <v>744</v>
      </c>
      <c r="D198" s="49" t="s">
        <v>5022</v>
      </c>
      <c r="E198" s="49" t="s">
        <v>725</v>
      </c>
      <c r="F198" s="49" t="s">
        <v>145</v>
      </c>
      <c r="G198" t="s">
        <v>145</v>
      </c>
      <c r="H198" t="s">
        <v>145</v>
      </c>
      <c r="I198" s="710" t="s">
        <v>145</v>
      </c>
      <c r="J198" s="710" t="s">
        <v>145</v>
      </c>
      <c r="K198" s="707">
        <v>5</v>
      </c>
      <c r="L198" s="710" t="s">
        <v>145</v>
      </c>
      <c r="M198" s="49" t="s">
        <v>725</v>
      </c>
      <c r="N198" s="49" t="s">
        <v>725</v>
      </c>
      <c r="O198" s="49" t="s">
        <v>725</v>
      </c>
      <c r="P198" s="595" t="s">
        <v>725</v>
      </c>
    </row>
    <row r="199" spans="1:16">
      <c r="A199" s="49">
        <v>198</v>
      </c>
      <c r="B199" t="s">
        <v>295</v>
      </c>
      <c r="C199" s="49" t="s">
        <v>925</v>
      </c>
      <c r="D199" s="49" t="s">
        <v>452</v>
      </c>
      <c r="E199" s="49" t="s">
        <v>725</v>
      </c>
      <c r="F199" s="49" t="s">
        <v>145</v>
      </c>
      <c r="G199" t="s">
        <v>145</v>
      </c>
      <c r="H199" t="s">
        <v>145</v>
      </c>
      <c r="I199" s="710" t="s">
        <v>145</v>
      </c>
      <c r="J199" s="710" t="s">
        <v>145</v>
      </c>
      <c r="K199" s="707">
        <v>5</v>
      </c>
      <c r="L199" s="710" t="s">
        <v>145</v>
      </c>
      <c r="M199" s="49" t="s">
        <v>725</v>
      </c>
      <c r="N199" s="49" t="s">
        <v>725</v>
      </c>
      <c r="O199" s="49" t="s">
        <v>725</v>
      </c>
      <c r="P199" s="595" t="s">
        <v>725</v>
      </c>
    </row>
    <row r="200" spans="1:16">
      <c r="A200" s="49">
        <v>199</v>
      </c>
      <c r="B200" t="s">
        <v>297</v>
      </c>
      <c r="C200" s="49" t="s">
        <v>926</v>
      </c>
      <c r="D200" s="49" t="s">
        <v>452</v>
      </c>
      <c r="E200" s="49" t="s">
        <v>725</v>
      </c>
      <c r="F200" s="49" t="s">
        <v>145</v>
      </c>
      <c r="G200" t="s">
        <v>145</v>
      </c>
      <c r="H200" t="s">
        <v>145</v>
      </c>
      <c r="I200" s="710" t="s">
        <v>145</v>
      </c>
      <c r="J200" s="710" t="s">
        <v>145</v>
      </c>
      <c r="K200" s="707">
        <v>5</v>
      </c>
      <c r="L200" s="710" t="s">
        <v>145</v>
      </c>
      <c r="M200" s="49" t="s">
        <v>725</v>
      </c>
      <c r="N200" s="49" t="s">
        <v>725</v>
      </c>
      <c r="O200" s="49" t="s">
        <v>725</v>
      </c>
      <c r="P200" s="595" t="s">
        <v>725</v>
      </c>
    </row>
    <row r="202" spans="1:16">
      <c r="I202" s="383">
        <f>SUM(I2:I201)</f>
        <v>111173700</v>
      </c>
      <c r="J202" s="383">
        <f>SUM(J2:J201)</f>
        <v>345037000</v>
      </c>
      <c r="K202" s="16"/>
      <c r="L202" s="383">
        <f>SUM(L2:L201)</f>
        <v>339976000</v>
      </c>
    </row>
    <row r="204" spans="1:16">
      <c r="B204" s="52" t="s">
        <v>5120</v>
      </c>
      <c r="C204" s="722" t="s">
        <v>5147</v>
      </c>
    </row>
    <row r="206" spans="1:16">
      <c r="B206" t="s">
        <v>5136</v>
      </c>
    </row>
    <row r="207" spans="1:16">
      <c r="B207" t="s">
        <v>5127</v>
      </c>
    </row>
    <row r="209" spans="2:2">
      <c r="B209" t="s">
        <v>5132</v>
      </c>
    </row>
    <row r="210" spans="2:2">
      <c r="B210" t="s">
        <v>5133</v>
      </c>
    </row>
    <row r="211" spans="2:2">
      <c r="B211" t="s">
        <v>5134</v>
      </c>
    </row>
    <row r="212" spans="2:2">
      <c r="B212" t="s">
        <v>5135</v>
      </c>
    </row>
    <row r="214" spans="2:2">
      <c r="B214" t="s">
        <v>5149</v>
      </c>
    </row>
    <row r="216" spans="2:2">
      <c r="B216" s="712" t="s">
        <v>5137</v>
      </c>
    </row>
  </sheetData>
  <hyperlinks>
    <hyperlink ref="AC1" r:id="rId1"/>
  </hyperlinks>
  <pageMargins left="0.7" right="0.7" top="0.75" bottom="0.75" header="0.3" footer="0.3"/>
  <ignoredErrors>
    <ignoredError sqref="G3:G200" numberStoredAsText="1"/>
  </ignoredError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J79"/>
  <sheetViews>
    <sheetView workbookViewId="0">
      <pane xSplit="2" ySplit="1" topLeftCell="C62" activePane="bottomRight" state="frozen"/>
      <selection pane="topRight" activeCell="C1" sqref="C1"/>
      <selection pane="bottomLeft" activeCell="A2" sqref="A2"/>
      <selection pane="bottomRight" activeCell="E86" sqref="E86"/>
    </sheetView>
  </sheetViews>
  <sheetFormatPr defaultRowHeight="15"/>
  <cols>
    <col min="1" max="1" width="4.7109375" style="28" customWidth="1"/>
    <col min="2" max="2" width="16.140625" style="31" customWidth="1"/>
    <col min="3" max="3" width="10.7109375" style="30" customWidth="1"/>
    <col min="4" max="4" width="14.42578125" style="30" customWidth="1"/>
    <col min="5" max="5" width="21.85546875" style="30" customWidth="1"/>
    <col min="6" max="6" width="14.28515625" style="30" customWidth="1"/>
    <col min="7" max="7" width="19.140625" style="30" customWidth="1"/>
    <col min="8" max="9" width="10.7109375" style="30" customWidth="1"/>
    <col min="10" max="10" width="3.5703125" style="28" hidden="1" customWidth="1"/>
    <col min="13" max="13" width="22.85546875" customWidth="1"/>
  </cols>
  <sheetData>
    <row r="1" spans="1:10" ht="24" customHeight="1">
      <c r="A1" s="132" t="s">
        <v>0</v>
      </c>
      <c r="B1" s="131" t="s">
        <v>933</v>
      </c>
      <c r="C1" s="133" t="s">
        <v>1631</v>
      </c>
      <c r="D1" s="133" t="s">
        <v>1632</v>
      </c>
      <c r="E1" s="133" t="s">
        <v>1633</v>
      </c>
      <c r="F1" s="133" t="s">
        <v>1634</v>
      </c>
      <c r="G1" s="133" t="s">
        <v>1635</v>
      </c>
      <c r="H1" s="133" t="s">
        <v>1636</v>
      </c>
      <c r="I1" s="134" t="s">
        <v>1637</v>
      </c>
      <c r="J1" s="196" t="s">
        <v>1720</v>
      </c>
    </row>
    <row r="2" spans="1:10" ht="15.95" customHeight="1">
      <c r="A2" s="197"/>
      <c r="B2" s="198" t="s">
        <v>1659</v>
      </c>
      <c r="C2" s="199" t="s">
        <v>1666</v>
      </c>
      <c r="D2" s="199"/>
      <c r="E2" s="199"/>
      <c r="F2" s="199"/>
      <c r="G2" s="199"/>
      <c r="H2" s="199"/>
      <c r="I2" s="200"/>
      <c r="J2" s="201"/>
    </row>
    <row r="3" spans="1:10" ht="24" customHeight="1">
      <c r="A3" s="140">
        <v>1</v>
      </c>
      <c r="B3" s="151" t="s">
        <v>8</v>
      </c>
      <c r="C3" s="141" t="s">
        <v>728</v>
      </c>
      <c r="D3" s="141" t="s">
        <v>1638</v>
      </c>
      <c r="E3" s="141" t="s">
        <v>1639</v>
      </c>
      <c r="F3" s="141"/>
      <c r="G3" s="141" t="s">
        <v>1640</v>
      </c>
      <c r="H3" s="142">
        <v>0.06</v>
      </c>
      <c r="I3" s="143"/>
      <c r="J3" s="195">
        <v>1</v>
      </c>
    </row>
    <row r="4" spans="1:10" ht="24" customHeight="1">
      <c r="A4" s="68">
        <v>2</v>
      </c>
      <c r="B4" s="149" t="s">
        <v>31</v>
      </c>
      <c r="C4" s="124" t="s">
        <v>728</v>
      </c>
      <c r="D4" s="124" t="s">
        <v>1638</v>
      </c>
      <c r="E4" s="124" t="s">
        <v>1660</v>
      </c>
      <c r="F4" s="124" t="s">
        <v>728</v>
      </c>
      <c r="G4" s="124" t="s">
        <v>1642</v>
      </c>
      <c r="H4" s="125">
        <v>0.1</v>
      </c>
      <c r="I4" s="126"/>
      <c r="J4" s="193">
        <v>1</v>
      </c>
    </row>
    <row r="5" spans="1:10" ht="24" customHeight="1">
      <c r="A5" s="68">
        <v>3</v>
      </c>
      <c r="B5" s="149" t="s">
        <v>40</v>
      </c>
      <c r="C5" s="124"/>
      <c r="D5" s="124"/>
      <c r="E5" s="124" t="s">
        <v>1643</v>
      </c>
      <c r="F5" s="124"/>
      <c r="G5" s="124" t="s">
        <v>1644</v>
      </c>
      <c r="H5" s="125">
        <v>0.74</v>
      </c>
      <c r="I5" s="126"/>
      <c r="J5" s="193">
        <v>1</v>
      </c>
    </row>
    <row r="6" spans="1:10" ht="24" customHeight="1">
      <c r="A6" s="68">
        <v>4</v>
      </c>
      <c r="B6" s="149" t="s">
        <v>42</v>
      </c>
      <c r="C6" s="124"/>
      <c r="D6" s="124" t="s">
        <v>1645</v>
      </c>
      <c r="E6" s="124" t="s">
        <v>1639</v>
      </c>
      <c r="F6" s="124"/>
      <c r="G6" s="124" t="s">
        <v>1646</v>
      </c>
      <c r="H6" s="125">
        <v>0.72</v>
      </c>
      <c r="I6" s="126"/>
      <c r="J6" s="193">
        <v>1</v>
      </c>
    </row>
    <row r="7" spans="1:10" ht="24" customHeight="1">
      <c r="A7" s="68">
        <v>5</v>
      </c>
      <c r="B7" s="149" t="s">
        <v>43</v>
      </c>
      <c r="C7" s="124"/>
      <c r="D7" s="124"/>
      <c r="E7" s="124" t="s">
        <v>1647</v>
      </c>
      <c r="F7" s="124"/>
      <c r="G7" s="124" t="s">
        <v>1648</v>
      </c>
      <c r="H7" s="125">
        <v>0.91</v>
      </c>
      <c r="I7" s="225">
        <v>0.94</v>
      </c>
      <c r="J7" s="193">
        <v>1</v>
      </c>
    </row>
    <row r="8" spans="1:10" ht="24" customHeight="1">
      <c r="A8" s="68">
        <v>6</v>
      </c>
      <c r="B8" s="149" t="s">
        <v>49</v>
      </c>
      <c r="C8" s="124"/>
      <c r="D8" s="124" t="s">
        <v>1638</v>
      </c>
      <c r="E8" s="124" t="s">
        <v>1649</v>
      </c>
      <c r="F8" s="124"/>
      <c r="G8" s="124" t="s">
        <v>1646</v>
      </c>
      <c r="H8" s="125">
        <v>0.64</v>
      </c>
      <c r="I8" s="126"/>
      <c r="J8" s="193">
        <v>1</v>
      </c>
    </row>
    <row r="9" spans="1:10" ht="24" customHeight="1">
      <c r="A9" s="68">
        <v>7</v>
      </c>
      <c r="B9" s="149" t="s">
        <v>51</v>
      </c>
      <c r="C9" s="124" t="s">
        <v>728</v>
      </c>
      <c r="D9" s="124" t="s">
        <v>1638</v>
      </c>
      <c r="E9" s="124" t="s">
        <v>1641</v>
      </c>
      <c r="F9" s="124"/>
      <c r="G9" s="124" t="s">
        <v>1642</v>
      </c>
      <c r="H9" s="125">
        <v>0.62</v>
      </c>
      <c r="I9" s="126"/>
      <c r="J9" s="193">
        <v>1</v>
      </c>
    </row>
    <row r="10" spans="1:10" ht="24" customHeight="1">
      <c r="A10" s="68">
        <v>8</v>
      </c>
      <c r="B10" s="149" t="s">
        <v>81</v>
      </c>
      <c r="C10" s="124" t="s">
        <v>728</v>
      </c>
      <c r="D10" s="124" t="s">
        <v>1638</v>
      </c>
      <c r="E10" s="124" t="s">
        <v>1639</v>
      </c>
      <c r="F10" s="124"/>
      <c r="G10" s="124" t="s">
        <v>1650</v>
      </c>
      <c r="H10" s="125">
        <v>0.89</v>
      </c>
      <c r="I10" s="126"/>
      <c r="J10" s="193">
        <v>1</v>
      </c>
    </row>
    <row r="11" spans="1:10" ht="24" customHeight="1">
      <c r="A11" s="68">
        <v>9</v>
      </c>
      <c r="B11" s="149" t="s">
        <v>87</v>
      </c>
      <c r="C11" s="124" t="s">
        <v>728</v>
      </c>
      <c r="D11" s="124" t="s">
        <v>1638</v>
      </c>
      <c r="E11" s="124" t="s">
        <v>1639</v>
      </c>
      <c r="F11" s="124"/>
      <c r="G11" s="124" t="s">
        <v>1650</v>
      </c>
      <c r="H11" s="125">
        <v>0.99</v>
      </c>
      <c r="I11" s="225">
        <v>1</v>
      </c>
      <c r="J11" s="193">
        <v>1</v>
      </c>
    </row>
    <row r="12" spans="1:10" ht="24" customHeight="1">
      <c r="A12" s="68">
        <v>10</v>
      </c>
      <c r="B12" s="149" t="s">
        <v>94</v>
      </c>
      <c r="C12" s="124" t="s">
        <v>728</v>
      </c>
      <c r="D12" s="124" t="s">
        <v>1638</v>
      </c>
      <c r="E12" s="124" t="s">
        <v>1641</v>
      </c>
      <c r="F12" s="124" t="s">
        <v>728</v>
      </c>
      <c r="G12" s="124" t="s">
        <v>1646</v>
      </c>
      <c r="H12" s="125">
        <v>7.0000000000000007E-2</v>
      </c>
      <c r="I12" s="127"/>
      <c r="J12" s="193">
        <v>1</v>
      </c>
    </row>
    <row r="13" spans="1:10" ht="24" customHeight="1">
      <c r="A13" s="68">
        <v>11</v>
      </c>
      <c r="B13" s="149" t="s">
        <v>123</v>
      </c>
      <c r="C13" s="124" t="s">
        <v>728</v>
      </c>
      <c r="D13" s="124" t="s">
        <v>1651</v>
      </c>
      <c r="E13" s="124" t="s">
        <v>1652</v>
      </c>
      <c r="F13" s="124"/>
      <c r="G13" s="124" t="s">
        <v>1642</v>
      </c>
      <c r="H13" s="125">
        <v>0.53</v>
      </c>
      <c r="I13" s="126"/>
      <c r="J13" s="193">
        <v>1</v>
      </c>
    </row>
    <row r="14" spans="1:10" ht="24" customHeight="1">
      <c r="A14" s="68">
        <v>12</v>
      </c>
      <c r="B14" s="149" t="s">
        <v>127</v>
      </c>
      <c r="C14" s="124" t="s">
        <v>728</v>
      </c>
      <c r="D14" s="124" t="s">
        <v>1638</v>
      </c>
      <c r="E14" s="124" t="s">
        <v>1639</v>
      </c>
      <c r="F14" s="124"/>
      <c r="G14" s="124" t="s">
        <v>1650</v>
      </c>
      <c r="H14" s="125">
        <v>0.95</v>
      </c>
      <c r="I14" s="225">
        <v>0.53</v>
      </c>
      <c r="J14" s="193">
        <v>1</v>
      </c>
    </row>
    <row r="15" spans="1:10" ht="24" customHeight="1">
      <c r="A15" s="68">
        <v>13</v>
      </c>
      <c r="B15" s="149" t="s">
        <v>141</v>
      </c>
      <c r="C15" s="124"/>
      <c r="D15" s="124" t="s">
        <v>1645</v>
      </c>
      <c r="E15" s="124" t="s">
        <v>1639</v>
      </c>
      <c r="F15" s="124"/>
      <c r="G15" s="124" t="s">
        <v>1646</v>
      </c>
      <c r="H15" s="125">
        <v>0.6</v>
      </c>
      <c r="I15" s="126"/>
      <c r="J15" s="193">
        <v>1</v>
      </c>
    </row>
    <row r="16" spans="1:10" ht="24" customHeight="1">
      <c r="A16" s="68">
        <v>14</v>
      </c>
      <c r="B16" s="149" t="s">
        <v>152</v>
      </c>
      <c r="C16" s="124" t="s">
        <v>728</v>
      </c>
      <c r="D16" s="124" t="s">
        <v>1638</v>
      </c>
      <c r="E16" s="124" t="s">
        <v>1641</v>
      </c>
      <c r="F16" s="124"/>
      <c r="G16" s="124" t="s">
        <v>1642</v>
      </c>
      <c r="H16" s="125">
        <v>0.72</v>
      </c>
      <c r="I16" s="126"/>
      <c r="J16" s="193">
        <v>1</v>
      </c>
    </row>
    <row r="17" spans="1:10" ht="24" customHeight="1">
      <c r="A17" s="68">
        <v>15</v>
      </c>
      <c r="B17" s="149" t="s">
        <v>159</v>
      </c>
      <c r="C17" s="124"/>
      <c r="D17" s="124" t="s">
        <v>1638</v>
      </c>
      <c r="E17" s="124" t="s">
        <v>1639</v>
      </c>
      <c r="F17" s="124"/>
      <c r="G17" s="124" t="s">
        <v>1646</v>
      </c>
      <c r="H17" s="125">
        <v>0.04</v>
      </c>
      <c r="I17" s="126"/>
      <c r="J17" s="193">
        <v>1</v>
      </c>
    </row>
    <row r="18" spans="1:10" ht="24" customHeight="1">
      <c r="A18" s="68">
        <v>16</v>
      </c>
      <c r="B18" s="149" t="s">
        <v>189</v>
      </c>
      <c r="C18" s="124" t="s">
        <v>728</v>
      </c>
      <c r="D18" s="124" t="s">
        <v>1638</v>
      </c>
      <c r="E18" s="124" t="s">
        <v>1639</v>
      </c>
      <c r="F18" s="124"/>
      <c r="G18" s="124" t="s">
        <v>1650</v>
      </c>
      <c r="H18" s="125">
        <v>0.85</v>
      </c>
      <c r="I18" s="225">
        <v>0.27</v>
      </c>
      <c r="J18" s="193">
        <v>1</v>
      </c>
    </row>
    <row r="19" spans="1:10" ht="24" customHeight="1">
      <c r="A19" s="68">
        <v>17</v>
      </c>
      <c r="B19" s="149" t="s">
        <v>191</v>
      </c>
      <c r="C19" s="124"/>
      <c r="D19" s="124" t="s">
        <v>1645</v>
      </c>
      <c r="E19" s="124" t="s">
        <v>1645</v>
      </c>
      <c r="F19" s="124" t="s">
        <v>728</v>
      </c>
      <c r="G19" s="124" t="s">
        <v>1646</v>
      </c>
      <c r="H19" s="125">
        <v>0.31</v>
      </c>
      <c r="I19" s="126"/>
      <c r="J19" s="193">
        <v>1</v>
      </c>
    </row>
    <row r="20" spans="1:10" ht="24" customHeight="1">
      <c r="A20" s="68">
        <v>18</v>
      </c>
      <c r="B20" s="149" t="s">
        <v>196</v>
      </c>
      <c r="C20" s="124" t="s">
        <v>728</v>
      </c>
      <c r="D20" s="124" t="s">
        <v>1638</v>
      </c>
      <c r="E20" s="124" t="s">
        <v>1641</v>
      </c>
      <c r="F20" s="124"/>
      <c r="G20" s="124" t="s">
        <v>1642</v>
      </c>
      <c r="H20" s="125">
        <v>0.35</v>
      </c>
      <c r="I20" s="126"/>
      <c r="J20" s="193">
        <v>1</v>
      </c>
    </row>
    <row r="21" spans="1:10" ht="24" customHeight="1">
      <c r="A21" s="68">
        <v>19</v>
      </c>
      <c r="B21" s="149" t="s">
        <v>204</v>
      </c>
      <c r="C21" s="124"/>
      <c r="D21" s="124" t="s">
        <v>1638</v>
      </c>
      <c r="E21" s="124" t="s">
        <v>1653</v>
      </c>
      <c r="F21" s="124"/>
      <c r="G21" s="124" t="s">
        <v>1646</v>
      </c>
      <c r="H21" s="125">
        <v>0.3</v>
      </c>
      <c r="I21" s="126"/>
      <c r="J21" s="193">
        <v>1</v>
      </c>
    </row>
    <row r="22" spans="1:10" ht="24" customHeight="1">
      <c r="A22" s="68">
        <v>20</v>
      </c>
      <c r="B22" s="149" t="s">
        <v>209</v>
      </c>
      <c r="C22" s="124" t="s">
        <v>728</v>
      </c>
      <c r="D22" s="124" t="s">
        <v>1638</v>
      </c>
      <c r="E22" s="124" t="s">
        <v>1641</v>
      </c>
      <c r="F22" s="124"/>
      <c r="G22" s="124" t="s">
        <v>1654</v>
      </c>
      <c r="H22" s="125">
        <v>0.27</v>
      </c>
      <c r="I22" s="126"/>
      <c r="J22" s="193">
        <v>1</v>
      </c>
    </row>
    <row r="23" spans="1:10" ht="24" customHeight="1">
      <c r="A23" s="68">
        <v>21</v>
      </c>
      <c r="B23" s="149" t="s">
        <v>216</v>
      </c>
      <c r="C23" s="124"/>
      <c r="D23" s="124"/>
      <c r="E23" s="124" t="s">
        <v>1661</v>
      </c>
      <c r="F23" s="124"/>
      <c r="G23" s="124" t="s">
        <v>1644</v>
      </c>
      <c r="H23" s="125">
        <v>0.93</v>
      </c>
      <c r="I23" s="225">
        <v>0.66</v>
      </c>
      <c r="J23" s="193">
        <v>1</v>
      </c>
    </row>
    <row r="24" spans="1:10" ht="24" customHeight="1">
      <c r="A24" s="68">
        <v>22</v>
      </c>
      <c r="B24" s="149" t="s">
        <v>218</v>
      </c>
      <c r="C24" s="124" t="s">
        <v>728</v>
      </c>
      <c r="D24" s="124" t="s">
        <v>1638</v>
      </c>
      <c r="E24" s="124" t="s">
        <v>1641</v>
      </c>
      <c r="F24" s="124" t="s">
        <v>1655</v>
      </c>
      <c r="G24" s="124" t="s">
        <v>1642</v>
      </c>
      <c r="H24" s="125">
        <v>0.83</v>
      </c>
      <c r="I24" s="225">
        <v>0.92</v>
      </c>
      <c r="J24" s="193">
        <v>1</v>
      </c>
    </row>
    <row r="25" spans="1:10" ht="24" customHeight="1">
      <c r="A25" s="68">
        <v>23</v>
      </c>
      <c r="B25" s="149" t="s">
        <v>247</v>
      </c>
      <c r="C25" s="124" t="s">
        <v>728</v>
      </c>
      <c r="D25" s="124" t="s">
        <v>1638</v>
      </c>
      <c r="E25" s="124" t="s">
        <v>1639</v>
      </c>
      <c r="F25" s="124"/>
      <c r="G25" s="124" t="s">
        <v>1656</v>
      </c>
      <c r="H25" s="125">
        <v>0.8</v>
      </c>
      <c r="I25" s="126"/>
      <c r="J25" s="193">
        <v>1</v>
      </c>
    </row>
    <row r="26" spans="1:10" ht="24" customHeight="1">
      <c r="A26" s="68">
        <v>24</v>
      </c>
      <c r="B26" s="149" t="s">
        <v>255</v>
      </c>
      <c r="C26" s="124" t="s">
        <v>728</v>
      </c>
      <c r="D26" s="124" t="s">
        <v>1638</v>
      </c>
      <c r="E26" s="124" t="s">
        <v>1639</v>
      </c>
      <c r="F26" s="124"/>
      <c r="G26" s="124" t="s">
        <v>1650</v>
      </c>
      <c r="H26" s="125">
        <v>0.33</v>
      </c>
      <c r="I26" s="126"/>
      <c r="J26" s="193">
        <v>1</v>
      </c>
    </row>
    <row r="27" spans="1:10" ht="24" customHeight="1">
      <c r="A27" s="68">
        <v>25</v>
      </c>
      <c r="B27" s="149" t="s">
        <v>258</v>
      </c>
      <c r="C27" s="124"/>
      <c r="D27" s="124" t="s">
        <v>931</v>
      </c>
      <c r="E27" s="124" t="s">
        <v>1649</v>
      </c>
      <c r="F27" s="124"/>
      <c r="G27" s="124" t="s">
        <v>1646</v>
      </c>
      <c r="H27" s="125">
        <v>0.3</v>
      </c>
      <c r="I27" s="126"/>
      <c r="J27" s="193">
        <v>1</v>
      </c>
    </row>
    <row r="28" spans="1:10" ht="24" customHeight="1">
      <c r="A28" s="68">
        <v>26</v>
      </c>
      <c r="B28" s="149" t="s">
        <v>294</v>
      </c>
      <c r="C28" s="124" t="s">
        <v>728</v>
      </c>
      <c r="D28" s="124" t="s">
        <v>1638</v>
      </c>
      <c r="E28" s="124" t="s">
        <v>1639</v>
      </c>
      <c r="F28" s="124"/>
      <c r="G28" s="124" t="s">
        <v>1650</v>
      </c>
      <c r="H28" s="125">
        <v>0.22</v>
      </c>
      <c r="I28" s="126"/>
      <c r="J28" s="193">
        <v>1</v>
      </c>
    </row>
    <row r="29" spans="1:10" ht="24" customHeight="1">
      <c r="A29" s="136">
        <v>27</v>
      </c>
      <c r="B29" s="150" t="s">
        <v>295</v>
      </c>
      <c r="C29" s="137" t="s">
        <v>728</v>
      </c>
      <c r="D29" s="137" t="s">
        <v>1638</v>
      </c>
      <c r="E29" s="137" t="s">
        <v>1641</v>
      </c>
      <c r="F29" s="137"/>
      <c r="G29" s="137" t="s">
        <v>1646</v>
      </c>
      <c r="H29" s="138">
        <v>0.14000000000000001</v>
      </c>
      <c r="I29" s="139"/>
      <c r="J29" s="193">
        <v>1</v>
      </c>
    </row>
    <row r="30" spans="1:10" ht="15.95" customHeight="1">
      <c r="A30" s="144"/>
      <c r="B30" s="148" t="s">
        <v>1662</v>
      </c>
      <c r="C30" s="147" t="s">
        <v>1665</v>
      </c>
      <c r="D30" s="145"/>
      <c r="E30" s="145"/>
      <c r="F30" s="145"/>
      <c r="G30" s="145"/>
      <c r="H30" s="145"/>
      <c r="I30" s="146"/>
      <c r="J30" s="193"/>
    </row>
    <row r="31" spans="1:10" ht="24" customHeight="1">
      <c r="A31" s="140">
        <v>28</v>
      </c>
      <c r="B31" s="151" t="s">
        <v>19</v>
      </c>
      <c r="C31" s="141"/>
      <c r="D31" s="141" t="s">
        <v>1645</v>
      </c>
      <c r="E31" s="141"/>
      <c r="F31" s="141"/>
      <c r="G31" s="141" t="s">
        <v>1646</v>
      </c>
      <c r="H31" s="142">
        <v>0.28999999999999998</v>
      </c>
      <c r="I31" s="143"/>
      <c r="J31" s="193">
        <v>2</v>
      </c>
    </row>
    <row r="32" spans="1:10" ht="24" customHeight="1">
      <c r="A32" s="68">
        <v>29</v>
      </c>
      <c r="B32" s="149" t="s">
        <v>38</v>
      </c>
      <c r="C32" s="124"/>
      <c r="D32" s="124" t="s">
        <v>1645</v>
      </c>
      <c r="E32" s="124"/>
      <c r="F32" s="124"/>
      <c r="G32" s="124" t="s">
        <v>1646</v>
      </c>
      <c r="H32" s="125">
        <v>0.6</v>
      </c>
      <c r="I32" s="126"/>
      <c r="J32" s="193">
        <v>2</v>
      </c>
    </row>
    <row r="33" spans="1:10" ht="24" customHeight="1">
      <c r="A33" s="68">
        <v>30</v>
      </c>
      <c r="B33" s="149" t="s">
        <v>50</v>
      </c>
      <c r="C33" s="124" t="s">
        <v>728</v>
      </c>
      <c r="D33" s="124" t="s">
        <v>931</v>
      </c>
      <c r="E33" s="124"/>
      <c r="F33" s="124"/>
      <c r="G33" s="124" t="s">
        <v>1646</v>
      </c>
      <c r="H33" s="125">
        <v>0.6</v>
      </c>
      <c r="I33" s="126"/>
      <c r="J33" s="193">
        <v>2</v>
      </c>
    </row>
    <row r="34" spans="1:10" ht="24" customHeight="1">
      <c r="A34" s="68">
        <v>31</v>
      </c>
      <c r="B34" s="149" t="s">
        <v>52</v>
      </c>
      <c r="C34" s="124"/>
      <c r="D34" s="124" t="s">
        <v>1645</v>
      </c>
      <c r="E34" s="124"/>
      <c r="F34" s="124"/>
      <c r="G34" s="124" t="s">
        <v>1646</v>
      </c>
      <c r="H34" s="125">
        <v>0.7</v>
      </c>
      <c r="I34" s="126"/>
      <c r="J34" s="193">
        <v>2</v>
      </c>
    </row>
    <row r="35" spans="1:10" ht="24" customHeight="1">
      <c r="A35" s="68">
        <v>32</v>
      </c>
      <c r="B35" s="149" t="s">
        <v>144</v>
      </c>
      <c r="C35" s="124" t="s">
        <v>728</v>
      </c>
      <c r="D35" s="124"/>
      <c r="E35" s="124" t="s">
        <v>1645</v>
      </c>
      <c r="F35" s="124"/>
      <c r="G35" s="124" t="s">
        <v>1642</v>
      </c>
      <c r="H35" s="125">
        <v>1</v>
      </c>
      <c r="I35" s="126"/>
      <c r="J35" s="193">
        <v>2</v>
      </c>
    </row>
    <row r="36" spans="1:10" ht="24" customHeight="1">
      <c r="A36" s="68">
        <v>33</v>
      </c>
      <c r="B36" s="149" t="s">
        <v>105</v>
      </c>
      <c r="C36" s="124"/>
      <c r="D36" s="124" t="s">
        <v>1645</v>
      </c>
      <c r="E36" s="124"/>
      <c r="F36" s="124"/>
      <c r="G36" s="124" t="s">
        <v>1646</v>
      </c>
      <c r="H36" s="125">
        <v>0.71</v>
      </c>
      <c r="I36" s="126"/>
      <c r="J36" s="193">
        <v>2</v>
      </c>
    </row>
    <row r="37" spans="1:10" ht="24" customHeight="1">
      <c r="A37" s="68">
        <v>34</v>
      </c>
      <c r="B37" s="149" t="s">
        <v>122</v>
      </c>
      <c r="C37" s="124" t="s">
        <v>728</v>
      </c>
      <c r="D37" s="124"/>
      <c r="E37" s="124"/>
      <c r="F37" s="124"/>
      <c r="G37" s="124" t="s">
        <v>1667</v>
      </c>
      <c r="H37" s="125"/>
      <c r="I37" s="126"/>
      <c r="J37" s="193">
        <v>2</v>
      </c>
    </row>
    <row r="38" spans="1:10" ht="24" customHeight="1">
      <c r="A38" s="68">
        <v>35</v>
      </c>
      <c r="B38" s="149" t="s">
        <v>158</v>
      </c>
      <c r="C38" s="124"/>
      <c r="D38" s="124" t="s">
        <v>1645</v>
      </c>
      <c r="E38" s="124"/>
      <c r="F38" s="124"/>
      <c r="G38" s="124" t="s">
        <v>1646</v>
      </c>
      <c r="H38" s="125">
        <v>0.45</v>
      </c>
      <c r="I38" s="126"/>
      <c r="J38" s="193">
        <v>2</v>
      </c>
    </row>
    <row r="39" spans="1:10" ht="24" customHeight="1">
      <c r="A39" s="68">
        <v>36</v>
      </c>
      <c r="B39" s="149" t="s">
        <v>170</v>
      </c>
      <c r="C39" s="124"/>
      <c r="D39" s="124" t="s">
        <v>931</v>
      </c>
      <c r="E39" s="124"/>
      <c r="F39" s="124"/>
      <c r="G39" s="124" t="s">
        <v>1646</v>
      </c>
      <c r="H39" s="124"/>
      <c r="I39" s="126"/>
      <c r="J39" s="193">
        <v>2</v>
      </c>
    </row>
    <row r="40" spans="1:10" ht="24" customHeight="1">
      <c r="A40" s="68">
        <v>37</v>
      </c>
      <c r="B40" s="149" t="s">
        <v>192</v>
      </c>
      <c r="C40" s="124"/>
      <c r="D40" s="124" t="s">
        <v>931</v>
      </c>
      <c r="E40" s="124"/>
      <c r="F40" s="124"/>
      <c r="G40" s="124" t="s">
        <v>1642</v>
      </c>
      <c r="H40" s="125">
        <v>0.72</v>
      </c>
      <c r="I40" s="126"/>
      <c r="J40" s="193">
        <v>2</v>
      </c>
    </row>
    <row r="41" spans="1:10" ht="24" customHeight="1">
      <c r="A41" s="68">
        <v>38</v>
      </c>
      <c r="B41" s="149" t="s">
        <v>239</v>
      </c>
      <c r="C41" s="124" t="s">
        <v>728</v>
      </c>
      <c r="D41" s="124" t="s">
        <v>1645</v>
      </c>
      <c r="E41" s="124"/>
      <c r="F41" s="124"/>
      <c r="G41" s="124" t="s">
        <v>1646</v>
      </c>
      <c r="H41" s="125">
        <v>0.55000000000000004</v>
      </c>
      <c r="I41" s="126"/>
      <c r="J41" s="193">
        <v>2</v>
      </c>
    </row>
    <row r="42" spans="1:10" ht="24" customHeight="1">
      <c r="A42" s="68">
        <v>39</v>
      </c>
      <c r="B42" s="149" t="s">
        <v>251</v>
      </c>
      <c r="C42" s="124"/>
      <c r="D42" s="124" t="s">
        <v>931</v>
      </c>
      <c r="E42" s="124"/>
      <c r="F42" s="124"/>
      <c r="G42" s="124" t="s">
        <v>1646</v>
      </c>
      <c r="H42" s="124"/>
      <c r="I42" s="126"/>
      <c r="J42" s="193">
        <v>2</v>
      </c>
    </row>
    <row r="43" spans="1:10" ht="24" customHeight="1">
      <c r="A43" s="68">
        <v>40</v>
      </c>
      <c r="B43" s="149" t="s">
        <v>250</v>
      </c>
      <c r="C43" s="124" t="s">
        <v>728</v>
      </c>
      <c r="D43" s="124" t="s">
        <v>931</v>
      </c>
      <c r="E43" s="124"/>
      <c r="F43" s="124"/>
      <c r="G43" s="124" t="s">
        <v>1646</v>
      </c>
      <c r="H43" s="125">
        <v>0.92</v>
      </c>
      <c r="I43" s="225">
        <v>0.89</v>
      </c>
      <c r="J43" s="193">
        <v>2</v>
      </c>
    </row>
    <row r="44" spans="1:10" ht="24" customHeight="1">
      <c r="A44" s="68">
        <v>41</v>
      </c>
      <c r="B44" s="149" t="s">
        <v>263</v>
      </c>
      <c r="C44" s="124" t="s">
        <v>728</v>
      </c>
      <c r="D44" s="124" t="s">
        <v>931</v>
      </c>
      <c r="E44" s="124"/>
      <c r="F44" s="124"/>
      <c r="G44" s="124" t="s">
        <v>1642</v>
      </c>
      <c r="H44" s="125">
        <v>0.88</v>
      </c>
      <c r="I44" s="225">
        <v>0.68</v>
      </c>
      <c r="J44" s="193">
        <v>2</v>
      </c>
    </row>
    <row r="45" spans="1:10" ht="24" customHeight="1">
      <c r="A45" s="68">
        <v>42</v>
      </c>
      <c r="B45" s="149" t="s">
        <v>265</v>
      </c>
      <c r="C45" s="124"/>
      <c r="D45" s="124" t="s">
        <v>1645</v>
      </c>
      <c r="E45" s="124" t="s">
        <v>1649</v>
      </c>
      <c r="F45" s="124"/>
      <c r="G45" s="124" t="s">
        <v>1646</v>
      </c>
      <c r="H45" s="125">
        <v>0.16</v>
      </c>
      <c r="I45" s="126"/>
      <c r="J45" s="193">
        <v>2</v>
      </c>
    </row>
    <row r="46" spans="1:10" ht="24" customHeight="1">
      <c r="A46" s="68">
        <v>43</v>
      </c>
      <c r="B46" s="149" t="s">
        <v>280</v>
      </c>
      <c r="C46" s="124"/>
      <c r="D46" s="124" t="s">
        <v>931</v>
      </c>
      <c r="E46" s="124"/>
      <c r="F46" s="124"/>
      <c r="G46" s="124" t="s">
        <v>1646</v>
      </c>
      <c r="H46" s="125">
        <v>0.21</v>
      </c>
      <c r="I46" s="126"/>
      <c r="J46" s="193">
        <v>2</v>
      </c>
    </row>
    <row r="47" spans="1:10" ht="24" customHeight="1">
      <c r="A47" s="136">
        <v>44</v>
      </c>
      <c r="B47" s="150" t="s">
        <v>927</v>
      </c>
      <c r="C47" s="137" t="s">
        <v>728</v>
      </c>
      <c r="D47" s="137" t="s">
        <v>931</v>
      </c>
      <c r="E47" s="137"/>
      <c r="F47" s="137"/>
      <c r="G47" s="137" t="s">
        <v>1642</v>
      </c>
      <c r="H47" s="138">
        <v>0.88</v>
      </c>
      <c r="I47" s="139"/>
      <c r="J47" s="193">
        <v>2</v>
      </c>
    </row>
    <row r="48" spans="1:10" ht="15.95" customHeight="1">
      <c r="A48" s="144"/>
      <c r="B48" s="148" t="s">
        <v>1664</v>
      </c>
      <c r="C48" s="147" t="s">
        <v>1663</v>
      </c>
      <c r="D48" s="145"/>
      <c r="E48" s="145"/>
      <c r="F48" s="145"/>
      <c r="G48" s="145"/>
      <c r="H48" s="145"/>
      <c r="I48" s="146"/>
      <c r="J48" s="193"/>
    </row>
    <row r="49" spans="1:10" ht="24" customHeight="1">
      <c r="A49" s="140">
        <v>45</v>
      </c>
      <c r="B49" s="151" t="s">
        <v>27</v>
      </c>
      <c r="C49" s="141" t="s">
        <v>728</v>
      </c>
      <c r="D49" s="141"/>
      <c r="E49" s="141"/>
      <c r="F49" s="141"/>
      <c r="G49" s="141"/>
      <c r="H49" s="142">
        <v>0.94</v>
      </c>
      <c r="I49" s="226">
        <v>0.85</v>
      </c>
      <c r="J49" s="193">
        <v>3</v>
      </c>
    </row>
    <row r="50" spans="1:10" ht="24" customHeight="1">
      <c r="A50" s="68">
        <v>46</v>
      </c>
      <c r="B50" s="149" t="s">
        <v>56</v>
      </c>
      <c r="C50" s="124"/>
      <c r="D50" s="124"/>
      <c r="E50" s="124"/>
      <c r="F50" s="124"/>
      <c r="G50" s="124" t="s">
        <v>1646</v>
      </c>
      <c r="H50" s="125">
        <v>0.49</v>
      </c>
      <c r="I50" s="126"/>
      <c r="J50" s="193">
        <v>3</v>
      </c>
    </row>
    <row r="51" spans="1:10" ht="24" customHeight="1">
      <c r="A51" s="68">
        <v>47</v>
      </c>
      <c r="B51" s="149" t="s">
        <v>57</v>
      </c>
      <c r="C51" s="124"/>
      <c r="D51" s="124"/>
      <c r="E51" s="124"/>
      <c r="F51" s="124"/>
      <c r="G51" s="124" t="s">
        <v>1646</v>
      </c>
      <c r="H51" s="125">
        <v>0.09</v>
      </c>
      <c r="I51" s="126"/>
      <c r="J51" s="193">
        <v>3</v>
      </c>
    </row>
    <row r="52" spans="1:10" ht="24" customHeight="1">
      <c r="A52" s="68">
        <v>48</v>
      </c>
      <c r="B52" s="149" t="s">
        <v>59</v>
      </c>
      <c r="C52" s="124" t="s">
        <v>728</v>
      </c>
      <c r="D52" s="124" t="s">
        <v>1668</v>
      </c>
      <c r="E52" s="124"/>
      <c r="F52" s="124"/>
      <c r="G52" s="124" t="s">
        <v>1667</v>
      </c>
      <c r="H52" s="125"/>
      <c r="I52" s="126"/>
      <c r="J52" s="193">
        <v>3</v>
      </c>
    </row>
    <row r="53" spans="1:10" ht="24" customHeight="1">
      <c r="A53" s="68">
        <v>49</v>
      </c>
      <c r="B53" s="149" t="s">
        <v>63</v>
      </c>
      <c r="C53" s="124" t="s">
        <v>728</v>
      </c>
      <c r="D53" s="124"/>
      <c r="E53" s="124"/>
      <c r="F53" s="124"/>
      <c r="G53" s="124" t="s">
        <v>1646</v>
      </c>
      <c r="H53" s="125">
        <v>0.83</v>
      </c>
      <c r="I53" s="126"/>
      <c r="J53" s="193">
        <v>3</v>
      </c>
    </row>
    <row r="54" spans="1:10" ht="24" customHeight="1">
      <c r="A54" s="68">
        <v>50</v>
      </c>
      <c r="B54" s="149" t="s">
        <v>1602</v>
      </c>
      <c r="C54" s="124"/>
      <c r="D54" s="124"/>
      <c r="E54" s="124"/>
      <c r="F54" s="124"/>
      <c r="G54" s="124" t="s">
        <v>1646</v>
      </c>
      <c r="H54" s="125">
        <v>0.81</v>
      </c>
      <c r="I54" s="126"/>
      <c r="J54" s="193">
        <v>3</v>
      </c>
    </row>
    <row r="55" spans="1:10" ht="24" customHeight="1">
      <c r="A55" s="68">
        <v>51</v>
      </c>
      <c r="B55" s="149" t="s">
        <v>69</v>
      </c>
      <c r="C55" s="124"/>
      <c r="D55" s="124"/>
      <c r="E55" s="124"/>
      <c r="F55" s="124"/>
      <c r="G55" s="124" t="s">
        <v>1646</v>
      </c>
      <c r="H55" s="125">
        <v>0.55000000000000004</v>
      </c>
      <c r="I55" s="126"/>
      <c r="J55" s="193">
        <v>3</v>
      </c>
    </row>
    <row r="56" spans="1:10" ht="24" customHeight="1">
      <c r="A56" s="68">
        <v>52</v>
      </c>
      <c r="B56" s="149" t="s">
        <v>65</v>
      </c>
      <c r="C56" s="124" t="s">
        <v>728</v>
      </c>
      <c r="D56" s="124"/>
      <c r="E56" s="124"/>
      <c r="F56" s="124"/>
      <c r="G56" s="124" t="s">
        <v>1646</v>
      </c>
      <c r="H56" s="125">
        <v>0.28000000000000003</v>
      </c>
      <c r="I56" s="126"/>
      <c r="J56" s="193">
        <v>3</v>
      </c>
    </row>
    <row r="57" spans="1:10" ht="24" customHeight="1">
      <c r="A57" s="68">
        <v>53</v>
      </c>
      <c r="B57" s="149" t="s">
        <v>91</v>
      </c>
      <c r="C57" s="124"/>
      <c r="D57" s="124"/>
      <c r="E57" s="124"/>
      <c r="F57" s="124"/>
      <c r="G57" s="124" t="s">
        <v>1646</v>
      </c>
      <c r="H57" s="125">
        <v>0.32</v>
      </c>
      <c r="I57" s="126"/>
      <c r="J57" s="193">
        <v>3</v>
      </c>
    </row>
    <row r="58" spans="1:10" ht="24" customHeight="1">
      <c r="A58" s="68">
        <v>54</v>
      </c>
      <c r="B58" s="149" t="s">
        <v>92</v>
      </c>
      <c r="C58" s="124"/>
      <c r="D58" s="124"/>
      <c r="E58" s="124"/>
      <c r="F58" s="124"/>
      <c r="G58" s="124" t="s">
        <v>1646</v>
      </c>
      <c r="H58" s="124"/>
      <c r="I58" s="126"/>
      <c r="J58" s="193">
        <v>3</v>
      </c>
    </row>
    <row r="59" spans="1:10" ht="24" customHeight="1">
      <c r="A59" s="68">
        <v>55</v>
      </c>
      <c r="B59" s="149" t="s">
        <v>99</v>
      </c>
      <c r="C59" s="124"/>
      <c r="D59" s="124"/>
      <c r="E59" s="124"/>
      <c r="F59" s="124"/>
      <c r="G59" s="124" t="s">
        <v>1646</v>
      </c>
      <c r="H59" s="125">
        <v>0.89</v>
      </c>
      <c r="I59" s="126"/>
      <c r="J59" s="193">
        <v>3</v>
      </c>
    </row>
    <row r="60" spans="1:10" ht="24" customHeight="1">
      <c r="A60" s="68">
        <v>56</v>
      </c>
      <c r="B60" s="149" t="s">
        <v>100</v>
      </c>
      <c r="C60" s="124"/>
      <c r="D60" s="124"/>
      <c r="E60" s="124"/>
      <c r="F60" s="124"/>
      <c r="G60" s="124" t="s">
        <v>1646</v>
      </c>
      <c r="H60" s="125">
        <v>0.55000000000000004</v>
      </c>
      <c r="I60" s="126"/>
      <c r="J60" s="193">
        <v>3</v>
      </c>
    </row>
    <row r="61" spans="1:10" ht="24" customHeight="1">
      <c r="A61" s="68">
        <v>57</v>
      </c>
      <c r="B61" s="149" t="s">
        <v>109</v>
      </c>
      <c r="C61" s="124"/>
      <c r="D61" s="124"/>
      <c r="E61" s="124"/>
      <c r="F61" s="124"/>
      <c r="G61" s="124" t="s">
        <v>1644</v>
      </c>
      <c r="H61" s="125">
        <v>0.97</v>
      </c>
      <c r="I61" s="225">
        <v>0.88</v>
      </c>
      <c r="J61" s="193">
        <v>3</v>
      </c>
    </row>
    <row r="62" spans="1:10" ht="24" customHeight="1">
      <c r="A62" s="68">
        <v>58</v>
      </c>
      <c r="B62" s="149" t="s">
        <v>111</v>
      </c>
      <c r="C62" s="124"/>
      <c r="D62" s="124"/>
      <c r="E62" s="124"/>
      <c r="F62" s="124"/>
      <c r="G62" s="124" t="s">
        <v>1646</v>
      </c>
      <c r="H62" s="125">
        <v>0.43</v>
      </c>
      <c r="I62" s="126"/>
      <c r="J62" s="193">
        <v>3</v>
      </c>
    </row>
    <row r="63" spans="1:10" ht="24" customHeight="1">
      <c r="A63" s="68">
        <v>59</v>
      </c>
      <c r="B63" s="149" t="s">
        <v>112</v>
      </c>
      <c r="C63" s="124" t="s">
        <v>728</v>
      </c>
      <c r="D63" s="124"/>
      <c r="E63" s="124"/>
      <c r="F63" s="124"/>
      <c r="G63" s="124" t="s">
        <v>1646</v>
      </c>
      <c r="H63" s="125">
        <v>0.24</v>
      </c>
      <c r="I63" s="126"/>
      <c r="J63" s="193">
        <v>3</v>
      </c>
    </row>
    <row r="64" spans="1:10" ht="24" customHeight="1">
      <c r="A64" s="68">
        <v>60</v>
      </c>
      <c r="B64" s="149" t="s">
        <v>115</v>
      </c>
      <c r="C64" s="124"/>
      <c r="D64" s="124"/>
      <c r="E64" s="124"/>
      <c r="F64" s="124"/>
      <c r="G64" s="124" t="s">
        <v>1657</v>
      </c>
      <c r="H64" s="125">
        <v>0.81</v>
      </c>
      <c r="I64" s="126"/>
      <c r="J64" s="193">
        <v>3</v>
      </c>
    </row>
    <row r="65" spans="1:10" ht="24" customHeight="1">
      <c r="A65" s="68">
        <v>61</v>
      </c>
      <c r="B65" s="149" t="s">
        <v>316</v>
      </c>
      <c r="C65" s="124"/>
      <c r="D65" s="124"/>
      <c r="E65" s="124"/>
      <c r="F65" s="124"/>
      <c r="G65" s="124" t="s">
        <v>1642</v>
      </c>
      <c r="H65" s="125">
        <v>0.94</v>
      </c>
      <c r="I65" s="225">
        <v>0.99</v>
      </c>
      <c r="J65" s="193">
        <v>3</v>
      </c>
    </row>
    <row r="66" spans="1:10" ht="24" customHeight="1">
      <c r="A66" s="68">
        <v>62</v>
      </c>
      <c r="B66" s="149" t="s">
        <v>168</v>
      </c>
      <c r="C66" s="124" t="s">
        <v>728</v>
      </c>
      <c r="D66" s="124"/>
      <c r="E66" s="124"/>
      <c r="F66" s="124"/>
      <c r="G66" s="124" t="s">
        <v>1646</v>
      </c>
      <c r="H66" s="125">
        <v>0.8</v>
      </c>
      <c r="I66" s="126"/>
      <c r="J66" s="193">
        <v>3</v>
      </c>
    </row>
    <row r="67" spans="1:10" ht="24" customHeight="1">
      <c r="A67" s="68">
        <v>63</v>
      </c>
      <c r="B67" s="149" t="s">
        <v>175</v>
      </c>
      <c r="C67" s="124"/>
      <c r="D67" s="124"/>
      <c r="E67" s="124"/>
      <c r="F67" s="124"/>
      <c r="G67" s="124" t="s">
        <v>1646</v>
      </c>
      <c r="H67" s="125">
        <v>0.81</v>
      </c>
      <c r="I67" s="126"/>
      <c r="J67" s="193">
        <v>3</v>
      </c>
    </row>
    <row r="68" spans="1:10" ht="24" customHeight="1">
      <c r="A68" s="68">
        <v>64</v>
      </c>
      <c r="B68" s="149" t="s">
        <v>178</v>
      </c>
      <c r="C68" s="124"/>
      <c r="D68" s="124"/>
      <c r="E68" s="124"/>
      <c r="F68" s="124"/>
      <c r="G68" s="124" t="s">
        <v>1646</v>
      </c>
      <c r="H68" s="125">
        <v>0.56000000000000005</v>
      </c>
      <c r="I68" s="126"/>
      <c r="J68" s="193">
        <v>3</v>
      </c>
    </row>
    <row r="69" spans="1:10" ht="24" customHeight="1">
      <c r="A69" s="68">
        <v>65</v>
      </c>
      <c r="B69" s="149" t="s">
        <v>180</v>
      </c>
      <c r="C69" s="124"/>
      <c r="D69" s="124"/>
      <c r="E69" s="124"/>
      <c r="F69" s="124"/>
      <c r="G69" s="124" t="s">
        <v>1657</v>
      </c>
      <c r="H69" s="124"/>
      <c r="I69" s="225">
        <v>0.93</v>
      </c>
      <c r="J69" s="193">
        <v>3</v>
      </c>
    </row>
    <row r="70" spans="1:10" ht="24" customHeight="1">
      <c r="A70" s="68">
        <v>66</v>
      </c>
      <c r="B70" s="149" t="s">
        <v>203</v>
      </c>
      <c r="C70" s="124"/>
      <c r="D70" s="124"/>
      <c r="E70" s="124"/>
      <c r="F70" s="124"/>
      <c r="G70" s="124" t="s">
        <v>1646</v>
      </c>
      <c r="H70" s="125">
        <v>0.32</v>
      </c>
      <c r="I70" s="126"/>
      <c r="J70" s="193">
        <v>3</v>
      </c>
    </row>
    <row r="71" spans="1:10" ht="24" customHeight="1">
      <c r="A71" s="68">
        <v>67</v>
      </c>
      <c r="B71" s="149" t="s">
        <v>213</v>
      </c>
      <c r="C71" s="124" t="s">
        <v>728</v>
      </c>
      <c r="D71" s="124"/>
      <c r="E71" s="124"/>
      <c r="F71" s="124"/>
      <c r="G71" s="124" t="s">
        <v>1658</v>
      </c>
      <c r="H71" s="124"/>
      <c r="I71" s="126"/>
      <c r="J71" s="193">
        <v>3</v>
      </c>
    </row>
    <row r="72" spans="1:10" ht="24" customHeight="1">
      <c r="A72" s="68">
        <v>68</v>
      </c>
      <c r="B72" s="149" t="s">
        <v>227</v>
      </c>
      <c r="C72" s="124" t="s">
        <v>728</v>
      </c>
      <c r="D72" s="124"/>
      <c r="E72" s="124"/>
      <c r="F72" s="124"/>
      <c r="G72" s="124" t="s">
        <v>1646</v>
      </c>
      <c r="H72" s="125">
        <v>0.82</v>
      </c>
      <c r="I72" s="126"/>
      <c r="J72" s="193">
        <v>3</v>
      </c>
    </row>
    <row r="73" spans="1:10" ht="24" customHeight="1">
      <c r="A73" s="68">
        <v>69</v>
      </c>
      <c r="B73" s="149" t="s">
        <v>236</v>
      </c>
      <c r="C73" s="124"/>
      <c r="D73" s="124"/>
      <c r="E73" s="124"/>
      <c r="F73" s="124"/>
      <c r="G73" s="124" t="s">
        <v>1646</v>
      </c>
      <c r="H73" s="125">
        <v>0.48</v>
      </c>
      <c r="I73" s="126"/>
      <c r="J73" s="193">
        <v>3</v>
      </c>
    </row>
    <row r="74" spans="1:10" ht="24" customHeight="1">
      <c r="A74" s="68">
        <v>70</v>
      </c>
      <c r="B74" s="149" t="s">
        <v>243</v>
      </c>
      <c r="C74" s="124" t="s">
        <v>728</v>
      </c>
      <c r="D74" s="124"/>
      <c r="E74" s="124"/>
      <c r="F74" s="124"/>
      <c r="G74" s="124" t="s">
        <v>1646</v>
      </c>
      <c r="H74" s="125">
        <v>0.51</v>
      </c>
      <c r="I74" s="126"/>
      <c r="J74" s="193">
        <v>3</v>
      </c>
    </row>
    <row r="75" spans="1:10" ht="24" customHeight="1">
      <c r="A75" s="68">
        <v>71</v>
      </c>
      <c r="B75" s="149" t="s">
        <v>249</v>
      </c>
      <c r="C75" s="124" t="s">
        <v>728</v>
      </c>
      <c r="D75" s="124"/>
      <c r="E75" s="124"/>
      <c r="F75" s="124"/>
      <c r="G75" s="124" t="s">
        <v>1650</v>
      </c>
      <c r="H75" s="125">
        <v>0.03</v>
      </c>
      <c r="I75" s="126"/>
      <c r="J75" s="193">
        <v>3</v>
      </c>
    </row>
    <row r="76" spans="1:10" ht="24" customHeight="1">
      <c r="A76" s="68">
        <v>72</v>
      </c>
      <c r="B76" s="149" t="s">
        <v>269</v>
      </c>
      <c r="C76" s="124"/>
      <c r="D76" s="124"/>
      <c r="E76" s="124"/>
      <c r="F76" s="124"/>
      <c r="G76" s="124" t="s">
        <v>1646</v>
      </c>
      <c r="H76" s="125">
        <v>0.78</v>
      </c>
      <c r="I76" s="126"/>
      <c r="J76" s="193">
        <v>3</v>
      </c>
    </row>
    <row r="77" spans="1:10" ht="24" customHeight="1">
      <c r="A77" s="68">
        <v>73</v>
      </c>
      <c r="B77" s="149" t="s">
        <v>278</v>
      </c>
      <c r="C77" s="124"/>
      <c r="D77" s="124"/>
      <c r="E77" s="124"/>
      <c r="F77" s="124"/>
      <c r="G77" s="124" t="s">
        <v>1642</v>
      </c>
      <c r="H77" s="125">
        <v>0.96</v>
      </c>
      <c r="I77" s="126"/>
      <c r="J77" s="193">
        <v>3</v>
      </c>
    </row>
    <row r="78" spans="1:10" ht="24" customHeight="1">
      <c r="A78" s="68">
        <v>74</v>
      </c>
      <c r="B78" s="149" t="s">
        <v>288</v>
      </c>
      <c r="C78" s="124"/>
      <c r="D78" s="124"/>
      <c r="E78" s="124"/>
      <c r="F78" s="124"/>
      <c r="G78" s="124" t="s">
        <v>1642</v>
      </c>
      <c r="H78" s="125">
        <v>1</v>
      </c>
      <c r="I78" s="225">
        <v>0.81</v>
      </c>
      <c r="J78" s="193">
        <v>3</v>
      </c>
    </row>
    <row r="79" spans="1:10" ht="24" customHeight="1">
      <c r="A79" s="135">
        <v>75</v>
      </c>
      <c r="B79" s="152" t="s">
        <v>297</v>
      </c>
      <c r="C79" s="128"/>
      <c r="D79" s="128"/>
      <c r="E79" s="128"/>
      <c r="F79" s="128"/>
      <c r="G79" s="128" t="s">
        <v>1646</v>
      </c>
      <c r="H79" s="129">
        <v>0.38</v>
      </c>
      <c r="I79" s="130"/>
      <c r="J79" s="194">
        <v>3</v>
      </c>
    </row>
  </sheetData>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I194"/>
  <sheetViews>
    <sheetView workbookViewId="0">
      <pane xSplit="1" ySplit="1" topLeftCell="B2" activePane="bottomRight" state="frozen"/>
      <selection pane="topRight" activeCell="C1" sqref="C1"/>
      <selection pane="bottomLeft" activeCell="A2" sqref="A2"/>
      <selection pane="bottomRight" activeCell="B42" sqref="B42"/>
    </sheetView>
  </sheetViews>
  <sheetFormatPr defaultRowHeight="15"/>
  <cols>
    <col min="1" max="1" width="4.7109375" style="49" customWidth="1"/>
    <col min="2" max="2" width="21.28515625" customWidth="1"/>
    <col min="3" max="7" width="25.85546875" customWidth="1"/>
  </cols>
  <sheetData>
    <row r="1" spans="1:9">
      <c r="A1" s="52" t="s">
        <v>0</v>
      </c>
      <c r="B1" s="91" t="s">
        <v>979</v>
      </c>
      <c r="C1" s="91" t="s">
        <v>980</v>
      </c>
      <c r="D1" s="91" t="s">
        <v>981</v>
      </c>
      <c r="E1" s="91" t="s">
        <v>982</v>
      </c>
      <c r="F1" s="91" t="s">
        <v>983</v>
      </c>
      <c r="G1" s="91" t="s">
        <v>5</v>
      </c>
      <c r="I1" s="27" t="s">
        <v>1597</v>
      </c>
    </row>
    <row r="2" spans="1:9">
      <c r="A2" s="49">
        <v>1</v>
      </c>
      <c r="B2" t="s">
        <v>8</v>
      </c>
      <c r="C2" t="s">
        <v>1272</v>
      </c>
      <c r="D2" t="s">
        <v>1273</v>
      </c>
      <c r="E2" t="s">
        <v>1186</v>
      </c>
      <c r="F2" t="s">
        <v>984</v>
      </c>
      <c r="G2" t="s">
        <v>299</v>
      </c>
    </row>
    <row r="3" spans="1:9">
      <c r="A3" s="49">
        <v>2</v>
      </c>
      <c r="B3" t="s">
        <v>11</v>
      </c>
      <c r="C3" t="s">
        <v>1274</v>
      </c>
      <c r="D3" t="s">
        <v>1275</v>
      </c>
      <c r="E3" t="s">
        <v>1187</v>
      </c>
      <c r="F3" t="s">
        <v>1276</v>
      </c>
      <c r="G3" t="s">
        <v>13</v>
      </c>
      <c r="I3" t="s">
        <v>1598</v>
      </c>
    </row>
    <row r="4" spans="1:9">
      <c r="A4" s="49">
        <v>3</v>
      </c>
      <c r="B4" t="s">
        <v>14</v>
      </c>
      <c r="C4" t="s">
        <v>1188</v>
      </c>
      <c r="D4" t="s">
        <v>1277</v>
      </c>
      <c r="E4" t="s">
        <v>1278</v>
      </c>
      <c r="F4" t="s">
        <v>1279</v>
      </c>
      <c r="G4" t="s">
        <v>15</v>
      </c>
    </row>
    <row r="5" spans="1:9">
      <c r="A5" s="49">
        <v>4</v>
      </c>
      <c r="B5" t="s">
        <v>16</v>
      </c>
      <c r="C5" t="s">
        <v>985</v>
      </c>
      <c r="D5" t="s">
        <v>1189</v>
      </c>
      <c r="E5" t="s">
        <v>1280</v>
      </c>
      <c r="F5" t="s">
        <v>985</v>
      </c>
      <c r="G5" t="s">
        <v>18</v>
      </c>
    </row>
    <row r="6" spans="1:9">
      <c r="A6" s="49">
        <v>5</v>
      </c>
      <c r="B6" t="s">
        <v>19</v>
      </c>
      <c r="C6" t="s">
        <v>1281</v>
      </c>
      <c r="D6" t="s">
        <v>1282</v>
      </c>
      <c r="E6" t="s">
        <v>1283</v>
      </c>
      <c r="F6" t="s">
        <v>1284</v>
      </c>
      <c r="G6" t="s">
        <v>986</v>
      </c>
    </row>
    <row r="7" spans="1:9">
      <c r="A7" s="49">
        <v>6</v>
      </c>
      <c r="B7" t="s">
        <v>21</v>
      </c>
      <c r="C7" t="s">
        <v>1190</v>
      </c>
      <c r="D7" t="s">
        <v>1159</v>
      </c>
      <c r="F7" t="s">
        <v>987</v>
      </c>
      <c r="G7" t="s">
        <v>1126</v>
      </c>
    </row>
    <row r="8" spans="1:9">
      <c r="A8" s="49">
        <v>7</v>
      </c>
      <c r="B8" t="s">
        <v>22</v>
      </c>
      <c r="C8" t="s">
        <v>1191</v>
      </c>
      <c r="D8" t="s">
        <v>1192</v>
      </c>
      <c r="E8" t="s">
        <v>988</v>
      </c>
      <c r="F8" t="s">
        <v>989</v>
      </c>
      <c r="G8" t="s">
        <v>315</v>
      </c>
    </row>
    <row r="9" spans="1:9">
      <c r="A9" s="49">
        <v>8</v>
      </c>
      <c r="B9" t="s">
        <v>23</v>
      </c>
      <c r="C9" t="s">
        <v>1285</v>
      </c>
      <c r="D9" t="s">
        <v>1286</v>
      </c>
      <c r="E9" t="s">
        <v>990</v>
      </c>
      <c r="F9" t="s">
        <v>990</v>
      </c>
      <c r="G9" t="s">
        <v>1193</v>
      </c>
    </row>
    <row r="10" spans="1:9">
      <c r="A10" s="49">
        <v>9</v>
      </c>
      <c r="B10" t="s">
        <v>24</v>
      </c>
      <c r="C10" t="s">
        <v>1194</v>
      </c>
      <c r="D10" t="s">
        <v>991</v>
      </c>
      <c r="E10" t="s">
        <v>1287</v>
      </c>
      <c r="F10" t="s">
        <v>992</v>
      </c>
      <c r="G10" t="s">
        <v>25</v>
      </c>
    </row>
    <row r="11" spans="1:9">
      <c r="A11" s="49">
        <v>10</v>
      </c>
      <c r="B11" t="s">
        <v>26</v>
      </c>
      <c r="C11" t="s">
        <v>1195</v>
      </c>
      <c r="D11" t="s">
        <v>1196</v>
      </c>
      <c r="E11" t="s">
        <v>1288</v>
      </c>
      <c r="F11" t="s">
        <v>1288</v>
      </c>
      <c r="G11" t="s">
        <v>313</v>
      </c>
    </row>
    <row r="12" spans="1:9">
      <c r="A12" s="49">
        <v>11</v>
      </c>
      <c r="B12" t="s">
        <v>27</v>
      </c>
      <c r="C12" t="s">
        <v>1289</v>
      </c>
      <c r="D12" t="s">
        <v>1290</v>
      </c>
      <c r="E12" t="s">
        <v>993</v>
      </c>
      <c r="F12" t="s">
        <v>994</v>
      </c>
      <c r="G12" t="s">
        <v>28</v>
      </c>
    </row>
    <row r="13" spans="1:9">
      <c r="A13" s="49">
        <v>12</v>
      </c>
      <c r="B13" t="s">
        <v>29</v>
      </c>
      <c r="C13" t="s">
        <v>995</v>
      </c>
      <c r="D13" t="s">
        <v>1291</v>
      </c>
      <c r="E13" t="s">
        <v>1292</v>
      </c>
      <c r="F13" t="s">
        <v>996</v>
      </c>
      <c r="G13" t="s">
        <v>300</v>
      </c>
    </row>
    <row r="14" spans="1:9">
      <c r="A14" s="49">
        <v>13</v>
      </c>
      <c r="B14" t="s">
        <v>30</v>
      </c>
      <c r="C14" t="s">
        <v>1197</v>
      </c>
      <c r="D14" t="s">
        <v>1198</v>
      </c>
      <c r="E14" t="s">
        <v>1199</v>
      </c>
      <c r="F14" t="s">
        <v>1200</v>
      </c>
      <c r="G14" t="s">
        <v>308</v>
      </c>
    </row>
    <row r="15" spans="1:9">
      <c r="A15" s="49">
        <v>14</v>
      </c>
      <c r="B15" t="s">
        <v>31</v>
      </c>
      <c r="C15" t="s">
        <v>1293</v>
      </c>
      <c r="D15" t="s">
        <v>997</v>
      </c>
      <c r="E15" t="s">
        <v>1294</v>
      </c>
      <c r="F15" t="s">
        <v>1295</v>
      </c>
      <c r="G15" t="s">
        <v>32</v>
      </c>
    </row>
    <row r="16" spans="1:9">
      <c r="A16" s="49">
        <v>15</v>
      </c>
      <c r="B16" t="s">
        <v>33</v>
      </c>
      <c r="C16" t="s">
        <v>1296</v>
      </c>
      <c r="D16" t="s">
        <v>1297</v>
      </c>
      <c r="E16" t="s">
        <v>1298</v>
      </c>
      <c r="F16" t="s">
        <v>1299</v>
      </c>
      <c r="G16" t="s">
        <v>929</v>
      </c>
    </row>
    <row r="17" spans="1:7">
      <c r="A17" s="49">
        <v>16</v>
      </c>
      <c r="B17" t="s">
        <v>34</v>
      </c>
      <c r="C17" t="s">
        <v>1300</v>
      </c>
      <c r="D17" t="s">
        <v>1160</v>
      </c>
      <c r="E17" t="s">
        <v>998</v>
      </c>
      <c r="F17" t="s">
        <v>998</v>
      </c>
      <c r="G17" t="s">
        <v>1301</v>
      </c>
    </row>
    <row r="18" spans="1:7">
      <c r="A18" s="49">
        <v>17</v>
      </c>
      <c r="B18" t="s">
        <v>35</v>
      </c>
      <c r="C18" t="s">
        <v>1125</v>
      </c>
      <c r="D18" t="s">
        <v>1201</v>
      </c>
      <c r="E18" t="s">
        <v>1202</v>
      </c>
      <c r="F18" t="s">
        <v>1203</v>
      </c>
      <c r="G18" t="s">
        <v>1204</v>
      </c>
    </row>
    <row r="19" spans="1:7">
      <c r="A19" s="49">
        <v>18</v>
      </c>
      <c r="B19" t="s">
        <v>36</v>
      </c>
      <c r="C19" t="s">
        <v>1302</v>
      </c>
      <c r="D19" t="s">
        <v>999</v>
      </c>
      <c r="E19" t="s">
        <v>1303</v>
      </c>
      <c r="F19" t="s">
        <v>1304</v>
      </c>
      <c r="G19" t="s">
        <v>37</v>
      </c>
    </row>
    <row r="20" spans="1:7">
      <c r="A20" s="49">
        <v>19</v>
      </c>
      <c r="B20" t="s">
        <v>38</v>
      </c>
      <c r="C20" t="s">
        <v>1000</v>
      </c>
      <c r="F20" t="s">
        <v>1305</v>
      </c>
      <c r="G20" t="s">
        <v>1306</v>
      </c>
    </row>
    <row r="21" spans="1:7">
      <c r="A21" s="49">
        <v>20</v>
      </c>
      <c r="B21" t="s">
        <v>39</v>
      </c>
      <c r="C21" t="s">
        <v>1307</v>
      </c>
      <c r="D21" t="s">
        <v>1001</v>
      </c>
      <c r="E21" t="s">
        <v>1308</v>
      </c>
      <c r="F21" t="s">
        <v>1002</v>
      </c>
      <c r="G21" t="s">
        <v>301</v>
      </c>
    </row>
    <row r="22" spans="1:7">
      <c r="A22" s="49">
        <v>21</v>
      </c>
      <c r="B22" t="s">
        <v>40</v>
      </c>
      <c r="C22" t="s">
        <v>1309</v>
      </c>
      <c r="D22" t="s">
        <v>1310</v>
      </c>
      <c r="E22" t="s">
        <v>1003</v>
      </c>
      <c r="F22" t="s">
        <v>1003</v>
      </c>
      <c r="G22" t="s">
        <v>314</v>
      </c>
    </row>
    <row r="23" spans="1:7">
      <c r="A23" s="49">
        <v>22</v>
      </c>
      <c r="B23" t="s">
        <v>41</v>
      </c>
      <c r="C23" t="s">
        <v>1311</v>
      </c>
      <c r="D23" t="s">
        <v>1205</v>
      </c>
      <c r="E23" t="s">
        <v>1312</v>
      </c>
      <c r="F23" t="s">
        <v>1312</v>
      </c>
      <c r="G23" t="s">
        <v>302</v>
      </c>
    </row>
    <row r="24" spans="1:7">
      <c r="A24" s="49">
        <v>23</v>
      </c>
      <c r="B24" t="s">
        <v>42</v>
      </c>
      <c r="C24" t="s">
        <v>1206</v>
      </c>
      <c r="D24" t="s">
        <v>1313</v>
      </c>
      <c r="E24" t="s">
        <v>1314</v>
      </c>
      <c r="F24" t="s">
        <v>1314</v>
      </c>
      <c r="G24" t="s">
        <v>303</v>
      </c>
    </row>
    <row r="25" spans="1:7">
      <c r="A25" s="49">
        <v>24</v>
      </c>
      <c r="B25" t="s">
        <v>43</v>
      </c>
      <c r="C25" t="s">
        <v>1004</v>
      </c>
      <c r="D25" t="s">
        <v>1315</v>
      </c>
      <c r="E25" t="s">
        <v>1316</v>
      </c>
      <c r="F25" t="s">
        <v>1317</v>
      </c>
      <c r="G25" t="s">
        <v>44</v>
      </c>
    </row>
    <row r="26" spans="1:7">
      <c r="A26" s="49">
        <v>25</v>
      </c>
      <c r="B26" t="s">
        <v>45</v>
      </c>
      <c r="C26" t="s">
        <v>1207</v>
      </c>
      <c r="D26" t="s">
        <v>1208</v>
      </c>
      <c r="E26" t="s">
        <v>1318</v>
      </c>
      <c r="F26" t="s">
        <v>1209</v>
      </c>
      <c r="G26" t="s">
        <v>46</v>
      </c>
    </row>
    <row r="27" spans="1:7">
      <c r="A27" s="49">
        <v>26</v>
      </c>
      <c r="B27" t="s">
        <v>47</v>
      </c>
      <c r="C27" t="s">
        <v>1005</v>
      </c>
      <c r="D27" t="s">
        <v>1006</v>
      </c>
      <c r="E27" t="s">
        <v>1007</v>
      </c>
      <c r="F27" t="s">
        <v>1007</v>
      </c>
      <c r="G27" t="s">
        <v>48</v>
      </c>
    </row>
    <row r="28" spans="1:7">
      <c r="A28" s="49">
        <v>27</v>
      </c>
      <c r="B28" t="s">
        <v>49</v>
      </c>
      <c r="C28" t="s">
        <v>1319</v>
      </c>
      <c r="D28" t="s">
        <v>1320</v>
      </c>
      <c r="E28" t="s">
        <v>1321</v>
      </c>
      <c r="F28" t="s">
        <v>1127</v>
      </c>
      <c r="G28" t="s">
        <v>304</v>
      </c>
    </row>
    <row r="29" spans="1:7">
      <c r="A29" s="49">
        <v>28</v>
      </c>
      <c r="B29" t="s">
        <v>50</v>
      </c>
      <c r="C29" t="s">
        <v>1322</v>
      </c>
      <c r="D29" t="s">
        <v>1128</v>
      </c>
      <c r="E29" t="s">
        <v>1129</v>
      </c>
      <c r="F29" t="s">
        <v>1129</v>
      </c>
      <c r="G29" t="s">
        <v>1323</v>
      </c>
    </row>
    <row r="30" spans="1:7">
      <c r="A30" s="49">
        <v>29</v>
      </c>
      <c r="B30" t="s">
        <v>51</v>
      </c>
      <c r="C30" t="s">
        <v>1210</v>
      </c>
      <c r="D30" t="s">
        <v>1211</v>
      </c>
      <c r="E30" t="s">
        <v>1324</v>
      </c>
      <c r="F30" t="s">
        <v>1325</v>
      </c>
      <c r="G30" t="s">
        <v>305</v>
      </c>
    </row>
    <row r="31" spans="1:7">
      <c r="A31" s="49">
        <v>30</v>
      </c>
      <c r="B31" t="s">
        <v>52</v>
      </c>
      <c r="C31" t="s">
        <v>1161</v>
      </c>
      <c r="D31" t="s">
        <v>1212</v>
      </c>
      <c r="E31" t="s">
        <v>1326</v>
      </c>
      <c r="F31" t="s">
        <v>1327</v>
      </c>
      <c r="G31" t="s">
        <v>1213</v>
      </c>
    </row>
    <row r="32" spans="1:7">
      <c r="A32" s="49">
        <v>31</v>
      </c>
      <c r="B32" t="s">
        <v>53</v>
      </c>
      <c r="C32" t="s">
        <v>1214</v>
      </c>
      <c r="D32" t="s">
        <v>1008</v>
      </c>
      <c r="E32" t="s">
        <v>1328</v>
      </c>
      <c r="F32" t="s">
        <v>1328</v>
      </c>
      <c r="G32" t="s">
        <v>54</v>
      </c>
    </row>
    <row r="33" spans="1:7">
      <c r="A33" s="49">
        <v>32</v>
      </c>
      <c r="B33" t="s">
        <v>55</v>
      </c>
      <c r="C33" t="s">
        <v>1009</v>
      </c>
      <c r="D33" t="s">
        <v>1010</v>
      </c>
      <c r="E33" t="s">
        <v>1329</v>
      </c>
      <c r="F33" t="s">
        <v>1329</v>
      </c>
      <c r="G33" t="s">
        <v>1011</v>
      </c>
    </row>
    <row r="34" spans="1:7">
      <c r="A34" s="49">
        <v>33</v>
      </c>
      <c r="B34" t="s">
        <v>56</v>
      </c>
    </row>
    <row r="35" spans="1:7">
      <c r="A35" s="49">
        <v>34</v>
      </c>
      <c r="B35" t="s">
        <v>57</v>
      </c>
      <c r="C35" t="s">
        <v>1330</v>
      </c>
      <c r="D35" t="s">
        <v>1331</v>
      </c>
      <c r="G35" t="s">
        <v>1332</v>
      </c>
    </row>
    <row r="36" spans="1:7">
      <c r="A36" s="49">
        <v>35</v>
      </c>
      <c r="B36" t="s">
        <v>58</v>
      </c>
      <c r="C36" t="s">
        <v>1333</v>
      </c>
      <c r="D36" t="s">
        <v>1334</v>
      </c>
      <c r="E36" t="s">
        <v>1215</v>
      </c>
      <c r="F36" t="s">
        <v>1335</v>
      </c>
      <c r="G36" t="s">
        <v>1216</v>
      </c>
    </row>
    <row r="37" spans="1:7">
      <c r="A37" s="49">
        <v>36</v>
      </c>
      <c r="B37" t="s">
        <v>59</v>
      </c>
      <c r="C37" t="s">
        <v>1217</v>
      </c>
      <c r="D37" t="s">
        <v>1336</v>
      </c>
      <c r="E37" t="s">
        <v>1012</v>
      </c>
      <c r="F37" t="s">
        <v>1012</v>
      </c>
      <c r="G37" t="s">
        <v>60</v>
      </c>
    </row>
    <row r="38" spans="1:7">
      <c r="A38" s="49">
        <v>37</v>
      </c>
      <c r="B38" t="s">
        <v>61</v>
      </c>
      <c r="C38" t="s">
        <v>1337</v>
      </c>
      <c r="D38" t="s">
        <v>1338</v>
      </c>
      <c r="E38" t="s">
        <v>1339</v>
      </c>
      <c r="F38" t="s">
        <v>1013</v>
      </c>
      <c r="G38" t="s">
        <v>62</v>
      </c>
    </row>
    <row r="39" spans="1:7">
      <c r="A39" s="49">
        <v>38</v>
      </c>
      <c r="B39" t="s">
        <v>63</v>
      </c>
    </row>
    <row r="40" spans="1:7">
      <c r="A40" s="49">
        <v>39</v>
      </c>
      <c r="B40" t="s">
        <v>64</v>
      </c>
    </row>
    <row r="41" spans="1:7">
      <c r="A41" s="49">
        <v>40</v>
      </c>
      <c r="B41" t="s">
        <v>67</v>
      </c>
      <c r="C41" t="s">
        <v>1162</v>
      </c>
      <c r="D41" t="s">
        <v>1218</v>
      </c>
      <c r="E41" t="s">
        <v>1340</v>
      </c>
      <c r="F41" t="s">
        <v>1341</v>
      </c>
      <c r="G41" t="s">
        <v>68</v>
      </c>
    </row>
    <row r="42" spans="1:7">
      <c r="A42" s="49">
        <v>41</v>
      </c>
      <c r="B42" t="s">
        <v>69</v>
      </c>
      <c r="C42" t="s">
        <v>1219</v>
      </c>
      <c r="D42" t="s">
        <v>1220</v>
      </c>
      <c r="E42" t="s">
        <v>1342</v>
      </c>
      <c r="F42" t="s">
        <v>1221</v>
      </c>
      <c r="G42" t="s">
        <v>70</v>
      </c>
    </row>
    <row r="43" spans="1:7">
      <c r="A43" s="49">
        <v>42</v>
      </c>
      <c r="B43" t="s">
        <v>71</v>
      </c>
      <c r="C43" t="s">
        <v>1222</v>
      </c>
      <c r="D43" t="s">
        <v>1223</v>
      </c>
      <c r="E43" t="s">
        <v>1224</v>
      </c>
      <c r="F43" t="s">
        <v>1343</v>
      </c>
      <c r="G43" t="s">
        <v>72</v>
      </c>
    </row>
    <row r="44" spans="1:7">
      <c r="A44" s="49">
        <v>43</v>
      </c>
      <c r="B44" t="s">
        <v>73</v>
      </c>
      <c r="C44" t="s">
        <v>1130</v>
      </c>
      <c r="E44" t="s">
        <v>1225</v>
      </c>
      <c r="F44" t="s">
        <v>1225</v>
      </c>
      <c r="G44" t="s">
        <v>74</v>
      </c>
    </row>
    <row r="45" spans="1:7">
      <c r="A45" s="49">
        <v>44</v>
      </c>
      <c r="B45" t="s">
        <v>75</v>
      </c>
      <c r="C45" t="s">
        <v>1226</v>
      </c>
      <c r="D45" t="s">
        <v>1227</v>
      </c>
      <c r="E45" t="s">
        <v>1228</v>
      </c>
      <c r="F45" t="s">
        <v>1228</v>
      </c>
      <c r="G45" t="s">
        <v>76</v>
      </c>
    </row>
    <row r="46" spans="1:7">
      <c r="A46" s="49">
        <v>45</v>
      </c>
      <c r="B46" t="s">
        <v>77</v>
      </c>
      <c r="C46" t="s">
        <v>1229</v>
      </c>
      <c r="D46" t="s">
        <v>1230</v>
      </c>
      <c r="E46" t="s">
        <v>1231</v>
      </c>
      <c r="F46" t="s">
        <v>1231</v>
      </c>
      <c r="G46" t="s">
        <v>78</v>
      </c>
    </row>
    <row r="47" spans="1:7">
      <c r="A47" s="49">
        <v>46</v>
      </c>
      <c r="B47" t="s">
        <v>966</v>
      </c>
    </row>
    <row r="48" spans="1:7">
      <c r="A48" s="49">
        <v>47</v>
      </c>
      <c r="B48" t="s">
        <v>967</v>
      </c>
      <c r="C48" t="s">
        <v>1232</v>
      </c>
      <c r="D48" t="s">
        <v>1344</v>
      </c>
      <c r="E48" t="s">
        <v>1345</v>
      </c>
      <c r="F48" t="s">
        <v>1345</v>
      </c>
      <c r="G48" t="s">
        <v>1346</v>
      </c>
    </row>
    <row r="49" spans="1:7">
      <c r="A49" s="49">
        <v>48</v>
      </c>
      <c r="B49" t="s">
        <v>79</v>
      </c>
      <c r="C49" t="s">
        <v>1347</v>
      </c>
      <c r="D49" t="s">
        <v>1348</v>
      </c>
      <c r="E49" t="s">
        <v>1349</v>
      </c>
      <c r="F49" t="s">
        <v>1350</v>
      </c>
      <c r="G49" t="s">
        <v>80</v>
      </c>
    </row>
    <row r="50" spans="1:7">
      <c r="A50" s="49">
        <v>49</v>
      </c>
      <c r="B50" t="s">
        <v>81</v>
      </c>
      <c r="G50" t="s">
        <v>82</v>
      </c>
    </row>
    <row r="51" spans="1:7">
      <c r="A51" s="49">
        <v>50</v>
      </c>
      <c r="B51" t="s">
        <v>83</v>
      </c>
      <c r="C51" t="s">
        <v>1351</v>
      </c>
      <c r="D51" t="s">
        <v>1131</v>
      </c>
      <c r="E51" t="s">
        <v>1352</v>
      </c>
      <c r="F51" t="s">
        <v>1353</v>
      </c>
      <c r="G51" t="s">
        <v>1354</v>
      </c>
    </row>
    <row r="52" spans="1:7">
      <c r="A52" s="49">
        <v>51</v>
      </c>
      <c r="B52" t="s">
        <v>84</v>
      </c>
      <c r="C52" t="s">
        <v>1233</v>
      </c>
      <c r="D52" t="s">
        <v>1163</v>
      </c>
      <c r="E52" t="s">
        <v>1234</v>
      </c>
      <c r="F52" t="s">
        <v>1233</v>
      </c>
      <c r="G52" t="s">
        <v>85</v>
      </c>
    </row>
    <row r="53" spans="1:7">
      <c r="A53" s="49">
        <v>52</v>
      </c>
      <c r="B53" t="s">
        <v>86</v>
      </c>
      <c r="C53" t="s">
        <v>1355</v>
      </c>
      <c r="D53" t="s">
        <v>1356</v>
      </c>
      <c r="E53" t="s">
        <v>1357</v>
      </c>
      <c r="F53" t="s">
        <v>1358</v>
      </c>
      <c r="G53" t="s">
        <v>1359</v>
      </c>
    </row>
    <row r="54" spans="1:7">
      <c r="A54" s="49">
        <v>53</v>
      </c>
      <c r="B54" t="s">
        <v>87</v>
      </c>
      <c r="C54" t="s">
        <v>1014</v>
      </c>
      <c r="D54" t="s">
        <v>1585</v>
      </c>
      <c r="E54" t="s">
        <v>1015</v>
      </c>
      <c r="F54" t="s">
        <v>1164</v>
      </c>
      <c r="G54" t="s">
        <v>88</v>
      </c>
    </row>
    <row r="55" spans="1:7">
      <c r="A55" s="49">
        <v>54</v>
      </c>
      <c r="B55" t="s">
        <v>89</v>
      </c>
      <c r="C55" t="s">
        <v>1360</v>
      </c>
      <c r="D55" t="s">
        <v>1016</v>
      </c>
      <c r="E55" t="s">
        <v>1235</v>
      </c>
      <c r="F55" t="s">
        <v>1235</v>
      </c>
      <c r="G55" t="s">
        <v>90</v>
      </c>
    </row>
    <row r="56" spans="1:7">
      <c r="A56" s="49">
        <v>55</v>
      </c>
      <c r="B56" t="s">
        <v>91</v>
      </c>
    </row>
    <row r="57" spans="1:7">
      <c r="A57" s="49">
        <v>56</v>
      </c>
      <c r="B57" t="s">
        <v>92</v>
      </c>
    </row>
    <row r="58" spans="1:7">
      <c r="A58" s="49">
        <v>57</v>
      </c>
      <c r="B58" t="s">
        <v>93</v>
      </c>
      <c r="C58" t="s">
        <v>1236</v>
      </c>
      <c r="D58" t="s">
        <v>1017</v>
      </c>
      <c r="E58" t="s">
        <v>1236</v>
      </c>
      <c r="F58" t="s">
        <v>1236</v>
      </c>
      <c r="G58" t="s">
        <v>1361</v>
      </c>
    </row>
    <row r="59" spans="1:7">
      <c r="A59" s="49">
        <v>58</v>
      </c>
      <c r="B59" t="s">
        <v>94</v>
      </c>
      <c r="C59" t="s">
        <v>1362</v>
      </c>
      <c r="D59" t="s">
        <v>1363</v>
      </c>
      <c r="E59" t="s">
        <v>1364</v>
      </c>
      <c r="F59" t="s">
        <v>1364</v>
      </c>
      <c r="G59" t="s">
        <v>95</v>
      </c>
    </row>
    <row r="60" spans="1:7">
      <c r="A60" s="49">
        <v>59</v>
      </c>
      <c r="B60" t="s">
        <v>96</v>
      </c>
      <c r="C60" t="s">
        <v>1365</v>
      </c>
      <c r="D60" t="s">
        <v>1018</v>
      </c>
      <c r="E60" t="s">
        <v>1237</v>
      </c>
      <c r="G60" t="s">
        <v>649</v>
      </c>
    </row>
    <row r="61" spans="1:7">
      <c r="A61" s="49">
        <v>60</v>
      </c>
      <c r="B61" t="s">
        <v>97</v>
      </c>
      <c r="C61" t="s">
        <v>1366</v>
      </c>
      <c r="D61" t="s">
        <v>1367</v>
      </c>
      <c r="E61" t="s">
        <v>1368</v>
      </c>
      <c r="F61" t="s">
        <v>1366</v>
      </c>
      <c r="G61" t="s">
        <v>1369</v>
      </c>
    </row>
    <row r="62" spans="1:7">
      <c r="A62" s="49">
        <v>61</v>
      </c>
      <c r="B62" t="s">
        <v>98</v>
      </c>
      <c r="C62" t="s">
        <v>1238</v>
      </c>
      <c r="D62" t="s">
        <v>1239</v>
      </c>
      <c r="E62" t="s">
        <v>1240</v>
      </c>
      <c r="F62" t="s">
        <v>1238</v>
      </c>
      <c r="G62" t="s">
        <v>650</v>
      </c>
    </row>
    <row r="63" spans="1:7">
      <c r="A63" s="49">
        <v>62</v>
      </c>
      <c r="B63" t="s">
        <v>99</v>
      </c>
    </row>
    <row r="64" spans="1:7">
      <c r="A64" s="49">
        <v>63</v>
      </c>
      <c r="B64" t="s">
        <v>100</v>
      </c>
      <c r="C64" t="s">
        <v>1370</v>
      </c>
      <c r="D64" t="s">
        <v>1019</v>
      </c>
      <c r="E64" t="s">
        <v>1371</v>
      </c>
      <c r="F64" t="s">
        <v>1370</v>
      </c>
      <c r="G64" t="s">
        <v>928</v>
      </c>
    </row>
    <row r="65" spans="1:7">
      <c r="A65" s="49">
        <v>64</v>
      </c>
      <c r="B65" t="s">
        <v>101</v>
      </c>
      <c r="C65" t="s">
        <v>1241</v>
      </c>
      <c r="D65" t="s">
        <v>1242</v>
      </c>
      <c r="E65" t="s">
        <v>1241</v>
      </c>
      <c r="F65" t="s">
        <v>1241</v>
      </c>
      <c r="G65" t="s">
        <v>102</v>
      </c>
    </row>
    <row r="66" spans="1:7">
      <c r="A66" s="49">
        <v>65</v>
      </c>
      <c r="B66" t="s">
        <v>103</v>
      </c>
      <c r="C66" t="s">
        <v>1243</v>
      </c>
      <c r="D66" t="s">
        <v>1244</v>
      </c>
      <c r="E66" t="s">
        <v>1245</v>
      </c>
      <c r="F66" t="s">
        <v>1245</v>
      </c>
      <c r="G66" t="s">
        <v>104</v>
      </c>
    </row>
    <row r="67" spans="1:7">
      <c r="A67" s="49">
        <v>66</v>
      </c>
      <c r="B67" t="s">
        <v>105</v>
      </c>
      <c r="C67" t="s">
        <v>1372</v>
      </c>
      <c r="D67" t="s">
        <v>1373</v>
      </c>
      <c r="E67" t="s">
        <v>1374</v>
      </c>
      <c r="F67" t="s">
        <v>1374</v>
      </c>
      <c r="G67" t="s">
        <v>106</v>
      </c>
    </row>
    <row r="68" spans="1:7">
      <c r="A68" s="49">
        <v>67</v>
      </c>
      <c r="B68" t="s">
        <v>107</v>
      </c>
      <c r="C68" t="s">
        <v>1375</v>
      </c>
      <c r="D68" t="s">
        <v>1376</v>
      </c>
      <c r="E68" t="s">
        <v>1246</v>
      </c>
      <c r="F68" t="s">
        <v>1246</v>
      </c>
      <c r="G68" t="s">
        <v>1020</v>
      </c>
    </row>
    <row r="69" spans="1:7">
      <c r="A69" s="49">
        <v>68</v>
      </c>
      <c r="B69" t="s">
        <v>108</v>
      </c>
      <c r="C69" t="s">
        <v>1165</v>
      </c>
      <c r="D69" t="s">
        <v>1021</v>
      </c>
      <c r="E69" t="s">
        <v>1022</v>
      </c>
      <c r="F69" t="s">
        <v>1132</v>
      </c>
      <c r="G69" t="s">
        <v>298</v>
      </c>
    </row>
    <row r="70" spans="1:7">
      <c r="A70" s="49">
        <v>69</v>
      </c>
      <c r="B70" t="s">
        <v>109</v>
      </c>
      <c r="C70" t="s">
        <v>1247</v>
      </c>
      <c r="D70" t="s">
        <v>1023</v>
      </c>
      <c r="E70" t="s">
        <v>1024</v>
      </c>
      <c r="F70" t="s">
        <v>1024</v>
      </c>
      <c r="G70" t="s">
        <v>110</v>
      </c>
    </row>
    <row r="71" spans="1:7">
      <c r="A71" s="49">
        <v>70</v>
      </c>
      <c r="B71" t="s">
        <v>111</v>
      </c>
      <c r="D71" t="s">
        <v>1025</v>
      </c>
      <c r="G71" t="s">
        <v>951</v>
      </c>
    </row>
    <row r="72" spans="1:7">
      <c r="A72" s="49">
        <v>71</v>
      </c>
      <c r="B72" t="s">
        <v>112</v>
      </c>
    </row>
    <row r="73" spans="1:7">
      <c r="A73" s="49">
        <v>72</v>
      </c>
      <c r="B73" t="s">
        <v>113</v>
      </c>
      <c r="C73" t="s">
        <v>1026</v>
      </c>
      <c r="D73" t="s">
        <v>1027</v>
      </c>
      <c r="E73" t="s">
        <v>1377</v>
      </c>
      <c r="F73" t="s">
        <v>1377</v>
      </c>
      <c r="G73" t="s">
        <v>114</v>
      </c>
    </row>
    <row r="74" spans="1:7">
      <c r="A74" s="49">
        <v>73</v>
      </c>
      <c r="B74" t="s">
        <v>115</v>
      </c>
      <c r="C74" t="s">
        <v>1378</v>
      </c>
      <c r="D74" t="s">
        <v>1379</v>
      </c>
      <c r="E74" t="s">
        <v>1380</v>
      </c>
      <c r="F74" t="s">
        <v>1380</v>
      </c>
      <c r="G74" t="s">
        <v>1381</v>
      </c>
    </row>
    <row r="75" spans="1:7">
      <c r="A75" s="49">
        <v>74</v>
      </c>
      <c r="B75" t="s">
        <v>116</v>
      </c>
      <c r="C75" t="s">
        <v>1248</v>
      </c>
      <c r="D75" t="s">
        <v>1249</v>
      </c>
      <c r="E75" t="s">
        <v>1250</v>
      </c>
      <c r="F75" t="s">
        <v>1250</v>
      </c>
      <c r="G75" t="s">
        <v>117</v>
      </c>
    </row>
    <row r="76" spans="1:7">
      <c r="A76" s="49">
        <v>75</v>
      </c>
      <c r="B76" t="s">
        <v>119</v>
      </c>
      <c r="C76" t="s">
        <v>1028</v>
      </c>
      <c r="D76" t="s">
        <v>1133</v>
      </c>
      <c r="E76" t="s">
        <v>1133</v>
      </c>
      <c r="F76" t="s">
        <v>1133</v>
      </c>
      <c r="G76" t="s">
        <v>319</v>
      </c>
    </row>
    <row r="77" spans="1:7">
      <c r="A77" s="49">
        <v>76</v>
      </c>
      <c r="B77" t="s">
        <v>120</v>
      </c>
      <c r="C77" t="s">
        <v>1382</v>
      </c>
      <c r="D77" t="s">
        <v>1251</v>
      </c>
      <c r="E77" t="s">
        <v>1382</v>
      </c>
      <c r="F77" t="s">
        <v>1382</v>
      </c>
      <c r="G77" t="s">
        <v>121</v>
      </c>
    </row>
    <row r="78" spans="1:7">
      <c r="A78" s="49">
        <v>77</v>
      </c>
      <c r="B78" t="s">
        <v>122</v>
      </c>
      <c r="C78" t="s">
        <v>1383</v>
      </c>
      <c r="D78" t="s">
        <v>1252</v>
      </c>
      <c r="E78" t="s">
        <v>1384</v>
      </c>
      <c r="F78" t="s">
        <v>1385</v>
      </c>
      <c r="G78" t="s">
        <v>1386</v>
      </c>
    </row>
    <row r="79" spans="1:7">
      <c r="A79" s="49">
        <v>78</v>
      </c>
      <c r="B79" t="s">
        <v>123</v>
      </c>
      <c r="C79" t="s">
        <v>1029</v>
      </c>
      <c r="F79" t="s">
        <v>1387</v>
      </c>
      <c r="G79" t="s">
        <v>124</v>
      </c>
    </row>
    <row r="80" spans="1:7">
      <c r="A80" s="49">
        <v>79</v>
      </c>
      <c r="B80" t="s">
        <v>968</v>
      </c>
      <c r="C80" t="s">
        <v>1030</v>
      </c>
      <c r="D80" t="s">
        <v>1388</v>
      </c>
      <c r="G80" t="s">
        <v>126</v>
      </c>
    </row>
    <row r="81" spans="1:7">
      <c r="A81" s="49">
        <v>80</v>
      </c>
      <c r="B81" t="s">
        <v>127</v>
      </c>
      <c r="C81" t="s">
        <v>1389</v>
      </c>
      <c r="D81" t="s">
        <v>1031</v>
      </c>
      <c r="E81" t="s">
        <v>1390</v>
      </c>
      <c r="F81" t="s">
        <v>1390</v>
      </c>
      <c r="G81" t="s">
        <v>128</v>
      </c>
    </row>
    <row r="82" spans="1:7">
      <c r="A82" s="49">
        <v>81</v>
      </c>
      <c r="B82" t="s">
        <v>129</v>
      </c>
      <c r="C82" t="s">
        <v>1391</v>
      </c>
      <c r="D82" t="s">
        <v>1032</v>
      </c>
      <c r="E82" t="s">
        <v>1392</v>
      </c>
      <c r="F82" t="s">
        <v>1393</v>
      </c>
      <c r="G82" t="s">
        <v>130</v>
      </c>
    </row>
    <row r="83" spans="1:7">
      <c r="A83" s="49">
        <v>82</v>
      </c>
      <c r="B83" t="s">
        <v>131</v>
      </c>
      <c r="C83" t="s">
        <v>1033</v>
      </c>
      <c r="D83" t="s">
        <v>1034</v>
      </c>
      <c r="E83" t="s">
        <v>1394</v>
      </c>
      <c r="F83" t="s">
        <v>1035</v>
      </c>
      <c r="G83" t="s">
        <v>1036</v>
      </c>
    </row>
    <row r="84" spans="1:7">
      <c r="A84" s="49">
        <v>83</v>
      </c>
      <c r="B84" t="s">
        <v>132</v>
      </c>
      <c r="C84" t="s">
        <v>1166</v>
      </c>
      <c r="D84" t="s">
        <v>1167</v>
      </c>
      <c r="E84" t="s">
        <v>1168</v>
      </c>
      <c r="F84" t="s">
        <v>1168</v>
      </c>
      <c r="G84" t="s">
        <v>395</v>
      </c>
    </row>
    <row r="85" spans="1:7">
      <c r="A85" s="49">
        <v>84</v>
      </c>
      <c r="B85" t="s">
        <v>133</v>
      </c>
      <c r="C85" t="s">
        <v>1395</v>
      </c>
      <c r="D85" t="s">
        <v>1396</v>
      </c>
      <c r="E85" t="s">
        <v>1397</v>
      </c>
      <c r="F85" t="s">
        <v>1397</v>
      </c>
      <c r="G85" t="s">
        <v>134</v>
      </c>
    </row>
    <row r="86" spans="1:7">
      <c r="A86" s="49">
        <v>85</v>
      </c>
      <c r="B86" t="s">
        <v>135</v>
      </c>
      <c r="C86" t="s">
        <v>1398</v>
      </c>
      <c r="D86" t="s">
        <v>1399</v>
      </c>
      <c r="E86" t="s">
        <v>1398</v>
      </c>
      <c r="F86" t="s">
        <v>1398</v>
      </c>
      <c r="G86" t="s">
        <v>136</v>
      </c>
    </row>
    <row r="87" spans="1:7">
      <c r="A87" s="49">
        <v>86</v>
      </c>
      <c r="B87" t="s">
        <v>137</v>
      </c>
      <c r="C87" t="s">
        <v>1037</v>
      </c>
      <c r="D87" t="s">
        <v>1400</v>
      </c>
      <c r="E87" t="s">
        <v>1401</v>
      </c>
      <c r="F87" t="s">
        <v>1402</v>
      </c>
      <c r="G87" t="s">
        <v>138</v>
      </c>
    </row>
    <row r="88" spans="1:7">
      <c r="A88" s="49">
        <v>87</v>
      </c>
      <c r="B88" t="s">
        <v>139</v>
      </c>
      <c r="C88" t="s">
        <v>1038</v>
      </c>
      <c r="D88" t="s">
        <v>1039</v>
      </c>
      <c r="E88" t="s">
        <v>1040</v>
      </c>
      <c r="F88" t="s">
        <v>1040</v>
      </c>
      <c r="G88" t="s">
        <v>140</v>
      </c>
    </row>
    <row r="89" spans="1:7">
      <c r="A89" s="49">
        <v>88</v>
      </c>
      <c r="B89" t="s">
        <v>141</v>
      </c>
      <c r="C89" t="s">
        <v>1403</v>
      </c>
      <c r="D89" t="s">
        <v>1041</v>
      </c>
      <c r="E89" t="s">
        <v>1404</v>
      </c>
      <c r="F89" t="s">
        <v>1404</v>
      </c>
      <c r="G89" t="s">
        <v>142</v>
      </c>
    </row>
    <row r="90" spans="1:7">
      <c r="A90" s="49">
        <v>89</v>
      </c>
      <c r="B90" t="s">
        <v>143</v>
      </c>
      <c r="D90" t="s">
        <v>1405</v>
      </c>
      <c r="E90" t="s">
        <v>1406</v>
      </c>
      <c r="F90" t="s">
        <v>1406</v>
      </c>
      <c r="G90" t="s">
        <v>651</v>
      </c>
    </row>
    <row r="91" spans="1:7">
      <c r="A91" s="49">
        <v>90</v>
      </c>
      <c r="B91" t="s">
        <v>149</v>
      </c>
      <c r="C91" t="s">
        <v>1042</v>
      </c>
      <c r="D91" t="s">
        <v>1043</v>
      </c>
      <c r="E91" t="s">
        <v>1044</v>
      </c>
      <c r="F91" t="s">
        <v>1044</v>
      </c>
      <c r="G91" t="s">
        <v>150</v>
      </c>
    </row>
    <row r="92" spans="1:7">
      <c r="A92" s="49">
        <v>91</v>
      </c>
      <c r="B92" t="s">
        <v>937</v>
      </c>
      <c r="C92" t="s">
        <v>1169</v>
      </c>
      <c r="G92" t="s">
        <v>151</v>
      </c>
    </row>
    <row r="93" spans="1:7">
      <c r="A93" s="49">
        <v>92</v>
      </c>
      <c r="B93" t="s">
        <v>969</v>
      </c>
      <c r="C93" t="s">
        <v>1407</v>
      </c>
      <c r="D93" t="s">
        <v>1408</v>
      </c>
      <c r="E93" t="s">
        <v>1409</v>
      </c>
      <c r="F93" t="s">
        <v>1409</v>
      </c>
      <c r="G93" t="s">
        <v>153</v>
      </c>
    </row>
    <row r="94" spans="1:7">
      <c r="A94" s="49">
        <v>93</v>
      </c>
      <c r="B94" t="s">
        <v>154</v>
      </c>
      <c r="C94" t="s">
        <v>1410</v>
      </c>
      <c r="D94" t="s">
        <v>1411</v>
      </c>
      <c r="E94" t="s">
        <v>1412</v>
      </c>
      <c r="F94" t="s">
        <v>1413</v>
      </c>
      <c r="G94" t="s">
        <v>155</v>
      </c>
    </row>
    <row r="95" spans="1:7">
      <c r="A95" s="49">
        <v>94</v>
      </c>
      <c r="B95" t="s">
        <v>156</v>
      </c>
      <c r="C95" t="s">
        <v>1414</v>
      </c>
      <c r="D95" t="s">
        <v>1415</v>
      </c>
      <c r="E95" t="s">
        <v>1416</v>
      </c>
      <c r="F95" t="s">
        <v>1417</v>
      </c>
      <c r="G95" t="s">
        <v>157</v>
      </c>
    </row>
    <row r="96" spans="1:7">
      <c r="A96" s="49">
        <v>95</v>
      </c>
      <c r="B96" t="s">
        <v>158</v>
      </c>
      <c r="C96" t="s">
        <v>1418</v>
      </c>
      <c r="D96" t="s">
        <v>1045</v>
      </c>
      <c r="F96" t="s">
        <v>1418</v>
      </c>
    </row>
    <row r="97" spans="1:7">
      <c r="A97" s="49">
        <v>96</v>
      </c>
      <c r="B97" t="s">
        <v>159</v>
      </c>
      <c r="C97" t="s">
        <v>1419</v>
      </c>
      <c r="D97" t="s">
        <v>1420</v>
      </c>
      <c r="F97" t="s">
        <v>1419</v>
      </c>
      <c r="G97" t="s">
        <v>160</v>
      </c>
    </row>
    <row r="98" spans="1:7">
      <c r="A98" s="49">
        <v>97</v>
      </c>
      <c r="B98" t="s">
        <v>161</v>
      </c>
      <c r="C98" t="s">
        <v>1421</v>
      </c>
      <c r="D98" t="s">
        <v>1422</v>
      </c>
      <c r="E98" t="s">
        <v>1423</v>
      </c>
      <c r="G98" t="s">
        <v>1046</v>
      </c>
    </row>
    <row r="99" spans="1:7">
      <c r="A99" s="49">
        <v>98</v>
      </c>
      <c r="B99" t="s">
        <v>162</v>
      </c>
      <c r="C99" t="s">
        <v>1424</v>
      </c>
      <c r="D99" t="s">
        <v>1424</v>
      </c>
      <c r="E99" t="s">
        <v>1424</v>
      </c>
      <c r="F99" t="s">
        <v>1424</v>
      </c>
      <c r="G99" t="s">
        <v>1424</v>
      </c>
    </row>
    <row r="100" spans="1:7">
      <c r="A100" s="49">
        <v>99</v>
      </c>
      <c r="B100" t="s">
        <v>163</v>
      </c>
      <c r="C100" t="s">
        <v>1047</v>
      </c>
      <c r="D100" t="s">
        <v>1170</v>
      </c>
      <c r="E100" t="s">
        <v>1048</v>
      </c>
      <c r="F100" t="s">
        <v>1048</v>
      </c>
      <c r="G100" t="s">
        <v>164</v>
      </c>
    </row>
    <row r="101" spans="1:7">
      <c r="A101" s="49">
        <v>100</v>
      </c>
      <c r="B101" t="s">
        <v>165</v>
      </c>
      <c r="C101" t="s">
        <v>1171</v>
      </c>
      <c r="D101" t="s">
        <v>1049</v>
      </c>
      <c r="E101" t="s">
        <v>1172</v>
      </c>
      <c r="F101" t="s">
        <v>1173</v>
      </c>
      <c r="G101" t="s">
        <v>166</v>
      </c>
    </row>
    <row r="102" spans="1:7">
      <c r="A102" s="49">
        <v>101</v>
      </c>
      <c r="B102" t="s">
        <v>168</v>
      </c>
      <c r="C102" t="s">
        <v>1174</v>
      </c>
      <c r="D102" t="s">
        <v>1425</v>
      </c>
      <c r="E102" t="s">
        <v>1426</v>
      </c>
      <c r="F102" t="s">
        <v>1426</v>
      </c>
      <c r="G102" t="s">
        <v>169</v>
      </c>
    </row>
    <row r="103" spans="1:7">
      <c r="A103" s="49">
        <v>102</v>
      </c>
      <c r="B103" t="s">
        <v>170</v>
      </c>
      <c r="G103" t="s">
        <v>171</v>
      </c>
    </row>
    <row r="104" spans="1:7">
      <c r="A104" s="49">
        <v>103</v>
      </c>
      <c r="B104" t="s">
        <v>172</v>
      </c>
      <c r="C104" t="s">
        <v>1253</v>
      </c>
      <c r="D104" t="s">
        <v>1050</v>
      </c>
      <c r="E104" t="s">
        <v>1427</v>
      </c>
      <c r="F104" t="s">
        <v>1254</v>
      </c>
      <c r="G104" t="s">
        <v>173</v>
      </c>
    </row>
    <row r="105" spans="1:7">
      <c r="A105" s="49">
        <v>104</v>
      </c>
      <c r="B105" t="s">
        <v>174</v>
      </c>
      <c r="C105" t="s">
        <v>1428</v>
      </c>
      <c r="D105" t="s">
        <v>1051</v>
      </c>
      <c r="E105" t="s">
        <v>1052</v>
      </c>
      <c r="F105" t="s">
        <v>1052</v>
      </c>
      <c r="G105" t="s">
        <v>1429</v>
      </c>
    </row>
    <row r="106" spans="1:7">
      <c r="A106" s="49">
        <v>105</v>
      </c>
      <c r="B106" t="s">
        <v>175</v>
      </c>
      <c r="C106" t="s">
        <v>1430</v>
      </c>
      <c r="G106" t="s">
        <v>1431</v>
      </c>
    </row>
    <row r="107" spans="1:7">
      <c r="A107" s="49">
        <v>106</v>
      </c>
      <c r="B107" t="s">
        <v>176</v>
      </c>
      <c r="C107" t="s">
        <v>1053</v>
      </c>
      <c r="D107" t="s">
        <v>1054</v>
      </c>
      <c r="E107" t="s">
        <v>1054</v>
      </c>
      <c r="F107" t="s">
        <v>1255</v>
      </c>
      <c r="G107" t="s">
        <v>1432</v>
      </c>
    </row>
    <row r="108" spans="1:7">
      <c r="A108" s="49">
        <v>107</v>
      </c>
      <c r="B108" t="s">
        <v>177</v>
      </c>
    </row>
    <row r="109" spans="1:7">
      <c r="A109" s="49">
        <v>108</v>
      </c>
      <c r="B109" t="s">
        <v>178</v>
      </c>
      <c r="C109" t="s">
        <v>1055</v>
      </c>
      <c r="D109" t="s">
        <v>1134</v>
      </c>
      <c r="E109" t="s">
        <v>1135</v>
      </c>
      <c r="F109" t="s">
        <v>1135</v>
      </c>
      <c r="G109" t="s">
        <v>1433</v>
      </c>
    </row>
    <row r="110" spans="1:7">
      <c r="A110" s="49">
        <v>109</v>
      </c>
      <c r="B110" t="s">
        <v>179</v>
      </c>
      <c r="C110" t="s">
        <v>1056</v>
      </c>
      <c r="D110" t="s">
        <v>1434</v>
      </c>
      <c r="E110" t="s">
        <v>1057</v>
      </c>
      <c r="F110" t="s">
        <v>1435</v>
      </c>
      <c r="G110" t="s">
        <v>1058</v>
      </c>
    </row>
    <row r="111" spans="1:7">
      <c r="A111" s="49">
        <v>110</v>
      </c>
      <c r="B111" t="s">
        <v>180</v>
      </c>
      <c r="C111" t="s">
        <v>1059</v>
      </c>
      <c r="D111" t="s">
        <v>1436</v>
      </c>
      <c r="E111" t="s">
        <v>1060</v>
      </c>
      <c r="F111" t="s">
        <v>1060</v>
      </c>
      <c r="G111" t="s">
        <v>181</v>
      </c>
    </row>
    <row r="112" spans="1:7">
      <c r="A112" s="49">
        <v>111</v>
      </c>
      <c r="B112" t="s">
        <v>971</v>
      </c>
      <c r="D112" t="s">
        <v>1437</v>
      </c>
      <c r="E112" t="s">
        <v>1438</v>
      </c>
      <c r="F112" t="s">
        <v>1438</v>
      </c>
    </row>
    <row r="113" spans="1:7">
      <c r="A113" s="49">
        <v>112</v>
      </c>
      <c r="B113" t="s">
        <v>185</v>
      </c>
      <c r="C113" t="s">
        <v>1439</v>
      </c>
      <c r="D113" t="s">
        <v>1439</v>
      </c>
      <c r="E113" t="s">
        <v>1439</v>
      </c>
      <c r="F113" t="s">
        <v>1439</v>
      </c>
      <c r="G113" t="s">
        <v>1439</v>
      </c>
    </row>
    <row r="114" spans="1:7">
      <c r="A114" s="49">
        <v>113</v>
      </c>
      <c r="B114" t="s">
        <v>186</v>
      </c>
      <c r="C114" t="s">
        <v>1061</v>
      </c>
      <c r="D114" t="s">
        <v>1440</v>
      </c>
      <c r="E114" t="s">
        <v>1441</v>
      </c>
      <c r="F114" t="s">
        <v>1441</v>
      </c>
      <c r="G114" t="s">
        <v>187</v>
      </c>
    </row>
    <row r="115" spans="1:7">
      <c r="A115" s="49">
        <v>114</v>
      </c>
      <c r="B115" t="s">
        <v>188</v>
      </c>
      <c r="C115" t="s">
        <v>1136</v>
      </c>
      <c r="D115" t="s">
        <v>1062</v>
      </c>
      <c r="E115" t="s">
        <v>1137</v>
      </c>
      <c r="F115" t="s">
        <v>1137</v>
      </c>
      <c r="G115" t="s">
        <v>1063</v>
      </c>
    </row>
    <row r="116" spans="1:7">
      <c r="A116" s="49">
        <v>115</v>
      </c>
      <c r="B116" t="s">
        <v>189</v>
      </c>
      <c r="C116" t="s">
        <v>1256</v>
      </c>
      <c r="D116" t="s">
        <v>1064</v>
      </c>
      <c r="E116" t="s">
        <v>1257</v>
      </c>
      <c r="F116" t="s">
        <v>1442</v>
      </c>
      <c r="G116" t="s">
        <v>190</v>
      </c>
    </row>
    <row r="117" spans="1:7">
      <c r="A117" s="49">
        <v>116</v>
      </c>
      <c r="B117" t="s">
        <v>191</v>
      </c>
      <c r="C117" t="s">
        <v>1443</v>
      </c>
      <c r="D117" t="s">
        <v>1444</v>
      </c>
      <c r="E117" t="s">
        <v>1445</v>
      </c>
      <c r="F117" t="s">
        <v>1445</v>
      </c>
      <c r="G117" t="s">
        <v>1065</v>
      </c>
    </row>
    <row r="118" spans="1:7">
      <c r="A118" s="49">
        <v>117</v>
      </c>
      <c r="B118" t="s">
        <v>192</v>
      </c>
      <c r="C118" t="s">
        <v>1446</v>
      </c>
      <c r="E118" t="s">
        <v>1447</v>
      </c>
      <c r="F118" t="s">
        <v>1447</v>
      </c>
      <c r="G118" t="s">
        <v>1448</v>
      </c>
    </row>
    <row r="119" spans="1:7">
      <c r="A119" s="49">
        <v>118</v>
      </c>
      <c r="B119" t="s">
        <v>193</v>
      </c>
      <c r="C119" t="s">
        <v>1449</v>
      </c>
      <c r="D119" t="s">
        <v>1450</v>
      </c>
      <c r="E119" t="s">
        <v>1451</v>
      </c>
      <c r="F119" t="s">
        <v>1451</v>
      </c>
      <c r="G119" t="s">
        <v>194</v>
      </c>
    </row>
    <row r="120" spans="1:7">
      <c r="A120" s="49">
        <v>119</v>
      </c>
      <c r="B120" t="s">
        <v>195</v>
      </c>
    </row>
    <row r="121" spans="1:7">
      <c r="A121" s="49">
        <v>120</v>
      </c>
      <c r="B121" t="s">
        <v>196</v>
      </c>
      <c r="C121" t="s">
        <v>1138</v>
      </c>
      <c r="D121" t="s">
        <v>1452</v>
      </c>
      <c r="E121" t="s">
        <v>1066</v>
      </c>
      <c r="F121" t="s">
        <v>1453</v>
      </c>
      <c r="G121" t="s">
        <v>197</v>
      </c>
    </row>
    <row r="122" spans="1:7">
      <c r="A122" s="49">
        <v>121</v>
      </c>
      <c r="B122" t="s">
        <v>198</v>
      </c>
      <c r="C122" t="s">
        <v>1067</v>
      </c>
      <c r="D122" t="s">
        <v>1068</v>
      </c>
      <c r="E122" t="s">
        <v>1069</v>
      </c>
      <c r="F122" t="s">
        <v>1069</v>
      </c>
      <c r="G122" t="s">
        <v>397</v>
      </c>
    </row>
    <row r="123" spans="1:7">
      <c r="A123" s="49">
        <v>122</v>
      </c>
      <c r="B123" t="s">
        <v>199</v>
      </c>
      <c r="C123" t="s">
        <v>1070</v>
      </c>
      <c r="D123" t="s">
        <v>1071</v>
      </c>
      <c r="E123" t="s">
        <v>1072</v>
      </c>
      <c r="F123" t="s">
        <v>1073</v>
      </c>
      <c r="G123" t="s">
        <v>200</v>
      </c>
    </row>
    <row r="124" spans="1:7">
      <c r="A124" s="49">
        <v>123</v>
      </c>
      <c r="B124" t="s">
        <v>201</v>
      </c>
      <c r="C124" t="s">
        <v>1074</v>
      </c>
      <c r="D124" t="s">
        <v>1075</v>
      </c>
      <c r="E124" t="s">
        <v>1454</v>
      </c>
      <c r="F124" t="s">
        <v>1455</v>
      </c>
      <c r="G124" t="s">
        <v>202</v>
      </c>
    </row>
    <row r="125" spans="1:7">
      <c r="A125" s="49">
        <v>124</v>
      </c>
      <c r="B125" t="s">
        <v>203</v>
      </c>
    </row>
    <row r="126" spans="1:7">
      <c r="A126" s="49">
        <v>125</v>
      </c>
      <c r="B126" t="s">
        <v>204</v>
      </c>
      <c r="C126" t="s">
        <v>1456</v>
      </c>
      <c r="G126" t="s">
        <v>205</v>
      </c>
    </row>
    <row r="127" spans="1:7">
      <c r="A127" s="49">
        <v>126</v>
      </c>
      <c r="B127" t="s">
        <v>206</v>
      </c>
      <c r="C127" t="s">
        <v>1139</v>
      </c>
      <c r="D127" t="s">
        <v>1140</v>
      </c>
      <c r="E127" t="s">
        <v>1141</v>
      </c>
      <c r="F127" t="s">
        <v>1142</v>
      </c>
      <c r="G127" t="s">
        <v>1143</v>
      </c>
    </row>
    <row r="128" spans="1:7">
      <c r="A128" s="49">
        <v>127</v>
      </c>
      <c r="B128" t="s">
        <v>207</v>
      </c>
      <c r="C128" t="s">
        <v>1175</v>
      </c>
      <c r="D128" t="s">
        <v>1176</v>
      </c>
      <c r="E128" t="s">
        <v>1177</v>
      </c>
      <c r="F128" t="s">
        <v>1457</v>
      </c>
      <c r="G128" t="s">
        <v>208</v>
      </c>
    </row>
    <row r="129" spans="1:7">
      <c r="A129" s="49">
        <v>128</v>
      </c>
      <c r="B129" t="s">
        <v>209</v>
      </c>
      <c r="D129" t="s">
        <v>1458</v>
      </c>
      <c r="G129" t="s">
        <v>210</v>
      </c>
    </row>
    <row r="130" spans="1:7">
      <c r="A130" s="49">
        <v>129</v>
      </c>
      <c r="B130" t="s">
        <v>211</v>
      </c>
      <c r="C130" t="s">
        <v>1459</v>
      </c>
      <c r="D130" t="s">
        <v>1460</v>
      </c>
      <c r="F130" t="s">
        <v>1461</v>
      </c>
      <c r="G130" t="s">
        <v>1462</v>
      </c>
    </row>
    <row r="131" spans="1:7">
      <c r="A131" s="49">
        <v>130</v>
      </c>
      <c r="B131" t="s">
        <v>212</v>
      </c>
      <c r="C131" t="s">
        <v>1463</v>
      </c>
      <c r="D131" t="s">
        <v>1464</v>
      </c>
      <c r="E131" t="s">
        <v>1465</v>
      </c>
      <c r="F131" t="s">
        <v>1466</v>
      </c>
      <c r="G131" t="s">
        <v>952</v>
      </c>
    </row>
    <row r="132" spans="1:7">
      <c r="A132" s="49">
        <v>131</v>
      </c>
      <c r="B132" t="s">
        <v>213</v>
      </c>
      <c r="C132" t="s">
        <v>1467</v>
      </c>
      <c r="D132" t="s">
        <v>1076</v>
      </c>
      <c r="E132" t="s">
        <v>1468</v>
      </c>
      <c r="G132" t="s">
        <v>953</v>
      </c>
    </row>
    <row r="133" spans="1:7">
      <c r="A133" s="49">
        <v>132</v>
      </c>
      <c r="B133" t="s">
        <v>214</v>
      </c>
      <c r="C133" t="s">
        <v>1077</v>
      </c>
      <c r="D133" t="s">
        <v>1258</v>
      </c>
      <c r="E133" t="s">
        <v>1259</v>
      </c>
      <c r="F133" t="s">
        <v>1077</v>
      </c>
      <c r="G133" t="s">
        <v>215</v>
      </c>
    </row>
    <row r="134" spans="1:7">
      <c r="A134" s="49">
        <v>133</v>
      </c>
      <c r="B134" t="s">
        <v>216</v>
      </c>
      <c r="C134" t="s">
        <v>1469</v>
      </c>
      <c r="D134" t="s">
        <v>1178</v>
      </c>
      <c r="E134" t="s">
        <v>1470</v>
      </c>
      <c r="F134" t="s">
        <v>1471</v>
      </c>
      <c r="G134" t="s">
        <v>217</v>
      </c>
    </row>
    <row r="135" spans="1:7">
      <c r="A135" s="49">
        <v>134</v>
      </c>
      <c r="B135" t="s">
        <v>218</v>
      </c>
      <c r="C135" t="s">
        <v>1472</v>
      </c>
      <c r="D135" t="s">
        <v>1473</v>
      </c>
      <c r="E135" t="s">
        <v>1474</v>
      </c>
      <c r="F135" t="s">
        <v>1475</v>
      </c>
      <c r="G135" t="s">
        <v>219</v>
      </c>
    </row>
    <row r="136" spans="1:7">
      <c r="A136" s="49">
        <v>135</v>
      </c>
      <c r="B136" t="s">
        <v>220</v>
      </c>
      <c r="C136" t="s">
        <v>1078</v>
      </c>
      <c r="D136" t="s">
        <v>1079</v>
      </c>
      <c r="E136" t="s">
        <v>1080</v>
      </c>
      <c r="F136" t="s">
        <v>1080</v>
      </c>
      <c r="G136" t="s">
        <v>645</v>
      </c>
    </row>
    <row r="137" spans="1:7">
      <c r="A137" s="49">
        <v>136</v>
      </c>
      <c r="B137" t="s">
        <v>221</v>
      </c>
      <c r="C137" t="s">
        <v>1081</v>
      </c>
      <c r="D137" t="s">
        <v>1144</v>
      </c>
      <c r="E137" t="s">
        <v>1145</v>
      </c>
      <c r="F137" t="s">
        <v>1145</v>
      </c>
      <c r="G137" t="s">
        <v>1146</v>
      </c>
    </row>
    <row r="138" spans="1:7">
      <c r="A138" s="49">
        <v>137</v>
      </c>
      <c r="B138" t="s">
        <v>222</v>
      </c>
      <c r="C138" t="s">
        <v>1082</v>
      </c>
      <c r="D138" t="s">
        <v>1476</v>
      </c>
      <c r="E138" t="s">
        <v>1477</v>
      </c>
      <c r="F138" t="s">
        <v>1477</v>
      </c>
      <c r="G138" t="s">
        <v>223</v>
      </c>
    </row>
    <row r="139" spans="1:7">
      <c r="A139" s="49">
        <v>138</v>
      </c>
      <c r="B139" t="s">
        <v>973</v>
      </c>
      <c r="C139" t="s">
        <v>1083</v>
      </c>
      <c r="D139" t="s">
        <v>1084</v>
      </c>
      <c r="E139" t="s">
        <v>1478</v>
      </c>
      <c r="F139" t="s">
        <v>1083</v>
      </c>
      <c r="G139" t="s">
        <v>147</v>
      </c>
    </row>
    <row r="140" spans="1:7">
      <c r="A140" s="49">
        <v>139</v>
      </c>
      <c r="B140" t="s">
        <v>974</v>
      </c>
      <c r="C140" t="s">
        <v>1260</v>
      </c>
      <c r="D140" t="s">
        <v>1261</v>
      </c>
      <c r="E140" t="s">
        <v>1479</v>
      </c>
      <c r="F140" t="s">
        <v>1479</v>
      </c>
      <c r="G140" t="s">
        <v>184</v>
      </c>
    </row>
    <row r="141" spans="1:7">
      <c r="A141" s="49">
        <v>140</v>
      </c>
      <c r="B141" t="s">
        <v>224</v>
      </c>
      <c r="C141" t="s">
        <v>1480</v>
      </c>
      <c r="D141" t="s">
        <v>1481</v>
      </c>
      <c r="E141" t="s">
        <v>1262</v>
      </c>
      <c r="F141" t="s">
        <v>1262</v>
      </c>
      <c r="G141" t="s">
        <v>225</v>
      </c>
    </row>
    <row r="142" spans="1:7">
      <c r="A142" s="49">
        <v>141</v>
      </c>
      <c r="B142" t="s">
        <v>226</v>
      </c>
      <c r="C142" t="s">
        <v>1482</v>
      </c>
      <c r="D142" t="s">
        <v>1483</v>
      </c>
      <c r="E142" t="s">
        <v>1484</v>
      </c>
      <c r="F142" t="s">
        <v>1484</v>
      </c>
      <c r="G142" t="s">
        <v>1485</v>
      </c>
    </row>
    <row r="143" spans="1:7">
      <c r="A143" s="49">
        <v>142</v>
      </c>
      <c r="B143" t="s">
        <v>227</v>
      </c>
      <c r="C143" t="s">
        <v>1486</v>
      </c>
      <c r="D143" t="s">
        <v>1263</v>
      </c>
      <c r="E143" t="s">
        <v>1487</v>
      </c>
      <c r="F143" t="s">
        <v>1487</v>
      </c>
      <c r="G143" t="s">
        <v>228</v>
      </c>
    </row>
    <row r="144" spans="1:7">
      <c r="A144" s="49">
        <v>143</v>
      </c>
      <c r="B144" t="s">
        <v>229</v>
      </c>
      <c r="F144" t="s">
        <v>1488</v>
      </c>
      <c r="G144" t="s">
        <v>1489</v>
      </c>
    </row>
    <row r="145" spans="1:7">
      <c r="A145" s="49">
        <v>144</v>
      </c>
      <c r="B145" t="s">
        <v>230</v>
      </c>
      <c r="C145" t="s">
        <v>1490</v>
      </c>
      <c r="D145" t="s">
        <v>1491</v>
      </c>
      <c r="E145" t="s">
        <v>1491</v>
      </c>
      <c r="F145" t="s">
        <v>1492</v>
      </c>
      <c r="G145" t="s">
        <v>1492</v>
      </c>
    </row>
    <row r="146" spans="1:7">
      <c r="A146" s="49">
        <v>145</v>
      </c>
      <c r="B146" t="s">
        <v>231</v>
      </c>
      <c r="C146" t="s">
        <v>1493</v>
      </c>
      <c r="D146" t="s">
        <v>1494</v>
      </c>
      <c r="E146" t="s">
        <v>1495</v>
      </c>
      <c r="F146" t="s">
        <v>1495</v>
      </c>
      <c r="G146" t="s">
        <v>652</v>
      </c>
    </row>
    <row r="147" spans="1:7">
      <c r="A147" s="49">
        <v>146</v>
      </c>
      <c r="B147" t="s">
        <v>232</v>
      </c>
      <c r="C147" t="s">
        <v>1496</v>
      </c>
      <c r="D147" t="s">
        <v>1085</v>
      </c>
      <c r="E147" t="s">
        <v>1264</v>
      </c>
      <c r="F147" t="s">
        <v>1497</v>
      </c>
      <c r="G147" t="s">
        <v>233</v>
      </c>
    </row>
    <row r="148" spans="1:7">
      <c r="A148" s="49">
        <v>147</v>
      </c>
      <c r="B148" t="s">
        <v>234</v>
      </c>
      <c r="C148" t="s">
        <v>1498</v>
      </c>
      <c r="D148" t="s">
        <v>1265</v>
      </c>
      <c r="E148" t="s">
        <v>1086</v>
      </c>
      <c r="F148" t="s">
        <v>1498</v>
      </c>
      <c r="G148" t="s">
        <v>235</v>
      </c>
    </row>
    <row r="149" spans="1:7">
      <c r="A149" s="49">
        <v>148</v>
      </c>
      <c r="B149" t="s">
        <v>934</v>
      </c>
      <c r="C149" t="s">
        <v>1087</v>
      </c>
      <c r="D149" t="s">
        <v>1088</v>
      </c>
      <c r="G149" t="s">
        <v>1499</v>
      </c>
    </row>
    <row r="150" spans="1:7">
      <c r="A150" s="49">
        <v>149</v>
      </c>
      <c r="B150" t="s">
        <v>237</v>
      </c>
      <c r="C150" t="s">
        <v>1089</v>
      </c>
      <c r="D150" t="s">
        <v>1090</v>
      </c>
      <c r="E150" t="s">
        <v>1091</v>
      </c>
      <c r="F150" t="s">
        <v>1500</v>
      </c>
      <c r="G150" t="s">
        <v>238</v>
      </c>
    </row>
    <row r="151" spans="1:7">
      <c r="A151" s="49">
        <v>150</v>
      </c>
      <c r="B151" t="s">
        <v>239</v>
      </c>
      <c r="C151" t="s">
        <v>1266</v>
      </c>
      <c r="D151" t="s">
        <v>1267</v>
      </c>
      <c r="E151" t="s">
        <v>1092</v>
      </c>
      <c r="F151" t="s">
        <v>1092</v>
      </c>
      <c r="G151" t="s">
        <v>240</v>
      </c>
    </row>
    <row r="152" spans="1:7">
      <c r="A152" s="49">
        <v>151</v>
      </c>
      <c r="B152" t="s">
        <v>241</v>
      </c>
      <c r="C152" t="s">
        <v>1501</v>
      </c>
      <c r="D152" t="s">
        <v>1502</v>
      </c>
      <c r="E152" t="s">
        <v>1503</v>
      </c>
      <c r="F152" t="s">
        <v>1503</v>
      </c>
      <c r="G152" t="s">
        <v>1504</v>
      </c>
    </row>
    <row r="153" spans="1:7">
      <c r="A153" s="49">
        <v>152</v>
      </c>
      <c r="B153" t="s">
        <v>242</v>
      </c>
      <c r="C153" t="s">
        <v>1505</v>
      </c>
      <c r="D153" t="s">
        <v>1093</v>
      </c>
      <c r="E153" t="s">
        <v>1506</v>
      </c>
      <c r="F153" t="s">
        <v>1506</v>
      </c>
      <c r="G153" t="s">
        <v>1507</v>
      </c>
    </row>
    <row r="154" spans="1:7">
      <c r="A154" s="49">
        <v>153</v>
      </c>
      <c r="B154" t="s">
        <v>243</v>
      </c>
      <c r="G154" t="s">
        <v>1508</v>
      </c>
    </row>
    <row r="155" spans="1:7">
      <c r="A155" s="49">
        <v>154</v>
      </c>
      <c r="B155" t="s">
        <v>244</v>
      </c>
      <c r="C155" t="s">
        <v>1094</v>
      </c>
      <c r="D155" t="s">
        <v>1268</v>
      </c>
      <c r="E155" t="s">
        <v>1095</v>
      </c>
      <c r="F155" t="s">
        <v>1096</v>
      </c>
      <c r="G155" t="s">
        <v>1097</v>
      </c>
    </row>
    <row r="156" spans="1:7">
      <c r="A156" s="49">
        <v>155</v>
      </c>
      <c r="B156" t="s">
        <v>935</v>
      </c>
      <c r="C156" t="s">
        <v>1098</v>
      </c>
      <c r="D156" t="s">
        <v>1269</v>
      </c>
      <c r="E156" t="s">
        <v>1099</v>
      </c>
      <c r="F156" t="s">
        <v>1099</v>
      </c>
      <c r="G156" t="s">
        <v>245</v>
      </c>
    </row>
    <row r="157" spans="1:7">
      <c r="A157" s="49">
        <v>156</v>
      </c>
      <c r="B157" t="s">
        <v>246</v>
      </c>
      <c r="C157" t="s">
        <v>1509</v>
      </c>
      <c r="D157" t="s">
        <v>1100</v>
      </c>
      <c r="E157" t="s">
        <v>1101</v>
      </c>
      <c r="F157" t="s">
        <v>1101</v>
      </c>
      <c r="G157" t="s">
        <v>310</v>
      </c>
    </row>
    <row r="158" spans="1:7">
      <c r="A158" s="49">
        <v>157</v>
      </c>
      <c r="B158" t="s">
        <v>247</v>
      </c>
      <c r="E158" t="s">
        <v>975</v>
      </c>
      <c r="G158" t="s">
        <v>248</v>
      </c>
    </row>
    <row r="159" spans="1:7">
      <c r="A159" s="49">
        <v>158</v>
      </c>
      <c r="B159" t="s">
        <v>249</v>
      </c>
      <c r="C159" t="s">
        <v>1510</v>
      </c>
      <c r="D159" t="s">
        <v>1511</v>
      </c>
      <c r="G159" t="s">
        <v>1512</v>
      </c>
    </row>
    <row r="160" spans="1:7">
      <c r="A160" s="49">
        <v>159</v>
      </c>
      <c r="B160" t="s">
        <v>250</v>
      </c>
      <c r="C160" t="s">
        <v>1513</v>
      </c>
      <c r="D160" t="s">
        <v>1102</v>
      </c>
      <c r="E160" t="s">
        <v>1514</v>
      </c>
      <c r="F160" t="s">
        <v>1515</v>
      </c>
      <c r="G160" t="s">
        <v>385</v>
      </c>
    </row>
    <row r="161" spans="1:7">
      <c r="A161" s="49">
        <v>160</v>
      </c>
      <c r="B161" t="s">
        <v>251</v>
      </c>
      <c r="C161" t="s">
        <v>1103</v>
      </c>
      <c r="D161" t="s">
        <v>1147</v>
      </c>
      <c r="E161" t="s">
        <v>1148</v>
      </c>
      <c r="F161" t="s">
        <v>1148</v>
      </c>
      <c r="G161" t="s">
        <v>954</v>
      </c>
    </row>
    <row r="162" spans="1:7">
      <c r="A162" s="49">
        <v>161</v>
      </c>
      <c r="B162" t="s">
        <v>252</v>
      </c>
      <c r="C162" t="s">
        <v>1104</v>
      </c>
      <c r="D162" t="s">
        <v>1105</v>
      </c>
      <c r="E162" t="s">
        <v>1516</v>
      </c>
      <c r="F162" t="s">
        <v>1270</v>
      </c>
      <c r="G162" t="s">
        <v>1517</v>
      </c>
    </row>
    <row r="163" spans="1:7">
      <c r="A163" s="49">
        <v>162</v>
      </c>
      <c r="B163" t="s">
        <v>253</v>
      </c>
      <c r="C163" t="s">
        <v>1106</v>
      </c>
      <c r="D163" t="s">
        <v>1518</v>
      </c>
      <c r="E163" t="s">
        <v>1519</v>
      </c>
      <c r="F163" t="s">
        <v>1107</v>
      </c>
      <c r="G163" t="s">
        <v>254</v>
      </c>
    </row>
    <row r="164" spans="1:7">
      <c r="A164" s="49">
        <v>163</v>
      </c>
      <c r="B164" t="s">
        <v>255</v>
      </c>
      <c r="C164" t="s">
        <v>1520</v>
      </c>
      <c r="D164" t="s">
        <v>1521</v>
      </c>
      <c r="E164" t="s">
        <v>1522</v>
      </c>
      <c r="F164" t="s">
        <v>1523</v>
      </c>
      <c r="G164" t="s">
        <v>256</v>
      </c>
    </row>
    <row r="165" spans="1:7">
      <c r="A165" s="49">
        <v>164</v>
      </c>
      <c r="B165" t="s">
        <v>257</v>
      </c>
      <c r="C165" t="s">
        <v>1524</v>
      </c>
      <c r="D165" t="s">
        <v>1525</v>
      </c>
      <c r="E165" t="s">
        <v>1526</v>
      </c>
      <c r="F165" t="s">
        <v>1527</v>
      </c>
      <c r="G165" t="s">
        <v>1528</v>
      </c>
    </row>
    <row r="166" spans="1:7">
      <c r="A166" s="49">
        <v>165</v>
      </c>
      <c r="B166" t="s">
        <v>258</v>
      </c>
      <c r="C166" t="s">
        <v>1149</v>
      </c>
      <c r="D166" t="s">
        <v>1150</v>
      </c>
      <c r="E166" t="s">
        <v>1151</v>
      </c>
      <c r="F166" t="s">
        <v>1151</v>
      </c>
      <c r="G166" t="s">
        <v>1152</v>
      </c>
    </row>
    <row r="167" spans="1:7">
      <c r="A167" s="49">
        <v>166</v>
      </c>
      <c r="B167" t="s">
        <v>259</v>
      </c>
      <c r="C167" t="s">
        <v>1108</v>
      </c>
      <c r="D167" t="s">
        <v>1109</v>
      </c>
      <c r="E167" t="s">
        <v>1110</v>
      </c>
      <c r="F167" t="s">
        <v>1108</v>
      </c>
      <c r="G167" t="s">
        <v>1111</v>
      </c>
    </row>
    <row r="168" spans="1:7">
      <c r="A168" s="49">
        <v>167</v>
      </c>
      <c r="B168" t="s">
        <v>260</v>
      </c>
      <c r="C168" t="s">
        <v>1179</v>
      </c>
      <c r="D168" t="s">
        <v>1180</v>
      </c>
      <c r="E168" t="s">
        <v>1181</v>
      </c>
      <c r="F168" t="s">
        <v>1529</v>
      </c>
      <c r="G168" t="s">
        <v>261</v>
      </c>
    </row>
    <row r="169" spans="1:7">
      <c r="A169" s="49">
        <v>168</v>
      </c>
      <c r="B169" t="s">
        <v>262</v>
      </c>
      <c r="C169" t="s">
        <v>1530</v>
      </c>
      <c r="D169" t="s">
        <v>1531</v>
      </c>
      <c r="G169" t="s">
        <v>1532</v>
      </c>
    </row>
    <row r="170" spans="1:7">
      <c r="A170" s="49">
        <v>169</v>
      </c>
      <c r="B170" t="s">
        <v>263</v>
      </c>
      <c r="C170" t="s">
        <v>1533</v>
      </c>
      <c r="D170" t="s">
        <v>1534</v>
      </c>
      <c r="E170" t="s">
        <v>1535</v>
      </c>
      <c r="F170" t="s">
        <v>1535</v>
      </c>
      <c r="G170" t="s">
        <v>264</v>
      </c>
    </row>
    <row r="171" spans="1:7">
      <c r="A171" s="49">
        <v>170</v>
      </c>
      <c r="B171" t="s">
        <v>267</v>
      </c>
      <c r="C171" t="s">
        <v>1536</v>
      </c>
      <c r="D171" t="s">
        <v>1537</v>
      </c>
      <c r="E171" t="s">
        <v>1538</v>
      </c>
      <c r="F171" t="s">
        <v>1182</v>
      </c>
      <c r="G171" t="s">
        <v>311</v>
      </c>
    </row>
    <row r="172" spans="1:7">
      <c r="A172" s="49">
        <v>171</v>
      </c>
      <c r="B172" t="s">
        <v>976</v>
      </c>
      <c r="C172" t="s">
        <v>1539</v>
      </c>
      <c r="D172" t="s">
        <v>1112</v>
      </c>
      <c r="E172" t="s">
        <v>1183</v>
      </c>
      <c r="F172" t="s">
        <v>1183</v>
      </c>
      <c r="G172" t="s">
        <v>309</v>
      </c>
    </row>
    <row r="173" spans="1:7">
      <c r="A173" s="49">
        <v>172</v>
      </c>
      <c r="B173" t="s">
        <v>268</v>
      </c>
      <c r="C173" t="s">
        <v>1540</v>
      </c>
      <c r="G173" t="s">
        <v>307</v>
      </c>
    </row>
    <row r="174" spans="1:7">
      <c r="A174" s="49">
        <v>173</v>
      </c>
      <c r="B174" t="s">
        <v>269</v>
      </c>
      <c r="C174" t="s">
        <v>1541</v>
      </c>
      <c r="D174" t="s">
        <v>1542</v>
      </c>
      <c r="G174" t="s">
        <v>1543</v>
      </c>
    </row>
    <row r="175" spans="1:7">
      <c r="A175" s="49">
        <v>174</v>
      </c>
      <c r="B175" t="s">
        <v>270</v>
      </c>
      <c r="D175" t="s">
        <v>1153</v>
      </c>
      <c r="E175" t="s">
        <v>1544</v>
      </c>
      <c r="G175" t="s">
        <v>271</v>
      </c>
    </row>
    <row r="176" spans="1:7">
      <c r="A176" s="49">
        <v>175</v>
      </c>
      <c r="B176" t="s">
        <v>272</v>
      </c>
      <c r="C176" t="s">
        <v>1545</v>
      </c>
      <c r="D176" t="s">
        <v>1546</v>
      </c>
      <c r="E176" t="s">
        <v>1547</v>
      </c>
      <c r="F176" t="s">
        <v>1548</v>
      </c>
      <c r="G176" t="s">
        <v>273</v>
      </c>
    </row>
    <row r="177" spans="1:7">
      <c r="A177" s="49">
        <v>176</v>
      </c>
      <c r="B177" t="s">
        <v>274</v>
      </c>
      <c r="C177" t="s">
        <v>1113</v>
      </c>
      <c r="D177" t="s">
        <v>1549</v>
      </c>
      <c r="E177" t="s">
        <v>1550</v>
      </c>
      <c r="F177" t="s">
        <v>1114</v>
      </c>
      <c r="G177" t="s">
        <v>275</v>
      </c>
    </row>
    <row r="178" spans="1:7">
      <c r="A178" s="49">
        <v>177</v>
      </c>
      <c r="B178" t="s">
        <v>276</v>
      </c>
      <c r="C178" t="s">
        <v>1551</v>
      </c>
      <c r="D178" t="s">
        <v>1552</v>
      </c>
      <c r="E178" t="s">
        <v>1553</v>
      </c>
      <c r="F178" t="s">
        <v>1553</v>
      </c>
      <c r="G178" t="s">
        <v>277</v>
      </c>
    </row>
    <row r="179" spans="1:7">
      <c r="A179" s="49">
        <v>178</v>
      </c>
      <c r="B179" t="s">
        <v>278</v>
      </c>
      <c r="C179" t="s">
        <v>1554</v>
      </c>
      <c r="E179" t="s">
        <v>1555</v>
      </c>
      <c r="F179" t="s">
        <v>1555</v>
      </c>
      <c r="G179" t="s">
        <v>1184</v>
      </c>
    </row>
    <row r="180" spans="1:7">
      <c r="A180" s="49">
        <v>179</v>
      </c>
      <c r="B180" t="s">
        <v>279</v>
      </c>
    </row>
    <row r="181" spans="1:7">
      <c r="A181" s="49">
        <v>180</v>
      </c>
      <c r="B181" t="s">
        <v>280</v>
      </c>
      <c r="C181" t="s">
        <v>1556</v>
      </c>
      <c r="D181" t="s">
        <v>1115</v>
      </c>
      <c r="E181" t="s">
        <v>1557</v>
      </c>
      <c r="F181" t="s">
        <v>1557</v>
      </c>
      <c r="G181" t="s">
        <v>281</v>
      </c>
    </row>
    <row r="182" spans="1:7">
      <c r="A182" s="49">
        <v>181</v>
      </c>
      <c r="B182" t="s">
        <v>282</v>
      </c>
      <c r="C182" t="s">
        <v>1558</v>
      </c>
      <c r="D182" t="s">
        <v>1559</v>
      </c>
      <c r="E182" t="s">
        <v>1560</v>
      </c>
      <c r="F182" t="s">
        <v>1560</v>
      </c>
      <c r="G182" t="s">
        <v>1586</v>
      </c>
    </row>
    <row r="183" spans="1:7">
      <c r="A183" s="49">
        <v>182</v>
      </c>
      <c r="B183" t="s">
        <v>283</v>
      </c>
      <c r="C183" t="s">
        <v>1561</v>
      </c>
      <c r="D183" t="s">
        <v>1562</v>
      </c>
      <c r="E183" t="s">
        <v>1563</v>
      </c>
      <c r="F183" t="s">
        <v>1564</v>
      </c>
      <c r="G183" t="s">
        <v>312</v>
      </c>
    </row>
    <row r="184" spans="1:7">
      <c r="A184" s="49">
        <v>183</v>
      </c>
      <c r="B184" t="s">
        <v>977</v>
      </c>
      <c r="C184" t="s">
        <v>1154</v>
      </c>
      <c r="D184" t="s">
        <v>1155</v>
      </c>
      <c r="E184" t="s">
        <v>1185</v>
      </c>
      <c r="F184" t="s">
        <v>1185</v>
      </c>
      <c r="G184" t="s">
        <v>955</v>
      </c>
    </row>
    <row r="185" spans="1:7">
      <c r="A185" s="49">
        <v>184</v>
      </c>
      <c r="B185" t="s">
        <v>978</v>
      </c>
      <c r="C185" t="s">
        <v>1565</v>
      </c>
      <c r="D185" t="s">
        <v>1566</v>
      </c>
      <c r="F185" t="s">
        <v>1565</v>
      </c>
      <c r="G185" t="s">
        <v>266</v>
      </c>
    </row>
    <row r="186" spans="1:7">
      <c r="A186" s="49">
        <v>185</v>
      </c>
      <c r="B186" t="s">
        <v>285</v>
      </c>
      <c r="C186" t="s">
        <v>1567</v>
      </c>
      <c r="D186" t="s">
        <v>1568</v>
      </c>
      <c r="E186" t="s">
        <v>1569</v>
      </c>
      <c r="F186" t="s">
        <v>1567</v>
      </c>
      <c r="G186" t="s">
        <v>1570</v>
      </c>
    </row>
    <row r="187" spans="1:7">
      <c r="A187" s="49">
        <v>186</v>
      </c>
      <c r="B187" t="s">
        <v>286</v>
      </c>
      <c r="C187" t="s">
        <v>1116</v>
      </c>
      <c r="D187" t="s">
        <v>1117</v>
      </c>
      <c r="E187" t="s">
        <v>1571</v>
      </c>
      <c r="F187" t="s">
        <v>1572</v>
      </c>
      <c r="G187" t="s">
        <v>287</v>
      </c>
    </row>
    <row r="188" spans="1:7">
      <c r="A188" s="49">
        <v>187</v>
      </c>
      <c r="B188" t="s">
        <v>288</v>
      </c>
      <c r="C188" t="s">
        <v>1573</v>
      </c>
      <c r="D188" t="s">
        <v>1574</v>
      </c>
      <c r="E188" t="s">
        <v>1575</v>
      </c>
      <c r="F188" t="s">
        <v>1575</v>
      </c>
      <c r="G188" t="s">
        <v>1118</v>
      </c>
    </row>
    <row r="189" spans="1:7">
      <c r="A189" s="49">
        <v>188</v>
      </c>
      <c r="B189" t="s">
        <v>289</v>
      </c>
      <c r="C189" t="s">
        <v>1119</v>
      </c>
      <c r="D189" t="s">
        <v>1120</v>
      </c>
      <c r="G189" t="s">
        <v>1576</v>
      </c>
    </row>
    <row r="190" spans="1:7">
      <c r="A190" s="49">
        <v>189</v>
      </c>
      <c r="B190" t="s">
        <v>936</v>
      </c>
      <c r="C190" t="s">
        <v>1121</v>
      </c>
      <c r="D190" t="s">
        <v>1122</v>
      </c>
      <c r="E190" t="s">
        <v>1577</v>
      </c>
      <c r="F190" t="s">
        <v>1577</v>
      </c>
      <c r="G190" t="s">
        <v>956</v>
      </c>
    </row>
    <row r="191" spans="1:7">
      <c r="A191" s="49">
        <v>190</v>
      </c>
      <c r="B191" t="s">
        <v>291</v>
      </c>
      <c r="C191" t="s">
        <v>1123</v>
      </c>
      <c r="D191" t="s">
        <v>1124</v>
      </c>
      <c r="E191" t="s">
        <v>1271</v>
      </c>
      <c r="F191" t="s">
        <v>1271</v>
      </c>
      <c r="G191" t="s">
        <v>292</v>
      </c>
    </row>
    <row r="192" spans="1:7">
      <c r="A192" s="49">
        <v>191</v>
      </c>
      <c r="B192" t="s">
        <v>294</v>
      </c>
      <c r="C192" t="s">
        <v>1578</v>
      </c>
      <c r="D192" t="s">
        <v>1156</v>
      </c>
      <c r="E192" t="s">
        <v>1157</v>
      </c>
      <c r="F192" t="s">
        <v>1157</v>
      </c>
      <c r="G192" t="s">
        <v>1158</v>
      </c>
    </row>
    <row r="193" spans="1:7">
      <c r="A193" s="49">
        <v>192</v>
      </c>
      <c r="B193" t="s">
        <v>295</v>
      </c>
      <c r="C193" t="s">
        <v>1579</v>
      </c>
      <c r="D193" t="s">
        <v>1580</v>
      </c>
      <c r="E193" t="s">
        <v>1581</v>
      </c>
      <c r="F193" t="s">
        <v>1581</v>
      </c>
      <c r="G193" t="s">
        <v>296</v>
      </c>
    </row>
    <row r="194" spans="1:7">
      <c r="A194" s="49">
        <v>193</v>
      </c>
      <c r="B194" t="s">
        <v>297</v>
      </c>
      <c r="C194" t="s">
        <v>1582</v>
      </c>
      <c r="D194" t="s">
        <v>1583</v>
      </c>
      <c r="E194" t="s">
        <v>1584</v>
      </c>
      <c r="F194" t="s">
        <v>1584</v>
      </c>
      <c r="G194" t="s">
        <v>653</v>
      </c>
    </row>
  </sheetData>
  <sortState ref="B1:G923">
    <sortCondition ref="B1:B923"/>
  </sortState>
  <hyperlinks>
    <hyperlink ref="I1" r:id="rId1"/>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T o u r   x m l n s : x s i = " h t t p : / / w w w . w 3 . o r g / 2 0 0 1 / X M L S c h e m a - i n s t a n c e "   x m l n s : x s d = " h t t p : / / w w w . w 3 . o r g / 2 0 0 1 / X M L S c h e m a "   N a m e = " T o u r   1 "   D e s c r i p t i o n = " S o m e   d e s c r i p t i o n   f o r   t h e   t o u r   g o e s   h e r e "   x m l n s = " h t t p : / / m i c r o s o f t . d a t a . v i s u a l i z a t i o n . e n g i n e . t o u r s / 1 . 0 " > < S c e n e s > < S c e n e > < T r a n s i t i o n > M o v e T o < / T r a n s i t i o n > < E f f e c t > F l y O v e r < / E f f e c t > < T h e m e > B i n g R o a d < / T h e m e > < T h e m e W i t h L a b e l > f a l s e < / T h e m e W i t h L a b e l > < F l a t M o d e E n a b l e d > t r u e < / F l a t M o d e E n a b l e d > < D u r a t i o n > 6 0 0 0 0 0 0 0 < / D u r a t i o n > < T r a n s i t i o n D u r a t i o n > 3 0 0 0 0 0 0 0 < / T r a n s i t i o n D u r a t i o n > < S p e e d > 0 . 5 < / S p e e d > < F r a m e > < C a m e r a > < L a t i t u d e > 2 9 . 0 9 7 5 1 2 0 0 8 6 5 8 0 6 1 < / L a t i t u d e > < L o n g i t u d e > 9 . 9 6 9 5 4 8 6 2 6 6 1 3 3 7 7 7 < / L o n g i t u d e > < R o t a t i o n > 0 < / R o t a t i o n > < P i v o t A n g l e > 0 . 0 0 1 7 9 7 9 1 2 4 8 2 0 2 6 8 0 0 9 < / P i v o t A n g l e > < D i s t a n c e > 4 . 7 6 8 3 7 1 5 8 2 0 3 1 2 5 < / D i s t a n c e > < / C a m e r a > < I m a g e > i V B O R w 0 K G g o A A A A N S U h E U g A A A N Q A A A B 1 C A Y A A A A 2 n s 9 T A A A A A X N S R 0 I A r s 4 c 6 Q A A A A R n Q U 1 B A A C x j w v 8 Y Q U A A A A J c E h Z c w A A A n w A A A J 8 A Y E U K K M A A E / u S U R B V H h e 7 b 0 H e F z X d S 2 8 U Q a D 3 n s H S J A g C I K 9 i i I l i q J k S b Y l W S 6 R e 4 / j x P 7 f S 1 7 i 9 9 K c x P 6 e 8 7 8 v z 7 + d O I 6 d O L E d x 0 W 2 b M u W L V k S J a q y U y Q B E m A B S T Q C I H r H o P 5 r n T t n 5 s 7 M n Y Z G S N T W B 5 H E 3 L n l 3 L P P 2 W X t t S N + d m R w V p a B r C m I k U t t P T I x L d I z E q X u K C I C P / h z Z 9 m E X O q K l p S 4 G c l O n J F X r 8 S o z 7 e V T M q N 4 Q i 5 M R Q l K 7 O m J c k + 4 / M k 6 1 Y U y e N H h + T u S s d N e c p n G + w L e l 1 b 1 K x s L J q U l N h Z 4 b n 3 r 3 b I c x c W 9 h o L e s P O k / F d z p p m 2 k t n a 4 X / 3 F O d L x G R G Y t x y U U 5 p 3 3 y I s 7 r O 8 / 0 x S I X 5 a p h n j Q a + v N S f b + U Z 0 5 L V v y k 6 9 t 8 A T P 4 o Q J V Z E 3 J p R v R H m c + 1 m S T a z 3 R M j o R I Q 2 d h h L 2 j 1 E F D c n M y J V f H B t S f + 8 Z X v p H d U y 5 7 y X M I f F 7 + L q 8 K a V M W l 5 v s d 2 0 x S K c Z z I r E 7 + 3 p 2 a d 7 M X P G 0 m Z Q n n e p Z 9 l X n c V H R U h 7 X 2 j r t 8 2 d M V a 3 r f e l c 5 3 R M t t 5 R P q m N x k b G e Q m v w p S Y g x J l l q n H u y v X Z h X C k k 5 V S r T a 3 o Z 5 x / h j I 4 8 z 0 m B r t J X o p x j w s l D V h U H F P u s + W n + l 8 t F + q a 8 z 1 P p J 9 1 h b v W k f r z k h a / / J / B P Q Z 8 G P 8 / N 1 W h V m X 2 S 0 X G g O t e t d L o X + y C q e c t f a O R L p O v Y 9 D Y l c 5 e j 5 a q X G O W R e I t p S T G S X l h o c 9 3 K 7 K n Z B z z e 6 n M P 0 6 Y a u w o t 6 3 w f Y 6 5 T l L H Z I T Y s V F r M 6 8 W z 7 5 c T T 4 + f x Q W T L 2 o e T / z i z D 7 H J P T c m d 1 i t y 2 O m 6 u Q 7 K k 3 1 N u S I C f m 6 Z Q W Y m G a T c 9 Y 6 x O 2 U m + q 9 R r V w 1 f y S x r o D j 0 q b R Q k f S O x d / h / c j A 8 J i M T / h O 4 v a B K N k O v 2 u p 5 E p P l N o V B 0 x m 6 H y v P Y 0 d d x x K Z T a h v M 2 p + V 7 D 6 v t 2 W 4 R Q A c I R 3 t c 0 b 9 g p K f G R c u / 6 B D U h o 7 B t 6 f v + / L + 9 J q c a u y X B H q l + v x i y S K f 1 u d W b o l B 3 r 4 u X t N g R u Q D z 5 W y b T T Y W T i G w Y N z K 6 q x x i Y 5 0 v 4 R C m D R J 8 B m o N O v y J + V C Z z R 2 I V H / r s G / G 7 u j 8 B O t X g 5 9 q p b e K E z g S H n y Z J / P w 4 5 h I p p l a m Z x X p 6 + x q T T h 6 q 7 b l v Q O f J y o + 9 C s 6 A X 8 D o Z z f J n T o a n T F b 3 s 6 M i X p p 7 s A C u i p P m j i Z 5 7 + 4 V r t 3 r t y e v y G + P n 5 H n T 5 + V O 6 o W f r f y t 0 s u 9 L h F 3 I w o n z 1 q V F J j J 6 W u 3 a a s 0 V 1 O n 0 i b f B s L J 6 U L Q Y T W / i h Z X z A p Q + O R k p E w I z H R s 8 r c 4 3 c y E O 2 L g g 5 2 D l q v C S U Z C F Z M + k 4 8 f i c f f k 1 r X 5 S K M l F K 0 q d l F c z B h Z a B 8 Q j p h 4 n a 1 h 8 p I x M 3 Z e 2 a 8 y M V Z d g k K m J Y v v c 8 o 1 o i a Y k J U l N e H v R 8 e W n R 8 I k 9 x z I n J U r a e z r l X E u v f P F 9 m + V z / / p a w P P Y b d G y Y 8 2 a o N e y O q C 7 r 0 0 K s g t l 9 + p Y O V g 3 5 n M I 3 / / 0 P F y 2 2 K n L O O c y i / K t K 0 l V y k R l S Y y d U T s K R f t M 8 Q g w c J J T z m A H G 3 Z E S C 8 m J n / K M q a k N G N a u q F w K z O n V B A i z j Y r i X Z j F + M P z c C 0 p H j L F 8 L B b D E p E w 9 q w q 5 G B V 5 o 6 R 2 J V M / x R l O m W G y o P 3 j h l F K m l P g Y u X t T T U j K x P E z K x M n 7 / p i m z x 5 t E 5 e P t 8 u v U O O o M r E c x S m W 7 + 7 Q O 8 n K R Z j n R m t l P b w + X o s w p P K R C 1 I 9 4 w M z 0 e Z e P 1 l 6 U N F R h j B B C p L v N M a 4 k p + G b m m H c X u V S U t 3 t h D b m C y 5 y R N y 3 X s W M k w / 7 j D a J t 4 b d 6 k b E J e h s q p h V G j t t 7 w d h y a j Q s t W Q m z 8 v x F + 5 I F Q R b i / h P s E f I 7 p 3 n 3 8 f 2 V s m H l a p m Y C i 1 V W Z H n t g h S 4 6 N k c K R D v v 7 k K a Q 1 f N + F n t j e Z j i f o b F z M O x H G R q f k S m n X T c 0 N i n f / G 2 d R E O j O Q 8 Y S R w Z b Z c N p Y u f r 7 s p J h 8 H + 1 K H k R / S o g M L 3 p E + q 5 H d X D Q h J 1 t i V K i 8 A g n d B I u E 7 s X u 1 L B f y r b S C Y 8 c T 9 g n 8 P r C F D Z Z 7 s S c P N x d 3 w j C B P u / P H V S P n W g U i 5 0 z M 3 3 W w X F W p E T J V / 4 / j G / j 8 x k f D K s E 5 r z W V g s t U x x r I Z n 5 d 2 7 a + Y 0 X G v y I 3 H f s z L j 5 T Q V Z U R I S 0 9 o C 0 O g C 8 d N B z b 5 l l y h G C q n M I j A R G 0 X z K K F l m h s X 2 k I n Y c r V F D t z 4 X 7 X a v j j y N I M o 3 A x x B M 1 j e K T E 1 2 y e m r f b K j c r V r x Q / n 3 m k 5 r M q P k a K 0 C P m L H 5 7 w + 1 V G K m k S E v l h F k Z i 1 x X Z Z G 1 p h e S k R E v n Q G i W R n J c p A y O G b 5 N T V G k n G 2 Z h 6 M U 4 I H j p h v x 6 T L y o a r L i 9 T t 0 h Z d l e M Z 8 j Y / h x 0 B C H O o k x G + 7 S V G K J y + l v a X + G + a g T T 7 K A x e x M f M S F x M + J N 4 o S J B j T B d R 4 D e K E y b l m H 8 + U a R v W v s 8 l p 9 h 3 z u g T V z U i Y + K d W j a 2 B c / p / v v h 7 w s W P h 9 2 p l 4 r h z F 6 c y p c V O S A d S k 1 w U I 7 1 i 3 W X Z N t m 6 w j r x r 5 W J F 7 2 I H a q n v 3 V x h j 1 w X l d u 2 g 6 l n 5 Y 7 1 W n 4 U o Q P a Y n G y k W U Q Q 3 8 o i P X E N X D R 9 u g T J P T E X I K U B t t H h 5 r o s 0 + q z B 9 h O D U F E x h 1 Z u V d i R 8 8 4 C i i I q M l P o b y S E P L N / f P m D j 5 q M C o 1 h 5 m 3 s j Z X Y G 9 j s i k E u R I w r 5 A Y M c u H u 1 T W 4 M j M q l T p v f + + a 7 e G h r o v z 8 2 L A 6 G 5 1 + 7 a + a 8 1 R U r F D H k c d 2 Q J m y V O R 2 B u 8 7 Q s a R c o j F o k q h o m k h 8 u S e j a V S l p s o 9 W 3 W V 2 A u q y R j Q g Y d s d I 9 u L B I l f i Z Z b Z D m d 8 p U Q 9 8 Q Q y T E 6 v H 6 N y K d I d a 5 Q g A p T J R C l N m s G K J i u Z R h h C O H s Q P k 7 i l 6 c b 2 C 9 1 B m N w 4 e 3 b i t N Q D o n S m 1 f 0 i Q p l 0 X C n r g D y Y j 3 B h S M Y i W p k 7 G f K E m s / 1 F u q 7 J V l R 8 u W f n l J 5 o U C L w J r 8 a f m T 7 x 6 V 8 p x o 6 e j r g P 8 a o d 5 h o V c 0 L V R l 4 v 0 T / Z E O y y I a i + i s 8 + J a m f g 5 l c j Y 0 Q Q B k g j 5 7 q E W + d v H z k t L V 6 e f x 5 8 F y N o u 9 G E X X p Y R 9 O i + j Q m u 5 5 v C b n P h h n v C E y l B 8 y g L f + o I E H c p C h H l Z k l A i L z W m S z N d j q 0 V K 5 E J 5 7 v d e D 1 B u D s r o Z J u T K j 3 8 N 0 D D b A R T D T 5 i O Z m B i R 2 C U Z 3 V s o E 3 I + 9 x P q d 2 d n j T F O S U g K + J V v P n V e J h E 5 + P u f n 5 V D d b 2 Y 2 G f k 4 O t 1 Q E Q 4 5 P 1 3 b g z 1 c h 7 H U V l o 4 l O 4 O 1 k J I 7 c 8 h r l I y g z u 9 9 W G H n F M 9 D u / B 9 M f f t S + 6 j h 5 5 l S d / N e h M / K L 1 8 7 I / n V 2 2 V t l k 3 I s 2 A s i Q U y + h Y 8 I B L j r 7 7 3 Y J W N O 0 6 4 e i A f i 3 M x S l G p M 5 r X O 3 2 8 u N r Y c o r Y v I o A x 6 H T u B y w i Z n E I S O l 3 s Q X f 2 4 G I H W 3 0 a Z x y e n o Y m L L Q h p N 5 r a P O n T G 0 b 3 g e x U B L L h a F u 2 A 6 x j t f / l z O s 9 T f u d z W p i 7 Z a Q I q e 9 + D e a 5 z 0 e P O Y S T Y Z + W H L 5 6 T n O Q Z 2 b Q y L + R b t 8 r P + V M o n j Q J U U E K r 6 u B 0 b 8 4 e l 1 + / P J 5 + d F L 5 + X b z 9 T J Z 7 5 1 w o W 0 i Y y Y V V j B v / 3 x K f m H X 1 0 I + b 7 m c 2 B I P l R 8 V K / s X l s k z 5 w d m f O 1 N p X F y u / O 9 P p 8 n 6 F q m 0 m t p 6 E B U c 7 Z T x j Y E S 8 8 H 8 1 D J n 5 P w m d i p I h S i u Q p j y 3 2 s 7 v U I n S 9 F i Z Y 3 0 S G 9 A w F 3 4 F S U X f F 5 D F t + r k I 8 X s E 4 P Y j Y c 1 I n z + h w t M v X A i h / 8 c d 0 Y 7 B d E y G f 9 / x C O L s q L D J X / / o p C q r s B K z j 0 S / h h O b Y W / W s C X H O M R m s 8 k I F j 1 a E P O R y c l J d a 5 g o s H R W r m C H c / x 2 b d h n T J p i U 1 0 T I Z / n z Y g J W I C L M 4 B d 6 g t p Y i W 9 F 6 D r T o o P z p 0 T l 5 r a J X 0 x C g p R k Y 6 X L F S J p 6 j A b m O K 0 i q W u 0 K g J A B o u Q 5 O Y i u p l C x t B R g Z z M r U y e C E u f a 3 f e 4 D s l f T t u e / n 7 Z F Q T V T D t + K 4 I c V w F s D V e Y Q 9 G v i E l q s x 9 g d a 6 F U q Z 3 b U + S i Y l u 2 V S K V d w + K v m p v p C b Y M 8 y O g E z 9 d y E f O 0 T u 6 B Y v i k H 4 v n M o v / F X Y O R V a 0 A g 1 C w + U o w Z d I Y T C p S q M r E e + K i c + h M r U J Q P H P y r P r z Q g u D D K F L j F r s / d t 9 f n e o 3 r 4 m l 4 N o v h y 1 n D d G L Y 9 B p G B 8 N k E e 3 p 4 j r 1 y w t l H 5 s k 9 f G 5 e o m W 5 5 t d F 3 1 V m b 0 a c i e l q 4 5 c c l u H 0 t / r 4 b u S q C Y i k r Y Q v n w K T i 9 c 1 o d L 5 U F t 5 l I C B B h e I x 2 t 7 W 5 + a O d g l + W y L 8 h E k / 2 X 8 6 x 4 w Q c m J U w g c L R z g 2 B O e W Y H f j q v 3 i p c X N z H N s Z z A Q v / 8 v R w G 9 Q j A m 2 S 7 r S 9 L k z g 1 F 8 p t T 7 h q z c J 5 B H 3 v 4 / D n Z W b X W 4 6 t W O 5 T 3 u Q k J y 5 z j z j 4 N O z K K y a k F F p q n g U 7 7 Z + / a I k c u u S u 6 i T 2 0 Y Q F Z U x g t z 5 4 d 9 7 i b B L m K f / u 3 A C w V q h D A 0 j O X m B E O X b Z V Z M M / m p L r Q 8 n q Z i q z R 7 G l O p T J t s N Z b n G y G W Y a / C G G v Z u 6 A F A d M l Z C c / m F v u I p I C E 2 A R F B F H o z s H f 0 o + h z X e 2 J l L H J S F X C 0 Q a z 4 5 p p J + F 5 u N u 1 O w G z C X B 2 N z j z U / q 8 i B X J i s I s e f q 0 / w m 3 B T v U C Z h q 8 6 m b Y o 3 S Y o b M H 9 6 W J B / / x m H s S I i M O R 9 u b U G i T C K R / K G 7 V s u f / + c J + b t H t 8 n B c 4 F 3 q 8 L U c Y C Q f X M 7 M d E R c v B 0 r U I c v O u 2 V d I 9 Z I d l Y p P / f P 6 U u p o 2 + V z j i o e d o U K w / H o R h c G m F C + r J d j l 9 C b g 7 z h W e f O c s T H R k p M a J w 1 t I w p f 6 l 0 c + n 8 + u k N e O F k X n k J t K J l F 1 K Y p 2 D 3 6 f F 6 Y E S 9 F G U a Y O y 0 1 R 1 o 6 u h T w 1 Z 9 M o l 7 J F h O D l R w F a D i s H 2 F w O v M U h s u L 0 2 Y A Y o 1 U o V T t K 2 0 v n V Q O J 8 0 p 7 l Q U f l / 7 K W b 4 k k Y V c z c 1 1 0 + 9 3 h w j G S k J O G d g + 3 k + q I m F 5 p E w j y G h Q V W F d u S L x u R L j 7 0 u H 7 q z Q n 5 5 5 K p k I F a f A L 9 g D K Z b 4 w 0 j R 5 S O b a t 3 2 C E Z S X a p L l v l O o 3 2 t / i L j P h h 6 R l N V C v 4 / Z s S 5 J k z Y w r z d u J y B 3 a 9 a H n i 2 B W l s D F Q l N 1 r q + Q F m E w U Q o d o 4 N K f S F 3 m F b d c 2 P w E D 5 U P q 8 z X W c y t a L e b 4 L 1 g 6 M E 7 s D Z O b R j + x G N / 5 U V f O N 0 c t j J 5 f 6 G v v 1 N N 9 F C E 5 h 6 d d 6 I L i O P j D z F e D r h I x Q g 2 a G V S z 4 z / G E W L c 4 b H + T t t L j L 3 R G H J B 0 W H Y d f D 1 3 o N 5 9 T q s 7 F 4 Q q a n B i U 3 1 b 8 f S F O R p l + o 0 o B E K M G 1 V K T F V C b e z 2 r A e p 4 4 3 i 7 / / m y D n G s d l j / 9 / u t S 3 z q k l M n 1 3 M 6 H p T J R e o D y f r m u w f U 4 X L F p v i m / E s q U k z w i x y 8 0 y C A S e b 8 7 e U b + / v F j c q i 2 R S k T Z Q p B g k k k d Q 6 d P e c 6 h w 0 L W x I 2 N i o T U x b e s h i 7 8 1 z r 1 / w p E 9 E s E T M T K p l s V i Y + i z / q A o b r Q y 6 B 5 y C k p Z U o h M F 8 h C 8 g 3 g l Y H f R T r c r d i R E 9 C h 1 L D S X i n 0 z 4 l q E 0 g 7 4 M / 7 0 V Y X D + y Y I 9 K l + B F 0 8 D w 6 M V 2 c a 5 C p 2 h d y Z Y G a i I g 3 J w f p l f c B l 8 n N n J X j j v 1 u Y J k R e M 8 o U q 3 E m v o N B x s Y W g 4 s M X x + R G 7 y A i r l 2 u Z x o E 0 l p L J N 7 d 1 h U p P r c y M 2 O U M 1 B W Y 5 d j h O z n R x r k l b p z 8 t g r V 6 S 1 d 1 r + 5 s c n X d + b d i b R m G h l k G B y Y h L X c 1 + H p r s N E 5 F i X v T c F w 5 t Q Q 1 n z B a q 8 p n 3 T r 8 q N m p a o v F s g U L 1 3 v c X Q d U I o F O R 9 q g + n 2 f a V F G o a L v m K t E o E I u e M V Z H f y F U m n U j k y g C H P Y N x W t c n r 6 + D i 4 w X M 4 a K G / Z W W Z E / G g K m p O p 9 L 1 0 4 I J m j r m K g J R k g 8 P 9 s h n h f G 8 h y s L s m w U a B + b H l k r 6 R 6 e l v b d L 1 h S n e l y S k 9 / t S a F y u X F A f f 7 x u y s t b + 1 C 2 4 Q q h 5 l A W F J T E N i i Z m B 6 4 w c z z f z D y c b F y B Z j B J S 4 o G m w r 3 a X W F G t h e e g Y F M M W a Y m Q w v + M P C 0 E M L o K 0 3 c u Q R A E k j o E U C i M r e + + 4 s H 1 q e D Z i s K x W Q I A L R f l U M N m O S Y g M z 6 h y r J K G x K w Q p q C I C N z l w S J z L N O W 1 C U Z G I a O h E s I F 2 e F l 2 F F 4 k 6 p t M u y I h J v 7 E b O 6 Z j 6 H i s L a G S u Q t 2 r e i X T y N L Z t 4 Q C I z m H 3 v G L b L q M P T n 2 K y c k 2 Q C B + j j s 2 I 6 B E 3 a C U c y w 1 F 0 8 C 6 o V g O Y 1 B V Y J f t K + O A P w t G 2 O L f t 3 v X 9 m T 5 5 m 9 q 5 b H D v s D P 6 s J E 1 0 r 7 0 M 4 y O d n Y g + e a h O 9 U I W / b V C T F W X b J y y i U c U e X b F m R L K + c a 8 X 7 i p A J B 0 w e a A Z N G f o G U / i T I f I I v D j + q L e J P x g U I v z L Q D U w y W p 9 n 1 R G v k u + Q 3 + m l v d 4 R S 5 C Z C / Y v O V 9 8 v m 4 A I S z Q 1 X l x 6 p A D T 0 v y / + G 4 M U + W w u 6 L e h O x H S n d M P Z n Y u Y g x L 6 + 4 5 x h 9 h j j d A x i w P z n e Y Y / S S + E C L I z Y Y B V 6 q e s R i V c Q 9 V d I C C + L 6 z X t w N a d i F + r C i l q Z P S Y G T b o u r 7 W E o t Q L f F s f K N Q t T j R N n b 4 X D L 2 Q p F D 9 p d S 4 Q 0 5 g o 4 4 4 h i R J 3 z u z 6 c L o M m 0 w 0 3 + f 0 r 1 B N n S y S S 5 K / / k m d m r C U t U U p 8 r 4 9 R r L y / F U j p 7 K l I l e + + 8 I l 9 f d H 7 9 j g A q + e v H g B 1 / Y k q a F J x w k 1 i H G i J U C F 0 c L P + G N e 7 E J 9 L / o 4 l q 8 Q S b F c R T 9 / q P f 3 0 O Y U + I z + 3 Y H I t l 4 W Y x m n i 7 L l q g l O K q 6 7 N 5 W p 3 1 l V V F p e 3 M I L n Z 5 y b + V a m f h d T b D i b W X T V G S V 7 o Q D A N k Q v V p G + / p G k b t C g J H n z T H l Q K o Q Z m c + K s G U D u K q W Q X U B F f c 0 Q l r s h M m a A n Y t B I z 8 j n Q S 7 D Z 7 D I 2 P u C h T D x + x B H 6 Y m E + / 2 2 r 4 + V a Z 4 9 8 4 6 k L L m X i 5 3 / 2 c I 1 0 9 E 9 h 1 3 C b z t P Y 8 b W U o + R h 1 6 p o u X O t X b 7 8 g a 0 + t 0 x l Y v 4 n G Y u P W Z l 4 I D 8 L 1 R w z n 1 i b f f y d R b G u z z 3 M B J i g o U 7 0 U I / z f h 6 9 O / H 3 H A c r I f q D 7 5 2 w u W C 7 W W R d i 9 v Y Z Q l x e n q p C k y c u m a s K h r h H f y G f S d g P I g 9 B v t 9 f T R / 5 y K S e B g W U Y z d H v D G C a x l A p F C R M R 5 o C 2 0 A m b C N 4 h 3 r r L c C W l a 8 p h u J 6 s S v 0 O 8 X j m 4 K W 4 E g P a T k c l K r K q D r Y 7 j u K 4 r w z b l F I 7 m p Z 7 U O e W m V q I C 9 q 9 + e F y x B E 1 4 v f Q L 7 V M w m 2 P k 9 U s d r m v V X u 1 2 / f 1 L j x 2 X S P z 3 R U C K S N e l f U z z e h X I l 4 i x u x e d U J X L v K P 5 M 9 H N Y 0 b 3 Y C o E a D g X Q f J 0 h C s M k m n h o m 0 p m L 7 + x o F x A I 1 4 D 3 Z t l d j d V B o t 8 W D m e K X B M P c y k w B G b b 4 W 8 i 7 B 7 5 B Y o y g z P H o r k q + Q X I U K w n x T u M L v k 5 e C w v x U s L A q d 7 A Z m C B n r x O H B v 4 + R 6 L f S 9 L s u 3 2 F A / f l e U g o 5 p 7 3 S V m f o 6 N m w Z / R c x y I s T v S c E X 6 E L y 5 3 E m + Q W P 3 I d D j b 9 5 7 m + w A J d d / H n S H s / X 5 z z Y P I M k b 5 U o f 6 N 8 z g q q Z W q d g Q X i H i 1 0 L A H 2 L A N F e K p f f y R n 8 I S 2 P Y C R x e N I u a S H 6 7 l w U 6 P v R i v U X / O J u G Y r J a s a Q B r r 9 h z a n Y b 7 6 D 6 I o d T 9 1 b c q l T B t K o q X u y l W l T G a e 8 D m O k f q a V S S P v 6 c y U U 6 3 G a s G I 2 t n n X 8 P d j 3 u I F q Z 1 A S D o t A v M j v C 9 N H M 1 + G O x T o q F i J e 6 w k c 1 q X Z d w O B G r O Q H 2 I u E k i Z A j n u b 9 u Y K L 8 + V q e U S Y m T 3 I Z / / c / P 7 8 V q P S 3 9 I 5 5 B D u p b K 2 j L M p E k Y i 7 O m 8 u C y q Q X n l l t 6 1 s 8 l L c y E Q R r F r M y T Z h I R W m u U z E o 4 Z a v c O L P I g U S q j A 1 Q v + M y m T e c c 3 u Q j A T T V + L e U 8 z J Z 1 S V o y P T u 3 8 + b s 3 I W q 6 D o s U B j h Q 2 N z 7 5 n / 6 6 h V l o 7 f C Z k w x 8 Y S b j z O R g Y b 0 7 D T 9 u B r 6 E 2 7 l n O z E w H G y h y L a 5 D M f y 2 S y e W D p B 3 F X I i N S i b M Q 8 R x C 4 o c R E U z z 8 2 z m 8 5 k B t v w 9 c 1 o L L Y F c x a 8 / W e 9 B + r l 7 d Y b r 8 q 0 9 x k 4 1 P m k o P e + M E 5 g m 7 t u 3 Z M P m N y Y 1 I 9 L e / q g m E m U u 0 E p 4 P N + X A 8 q h h S B Y 7 m 5 W 9 x t j O g / N d R 2 1 C 5 W t V S s g o 4 3 p T q a r U M Y 5 3 o R q N 1 d 8 a y U K F n C g X 6 R 9 4 g G H Z z C M C x 0 V v K I g T a H v X 7 k w C Q s h + F 3 5 G K T 7 N 6 y Q y 8 j 6 5 8 E X s V r D L z A / h R d H 0 v p L X S C L d M 6 x q Q C r H W + D p s X Q g J E f 8 R Y m a p m Q D T U V 2 G X y h / w 9 I l 9 m p o n e u T B 1 S q r R V E B L 7 1 h o i d g T L d F C D C L B s t c s Q v L B h z j 0 I 6 o K P S d 4 S Z Y n P 1 1 u u h s F P g 6 I E S U j 0 X i F e u w + f X e x f P / Q J a A e p m U S I X G i T l Q u i b k q v K z x s X F h 9 F U p j S n / w / C 5 D i b w e J b Q 2 K E c Z m X k 7 k Y s n V m 4 i P G c O i L I + a D L b 0 J 9 c p 3 j C n S 8 Y d 5 5 k l S a 5 4 t e 6 s w B k U C 7 U 5 e C T h l C p b K y F N Y W p 0 t R d k m o j 6 G O i 3 r P J / 7 n F / U 3 N g L H R 7 t 7 d B Q 5 D O w a 3 n U f f C j W C n F Q / / R B 8 L V N x 8 t t V T k y E 5 k i X U M j c q 3 L g S g b z j E + L t c H k A A E C 0 1 s N K M n q F f C D 7 P S + u / m P 5 P s U 5 I U g + P g m E 5 O 4 s X i Q l b H 6 d / V d T B s F 1 j 9 O M A k b z F H r n p R + c v E J C U V 1 4 y M C o 4 G H w c Q l 5 F O I j 4 W o z 2 N + W 2 R g O R S h 9 u E e 8 + u X H n q V I s 6 h J G m x u s D q D 8 y F o W X z 7 f I A 1 t L Q N d l l 0 0 V O R I X m y J j 0 0 l S U 5 I o u y q z w Z p 6 A 3 4 x w x H 0 I Y z o F H 9 U 0 h 2 L m 5 p s H E I M F P M p 3 B 3 M E 5 D K R s X w n p Q R S N j z d 5 p A h S g V I i n 0 + V X O C g o b D l D W K h f E u a B M Q N 4 f b 9 X 5 4 2 / X A 6 5 V S S g m H p E d 5 h 2 N 3 2 P Q o Q O g a l u 0 T T 6 w d 6 U 8 c l s 5 8 q S + h J u x k Y N O i 8 9 P H s q K i p k 3 / 1 p 9 K y B B M 2 h + F q F W + i Q k Y 6 8 P x 8 q D W 4 t A R G h N u M / 3 U 5 o x I o c b b s i 7 d p Z I V 3 / 4 h I X H r r F 0 H a X Y U F x / E g p 3 H 7 9 r h W L X 3 9 1 Q M C H b K g v l F 8 c N I O n N E l I e s 9 i N Y N d B t W u 6 z U o m c k l b T M f 7 / 3 x k m 9 z 3 p Y O G A m C g S 3 O S 5 f 4 t V e q 2 m T D + 0 N d e U H 9 / x + Y c u X L D H U K n O c U d g C B Q F j T S l I u K o k J h 4 s O k 4 y 6 k R f k L 8 N O Y Z / X + j M e Y H X y G u n X y X n + f E 9 W 8 g A U L C F i d g + f i j h c b Z 8 1 u Z P W e G O 4 2 K z m P + f P 3 b E Z c w L 0 4 1 Z T E S i n q + N r 7 C F q I Q v S a Q A A H w M M T w E W e V w p m h 6 + z b 3 1 g C u j k 6 G Y o l H / T P 2 D F 7 q s o K K Q U p 7 H / E t r A b F o l p 5 s A L g 2 S S j l 7 t U X 1 M H p 0 h z t 7 H 8 q E N R x B d 8 U u v 1 O L I A V N N e 8 t m U l c J n M D C W n H v K N 0 v A Y n F 5 O Y S Q m J c r J p 6 a B D 3 v f K 6 F 8 V S E / G x w Z l T D K l F U T 6 Z o X i 0 x 2 u r 3 f x f H / j N 0 f U b s l U x m f v 3 6 E m P t 9 F d R F y X o 5 R + e / / c V x W 5 a K 7 h U x j 1 4 h W K A g d 9 m 6 H x Z A H s p t A w u P p V 3 G s F e L B h G D Q i s n v c w f i B D a H 1 P V 5 i b e 0 a d 4 H 2 G j e V G C h z A P z M X q H C u d 7 p d l J U p J b G v Q r 3 O 0 0 e p 5 m 3 + / d X h V A V Y z T B V M o Z f 9 k o A r X n 9 C B T U t O k O z M M v n 1 i f a g y s T z r C s r U B C f 1 6 9 Y + 0 z + r m V l x 6 5 D k E L / n m F y L e y 8 U R K E U O W o o h n z F J 5 L Y w P 7 B w f k Q E 3 4 P N p B 3 1 S I B z D 6 l + h c i e M j 3 L k j / X W u g y T N 3 1 0 Z L 7 k p T C 1 E K m W i I h q h e A F y I h Y W Q Z M 8 f v g q F A v I 8 Z Q Y p U z c i c w T P i f J M K l 5 T l c U D n 4 v y 2 i 0 0 B w k A p v i D Q c y + z n M 1 + h z G 2 a 6 2 2 L R y q R O Y h H B 0 L + i z 0 U U S 6 C g D M 1 O 9 e 4 D x I K 8 A y 4 s e g 1 F m X h 7 W p n 4 9 6 9 + t C a o M h n j F C D E R 8 g d D + k Z 9 o V S J M L + T o N D + 5 E 7 C / H S s x B 7 B 6 d 4 h j v K F G j O G K e d V a x G 0 T b P c u q g f g g G b 8 T h d n w 1 + J R h b I b Z V a T J e X E S S e 4 s 9 a y o 1 P d l 5 q n w d 6 / 0 E R J i Q w t O h K g j Y R 9 G V B h 9 0 i t o b e p P O r v a Z X 1 Z g n z h k Z 3 q k P / x 4 F p X X o s I h + K M O N l U l q I m Z 2 q C c R 5 z 7 o W T j q g V / k 7 5 J v A T K J O q 7 g K K 6 U y q E q M W G w k U C X x g 7 l Y 0 A c 3 B B n 1 / U a a 6 I U 5 4 X b I + A f P S g f i z p k H W W E D z c + n F 0 U B o G B R k / i S U P J e 3 z + R d Z e z v 3 M U Z n u j d v / / F m Z D e X W B 1 w r h b n W V k f F B O X L q G x C c I / D v D z 0 z z n L d V F k k S Q q C / O t G p E r d a d J 2 S + b r 9 g A 6 5 B H + N A / M r 5 S p w d r r N D B O t F E a a 9 N H M e X C S 0 F c i h X K s z W 3 S k K d k O w h g r G R s z E h g M + p 4 7 k q L 8 k F u h m S D a j g r 2 a b G h 8 i N d c X W Q R J O u g Q k e K t R W P i X S O Y O m R L S p y / f k F 8 e a 5 E X 6 j r l 4 R 0 l o M 3 K l E / u K 8 J E N Q Z M R / N o y o 1 D U e i 3 0 J L j 7 + 1 2 m w o U j U 0 b S s i d R w U t 8 D u W a u h o n R F w I H v U t P z R A y i L N + 0 Y Z j 8 q B r 4 a z z n t T H z S N K T 4 g 3 F 5 7 y 4 9 X i g I v Z P y h Q e D o n E x e e f O D S E D c l 8 6 1 + 7 x y h / d s 1 7 9 m 9 X q A S W I R n l o y x 2 o R j x 8 o R U c E I P y m X t X I 1 p U 6 J d 7 I d g E p D l S k p 2 L 9 p w Z L n A k k 6 p W k m r O P W B g d C S n D E 2 s 9 a S g 3 2 P O C z F Z z J y H F p 5 5 c x F g O J i Y F J q E W g m 9 r x l p i 1 e l 8 k k p K e q j v v 5 2 u X P N 3 B a O Y O P g 7 / P N 5 b G y u R S h + L Z O G Z s B y Q o m t W P U O t H x L w f b F c D 1 R S D E + 5 H M X Z n D b o J 1 Q O 0 P S 3 Z a g r x / z w p B x T q q b 9 2 W x j u 3 G + F e o / w C k V e Y Z X H x q D b 1 y j 1 x k 4 q N R K 0 Z T D + 9 2 q u Q e a w R F I j G 9 z + w d 4 W a q P z 9 P z 5 5 T v 7 m 0 S 0 u c + 4 9 u 0 p d 7 8 h b c f T b t p s A t + b x I A e j W Q g 9 M 4 u 5 n D 5 Y 9 I 4 6 / q 2 n a 7 H o G C F w W l i B Z O f q b N f H u e k Z c t 3 Z 0 4 p + L I N E c 5 W I u p b x 2 Y a 2 P j l 6 s U / i 7 F H y 8 X 1 l c r z R 2 o w K 9 y L 7 A M j 8 y e E + V Q Z C 0 k l v 0 W X w 5 t / T / P D m J W C 0 q L b d r v p E c T c a H x 2 V 2 H h r 3 4 e 1 O u y K S D Q 7 l c p K h g e H Z N q W 4 o o k l u R k S l M n f J i I a L n Y 5 R + O F O 7 z B z p + X 3 W 8 t H Z c V w G S t J R s E D a O Y F I P S 3 x i N h Y 0 Y 2 X P S X b I M H b T 3 5 5 0 l 2 v c s 7 F Q f v e 6 b / k G d y W z p C b G y 9 / / s k G Z e h S O K R E N s U 5 F 4 e 8 4 r o 7 p K B W Z 4 3 F m G B J X / C L k v V p 6 x y x X f f p w j I q N I v p U k Z M I + m b P a K k K u z t D 8 b r q Q E X 9 s H P q 2 i 2 z k r D g U b E n + Y G g v X 1 L o T x 5 v E V u R 5 r m p f o b r k d l N J L 3 r X d T 3 v f 4 V K T c t y l X Z i L 8 u y g 7 w e z 0 F V Q m E 4 p 2 5 4 Z q v 6 + q u i g G J T e T L h M 7 x d Y a M M o X F b v + 0 S 8 e 2 J A l S X E p k p m c 6 N L U h Z g 8 V 0 H E M g a 7 m i F J o o 7 T 0 S / J L F 3 D N q w k n r 9 j A t I b e 6 U y 9 g j 1 E v 5 C v y k Q z R R r d d h Q j a u d P 5 4 + 7 m y c R D r / M T C i C V u Q J h g N P V w 7 n z H K T 0 U u Z G x E 0 t O y 8 V y 4 l 8 l + d b p J K F b f G O 4 B i + R X f n 5 C B g Z H X J g 6 j i E p 3 b x 9 9 E 0 r M p D i M E w V P U k j I 6 N Q 8 4 X J 0 A r E O y a 2 k V N C X o o 1 Q M o 3 M g I P D D o Z I W d j R d d j w m j r n r V 5 c r n D O v V h R E u N H a Y H p f b e O w j x b k b i G L w T A N j S P K c p y e e q R s l J 1 5 C x K 3 I R G 8 C u m w X C W h 1 U 5 G 7 q n R x u a O 1 X 4 9 D U P S K 2 C B R B O g 1 / K p O 5 x I S 7 E y O h k 1 M T k p 3 q X 6 F 6 R m b k 8 v V O K J M 1 B 6 F + t w X p k f L T w 0 3 S 0 j 0 I j C H A 4 / F c p A 2 I m + X P U r Q E L c 2 K l N q m Q U W 8 4 r 3 N e 0 9 K v U O x e I + c E p T h w W H p n k p R h J b k H j c j H q w m N Z O g 3 K m Y R 6 M w m c u 8 F j d y U j h r j J / 5 u y x 8 X A t u 9 f b h 5 P n o S c j f N Q e v 8 t F G M z E a E 3 d 2 Q k X Z 7 L H p 8 p 1 n T 8 v I m A N + q K d f t S o / R S 4 i w e s t Z D z S 5 l 0 M C g Q 1 1 2 U s / J o j F 2 4 o v 4 Z m H A M H K s F r S u R m g c T l x q A D 9 F / R y D t O y b a V m X L 0 U j e O o + q G Z v 7 s r s w B b 2 O n F G Q k o A + T k Q f T g F P v 0 H d d y 7 B K q 3 x g d 4 H U X u s J C r L d g g X j B A o m V Z 4 M t x Q D x I F O 3 X j D i 6 h M a w u T Z P / G F c p 3 u 9 b l v 0 k 5 O z V 6 l Y d Z v j + O Q H E W 6 L 1 H o c z T X c B C + k 8 / h M Q c G / I s C X D g q l x E m C b 6 V O 2 S m b e N P A F m z C B N D 3 M U S S n U 0 L A k J i W q Q e Q q x o g f i W c C R Y j M t 0 K F I s J D i 5 n n j 2 F o X f N V k I r m B Z F x e N k B 4 r Q L M R i m c + S C 1 6 I 8 J 0 Z x R S j Y D r u H d D V h T K J g L U y g y b O b 7 m x 9 W Y b 8 1 0 s G X + L / / d g W + Y / n D H r h 3 N R Y j K k n c F c j + f l 5 J v j 6 + q E o p 5 v 6 1 X e p U M z h f X B P s V x u 6 5 G 6 N t / k t r / 8 j 1 Y x J p u J k r A S Z Z Y S 4 Y H r F K Q n g D H Y 8 A 1 X 5 8 Z K e W 6 q P H X a K D X h + + P k v 3 B 9 B N y O + W j n 2 a 9 + z 2 u v L c k Q O 8 y / 1 6 / 2 q u s Y 5 C i + Y l Y o W j D E H G 5 e k S m 7 q / L l C v r i D D p 8 F 0 i e y Q a n M 9 T O j O a r p s Y E N v m W z B O / 2 A F z C q Y M E e w 5 m Z k Y T Z S e o 5 G z e i n 4 e 1 l B r q w t K 5 S V x Y X q 3 7 M R M X K 9 1 4 F o Y 7 e c b x t V f 4 + M i l H f u Q o T 2 k w Y c r E z c O j b r E x k n i W y W F O L a W X K A m t S a f q 4 F K f 2 I Q Q d H J K 0 U H r V 0 T + N Q N A Y z A l k 7 5 G L u t H d p B a L 4 f F p F P 1 F y U f 3 r X B d 6 v S V H p i q U b K z M h P t N o 3 w N E 2 0 0 g z f + 2 W K o d v J A d + N 3 W c K q 3 t a v G E W 9 q C W j D 5 m J 1 r X W C m T n u x W z 6 i n t T 9 l c m A T o Y / 3 i Q N r h D u R V i Y C q i 9 0 j L u U S S t O X c u Q M h 1 / 8 l q r X G g f R a O 8 e M X m 9 N i r T Z K e F K c g V 2 Z l c i C c r 2 X / u j y 1 O G h E u O Y + r y 7 N k 6 F R h 9 S 2 W H M v Z s I 8 n o s y G d c N H O Z b s h 1 K D w K p n c 0 Q F Z o i h M J 4 C 7 k h t A 9 k Z X i o 3 A r s / J L c X M B H U E e D 6 t v d K 9 z b O 3 c z M s i a K 4 U V L 4 J M y R i C G p c G 0 t H + x r 3 q k U O C x X B c 2 R 0 z V P a l U 6 r M p G i p b 7 q K H I Z v P j A n x Y 5 d a h J m 1 L C s Q E + k c y 0 D S p G q C l P k G v j 3 x r F d P 7 K j V F J h t n 0 L n T E Y x j b z S z B 5 S i q A N E B d D l / q V b s v p q g a 7 s / e t 1 a + + X T 9 Q q 0 N 7 v M 4 X x g h O v S f G 7 0 C F q F e 8 N u f 2 Q 4 f b l h + c / y a U h w W C i o / z C S r 8 5 O l E X 4 e 3 7 d O W u / f s g k M u u j h 3 B T q l U I / L t X e N n f o U e i X C f 3 I 4 d F B J A 5 7 X V 8 w K x R X s Q A c g j 4 X 6 U c 6 C U S f q o M 7 l e O R j b E S 7 W T n G R 0 Z k X h Q O m v y e j K B J k Y 7 5 N j V E d m 5 K l U p 2 2 U v P o n K / C S J Q c g 0 F / m h 1 0 E f v d T S B / p r A o O 1 z C A X d J a r L C j A P n j H S q k q y Z R n T 7 e B B i x V / v U Z Q x E y E 2 N Q v e x e t S N x 7 B + 9 Y w M W B p G n T r a o M p U H b 0 N 7 T 8 y 4 v / v h Y Y T N u V A Y Z h / z P J 9 / 5 3 r 8 K w 6 7 1 a T 8 / L W z H o + s Y U 7 + x o F j q D p N w s 4 h q p 0 R s w g E D J L B R 8 A u 7 F q 4 U 8 1 V t q 3 M k J r S N P i B H S q w Y U 6 V 6 H P S 1 9 P t e N 6 7 Z w M o A a b B Y 9 8 m 2 e m F H o W d z P P V N o d B x 2 R x 0 2 l B F M o D b T 7 X h w 7 n e 1 t X x I F M 5 L o r U q e j S y p S E 4 J T p G 3 m 8 f E x I D g I + o Q S z o 7 B n L S r i T U 6 m Q B F A d 0 y m i Z T O h E V A 9 Q S 0 Z k Z r F j D y v / K S 7 F J U 5 9 N M R s V p F K L k 7 A 7 I c G J k g g S q J C j 4 W b I q s J 0 6 e j t c 1 2 a k z 4 j A d i 9 2 C Q Z Q i S y I C N J c t P i M f E b F d l K a g K B t Z H K P N T y o X 2 V k o y F p L Z l G s 8 Z I d t W Z 0 n X D X B R / O 6 C 8 k 2 N y J T K l K p g Q E J c L i J u 0 7 J 9 R Q z y X E a y c 3 9 N v n T 2 k 4 c v 8 D j Q r N S 9 n b g O F K T H Q p E N e j K X 4 I O e 4 a m w S / 8 f 2 F I g i f B v x 5 F G a c X u T O H 9 M w R P 3 k g d V U w C 0 o U E Q X 0 w g Y s y E z G v j N z i 7 V X Z L n I a f S 8 3 B k L n W v T 3 / u O i h 5 1 h G m v T b 8 l 8 K N d q d a 1 D 4 u L c y A S N W t A D x A K 5 Q K I z 5 r G x x j l Y D D m M M p L K 7 C l J x g v O S I p y o c y Z v L 0 G x / 5 K e 5 + 8 W N u B l w P o 0 k S C 5 O U U q k h h z 3 i q N A + Q i / 1 m q I / v N Y v S f R 3 v f C j Q h 5 1 + 1 M X r E / A n M V m q 8 x F 6 T p a B 4 T F p 7 0 e j M y R e l c A E / v H L j e D l M 1 b h i d l k O d O M 5 P F Q q n z m v s 0 K x a 1 h R k x F P L i j T J l J O y t i 5 W 9 + Y p B c l i O n 9 N z Z 6 6 B z n g T O 0 c 2 J E W y E S D 3 W 3 m + x q 0 N 5 1 x Q k K J x h c W Z w R A r N R B 5 7 r X N A J r y C a c Q n k k W L 4 X M X 2 g W L S W P n i M I 5 l u e X u W 7 z H 3 9 9 E o x Q t o B N A o I 9 0 1 w + X / I d q r e / 2 y O P w h 1 K 1 b 3 g 7 j m d d F m 8 f p j B Q Z i I e P n 8 M S p D a a 4 Y S s c B 5 n d b Q F G m O Q T L M 4 E f R A Q n 0 p Y k 5 5 s 7 X P k V + m m 7 q l f j 2 7 H w R 6 Z Q G h 6 r d i t 1 n v k v X H M Z e 9 V p r x V t L a + 0 d 0 n z j U 4 w 5 U a h h s y h / I G M 9 B L w R W S A N z B R 5 a l 2 V 2 X I s Y Z m S U 9 O w 6 I R J 2 u L E 7 G T O u Q P 7 1 8 r x 2 A O X e + D / Y t x + e Q 9 m 0 B I 4 / t A X S C k q S j K h z / W L 2 X p K F 3 A 5 s P c T k l O N l h j p w C y j Z c L b f 0 I C s R g t Z 9 A X h I c 6 S b f J x l w M I c T Q m a D k j C x + w j 4 / 9 K w S / a C 1 d L B n F M Q C 4 P A V c o 4 d r E 0 5 M j G n P w Y 5 s H 7 2 J 1 l 2 F m s g w n M U X J R I F C X u c g a c B G e w U 5 c m m 2 X z a v c p J 5 b y 6 P l l f p 2 P M c Y x i o 1 J E B 3 q C 8 w z j Z k P K a f n y U P S n T 1 N M O 0 C 0 6 l 5 a 9 j g k G K 6 b m l D I 3 B X p 8 k P m 9 W 3 r a z R g 6 e u Q r b 3 n O n o 0 m f n Z G O c O n S 5 J l C e U G v n m v A 7 l I m 3 3 v + o s f h N q y 2 u 0 D M r y V q t k u m I 7 I U F d j P X r 4 o m 1 f m y L X e W N m x 0 i b / + 2 c n k e h E A S c I y 7 Y h X 3 P 7 u j I 5 c R V l G 1 h U X q o 9 L 7 v W 5 C B i m u 4 y u S J m + u W f n m q A q R Y p 7 9 y a L 4 / s X i 2 H z o 1 K b i K r e 0 f l x Y Y B R E D j 4 a v Y 5 N s H W 1 w 6 s h r 5 r w v I f 9 0 B U + q F c x 1 I f 7 j J S 1 n q w e s c u d j l u m f 6 U 2 y N a h Z v I h S a i f / z k Q 3 y j S d r k T f 0 X A T 4 m e K 8 c J q o 5 s T x P R s L Z G J s V J J S C 5 A b 8 t 3 V y z I n g A M N j z A o l P f F Y 9 J j r y + v o M T 4 a J u M + M m m s Z g x w w t N Y f W g U 1 O T K p o 1 g 6 2 F U R 9 v Z 9 W 7 s O 3 B X V X y c s P 8 + i W F O u D h H P f P v z 0 s a / M B o S I K 3 J l j + + A d q 8 F I 6 x n J 6 u l t U j s W h a U 2 F 5 u v y C f v r Z b L 7 Y B Q T Q x J Z W k B / M N x R L Z i g Y z o Q 8 C i Q V U H + J P f v 3 c N I o S j 8 v Q p I w z 2 w L Y a x R e 4 M s M 3 Y f z t 5 x B h c y 5 g j C 5 + / K 4 V c u Z q D 5 R r S K q K U p H O G J G 2 v v k 5 + t 7 3 S b O U C 2 c 0 i g C 5 G 5 B i 7 K 5 N G x Q 3 O w H A F 1 u Z m w J k C 3 R 3 V v L a + f N y G x a k Q K U h 4 b w n 8 7 H p s e 0 B F W r J f a i V B S j H 9 S O h K B O / q i A 0 + N E J Y M 3 Q Q 7 O Q O D G j d B o h 2 x F k 5 B 3 j S 6 p M o R K T 8 D n U C 8 c X + I e G 3 X g r E 4 9 L S 3 P j 9 F h q s 6 4 s X 3 5 + b A g R Q F C h j Z P K G g x V g O + w v u q b T 9 W 7 l M n M O m T u l v j V J + o R O U u R D W X p s n 1 V F k x K R O h w E z n p h k N v l k / t L 0 V r V C O t 8 f v 3 r A H F c 7 e K G B b D b D z e 2 B u S M i n O d P y w J I S w I u 5 o B r E k a 6 k 8 A x a M P B p Y T g P h / h f v 2 a S U i c 3 l P n X v Z g x U m r q X d D / K x M / Y K a Q c X I U 3 Q 5 Z c o V r 7 o m F O G M 6 p F S Q / F E Y l v f 2 r p J 7 T j z L K E e w y 7 S Q e 4 W f x q M j d u 7 F i S c e V E / P u G s 8 O j I F v w O h P p I I D 4 I K w E i 4 e l O j Z H h k Z b k P 2 3 z 1 Z t l X m A r 7 T J 5 v L 4 3 x w m G b l 1 q B T K j H R 3 / / j + 3 V y G i i E B h N K Y n I 6 U n 7 w 8 n V 5 A i U 3 o y 5 8 o 8 i D 2 / L k 4 3 v z U a I / i e h p A v w V J F S x a H 2 e p R x B R O P s u M g R 0 0 f f h x h C j S 8 k B M p Q L C P M r j F 8 u q D x S 4 + d U r + v b 5 3 A r j i B c p c o + f D + K g S Z 0 I 6 H 5 q D X 9 S s L D P + u s T M Y h 3 y w O / f z e e C 8 r i y 5 D 6 V v k w l e r V S B o P k 6 C 8 4 X o o 8 b B w J b l y E Q Y G l H x E / X 6 + j z a + j M + o r V i D 7 d n D B 4 K K + s B D w H z A F N z U S q n W V N A f g G L z c h O A G z F g / F v F Q d + j 9 9 4 I 6 N Q H 5 b 4 9 L 2 r I m X k 1 f G 0 E I o E v 1 x 4 + X f A U n K y 8 i X / q E O K c j K k 7 1 r 4 q S 2 E a k K + F V P n O w C f 8 U 4 E t 6 x 4 J s 3 o n K c I 0 V Z i Q D e D n s E j B 7 Y U o R A C X z P t F T 5 8 u N G K x z K / Z s L 5 R t P X 0 a 4 f k r + 6 j 3 V 8 v P D x r s 0 C 3 c g o l n o 7 1 p 1 N T T n H K 3 o v r z N 9 j v W G / z t l M 3 l E f J / f 3 l W 9 O 9 Y q s F 0 x + H 6 8 z K B P M r G 8 k x J T g y 9 G 3 0 o 7 0 k f k x H X E R h t b m Y 9 C u f E 8 z 0 2 J R b o B v h S w e p c y I J k g y 2 t X r w z i u S g E p H / D U r G g R + l Q z s 7 j R I I E J K o X M W Y A o J y t Y u P S 5 0 H z G S + T x n 8 + 0 U Z U d L Y 2 o L S 9 j H p 6 r 2 B a F + f K 4 + j v a A b g x P y 8 M 4 C A D 2 t w 5 F N 3 Z O q F L 4 T e R Y m L h P i 2 H s X 4 X U 0 6 G 7 s Q g J 3 r A P j Y g R y X m 4 w k u o D g O b o a K n x b 9 8 V / U b f q L T 2 T c q T p v I R 4 z 0 Q h T A g / / 6 H u x R y Y 3 9 N n g L F X m p 3 I 9 P V L o T x V 7 u r B Q x P d V F 0 d r 4 w k s z o A k K / 2 A k 8 1 W Y 7 P 3 v 4 t g 0 e H V K I B b 1 n Y z G Q 5 9 O g o b b J 4 6 + c Q Z u f b v C 8 r 1 f 0 1 9 O z q C 9 b J D x m v E 3 n o a z f 7 U 3 b o T j G B a i O r G t s x O p M O I x h 9 n i P P X 0 g u 9 0 o q V B d k H A s I S j M m J s / 0 4 / H 5 C w L x P b W l C B n Y / E m g 8 / x J T u C y P u G p m b X 9 b i i m y c 5 P 2 C V 7 W U o z K 4 1 h V h Y U s O + N 8 K p C h L 7 V U v P f 3 6 2 y b U o M Y I W i G q Z F 3 o A O 5 G 3 M t H X Y 4 K c w n x R N B c 1 b B 1 m h I f 5 J m n K m c t t z A q j d z G F f n d C i s z 0 0 L R O a B B T O U k 2 q Y X F m S e v j A v 7 D E 9 i q 3 u l v g 8 5 x m h F 5 r / Y k h E f e I d a c h 9 K P z C V h 9 W R G y t K A a I c A q M S I j b O P Z 0 R n i l Q P D H I Q A d W i x p c R s Q i n Q p m E c a J Q 6 n 4 2 7 d X B l W m x R / 6 w K + W q 7 x Z m U q z E 9 D u 0 z c o w I J A 9 t G t R t f B V Z k D 6 s c s / P e a n F H 0 N y Y 3 n u 8 1 b 1 s Z I 6 9 d H p a G j k n Z h 5 3 E J c z / B c k b e a P u S d f V 3 O O O 6 N 1 R X a B K G f w B Z U n U Y 1 Y m f p 9 B B 4 2 O I V K D p j u V S d M e s 7 6 J f 6 c Z q H Y 4 K B M p E u 7 b 6 C 4 o p T J R u m A q / / b U I E L 4 R L n c 7 D d q j O x N 2 6 H M r / 7 l 2 j r U r 6 x D o t M T S / a R O 1 c C b e 4 u C 7 f K T X F 3 s 6 n m Y A y f j y r A b H 6 e d e e + x V 6 9 w j l / V a F N X j 5 r 9 H C K j U A V 8 q z / q F Q U s G r b K o z o l n t B Q u 3 S e L J k x h o m X A Q m 4 b c P t S n 6 A C 5 W e q 2 x w 2 + i Y p h 9 E s Y V a R P w G D K / W v F 8 G N d x 2 w w E 0 n 7 m W 0 f V b / V 7 q A I C Q t O E v W N r s V x C n q q + z T f 0 7 j 0 u 3 k 0 K d B S Q 1 o c O R r B f F d H j 1 H k u q p 9 7 5 1 a Y s 5 5 m q R N B 5 T P s t F A c Q Z q S h / O u z M d m x n c u r 7 C 5 + e b 0 A n n 7 u m q E O c H 9 h 2 S i W b 7 7 w m W 0 v 0 x T 9 j p F 2 d 3 4 c 0 V R u W R m l M q W 1 S v l 0 T u r j R Y 8 S P L l 5 F Q A D Z C N b o E 3 j 2 s v 2 I u q Q G s a y i u 1 l x H V y 1 W 7 R C B l 4 r F c 6 b 0 F 2 G u X M v G z T G f I m 5 N d K 5 M N K / y X P r B d h d U 9 W J A w J d 6 H 1 j g f 3 r d K D m x a K 3 / 2 L t + + U T x n C o o b S 7 J T g F y Y c C m T f g + P 3 l 7 s w b l 3 9 E K n / P R I G / J S E 5 b R W 5 a d / L f 7 D I i U N 8 8 9 / 0 1 l M k u C b R K g Z y M C y F 1 q Y N i 3 c t h f n m m x l C n Y u 1 V j E 8 p B i 3 W M H h A q y r 8 8 f V 6 2 r 6 m U P B S k m e W n r z U r N p 4 Y v J A x l F 9 k Q X n 6 U b 7 M 7 1 7 t m p K D t Z 4 9 e o c B 0 3 n 9 s t s v W a x 7 n 8 t 5 2 S U 1 C q i G x i t n U P 4 + C h 6 P D r + + R 9 j n t z D f U l F 0 e O j 8 q C X Z 5 I 9 f a Z T v v w C E x k y f H L k 0 J u + 9 f Z W 6 p H l a M 1 B B k C q h S F q o G B / b V y 5 n r 7 k r B v h Z J 2 q u N p U l A 8 W R j n q m E T m P m q a N K I i k 6 f b V j 2 2 X v 3 h o h X z t q S v y 6 X 2 F e M c I G j g 7 d G j 0 h D e / O S O D 2 e D X 5 0 J A P 6 y l z 5 O a g B H N m y J B w u Y 3 6 a 4 8 h 4 K L E 5 3 O l h t N s q q w 3 H K c T l 3 t l 3 w T W b 6 / w Y y I z k D p u D E B 7 t + 0 N I Q r o b 5 Y d k J 5 t a 5 R 3 n f X e n n 7 z k r 5 0 a v t U l 1 q n X s y n 1 P T c o V 6 H X 1 c F 8 L j D C c X Z Y K w w Y + 8 W N e G p G m y d A z E 4 B 1 U g 5 F 2 s 4 I R a f 3 8 7 L e P q W 8 q 0 w v v a Q z h 8 G O X 3 C Q p 5 t M S Z d 7 e O 6 y C F e v w k 4 V K Y V b R / u G / H p O / e O y i f G R P n u K C Y A C D l G N q 9 4 H C u A l W w M 7 k V D S e l 3 9 n w O I v 3 7 v V B / U w 6 u w E u T w 8 J / c o L A u F 0 r e z t 7 o I t U p x c u + W G s v X / 2 q D G y v m b 4 K s B X d d c b 6 h l E + d G p Y 1 + P d y k Z w k Y z f 9 y i / O y S f + + Y j a D c q R 6 G F Y P B D C g s D e h A T / S h H o + R p Q u F i e b w 3 R 0 d / 7 6 q 9 q Y X L b h K U 1 Y 2 N D s A a y Z A / M c C r Y Z + 7 b o W i f / w B / p i f F I z y f J u k A 0 A Y T 5 p l 6 U X a f D J D t 5 + 5 f r Q 6 n 4 j C H q H t a 6 W Y E O t e o E r / O e j Y i K I i E + a P 7 q + X w 5 W m p z L L 2 z f w D r I L d 4 d w + 9 9 u s W s U j n c y x V q d O R h f z p Z Z L H U C O d 4 + r u q Q D m 3 2 V y o 6 + t Y E E P c b g y C J M G z G g O t L T 3 6 p v d Q h J U J a D n G v q k h Q w u z a 0 u f 2 B 5 8 5 c V w Q p Z x H p r C k D N Y A f m Q T r C j F t 2 S l J c v R y f 9 B C T E 6 0 I R C V 3 r O p Q J 3 x z v X + q b K u d g 7 J 8 Y v X 5 F L b D f m n p y / K P 4 F D f W j U 0 6 T j O d 6 / t w b 3 n 6 A I 9 k O R 8 8 0 9 w s J O l s R / d E + + + k o s S n f + / F 3 G v Z A b r w B W x / t u d 1 s l V C 7 F D Q E O w T 9 7 Z B v G x d i D Z q K D 7 + S h 3 N N i H + O 3 f M P s 2 O 1 b m w B / x T 9 7 z E L e 5 K C z C T 3 h I 0 0 o j D N z R 5 C a q j T H E w u 4 M g d F h W C 6 n Z q N U 1 R l M 7 O R K J i z A U 2 N j h Z 9 H V h N k 1 T 7 z J v p q H J 8 D t S A 0 J 8 l 9 5 H R q D 5 1 8 5 h n o H R 9 e N y Y o L X N K K c A n x b 5 H 7 Q w J L 2 l P A n j Y J h H I 8 D D t W L R a e 7 B T 9 c o S C 9 B X g M T K i H O L i / X u 3 d w T k N G 7 8 6 A V c g W M Y 7 G C C n g H r Q 2 1 X g t o i c u I E K 3 p i g N f w 7 K 3 u p C 7 K C + H R s L M l B D d q N b N T o P F H X f v 7 5 U P n 0 v o q 2 R q f K B P Y X S B 6 I d L a N 4 h g 0 I z q S h e L I P d G K t C G R 8 D B w U B 5 A 6 Y b 4 t M S 5 N C s A 7 Q n J P L V Z 0 4 Q s 5 7 0 I 9 V 0 I M a N 0 C + F E h b U P P n 0 P Z e E V I h 4 Z 6 X 0 G P Y 6 Y 7 w i K M s 3 O V p 7 n x n W c v y F b 0 R 9 J y v c + Y j A O j M 1 j x C 8 B p g C p c 9 K n a V R E F Q s b Q V t a g N z e H A 5 6 r d c i X f 1 Y r X / 2 V J 4 f D i + c 8 J / l x 0 G X V N h s 7 2 I r c Z N m O c L l 3 H 1 z W L F G o Y C / W 9 y i m 3 6 / 8 v M 7 v X W l u v U C 7 F O f I n z x U I 0 8 c b c F 4 Z k B J r Y s B C Y / a X V 2 l y k P 8 S U 1 p h k z O J g I T O K Q O + f W p E R D w u A G + k z M o 2 0 c N F d E u e 0 B c + d 4 9 F Q D a o j K 3 a 0 C V l V i 1 E g 2 H G m E O r y e M r w S O S o S s J Y c v B a 9 h C u O u Q j r 0 N r y 4 / / X u b b D p 3 b f 5 F d T / n L 5 8 E b U + t c j j 1 A L X l a 4 S f 1 Z i j z S 2 u 2 3 g L s 9 K i R N 7 T L K s z I 1 x U Y p N j s + d 6 y C k B z A d 5 K / f r C a L N J + P J P v k h M h O t n 4 9 C m p l k j G U t v q j 2 d K H 3 b s + Q U 3 U E m D 2 z B I X Y 1 z j A G q M P v L 1 1 2 B + l c m 2 V c E B x X 9 w n z V B 5 O 6 q X H R r 8 c X R / d K p X K M I G J 0 A H / s l w I Z S k p J V k r 6 j z / C P + l D 0 + Q I W b y t Z Y V F a E u 4 7 W I j j g w T 5 b m 7 Y P J Q H f B U U W z v X r I U P s E 6 q S 4 z k 5 g e R 8 B 0 A R R b N w r T E W I V f K 8 7 0 N U 8 u d h q / Y 1 j 4 i R P D Q G Q A x o M O g b q L o S 0 W H A R L V P 4 e A Z P t 7 Z v z j a I 5 C 5 l G Q Z 5 Z q s C u a i V M g o 6 r r h m h S y l K z / / r h f M I a 8 c i P L 7 G I 0 9 E Z a R U 5 K e q 4 E N G s v / y G v M V r 3 X 7 h g N 2 r y 1 C I M G / H 0 i f b i w y T 9 6 x o 1 w F K J 4 + 2 S y v n A f P 3 f S 4 r C u Y t q w 0 5 j U 3 4 r 4 D 9 r Q J f S j m f 2 Q Q j V o W S I m 5 P C V 9 p N + d P I t G 1 3 H S 1 G P s R O / e V Y b O 7 c s j V E 6 T y A z Q P H a h H k 3 R D J + A G 6 5 m d j U / + 9 / + H h h 7 Q C o z C e Y i f 3 L 4 I l d z z 8 l M n b i I g j 9 / c q A 6 X W K B h + w Z G p f o 2 H x 5 C Y 0 G z G c w m I L C R + S / W n f e x a K a i G D D 5 g o 3 h 6 D 7 X n y t h / 6 B a w i Z G 0 f M I p d Q n p M q W U C / N / U n W h Z G 0 m e p y h u X c 9 e X h i Y 7 0 H z M T u y C D + U / t h i y y T e X S b + Y 3 x k H t I S 5 q 4 r i C v n a J 3 a p S z 1 + 5 F r Y l 5 x v h z 1 / F / R G O 3 / h 4 Y 0 g 3 4 + H S Y C q 1 w N u a J Q q M 8 H v P n J 7 r r R 0 9 s j 4 x L g q v i O c 6 v P f q w c 3 R i J K M N L k T 3 5 Q L 6 e w E 7 8 H / o a 3 + R h I m X h / R d i h c l K i w O W X I A f W 2 W X / h k L 5 k w c 3 q r A 4 f 7 Q y h Z v T W V n g j r y V Z g U n Y N F j 9 f Y t x f L g r k q 5 o 6 Y I S j I q P 3 i t Q w 6 e b p Y N x d a j y T G q L M p S R Y b e H S n D f u H z / k L g L e o N u 0 N 5 j 0 u y f Q h k I W P g 5 f M N r 1 Y X o n F A V q x c 6 R y V Z p D N j 0 4 Y u 1 g S 6 m h Y r b p U w g n R 2 9 O h g g x E E H z n 0 H W U Z I z I x 1 C 8 R y E i n E n P U Z C L / K / H m y 1 R F F 9 8 3 z q A a j 2 7 H X b 0 D Q k e y 0 f I v U D 6 5 r 7 + P t d n 5 a i Y P o P u H u 0 D s w D U R q O p + A R K y r H q 2 k I z 9 f S J j A 6 K s 3 L o T J 2 K e v 3 e 3 m o U O F q N J C m b j a S w l g P V N n m m D u 1 1 A G R + + s R Z + e N 3 1 s D a u C p 5 2 a U q U u s t B 9 b F o w n 3 K D g w k t S 1 H j / q f z d e 7 H e Z k 6 g 5 3 6 2 v 9 I b d o b w f Z 2 w q C a F j G 3 B 8 x i N t K D X 8 p 9 z k U e R V z s q n v 3 k C / Y P q 5 K k T V x U 3 w d n G i / L k s T P o s b R 0 L 4 c T Y c g R J T 9 4 F Q B L z I w P 7 S 1 R k 8 2 B i N o g m G / / 4 L v 1 c N R T J C 4 h H h P Q V 9 F 5 b D R 8 s W m n H 0 a I 6 4 r U C V T U F i I h n q W 6 l 6 / K S w R d y y y 6 G s Y j / 9 P m o U w c j y v o R 9 X Y 1 i T k q T h 9 q V G O 1 L d I T m r 4 b V G p T J S d a 4 w A x P o S / 4 l n 7 x 1 V t + N h v v F j d 2 + S g 6 A t y w C k z E q Z u C M 9 U z u K U D r f 6 6 w c u + z M q y y g 5 o R D W x C E i V m W n E Z s A c f B 4 1 R 8 a Q z 1 R k X O S O 9 g N 3 Y B Q F 8 S R + W / X r y s V r V s l E 4 7 T A S M 3 c P A A 2 J 0 r n T 0 y y f v K k D n 9 K X Z q c Z B 8 / z K + S b w k Y O k E 4 G I Y 5 f 7 0 J m k D 8 l S B z j b R 1 W 5 Q 3 5 S B C a R k V j l c / H O + N L X F Z H A c h C N q R N B o R W P X T d e E h O N r h u Z 4 E b / 3 o v X Q C o J c C q e a w A V v / / v h 7 d g L H y 3 L j Y X K E y L k b s 2 l o N w B b R u 8 0 i a R k f F I z e Y j e v 0 Y c d 3 9 + h 1 v x z D k C Q C X F f i 7 F + f p Z R n C O m M P u A y Y + 3 B l Z F 5 x L w U 0 m j 3 o G g 0 C e X 4 C / e + v D 0 i o 8 O j d d + R R P t o w P z b m 2 a H 0 i + w Y 4 D d y b N U 2 b v D 5 P k P k o g O g 8 R W L c y l k P + P i U + y k D Z 1 d K P O C E l V R A o r E F Z f T O k F y Q p 9 P 3 t s P C p 1 3 a a b b l 7 d g H 5 O O S D i / N o n d r v K J P 7 o v l V y Z 3 W m w s F t Q p p g L Q v 7 Y s g C 6 / Z 6 I p G o + f D t n k 3 X / v R 7 J 9 B 0 z E + b U T z 3 9 5 9 v A L N s 6 G S W 5 n H h W J l l 2 B G H B c J / y J Q K o W / 3 + b o x 2 Y o i w R U 5 g R E s 5 V k z C h J F 2 Y L j n z / P k n q g a c D 1 v p h C x c 8 D u o a 0 3 L 5 y i / h Q V g O 8 p S x C / u E J z x o r 1 3 F Y g r g y V Y M K K z / V h u K + R O x g 0 6 D w Q u k 4 8 I S 1 7 Q k A j I Y f + Q r n R e 9 c h c h W 9 x R K H q j s B t + g u f I 1 C g i H W X H I 0 Q t d Q I M Y R X U s x f j 0 f s N 7 z w e l d A u c p / L 8 L G D k B r E r Y 9 e L S g Z p S 7 f 8 C t 3 + u M r O o F D z Y / t X w j 8 z d j k H t o b r 8 J + u A 8 T K N V j T k 4 V z 3 + E d 6 5 6 U + a n R 8 q O X X l c L y p m r j d i p b y B U b z T i 9 p a H 4 W 9 + 9 O u v A M t X B Y L N O G l 3 t u z k c b d X x r u Y r L y j q e H d W / h H 5 y b 1 v D m j f M G G g q / x n 0 H o a C W q S z m W y z g 0 7 j q H H a E o J 1 0 p E w M F q 7 B q E j P 3 5 H H / y I N g 1 w 7 1 8 8 M X x w 1 l o k R Q m T y / O T 0 b i 9 + l y N Z V K 1 X O z S C e i Z B C m F j f P t g M 8 z A a 4 F r k q 9 C o j Z W 9 Z B C K i x i R b W V x z j 5 Q O B 9 W 9 G 8 d b J V / f b 4 F f 7 b I 8 a v D i k u P y p S V E R g 0 G + g 5 G N A I V 7 h A f f K e z c q H 3 V C + Q j 1 T T Y l d d I 2 Y D b s s C V e u 9 7 T J 3 X / 9 L I C 1 7 N c V 7 6 F M v C Y 5 F r M R t a Q s F n e E f j Y f e F W Q P N S b z u T T A x E Z 0 Y d V 3 Z O A k U V s n J S P 7 C q R P Z V Y 1 Z 0 m 4 b 8 f v C i v X B y S f 3 u h V f 7 x d 1 f l r 3 9 2 W Z F x J o R Z c x O k o j z c + e c 6 n q v w 3 z 2 6 W Z V F v G 1 9 t v z V D 0 / I A Y S + N T K L K I k p U 2 K Y n Q + p e I M A m c Y C w U 1 C f 9 c E w V + y E I T g z u Q P v R H K j Z L O O l z h 9 T K S I u X d u 1 c i O l g r T / 3 l f m V i X 2 q f Q G A k G o l e N O K 2 D 8 v F l m 4 0 Y j P q 4 m a m D V I U I v V Z 5 f z O L Y a / V V W w N B n 5 w n T v h W O B o E f h D t 5 S H P 8 Q S D q s u n 2 X Z 0 f J 8 2 e Q g c c K W J A G H 0 L P P E w y T v q f H 2 m W g + e 6 V e 8 i 3 b T s f I s 7 5 q u g P / C 5 f n v 8 j O w C d j A P L z s U 8 V d B G s p 3 3 c f 4 v r A k + 7 j 8 8 N A F V R 4 Q h 6 w w l W U V k A 1 a g Q m g Z a 9 c L W e v z 6 j P 1 x S m K h I T s 5 R k g x E p k q m F Y C C a h f r c 8 + m 5 K w + M x Y P y L F o + / 2 9 H F M 8 8 p R M + 7 5 c / s E V + g m Y H J I / R d 9 3 S a 0 e 4 P F F S E 9 O k E O S a x A f y u U e A u t h b h Y A I a J c 3 l E Q B t R 7 a O w r v X a C n c Z g L x x t 6 h / o F 2 F N Z Q O c t 2 l n n S 2 s B K p t v g K y n d 6 8 3 Q r x 0 O q l I 8 W A E Y m L X K A + P k D H w z P W M G E O S G B e t G s O R O / x H L 5 5 C v m Y Y G X 2 j H c x S i 2 p i D d l b U y i v X u y R t 2 1 C 1 W u S f 8 e 8 B w j u E 1 c G w P J K V I X I H z 9 o l M L k p i X I 8 J T / R s 5 L 9 V w M U L x 9 + z r V / v T v f n J c J W y 5 M D J Y o R P t f E f 3 b C p W u + h / + 8 5 h + Y + D Z 1 X 1 s R 7 / E 4 3 j A A W P o y d x H N i z 7 A q Z P j 3 V p c z J n a v Q o c P 0 M P c A x 0 h Z m e M L T w v 3 m Y M u M 6 E 2 r a Y 9 u 5 C h y n A f J J z j d 6 + O F j K O m q N g N P c + u m + l f P d Q o + t U 7 G j I A Y p B t C 8 U I e c 2 Q x l M z N 6 D I s h x 5 F G W S m w R U 3 I e x Y I T m G m f v i M X L Y H Q R Q R d H o v S f H F 9 z 9 U N Y v I Z f W y 1 f A r o j E v A N g Y z 8 1 h a r q t h F / v Z c p I n 5 b F X G p A U X o W k s G c 0 M j 8 t C l H A G P h L Y 1 K Z R 9 r m W R B u J g u x n T q p T A Q 6 N 2 C a x P V N j W D R M l I E C Q j f l 6 n W O b 5 B l 7 u R J H 4 W e a 2 5 S l 5 K b 8 C g x J s G K W E e o H h b v + r e t x D i z W q q e e b 0 7 8 1 8 c Q t x v U D n 2 F 8 5 g w R w B C Y M q L d m / C P l f 3 G y H 7 u T Z 1 k I + z f d t t Z / k e F i 3 7 u / 8 6 / E r l 9 T E o c d F f V d 4 B 9 U C m G P g E n n X q w Y M u f n f A a r J g h 6 N + I 3 X j 1 3 z m i Z W u D G d N a s X C G R M 4 O o I w M z b n R 4 i B D v + 8 5 L 6 b v 1 o n y j k 6 l A k b u t 2 Y / v X + 1 i J P X 3 Y n U j M u / P 9 S 7 n Y h J C 4 p U s p 2 T q 0 a X b S z U Z D z Z E A u n R J D 9 7 5 Z K 6 9 r P H r 8 h P X m 3 1 u f y 9 N b 4 9 k Q J 1 4 1 i q + 7 e 6 z u X O K d X 4 I D p y F P 2 P e 5 X J V g W o W L 7 T J 6 K y U J k I h u Y z c H c q S D X g T D m p h u 9 E R d L q V 1 m Y o X Y o y q f e t k 6 S 4 1 H I G O d A D 7 E E D 2 W i 6 X g n C m c X 2 o J / U + 5 Q H E w O + A u I J L k E q x Z Z h + i k K y Y d k G j a U O B G 5 d A 8 6 Q b d l n u I N T + 6 P o c K t + O X p L X i 3 5 P i Y 2 X L K o M t a C m E t 9 b V c 8 3 j U i z n e H S 3 U e Z O 6 U M 5 / T 8 8 3 S Q x u M f C z H j g F 9 0 7 2 V L u p g s x H l Q i K k o i r M E B I I 4 U 9 3 s u s I c 3 Y g I 3 U c M 7 W p F r A / J k S p m 4 b K F 0 / 7 Y y + G k x Q K T M e H R j K U G D v u r i O P k N + E d C k b z U W 3 C H 4 s B w I E k 9 5 h L M x o / e V a l I P y j v R y 9 a C p X J T Q / s u V 5 p B 9 i B r n k U F c B w 7 n z s y b u U y q S f K Q 6 B F r M Y T L q J M o I m 3 R S a S 7 0 I r N D X + s C e l a 5 D m e P J T 1 4 6 3 G I o k z P Y M a w o Y A C j Z x j 0 2 1 A m N k W o 7 3 A r E 9 9 P S R Y Y c 5 0 n c g W M 8 J f c V L x X 5 7 Y V G 1 8 A c O 2 E / O b 1 E Q X o N W P 3 y I 8 e q j L x M g s W l A j 2 8 M v x c w 4 w 8 x 1 m e f e O Y h A y G r x 9 9 y N a 9 p t T r Y o r X X N r W z 0 H K a F Z r q 2 F O 9 d d Y L o 1 s U Q v y e P z Z X Y 7 u 5 Z 4 X B A o i 7 M t I 0 r h U 0 E C s 6 c q H 0 i J Z r k 9 b 0 x a p 3 M k A d F M C v v Q p q Q U w 7 w y n H k + x 5 Z y O 0 y q h W 2 Y t l i D c d + G B P n t a T c 2 s R x B i + h p w 1 f k s 7 c M p i F / a E R 9 C 1 L G p G M o 3 q M L / H z u S y P m 8 1 P 7 A / t Q K m L 8 J h V O G O 9 6 p 0 P n 3 d T O V C Z K R k r g f k 4 K 0 m P i i 3 s A t M N L r U y 8 z / E x d K y 2 k L o 2 N 5 l l P 6 i 7 q E z Z K X a 5 5 6 7 d K P l H P x q n K J M V Q o y w 9 g k H B z t V G 5 z l L m + D M g 2 D i 6 8 U O x L D 7 B l o A h c 5 1 e / x b G Y i n g S b Q / Z V L V x u K l h 0 V N 9 I p J + K 7 O U + v i H f 3 + 3 V 1 S i T d x e / D Y 7 6 Z v i 3 V W S S f t H y n O S R I 3 O t 5 o t j d O + 1 E P g B Q 7 7 B M A 4 c Z i / h E G T 3 6 n T Z s 7 Z A f n z o I l Z q 9 / P e v 9 3 N F b G v O k 4 B g i k k q F x O s g N d 6 d c V x y h k x J 7 K O N m 3 F j s N 1 o L a F o f E R w G d 3 9 g i a f Z u m G 6 e p D v v 2 O J Z r d 3 U 0 Y V y l v D B z s Q K + h P V H T W A 3 T e n o A T P t 3 Q Z m I V 7 1 Y f O n P X I T Z n P n B q P b u Y o o a D C M I J n N v G 8 7 4 B R w 8 t w j J d a u r q v g B f P 6 L L B f k 8 r c t P k M q r 6 3 r F j p d Q B E F u H X k 1 D o + i S 7 q Q I m p 6 e l P F p J D M j o m V F f p E L N R E N + 6 U 8 3 Y 0 M u d i d u t S P E v R 6 K e C F r M y P w T 2 T X s 2 h 7 r 0 i g + Z W 0 K 9 K U W 6 B t H Q Y u / k s Y F m X e o B 3 D E M y k 6 J 8 + C 1 o y X G X P H 0 V T a s X u g T + j a h M H M / P 3 l c D Z L k d D q 5 7 d B P A + v P x / a v Q g D n d R Q t M Z f I m t N f f Y F S w r d + 6 J G I D m k Z n 4 G U s l j y w c w 1 q i K Z l c H R a e s A 2 e + x i J x Q s R r 7 7 3 H n F J F S Q b n c p k 3 E P E Z K E I E U x y k H M E C R 2 L N G S m 5 G 2 W L c 7 r / O S B u 7 o 5 X E 5 d X V c 3 f t D g B + F o k y 8 q F Y m N Q K Y / D t Q P R C O d A + h L 5 W X 4 t K S O w L Y V L A 4 + / I 3 n s M Z i S D H X u x g W x c g H U x z f g w A 2 e 8 8 d 1 F O N H r S P L O U Q g v h S I Q h U T Z V 5 C p m W 2 + h 0 / q F H 5 w C s e b i L T d H L / k G D 0 Y B 4 t X S i A 6 C M w h Q a C G F 8 w f v q v K 5 V / a S 0 n K 6 2 X P m p M a x 6 m p 5 S H V R l G w u G V e m 6 b m r v v m 2 U O + y t 7 c d o N r g 5 D 1 m 1 I k V L l O R b Q Z 5 v b e U Q s W j R U o H V v b 3 7 y l X o V N t G v H F 0 I 8 o d D Y j Y G c I N s P W k h Y 3 h d J z d p h n A M O d 8 z G / U C 7 6 7 7 u 9 C s j p x f V H C n P c 1 + f q 2 + H s k 6 v v J Q k t g Q a w i x 0 A D o 7 y / Y P n f e Z d W q y B 8 a N 4 w 8 l I s b Z 4 S 0 K o K g D q s C K H T I z 1 y N C I k b K Y r 5 y 9 3 C a 7 K w N T e R P K F V S C x M 1 v K Y W q L o l X P t I T x 0 i A Y i R 5 + e c 7 t x u T r 7 V 3 T G 4 H k y k 7 Q z A I o b v U P 7 K 7 R u 7 a s h k s P W i c H H T E F / e A z G R P 8 8 W M V 8 x G a f t R g G J b e k b l y R P G i p 5 t x R c R b Z h 5 K Y n h c 0 k s 7 t M Z Z + e c H U E w a C H F B r z m j W 5 3 h H e u 5 5 5 z s 4 C 5 X n A 5 f + 9 b T 9 f L u 3 a W q e 7 l Z n n i a L M r 2 d d q o g / i Z N 2 / s Q a J x e V i B F m V E x i t M 1 m W 8 X y d 2 2 x l 5 H I t i v i m I r J 8 X s n Z J r R a j c 6 S 4 9 e W P r A S y v x I T + Q u u T h j r i O b o d z H X I 6 5 p X a o X h A 9 s m G Y l W w o Z v 1 Q C k h b Q D S J R K 8 W 7 3 q i u Q z y Y n 0 n H n X t Z 8 G D f q a p H w n q 6 + o y D q e v t 7 o w D b 2 a / H O 5 X 0 b P 3 e U q P Y A H G a C j N 5 7 c U g r F V / R D F L B Z y S l M S u Z 5 W N y m G y 1 H W V B 5 L Y d X n J V e I G u L 0 + V G P x O 6 n q / w v 7 / D g F T 9 1 Q 9 P 4 l l C 8 A m W w w N Z 3 E N e t s F V O F c h + s X 8 4 0 D 1 9 m B f / 1 x P 5 / 7 e W z 6 U a S z 8 K I h a C / G / D e X u 4 j v m O n e v X z / / F 7 A I Z 5 h B m 5 k n j r f K 1 R 7 3 D q R T A S / V N q k r s m H a G 1 l e q p 9 7 z R K f m 1 A y 8 4 8 9 1 i 7 J a a n z H p K 3 f C j T E H 7 W C Y z 1 H t U Z 8 D F E z k 7 J r 8 k U 5 I S O v P + O t f M e / M U 8 w V 0 b P e 9 P p w J q W 0 f l g / s 2 L e a l l + T c w e g E Y g F q z s c u V l H M P l a h + 1 u E k S 2 m v C l N v n g k M 8 k 3 4 C 1 f / 7 U n U F Z / z k Z o c U 4 O N p p 8 p A b u 6 F / e Q 0 N + B W 9 h M p I l G r p Q b z E n z s 0 6 9 + W e V C G y 4 + z 1 e F U S T 6 T 4 p W 4 D C U G O x U B C / O X 5 j s C 4 z a D P F c T k m x P 0 K O h F l + E B F b l T a I o 9 J L 8 7 b Z 0 g z E p N k m s 3 h g H 7 t 8 m m l U Z P 2 O U u x R k T c h 2 o j e V a P D j f 8 a v M H k T 0 N U I a b o B Y J k i M g n i / 4 y h E 3 F Q 8 K + 0 9 f Z Y V B N H 2 b D n f F l 7 T v U I k w V t N x J p F m W B h W m j o 0 X w H 6 m Z 8 / 9 + e q Q e K w f 9 2 3 9 U / J F 9 4 e P 0 b R p k 4 h s 0 9 M W 9 a Z e L z N d x I l v O d w Z W J x z 5 / b l T 2 o l 7 q x Q v O U h X 4 U B Q G I 7 r Q W p Y B i n C V i d 9 n Z 5 L V w B R q C V Y P t b z t m g X S v A z w m l N + 9 M r V g G e s b Q m v k d k C 3 d 5 b p 1 m g E X j S o u q W w Y i s 7 A y f t q q h X p K 7 / 4 R j U B 3 O b i H B 5 J Z Q q A F i s C B W X R a i g X f 7 K M C x T O A G c 4 S D D e Z b n y + P E a C P R V 8 r O T l X S v M L g D a H 3 9 U z d x A w m 3 4 z I c w K 4 m A l u 7 e E Q l X k 2 V W n P C s 7 / M C m K n T e A L e E F y H k 8 p g a b 9 3 F X E e A 7 7 o f q P x n z o 4 o Y p f 5 S G F O v l S W a K b e w E b f L a F Q 5 H h L T / I E R j 4 K v o V 3 7 t z g Q V c 1 n 0 F / 6 7 v L b w S I B u H O U g p i l b n I 9 g q 7 r M 0 d Q Y 3 Z h P z q p E H i 8 p Y P h U F o 7 x 1 C o 2 v P y N 1 j r z a i n c 1 c h v m t 7 7 y R R s A e C w q A q L m F y v v 6 O i U T y e D j V 0 P n c b 8 l d q j y 3 B T 5 / 3 7 l 2 d b m c 2 / f I J 0 D b w U h 3 k j K M Z d 7 r W 2 N R H V 1 e M l c U P n J S l Q H F 2 Z l y s k r X n N E b V H 4 n 5 + f W 0 K h 2 D 1 P Z 9 P Z N f C h H e U Y q N B X n b m 8 y L e + 8 8 Y c A d I 6 F y b 3 q w D W 8 / V T i h g m H H n T K 1 Q Z W H I 6 + s Y Q o T F C 5 z Y Q 1 A 8 5 g l d v h j O I y / 3 Y b S v Q A d 6 6 L t J 1 6 y a i 3 e X + O I t 6 f w y T p 6 X m S h 4 C E V Z y y / t Q T e D L v t 4 / J g / v c A / Q c 6 + T r G V R 3 8 u y O j n r u q K i A l e r 3 g x a t G U 1 S L i Z J H Q A I U s S E R c v I l H s L f 0 j K H q 8 1 d H m h K R c a U e 9 E L j q t H x w 3 8 Z b K u d 0 9 P K U Y g 5 6 S w K P Q D K Y l l 5 u 6 A e N t b U 7 s D r f 6 O g R 6 O d N b / I 1 o 2 / Q I 7 v K Z R Z U W p T R y W i A R 9 / y n 9 5 S L v 8 j 0 G I q i z E f V d f C X S u w a f O m V 6 h L 1 w 0 w J P s r U d 6 + 1 Z c F 6 K 3 J 9 d Y I e I 9 A W o J v c W Z u K r t 1 G O E t f z 9 v e o X S A / X H D 2 + U f e v y 5 I 6 q 8 E K o b 0 2 1 W 3 M E + k E Y 6 i 1 s N H D L + 1 A a 9 V + c l S j 3 b S m V g d H l y 6 V w a 0 7 d 5 f P U 7 C j / w d s z 5 W N 3 Z K N p t j 9 G q F v c h + L r e v w o G h 3 j T + Y Y L r T 2 o x v F / B O 6 R e n z P 8 f y m U q 3 7 p 1 s W e E u z e g a n J a n z 4 z K r 4 F a r 2 u Z 2 8 J 7 y 5 h 8 V C r y Z N + 9 s V D u 3 Y g O 6 v O c Q y 2 9 b 1 w C l H k + + p v q 6 8 l o T h 6 u B N y j Q m 1 a H e 5 F l / P x z E G 9 V a q x n N / Q 8 r 2 3 s r x x y z I g f c e 3 z A 5 l f k V v K d P y n b B v 9 D v 7 / w E a R c O X Q P 6 3 n 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 N a m e = " L a y e r   1 "   G u i d = " a 6 f 8 7 7 4 5 - 3 2 8 6 - 4 1 e 6 - a 4 8 e - 6 b 4 e f 9 4 1 e 8 9 5 "   R e v = " 1 4 "   R e v G u i d = " 8 0 0 1 6 8 e d - e 3 f 3 - 4 1 d b - 8 8 c 9 - 5 0 6 9 1 2 2 a 1 a 6 2 "   V i s i b l e = " t r u e "   I n s t O n l y = " f a l s e "   G e o D a t a G u i d = " 6 c 3 b 8 c 7 4 - d d b 6 - 4 8 b a - 9 e b 6 - b e c d 3 a d 4 8 9 7 9 " & g t ; & l t ; G e o V i s   V i s i b l e = " t r u e "   L a y e r C o l o r S e t = " f a l s e "   R e g i o n S h a d i n g M o d e S e t = " f a l s e "   R e g i o n S h a d i n g M o d e = " G l o b a l "   V i s u a l T y p e = " R e g i o n C h a r t "   N u l l s = " f a l s e "   Z e r o s = " t r u e "   N e g a t i v e s = " t r u e "   V i s u a l S h a p e = " S q u a r e " 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0 & l t ; / C o l o r I n d e x & g t ; & l t ; / C o l o r I n d i c e s & g t ; & l t ; G e o F i e l d W e l l D e f i n i t i o n   A c c u m u l a t e = " f a l s e "   D e c a y = " N o n e "   D e c a y T i m e I s N u l l = " t r u e "   D e c a y T i m e T i c k s = " 0 "   V M T i m e A c c u m u l a t e = " f a l s e "   V M T i m e P e r s i s t = " f a l s e "   U s e r N o t M a p B y = " t r u e "   S e l T i m e S t g = " N o n e "   C h o o s i n g G e o F i e l d s = " f a l s e " & g t ; & l t ; G e o E n t i t y   N a m e = " G e o E n t i t y "   V i s i b l e = " f a l s e " & g t ; & l t ; G e o C o l u m n s & g t ; & l t ; G e o C o l u m n   N a m e = " E c o n o m y "   V i s i b l e = " t r u e "   D a t a T y p e = " S t r i n g "   M o d e l Q u e r y N a m e = " ' R a n g e ' [ E c o n o m y ] " & g t ; & l t ; T a b l e   M o d e l N a m e = " R a n g e "   N a m e I n S o u r c e = " R a n g e "   V i s i b l e = " t r u e "   L a s t R e f r e s h = " 0 0 0 1 - 0 1 - 0 1 T 0 0 : 0 0 : 0 0 "   / & g t ; & l t ; / G e o C o l u m n & g t ; & l t ; / G e o C o l u m n s & g t ; & l t ; C o u n t r y   N a m e = " E c o n o m y "   V i s i b l e = " t r u e "   D a t a T y p e = " S t r i n g "   M o d e l Q u e r y N a m e = " ' R a n g e ' [ E c o n o m y ] " & g t ; & l t ; T a b l e   M o d e l N a m e = " R a n g e "   N a m e I n S o u r c e = " R a n g e "   V i s i b l e = " t r u e "   L a s t R e f r e s h = " 0 0 0 1 - 0 1 - 0 1 T 0 0 : 0 0 : 0 0 "   / & g t ; & l t ; / C o u n t r y & g t ; & l t ; / G e o E n t i t y & g t ; & l t ; M e a s u r e s & g t ; & l t ; M e a s u r e   N a m e = " e - I D "   V i s i b l e = " t r u e "   D a t a T y p e = " L o n g "   M o d e l Q u e r y N a m e = " ' R a n g e ' [ e - I D ] " & g t ; & l t ; T a b l e   M o d e l N a m e = " R a n g e "   N a m e I n S o u r c e = " R a n g e "   V i s i b l e = " t r u e "   L a s t R e f r e s h = " 0 0 0 1 - 0 1 - 0 1 T 0 0 : 0 0 : 0 0 "   / & g t ; & l t ; / M e a s u r e & g t ; & l t ; / M e a s u r e s & g t ; & l t ; M e a s u r e A F s & g t ; & l t ; A g g r e g a t i o n F u n c t i o n & g t ; M a x & l t ; / A g g r e g a t i o n F u n c t i o n & g t ; & l t ; / M e a s u r e A F s & g t ; & l t ; C o l o r A F & g t ; N o n e & l t ; / C o l o r A F & g t ; & l t ; C h o s e n F i e l d s   / & g t ; & l t ; C h u n k B y & g t ; N o n e & l t ; / C h u n k B y & g t ; & l t ; C h o s e n G e o M a p p i n g s & g t ; & l t ; G e o M a p p i n g T y p e & g t ; C o u n t r y & 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1 & l t ; / D a t a S c a l e & g t ; & l t ; / D a t a S c a l e s & g t ; & l t ; D i m n S c a l e s & g t ; & l t ; D i m n S c a l e & g t ; 1 & l t ; / D i m n S c a l e & g t ; & l t ; D i m n S c a l e & g t ; 1 & l t ; / D i m n S c a l e & g t ; & l t ; D i m n S c a l e & g t ; 1 & l t ; / D i m n S c a l e & g t ; & l t ; D i m n S c a l e & g t ; 1 & l t ; / D i m n S c a l e & g t ; & l t ; / D i m n S c a l e s & g t ; & l t ; / G e o V i s & g t ; & l t ; / L a y e r D e f i n i t i o n & g t ; & l t ; / L a y e r D e f i n i t i o n s & g t ; & l t ; D e c o r a t o r s   / & g t ; & l t ; / S e r i a l i z e d L a y e r M a n a g e r & g t ; < / L a y e r s C o n t e n t > < / S c e n e > < / S c e n e s > < / T o u r > 
</file>

<file path=customXml/item2.xml>��< ? x m l   v e r s i o n = " 1 . 0 "   e n c o d i n g = " u t f - 1 6 " ? > < V i s u a l i z a t i o n L S t a t e   x m l n s : x s i = " h t t p : / / w w w . w 3 . o r g / 2 0 0 1 / X M L S c h e m a - i n s t a n c e "   x m l n s : x s d = " h t t p : / / w w w . w 3 . o r g / 2 0 0 1 / X M L S c h e m a "   x m l n s = " h t t p : / / m i c r o s o f t . d a t a . v i s u a l i z a t i o n . C l i e n t . E x c e l . L S t a t e / 1 . 0 " > < c g > H 4 s I A A A A A A A E A O 2 d 2 3 J U y Z W G X 6 W C i I 6 x I 6 a K f T 4 4 a B y S O D Q G Y Q b R P W P f b U m 7 p W 1 K t e V d V d D w O n M 1 F / M E c z E X f q B 5 h f l W Z u 5 d V U B H p 5 J O R 2 R E j 8 d N g w D / 1 E 9 m r s O / / v V / / / O / D / 7 4 0 8 1 y 9 q 4 d 1 l 2 / + v Z e v I j u z d r V R X / Z r a 6 + v b f d / D i v 7 v 3 x 4 Y N j v v u i 2 b z o V y f N x X U 7 4 x e t 1 n / 4 a d 1 9 e + 9 6 s 7 n 9 w / 3 7 7 9 + / X 7 x P F / 1 w d T + J o v j + f 5 y + O O N n 3 j T z b r X e N K u L 9 t 7 0 q y 5 / + V f d e / j g 2 V r / g u k n 3 3 Q X Q 7 / u f 9 w s L p t N s 3 j X r b f N s v v Y b I C + u G r 7 9 P K + 4 O d X z t 5 + e + + P F / 1 2 t R k + v G 6 v 5 I 9 2 0 q + u + m + S 6 H e P X p / 8 n p / z Q 7 P c t r P r i 2 / v b Y Z t y w 8 8 b f v X 7 b p f b u W 3 W 3 / y / d l y 8 + 2 9 e b S o s i T K q 7 I s q 6 i O s z Q q 7 8 2 W 8 r H l i y T N 6 q J I + E J Z x G X C p 8 i v O N m H w P / G k 3 6 4 a T a b 9 v L o 8 n J o 1 + u H r 9 v b 7 f m y u 5 j 1 P 8 4 2 f K 4 K 5 Y P 7 n / 2 8 B + Y X P O n a 5 S X g 1 p s B R m Y Q 8 I d V t z R / h t n 9 f + Y X f g 6 7 h v b w w f 1 P I N 8 / + I D 5 + s H 3 + T P d V 5 T w 7 b M v M / i X 9 q Z d u T E H P 1 V V p V V Z V F G U p 2 U c a 9 6 y c p F V d V W V S V r m W V U l l S V v C k s g P B m s 3 n g 5 W p 4 3 q 6 5 x Y y a L F z H / l 6 Y 5 B K R 1 l q e a m S R a R E m Z 5 U l W C D 1 y 0 K w O l A E T C D U T W m / k P L 7 Y N p f 9 4 E b O P F 5 k S Z w n V Z 1 C T p K l m T k 3 8 7 J a V G U c Z V G a Z U n K u e E L V v w Y P I H w M 6 H 1 x s / T 5 u b c 9 e z E 6 S L L o q T I i z z P 4 z I v u b 3 k N Z p z 3 W V 1 V F U Z r x H X X l n V l u x o N I G Q M 4 L 1 x s 1 Z u 2 q v m q X b 2 Y m z R V o k e R w X a V Y l R V G M 3 G S L P I 2 L L K 2 K M q u T o u Q L V i f H o A m E n A m t N 3 Z e b H 9 q b 8 7 7 7 X D l R l B W L y S O q + I i S d I 4 m 1 6 e Y h H V W Z k V c Z x U B H V V w Y t k R d A O U C A c 7 Q P 2 R t O T b r V s V p d u H B X Z I q m q v I q r r F I U m f c n y R d 1 V X P 3 l W V U 1 w W E W X J k 0 A R C 0 I T W G z s v m + 2 w d e O G b E g u s q j I 6 j y t C A X i w r A T F 8 W i T g t + J C 3 K u C p z S 3 I U m E C o M V i 9 E f P 9 F Y f G M a a O F 5 y L N K k i M t Q y L c v a x N R p s k i r u q 6 y O I 2 q v C b l s S R G g w m E m R G s N 2 q O r 7 f U M 9 w O T U L C G R d V W R d 5 W q d R U X B x S c h W R w u i a y o H U V a m B d z Z x t M a T C D U j G C 9 U f P 9 x / P 2 b S f l J j d 6 y E Z L a g F 1 k p R J T X Q W E z g L P U W 6 i L O 8 q m p C g k Q C b t v 6 z g 5 Q I B T t A / Z G 0 3 G 7 b I b t 2 o 2 j P F 2 Q j G Z l k t R R l N a R c C E c J d U i y j N C A Y I 5 i g l x b X u 7 G T S B E D S h 9 c b O q + t u 2 d 3 e d q v W k a F Y a j q S 8 v D O R E V e x y Y v j Z N k k U t w n Z c R d b j S + p L b Q x Q I S w e I v T F 1 2 g z r 6 2 a 5 p K z 9 b C 1 R t i N h J V F 2 Q Y 2 t K I k K U g o G 5 t r j p V p w k q j y U E e 4 S 8 A w A p s Z W I G w 9 j l s b 9 S 9 3 q 7 X X b O C u S f t Z T u o H o b b f S h v E 3 W G q q g T Q v C C / + r 7 M I 5 S y E v r K j G F V d u Q Q k M L h L I R r D e i z j Y L S H q x v f i K K h 0 1 h D T i 5 o u r v K x N k j Q v o g U N o 7 z I 4 r L K i s K 2 8 3 D W d K v N T O E J h K I D x N 5 4 O m n O p b 3 3 Q z t c S j f P o b 1 H 1 T S u e L G S r I x r V d T W B 2 m e c J A o d F P L y 3 n T i k S 6 R 1 Y V o Z P m t p 0 p R I F Q t Q / Y G 1 N / a m 6 a 7 s I 1 t 6 2 I x G k 6 Z F E R J 2 W d 1 K Y D O y / L R Z o V e U Z + S 8 a b 1 I V t z d v A C Y S h C a 0 3 e v 6 9 X W 8 4 S M f N 6 i 3 f E F T w z 6 f N R 0 e + 0 n h R Z w U Z V U T 8 k O j O u E T r K R 3 z v C 7 T P I 5 K e k z 2 R S K B N x N w Y R D 2 h R b 9 r 9 4 Y P / v m J P 3 m K J X r 7 0 1 / o 7 5 T T 9 S 9 Q i h w 0 d 0 6 3 o k R p S S a S 7 Q A k y q N u R Z N P r w o K P 1 R Y a L K V 9 c R Z X L L G / H s H / / Z z w D 5 j / + a 8 T d r 9 m r 4 x 3 8 r d G G Q + f D n 4 X s 7 j o / / v m 0 2 / d A 1 E u U / 3 Z K V O Z 7 E m H J t S q R I v T y v i D y i K U 5 c p G V C j Z 0 S O 9 F / b l 1 L 3 y G b a V y B k P g F 3 N 7 Y 4 6 K 6 W j a X 7 f r a L S a R 0 C O N q A p m G Y G i 6 C T 0 A a R e S P U w 5 0 K t s q h K o t Q 2 J N k B C o S t f c D e a P q h a z e r 5 s a N o 5 h u R x Z l h B z q F Z P X L Y 6 K B Y 1 F f i x O a V 5 x q C z v R w M k E G 4 m t N 6 I e X P d d O 7 t Q 3 r w W U X d N q b m R P A x 9 u D j C C E f B c K Y m D 7 h 2 s t s X 6 8 R T S D 0 7 O B 6 4 + f R 3 z p a 8 J v O 8 e R Q b s 9 4 k X R e H J F e 6 d s t S y S + k J A j q m K K u t a x / A g n E I J 2 c L 0 R 9 K a / 6 t 3 I q R Z 5 n E q z I 6 q p 2 Z I P m 6 e H s g X F 2 5 r S k n R J K B d W t t o 8 w R I I M x q q P 1 a 2 q 4 7 y n x s x K c q i l I h c a n 5 S s h 1 l X / U i 4 T 7 L 6 V F l J F Y i l 7 B 8 d N 5 o N K F Q M 6 L 1 x s 4 Z 0 u r m t h 8 c c 6 Z 4 k d I 4 r P O K u i s K I 2 p 7 + l a T g i y h G l F 4 i a w 1 i 0 V M a V V G m v A E w t A e X m 8 c n T Q 3 7 d D 3 j n 3 e f F H A D o e n r J F B l J B h K E o W 9 B U p I O V U A W F I c i Q r i k Y 4 g T C 0 g + u P o O v G U f R F H R b d E M k N s m N R S E y J a r U o u O 6 q O M / p w k t r w 5 Y c o I R C j I L q j R R G e N 6 5 P j s 5 K Q 0 Z D j L w X B Q S 0 7 O T Z E z F y H F J K P C h m Z Q G h 9 W Z 0 W A C I W Y E 6 4 2 a V / 2 w 2 T q r j d N 6 Q b Y p Y Z m p q J p C 3 R x R h E R v S R o l j F J E d W r b Z x r x B M L P D q 4 3 h l 4 0 v W N / P e b m y q l z U w W n Q 6 F 7 E 7 p M k C 0 Y r 4 A U 5 s q Q 7 F k n o g I l E G I 0 V G + k n A 0 d d d E X 9 A M c o + l y w X i E z B 9 l 3 G 1 F T k a j Q 4 E q I k a I K I x y p k T w Z R t M A 2 i m 4 A T C z x 5 e b y S d N h e N d C f O j l 6 7 p T w I h w j G S m b 1 y p I W 7 F Q G 5 d 8 W e U F v l j E X q j l 8 z f L t U Y h m 4 A m E p T 2 8 3 l j 6 r l 9 d b o f G 9 Y 7 L F t Q E I p E d 0 + 4 r q K r p c z S v i k V S Z A j 1 u Q E r + g + W D I 1 o A i F o B 9 c b P 6 9 6 9 0 p o L g e o r H I U k w w p x 4 Q E J u G p a f 6 Q 7 p A G c X z Q e 1 m y o 7 E E w s 0 I 1 h s z p 8 1 l c 9 W s L x r n O U t q N 6 I 7 z u I q Q t J Q 5 S Z 8 y 4 p F g V 4 / T V A k 3 0 k W v k M U C E f 7 g L 3 x 9 P 2 w v d o 2 H 9 z e o D n j E 6 h K C O C i K k V w x 9 S L u e H I j K I 8 Z + B S + n D W F 5 w B E w g / E 1 p v 5 O g e 8 v y 4 W 6 8 b x 5 G k m F s u z p G y I q h L G R 6 P x y y I R h D B A + N I O R Q h w s v 4 g l W O e g A q E K o + w e y N s K M t v z U G H I 6 B 9 5 w h P m q k C d N I M S U 4 U Z G Y N 4 k C d x 7 R 7 U b J l U Y y / 2 9 J 1 g Q o E K L 2 8 H o j 6 Q d m m D 9 u m b f 4 J j k h A n 9 9 f H D 5 / d g s 1 5 9 7 n 4 i P y C + Z c b z B T s W Z e O Y D Z N a J g U H m B i m V T 8 e 0 F F V Y x N C g T E f f Q R S m 0 A T C u s H q j f E n f 3 n 9 Z 5 g m Y 2 g v + 6 / x 5 S i i K C P x l Q H C X c k i o W U b R R W P H z E k g + 3 W N 6 n A m k 2 g A u H q U 9 D e S H v R t R f X m x a n p L Z z 7 G n g Z U N L K S F C w e h G P B 9 M T 6 N e I N 8 r a a X H B J h q J N f y O j 3 A F A h h n 2 D 2 x t e z 9 d C 0 j s 4 Q S G I R 2 6 G 1 o 7 j E A 6 h K s k o S S 5 A i z U G a h 9 p S x T Z I 0 W A C Y W g E 6 4 2 a 4 + 3 w t l v x 3 k V P m r W j 9 o F A U r r o V U 6 1 l n y M 1 M u E + i J Y y a k 4 F d T S 8 1 K 6 H Z a H y a C a C a Z A m D q E 7 I 2 v F 9 3 5 B 8 d I g m l q 0 m J p e q T S F s z G A J K m R 5 Z C U 0 K h k I v Q u o u r o A T C j s H q j Z Z T M d t j B L Q z k S N j a j I I d b Z Z L 3 6 l E P J l P 7 x 3 T c Z x m K D Y W 5 R 0 t U x h 0 e Q O N C N r A k p a l H c T M 2 s w g X A / g v V G / t O h X V H T O i D a 2 i Z R s n B 8 d Y q C I J 7 k j m z b X J 5 F T J O y k K Y + P m 9 q A N j y 8 j R w A m F n Q u u N H s 5 + y 0 S A G z 0 F D h Q x p R H 0 Y 2 W c R 3 h R G H o o B Y u J J Q q l K G Z A m 7 q j J T 0 G T i D 0 T G i 9 0 X O 0 v H K n B x s D n q 0 i I y 7 M s R p V 4 x g S H S K J R b G E M Q j F q 6 j m h 2 1 V l w Z N I O x M a L 2 x c 9 Z s L 6 V n f D Q 0 z s 5 7 j G X U M C D j F 6 j 6 s K E y k U e G 4 J w U K + f O k 5 6 k b Q C v I M 0 0 o E B 4 O o T s j a y n T P U 6 5 s P 4 U 2 G 9 R 7 V e N O R U G Y u p z o Q / R c n b R B m / o N s S k R 1 b X n Q K T S A E G a z e m E H X w S F 6 9 e i w o / / l g u K X z J R / 0 8 R 4 o + Z k 6 P G T c A w P M r x D M 5 y t c 1 W Y 1 T V Y p V X K O T Q Z D X 4 E z X T 5 C R 0 s D 4 1 B E 8 i x m d B 6 Y w c D n 6 t u 6 z h r l n O p o Y K R g W r j R K W D t 4 w f J p i j b g R B t P e t Z X 4 G T S D s T G i 9 s f M C C / j N t W P Z a J 5 Q b C V C 4 0 U Z j S k 1 P R L U M Q d A c 1 i Z j N s 3 i Q 2 c Q O i Z 0 H q j 5 y n D 0 O w U W D p e b k j L q R n g l 0 z 1 D m P e X W o q 8 7 R Y v R K 4 4 V h F X G B 5 t 0 1 w A i F o D 6 8 3 i k 7 b n 7 o L x w M k c b W M m 9 G j L y q y 1 L E l P C e C I 5 p L U 2 o 7 f K O b G 1 Y N f I 0 m E H p G s N 6 4 e b 5 9 3 3 Q b t 7 o B d 5 v M N V H R Y e S M K Y D E d G 3 p O x F G c 7 v l O 1 m M F T U a T C D U j G C 9 U X O 2 x a i D o S Y 3 c v B J J s G h H T G a V I 4 N i 1 w 2 X 2 B k i Q 8 s N 9 8 d i j o j n k D 4 2 c H 1 x t D L j r K O G z 0 x t q + J C J j Z D K P a S Y a e m n I B c l k 8 A p C T 3 e X h U V g C o c Z g 9 c b L K R o k Z 1 q I A T g Y D J n z w q i J M s l 1 5 q j K q e n g 3 I D g j y q P v d + r Y A m E F g 3 V G y v P m Z 8 d R U f t 7 a / V M 3 q 8 u e 7 6 W 9 f c l j E c F i 6 Q v a J q w Z p j s k q U 6 S l e N V J e B t y i m E N q G f + N c A K h f A f X G + 1 v t u 9 Y r O V 2 H O f c k k i / q H q L F B 2 P b F H + q d o D 6 2 b Y l s G q E 3 J f m T y 0 H T H U a A J h Z w T r j Z t n m 2 b p K H 7 G k Y N + a 4 0 S T L L b 0 V C e T l 9 G r M 5 w I S a x m B G l t o V U h S Q Q W g x W b 6 w 8 x 1 v v 7 f V X e J a L I y J a P Y R D e o 2 J 0 X 0 V 6 M F w G z U 3 2 h 3 E l D t A g T C 0 D 9 g b T c f D d t V K 3 + i R W J e v K U E 4 l v A Q N / M E y c g 0 1 Q b 2 M 0 Q U U t U l Z 0 T q s m I w 4 2 0 S M x y r P E o j C 4 S r E a w 3 n l 6 2 t 6 4 r m 6 R K h x k R c R 9 z n / i I j s x U V C V w g y j Q o s f Y F d k / P w p L I M Q Y r N 5 4 e d U 6 L 5 p h O I q K K R F b T X Q g Y 5 4 8 M y p M L 2 m 3 J t j x s o q T N Q C 2 D Q l B E g g p G q o 3 T t 4 g l W w d I w J i Z k m a + A 9 O X R j c S c d B S G F 4 A 4 U P l T r G b Y i y V Z n I 6 h r T Y A I h Z g T r j Z o z X N W u R a X w 4 + D s l S z t C L m z s M B L C d 2 Q 9 p i S H Z M 3 n B e U P 0 b e T z X C i i I F a q Y h B U L U I W R v d J n t w j J i 8 6 i 9 E a E k m 3 1 / r a R X h r 8 P U y r 7 N v t v k / P i P a A n / b 2 x / 3 T 7 o V k 5 t q S 4 L i n O Y u 1 a i 6 / R b v f G P K + I O r A 0 Z w A H K 8 Q 7 7 J T W a A I 5 n y N Y b 9 y 8 a o b m K 4 Z + 6 U h R u K W w T j E i R u s 1 T m Y L P W m N h P L u 4 Y c B F A h B 4 + f 3 4 L 4 3 i p 5 / G K 4 + f N R 3 p t q G 7 l Y + Y n k X J s m I 7 x g Z l d V 2 E o 0 Q I Y p 7 O U u M c 1 n L H l v P k m p M k p U H w t M + Y G 9 M v W z f Q 9 N f W 7 J f 1 5 W e c z S S d O C p I W G 4 M + 5 c V / l v S Q + e E i w b U W g y E t D b R i W A m h l I g X B 1 g N g b W c f N c M 7 u b 1 c / F 9 Y K s T 6 6 Z h C X B a z I + c e k K 0 f j k q F L Z j T q L n t r R j S B U L S D 6 4 0 f L G O u O E 3 P 9 T d f 4 4 2 U p g X H h j A / q s V G b F d P k q 1 Q L G C 7 2 4 p 2 w T U T V D p q e t I P N 8 1 m 0 1 4 e X V 4 O 7 X r 9 8 I H 5 l y d d u 7 z k u / o D + s K i i 3 / e F x 5 + g t k b Z w T 3 / Y V s 6 7 r Y e 6 7 4 1 / 5 H / q G S g I O 3 y z 5 O n y c L 8 j G G Z p j S Z S K e s M + M Z R C A 0 H 8 U k x 6 m Q u m M W K Z q C s v s d 4 9 e n / w + k B N 3 g N g b g c f 9 m p l 4 y N K L b b 5 r h 4 / t V f 8 O 6 c U B c d b D T r x m M b t c E c S K e Q 9 z T e P p w 1 c O S w s G s n n L c r G + s i R O A 1 T b U f b A B c L h z 4 H 3 R u f j o d v Q Z 3 b j T o x m K S m K p C z a r 8 R L a a u S W L F k J + J d L H 0 M m k D I m t B 6 Y + f 7 V c e 7 w W E 7 Y t a G b x 7 f d N y d r m t F 5 S a k M 1 z C F s 8 d o 2 p m r j A n x s f V L J O S 4 5 0 W 2 G h 4 a u 5 m N k I L h L s v Q / d G 5 M G z 9 6 r t b 5 f t G j 6 p c W 3 P 1 V O o 3 j 8 l + T g 4 i v b v X x Y t I q j N x B 4 9 k 8 k q u l 8 q K 2 D G m y l u c a 6 7 m w 8 n M 7 K b a 8 I Y b o d A O D 1 A 7 I 3 K k 4 8 4 j Y z c L b u L A 7 7 s n 7 2 a a R A U N K T W y l V 4 z L f l S k 0 Z R G D F i t n x a / n s K V g z 9 R c K U I E w 9 i l o b 6 S d E o 3 3 z k 5 b u A g i a c 8 Q A 2 h 1 0 7 j V X B Y S Y L C u o h b 7 k Y Q R S y A c 7 e B 6 Y + d s 2 b 9 r 3 Z 2 W C v b 3 M r m j h U 3 S x V T 3 H k Y G u E U X L L r U b v e 2 g f 8 I J h B 6 d n C 9 0 f O K a t V h + 8 T 6 m k O Q x h g c d x n u S b L C d 3 q V x K I O n Y b s w F H y U O v e s 2 A J h B r 1 u X k s + 7 5 q b r e S i e m i o n Y t d H u N 5 l x w + F 3 l N a J B M q 6 K T G w 8 R Z g P s w k n w y h E F n 1 Z j 8 U p b D O p 0 2 l c w V D G R 3 o A 2 + O p e t u 5 i 9 b o T F P O Y J x E P N a r Y j L 0 L h g y Q Z F N w Q q P A 5 V 7 W c Y P r x o N J x i i R r j e C D r r m Z N z V U r n 9 B 5 p O m J 2 R U 0 K b U d m D h T D P q z S w / + K G d N C d D e 2 S l y D J h B 6 J r T + 2 O n a Y Z D b 7 0 W L y 5 L b t c e G N r n c q C 9 R 5 F X 9 L X 3 r z T E 4 k L s O t z / + n 3 0 t 4 o N r J / B Q q G Y K U y h U H U D 2 x t d 3 W / x O B 0 e t l F g z s l q C + U W m 5 2 V b s q l c x M z / y B d 4 n 3 A E l K 6 X J U 8 G T S A U T W i 9 s f M K + c W N Y x W Q 0 Q K q 7 T B A k b 3 A 1 3 Q y j W Y D C D N Z R g p q e s p W p 0 i j C Y S c E a w 3 b p g z 2 j h S w 5 J 4 C n q k r i y e Y p s u m r U x r F u I S J e y E M N 0 j A R H t v e b w h I I M Q a r N 1 7 + 1 N w 2 j t Y 6 K V G 1 E F L g R 5 X T e Z y S V q m c l + V o y W e t y F V Q A q H F Y P V G y 2 v C N v d a A t O + s s + Q h b p Y a 1 M 9 M L M g I v i M x F F s q v Z Y P j Q G T S D c T G i 9 s c O h b D 4 4 b 2 5 N K B p Q T R C D v Y I h x D o a 4 w D c D W p G E y W D H e f e r F 6 a E U 4 g / O z g e i P o 2 Y D X v a s 2 K U f z U r G I h W i M a a p o V L w w Y E W y I x U E 1 h 3 T Z b J e 0 2 b A B M L O h N Y b O U / b f r h y T U k Z Q R S 3 P W Z A 8 0 p H 0 T o Y y B j W 5 m 4 z 2 h d W 7 t r W 4 g y a Q N i Z 0 H p j 5 8 n Q r C 4 c U 1 F Z V M S R Y a I g j v D N j s S d U s r Y C e 0 g 6 g i i a U H X J / 1 Z y 4 d H g w m E m x G s N 2 q 4 O C + 7 d 6 6 N c y Q q I u H L a r a D U w w Y i 9 g l B w f h A 4 + O 0 Y f d I Y p W a A J h Z / z w P J a y n / f r / p 2 j 5 x H 3 m p i X R + S f 9 O i k m 2 q O T o S V d S x 7 N j A w J 2 a o b O d B N Z h A y B n B e j s 6 Z + + 7 z c d 2 c A 8 K p H v K c L U I Y f N c m e t p f h g W Z V U 4 Y n M z E 2 q d 7 e w h C o S k A 8 T e m J r U Q m c b E Q l R G 1 W q k i M W v T u P w J G Q Y m a Z i I A S X z 6 e I l P H n t d M 1 0 h F j q 3 J M t B r T Z 4 R 3 m i I g d D 3 C W Z v B D 7 p / u Z o x D P H I A n / M B Z C k R j R a F V y S T 0 U I O 4 G y I F g S Y Z J R b p g l R k J l k D o 0 V C 9 s X L a f 2 x u z r u / b x 1 D O + G G G R q 8 / F F m x W w + y Y x E Q a p z L N l g q r T m / K D O s n 2 g d o g C Y W g f s D e e j p v r o X F d / p S w g p I w D v P x i t E M Q g k j Q 8 Y v V h a O M 6 y R J 1 U V 8 T X L 8 2 P Q B E L Q h N Y b O 2 f 9 s r / p V z x K z 9 Y S S z h O 1 c z V 8 E y M R o F z Q 8 V n W i K K u 8 S C d h 1 e 8 q m p d V s S Z Y D N D K x A C P s M t T f i n q 0 u X S s O C I 7 p O e A H x s s k S x d 0 3 F c S U r C 9 R K Z 2 c b y 8 S z V I k A T C j / r U P C Z M x / 1 m / d 5 5 Z n o u U + 0 S j 4 9 b f k b z C R g z j d Q 7 + I G M W A K h Z g f X 2 5 n 5 G i 1 W H O H J I v f Y O H N r e n Z Y + C 5 q / E k z p i 2 Q 8 d s v x w h K g D W C t a W G q t 5 r H M e X 2 0 3 X r 2 b L D d 6 T v 2 n Z N j j h X j 3 8 X I J n + 6 H e P / h U m V D 8 p W W 2 0 p d 4 7 5 y 6 i F m o s h H d i W 0 k d U m 5 i 5 h n J l 4 u W e t I D e c O 5 T X Q B H I b 6 Y / O 4 0 v x o j 1 v V q 4 7 Y O A A W T X 7 r h h T k O X f q W m 4 k b q w J o 6 0 k k e E Z 4 Q C g G W 0 Z d A E Q s 6 E 1 t v J O W s H 5 y V K j E 4 i A W U A b + f f p V o G E Z O T N B J o Z C u t l L V m V 2 M J h J o R r D d m j l a b D t 8 T E h Y 9 6 S o D 7 V v n l X 4 l 6 S W O y L u J H x 0 L z 1 n p R 0 8 u Q 6 x L T E w s b E 2 W g a f m X A 2 0 Q J j 7 I n J v N J L Z o m x z z D Z F 9 o H m I 6 t Y 3 K P W l Z m h u n l Z K v M a H F s z M Q y w p + 3 N d T s z k A K h 6 w C x N 5 p O 2 t V m a J a c N u 2 O J o W C c Z j N T d x b Y B P K L I O 0 T 7 F 2 w G D P P F 0 J 8 b U U D x D P 4 w l w B + o M R G P f t g p u 1 k 5 / w l + A 7 4 3 U 0 3 5 5 2 b 9 z 1 C 6 i + U 1 o G 0 U c P i k S K F m C e t 4 q X I o 4 k D i / 0 u 2 L s Y + y D D 0 M m k C O 3 Y T W G z u P r z 7 c u q 4 y Y X t w j q I n 3 R c v M p J S F b L t m 1 Y r g 6 0 s q r U k R g E J h B a D 1 R s p J 9 + c p N 8 c Z 5 u W + + / y X 5 6 9 6 7 v B s e 1 A 0 6 H G I C r n 5 s M Q i u b Q W E f I 6 U b Q D c p k u W O e R N b a X 8 A M H 2 Y n f b P e B E L W A W J v l L 3 p b v p h z u q u j S N T 8 4 o G u e j n i w q f X l m 3 b q i K p S s h L i h Y w 1 d i y 2 Z 7 o v Y g B U L V A W J v V M m w b P P 2 q 0 O L r F q U 7 K J B I 0 x B b k 9 x I u M o T H q R G T N B m d 6 h W a R x B V P c 3 s H 1 x t Q Y + 8 G V E j F s r u V G / N w g y n o S m W 2 2 Y g y P 9 L E U V 7 a Y D Z 1 G Y o f l g q z t L g p k q 5 G Y H N r W m U a M s / 7 H G f i 4 G j E Z C O S 8 / Q x 2 b 3 z i I r B p V + 3 V 4 C 7 y o l u B j q j C E 4 o b c S x E c e T w d 8 W Y o U J a d L c e + g g o E M Z 2 n 6 D H Y u F p w x Y 1 P D u d O 3 4 R G w C 4 / x A U H 1 g M S f M C q R B B O 0 E j u 2 + 5 J i 2 D w x 2 i U H i a P k K P P L 1 s u X C U J s + x s p E j L M Z a H j 8 8 / I I K P Y c s 2 R X B I Z N J O a t Q 8 G 1 Q f m y W P O 0 h C o S o A 8 T e L r 4 3 T U e f 9 p t E n M 1 P r j + 1 y f u y v 9 P s / i + 3 X J 4 h N n c r j K T o Z R G I U b O v K 1 G E j U u i s A F L k M C w 7 p 3 C P m t v L I k X I I E w r q F 6 o / p 5 N 3 T n W F u 6 0 S I j 5 w m 1 D j R 8 d L 2 Q i R m 5 x J z T y P I u 8 j c 8 O G j 9 4 r d n y c y I J x B 2 d n C 9 M f T 0 2 l k y U d I I E w s b 9 P 8 k 0 / h V m g J + T J W K 8 i 8 T G s I e v U r b A Q 2 F J R B q D F Z v v J z 2 Q 3 / h v P O 4 R u H K A B P j m o z O 7 v T / p N W o w 9 K K p J o G J s t U r J u U B k 4 g 5 E x o v d H D v f l 3 t 0 u N / n G E 3 h W D G j N / b q S v z J w x Z Y v 6 V f 7 B v k j r O 0 2 g B M K L h u q N l K O t / N b u x X U Z a G L 2 X z n F T / P n T D r R M + a 0 4 M z F R m r b G M B g C Y S Y C a 0 3 b l 4 y b 6 G 2 Z r i d G t Z C 1 r Q + m K 5 A x 0 + B d l w X O a 9 Y d k L A h j J s H D m z D A U m Q I F Q t I f X G 0 m n 7 J y 5 a R w X U t N F h B 1 U r d T / K D 0 w F K j j g Z q 2 o z D E V m q 1 1 M t 6 m N a g C Y S f C a 0 3 d k 6 Y u e i d l c e c I N z P G M u k h J 4 o E 2 p N D 1 I L 9 B b I M K j / M Z G m x p m s x m F G O I H w s 4 P r j a A j h g L P m + 5 v r m k o h s U k O + L l Q H 9 K l s 6 Y c i x 9 X + Y s J A 1 l K Y N E D b b 9 3 R 2 g Q E j a B + y N p r O N L F N 7 3 m 0 2 M h C o p U w v 2 3 e d Y 9 2 I W a Z E 7 C C T P M I y P M H F b h Q y J d h A s c m Q q A F l u V Y K W p 2 s M 2 Z 2 N j M F U I m Z F L h A G P w Z 7 N 7 I P B q u U H F 8 W k S y 7 4 G k y N C I t Z n Z L L g D m c w Y 9 U w F 1 y I K N J p a W H m Z D q Q V e x O i Q B j b w + u N p X H 1 5 B l y Q c c a H f I y W h 3 U f C o G 0 q j Q j f a R K f V 1 m l S 7 E M N 2 Z F C v c V S I A m H q A L E 3 r n R 7 o d s 6 X o d z 4 k D i C / S b K U Z r o n o x r x g 1 O / o g D E 0 j H 7 z T T o U J U C A 0 7 e H 1 R t L x 0 H z s l m 6 5 l H S e R G G L U o l z o 4 J y 8 2 L R A s H 9 j u I D p 2 x s g V j d e R p O I P y M Y L 2 R o z Z E 6 P 7 G o 1 e v D 0 h y 7 2 6 c 9 F g j E 6 + 8 d j Y u Q I y G Y Q u P H N W n O C H U N w O 9 k k M n W F R J Y Z B a u l p 0 a M W 6 g j Q T Q I E w v w / Y H / v t 6 o N j D Y r J 6 r I g j K S / I d v X i n i U P R G l y F w o s 2 6 6 3 2 G / c 1 L A B M L O c 4 3 V G z G j w I N D 9 D O 7 Z a z D R t w q 2 R 3 D b D x x P 9 K m y Z s q Z r U M 1 s i 0 p X a r u 6 y O k n 7 a Q 1 o t c 4 D Y G 2 f / 1 m y c 6 1 E 5 T s i p u H x Q T G f B k 5 g d q X 4 + / a m C v i E l q o i W v m 1 B V y E J 5 C Q Z r N 5 Y O f t A m V 3 m E c w S r v F k H T x 1 9 o d J R k q k L F W p c J G t y J q o F F m 7 K N o x A h F T c n u P R A U v E K o M V n 9 U v Z d A 0 d m + c o 7 e N i / y O O W q o 5 A h Y 3 W G H D Y j s x y N A 8 a + E r U J w 7 L u f j Y C C o W g H V 5 v J P 2 1 u z l v z t + 7 i q V R / O E A u y 8 F 1 B y p 8 Y O K U A L 5 t K r 5 W l I 0 w g m E o R 1 c b w S d f L g d X B N i B o O p r W M U N m 4 S N / V B G s F M X f E 4 M U j M z A 5 e O 5 b 0 a D C B k D O C 9 U f N 9 t w x 2 s b x A 4 F E S j k C 4 Z d x Q 5 Q A Y a 7 s W F I 4 Y 0 d 1 T C J s y w t I Q m F F Q f X G y V l z 0 z u S M o 9 Z y c n + u D K p M b P O 8 7 g c C 7 I c l M X 4 1 u j Z N 7 v I W r A E Q o v 6 3 D x q Z H 9 o V t t m 4 7 i 4 b B 4 X C 9 Z Z Y L R C 9 R V h 3 m 4 r e E H S o w z 7 r Q g x I A K h Z E L r 7 b D g i 8 S 6 H m c D + D n p T E Z 7 s K a W F 6 H 5 j 4 w / P x Z T 5 D 8 y e E N J B x 9 4 6 x m O C U 8 g D O 3 h 9 c b R a X P R w t I n 2 q I v F / M e P j j w i l E O P F m 8 w G 8 3 4 5 S g Y a n l a j M R W s z Y F N y J J W / G d q z M d t D m y V 9 e / 3 k 2 o Q q E q U 9 B e 6 P r r P 1 w c d 0 u 2 S j s l p H O M 9 4 g M Q y h o 0 s x D t W / p i v n S F F L k F 1 l 2 C I i P L a l a w c o E K r 2 A X u j 6 U Q M E J 2 9 X v D h w S C U X U o 0 L D Q b m q Q 5 J u Q 8 T p w x l s r p c W z b A M 7 g C Y S j 8 e P z G D B M / s n P s c + 6 7 G / c j p N s U y 9 4 m 4 q 0 U g t P x x U y 8 4 R N m o m I X R m 9 k B l E i f W s Y g h j P 2 x Q B c L X p 6 C 9 n a u / i j n v V 8 T f 9 I c Y g o r p t s v e B a N P p r J N P k T V m z V Z 3 I j 4 K V l y p d E E w t E I 1 h s 3 p 9 3 F 8 D X h H l Z + X G y y 8 o c W L b q 9 U Q a B o S j + l d R K c w x 5 7 R e W 7 O D 8 6 + x J e 9 k O 2 K R f z r Q V O U O 8 g b D 2 i 3 8 K b 3 S + 6 D b X W / f h U A I K u q 4 E 6 G j O 0 / 3 l W h j 9 l d h j o U Z n g t d + 8 m y C E w h x e 3 i 9 U a T H D d 1 e L s x f s Z k o W Z q B / r K U U T M d Y 7 B d H b c / J j V Y l I q I g n N o e R l q M I G w M 4 L 1 R o 2 y B 9 B C C V p I i w O O v p x c 2 c y B / p l t d w e / l X U n C l b p u q P h J B Z J G c W J x r i / W N C S Z 5 0 a z V 4 C z s T a l l 6 g B E K 2 h u q N 6 q M f r 5 g 0 / I r 1 3 s r 7 l H 0 N n D V d f D K N q I J W P G 4 w + j F E P W H t i b q H K B C K D h B 7 Y + q 7 p n M e 2 J V d n W q n h h I R 6 W I 6 Q T 7 9 D U 5 P h N e I 3 J W W V 6 X C E Q g z B q s 3 T o 6 3 S 1 Z F u 8 b 0 r I O i b h u j m 8 V s Y n K 9 w s m R U y M b p N k P G d f s 3 L A k Z g Q T C D c 7 u N 7 o + V M / O O u a U + q 3 2 A V T P + e F Y V x a B x g I j E S D u T e p a 0 m O h h I I N S N Y b 8 Q c U V s f B s d U W L a o s a 1 b J b v F d K H F o t F D K 5 k w W k 3 Y T s 5 l y Y z B E g g 1 E 1 p v 3 L z s r t j C 5 c g N O 0 9 k P y c G c C z v x I 1 W 9 q f K c 1 P J s m i 9 l c Y + C T Z I A m F m Q u u N m W c X X 7 H w l r m Z m h 1 2 H B t s + o i i T V E 2 x n q A J h R N k L T G Y M d + O 5 o B E w g 5 E 1 p v 5 D z q b 7 q V s w a c p i A 1 B Q R B x M x s C j L 5 j X h u Y y l L 3 S 8 r e I b u 0 C w c 0 Q R C z w 6 u P 3 5 a G a F + 6 5 a A 5 i S a E Z I H x K p m i a A + P n L d Y e e B 4 h i S Z I 7 a t l D + S K M J h Z 4 R r T d 2 P v e b s i 4 O E J J h H Y u F p X F r G x c E Y d / G 1 E z O K j u x T G T s i U N l 1 c R Q W A J h x m D 1 x g t W f o 2 r 2 4 0 4 p 6 Q V X X X j O 5 A b x V D J 1 q A c r 2 z q N S V 3 W m J b o 9 N Y A i F m B O u N m c f i Q H / W L N 8 1 h N J u t 5 p I u k S C L + s 4 c V N j q Y M J C i p s f v n h n a r L 9 u g 8 X s 5 G S I H w d I D Y G 1 k v m 5 v O v f U n K 9 B 4 X W o C N a Y 2 8 f I 1 B 4 k J d 1 q 0 j B 6 h Y q 2 p g F q f J A M n E I o m t N 7 o O c F r z X V f S p E w A p b U s t M b I x w t F 1 Y F t p q d q d i w o S L O q h I 3 N m t L b I 0 m E H J G s N 6 4 O d 4 O W 7 Y p u t 1 w 8 x Q v V 5 z j u d 8 Q c x U y X K m v O J H g 4 / 3 A n Z f F M t l X 2 1 Y / D Z x A 2 J n Q e q P n z X Z 4 e 9 N + V Q M B X + Q I M 3 l 8 O t j d N V p d 5 5 S s K 1 x f + V E O E E I i 2 8 h 6 H 1 A g L B 1 C 9 k b V O A 0 2 z l l + b l H + 5 d 7 e l 4 S T v 3 m U t / e k 5 2 n I G j / a T / z V v V E 5 5 s t f v 3 t I Z p S U u y 5 D Y 8 j 7 K Q G Z G L C U 3 W w U j N A / 8 L i x 3 8 b 2 h p y w h b Z 2 6 E v A v T F 4 N M i t 6 V h l x Z A q Y a d 0 w S p K c U U W 5 z Y J O d i y h 7 k H g 5 k Q y g g T N q K W G a 8 B E 8 h 1 O a H 1 R s 6 b 5 m / d 2 6 / p i Z M / I c T D 0 A E b j y q j y a c J 4 k w h / I / Q L o 8 L i S w J 2 g E K h K N 9 w N 5 o O n u P M s 5 R U k L Y X q A T Q p j H r D l N 8 D E w Z J i G d h 8 e v S w d w n u 8 L m 3 b S B p M I P S M Y L 1 R 8 / 3 b A b M 0 x 8 F Z l t Z w u + V c Y E T s q i 2 h j w 8 t 2 U w 2 u C K / y / A x s r Y I M G A C 4 W Z C 6 4 0 c i o Z L R 2 r m T M 2 y / i n B o R r N F Q 7 w k 2 a 8 Z J S G B U O c K S T j Z p T G t t y 6 b A P h R n 1 y H n X 9 X + H D x s V F D Z z W d 6 2 G l q c l h P i w R d Q f i O G o H y E y i W z L r U E 5 s I l / n U d e n g 5 t e + F 4 Z N I a r a q s k 6 n V I N m 0 x C J h j Q K l c Q b M h B x Z b G I Z D G g w g Z y Y E a y 3 y + y 4 X 3 b v X A N p m Z 0 t 2 X + G X o G 2 q 8 z 5 j c s S a J e j O E X B Q M e P a 8 0 2 + T F o A i F n Q u u N n S P 2 j C 0 d s 5 w 5 1 s g 0 7 + i w J t i I q / a 3 j g O o e + e E A O w d G Z c 3 W Z 4 c j S Y Q c k a w 3 r h h T L X p p Y l 0 9 P r X X / r z Z k A N c d l c 8 v t j c s M / 3 / T n z Z X j S j W M E U X u j 9 d N K e N q T B b q v w i i j y A E w U a F D N g q 2 B h h K f 9 e D S m Q v w 5 f R O 7 t 7 8 Y P b M D 7 u E V u 5 F Z 3 Z w 0 Q P l 5 M v c t 2 y Q K B / i g 3 Q h X O a A Y 1 d 8 y j l C j c l r g J U C B 0 7 e H 1 R t L Z L T m W G 0 F i a S 7 K b + T H a t 3 M u F a D h o l o K 2 u Z V 0 v g j / q S 5 c l S Y A I h x 2 D 1 R s z T d m D A 5 I M b N b n s a W I 5 E G 9 b i Q x 8 5 2 E I Z X R E K M S q t S e U a y 2 Z M W g C 4 W Z C 6 4 2 d l / 2 w u e Z F U q 6 O b h x x f N C z 8 v K w t U k s 5 s c C n / h M 0 v P F 7 Y P K k c y 8 2 F 5 v C t M s J J / J A 8 T e u D p T d o a n z F i s H G M H V E h I v 6 Q R n 5 J t o Q M z i m S C S 0 p 8 e G G z Q 4 h 9 n 3 z J 8 j g B C Y c P A R T I i d o H 7 I 2 o 7 9 g o r M 6 U + s Z L S K n 3 Q / z Q r S 7 Y L D D F l X r d M m k m E g 4 q j o 7 O I k i h m C 7 E 8 w D L A 5 I + y o 9 7 E S Z z 3 d i L k C Y q f Y f 1 X x N Z F m H Q q n B T F i / v c A b z l + e X / h j e / k q 9 a V Y f 3 U e 4 5 7 h i o c i V K W 1 O u W z V M 5 3 N V B Z I p D V j w 0 g P k e V Y e z a P e A J h b g f X G 0 P H t D A d A 1 C K Y o w f U q q k k Y l P D O t 9 9 Y G T l B 8 H M 3 q a C c o d f o J t u V J h C Y Q a g 9 U b L 6 / Z 4 + u q Z 8 O 3 D C 1 h L S a y J A B 1 x F S C Y a a W r g x B K T 4 j 4 v 8 n j F n l 3 B p N I N S M Y L 1 x 8 3 i 9 + c y w z F r r j p k I L i O y + m Z c q 2 e 4 Y W Z U k m p R V c d 6 5 a s V N Q Z M I N x M a L 2 R c 9 w u u 4 + O d X 7 Z N 4 V e j X n d C D 3 1 b r / K H D W 1 u J Z x p z H Z c 4 c J K w 0 m E G 5 G s N 6 o O e l v W L 3 r G N 7 N Y 5 o t M m p N J Z n 6 Y T m u q S Q 5 y O g y Z y w Z 1 w t X b H s w B k 0 g 5 E x o f x V 2 7 j 9 b s / T 9 G O e x F 8 3 m R b 8 6 a T D 1 e / j / p N R q L m F U 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3.xml>��< ? x m l   v e r s i o n = " 1 . 0 "   e n c o d i n g = " u t f - 1 6 " ? > < V i s u a l i z a t i o n P S t a t e   x m l n s : x s i = " h t t p : / / w w w . w 3 . o r g / 2 0 0 1 / X M L S c h e m a - i n s t a n c e "   x m l n s : x s d = " h t t p : / / w w w . w 3 . o r g / 2 0 0 1 / X M L S c h e m a "   x m l n s = " h t t p : / / m i c r o s o f t . d a t a . v i s u a l i z a t i o n . C l i e n t . E x c e l . P S t a t e / 1 . 0 " / > 
</file>

<file path=customXml/item4.xml>��< ? x m l   v e r s i o n = " 1 . 0 "   e n c o d i n g = " u t f - 1 6 " ? > < V i s u a l i z a t i o n   x m l n s : x s i = " h t t p : / / w w w . w 3 . o r g / 2 0 0 1 / X M L S c h e m a - i n s t a n c e "   x m l n s : x s d = " h t t p : / / w w w . w 3 . o r g / 2 0 0 1 / X M L S c h e m a "   x m l n s = " h t t p : / / m i c r o s o f t . d a t a . v i s u a l i z a t i o n . C l i e n t . E x c e l / 1 . 0 " > < T o u r s > < T o u r   N a m e = " T o u r   1 "   I d = " { 9 0 6 F 8 1 2 0 - D 2 C 8 - 4 1 E 3 - A 2 D 9 - A 4 7 2 7 2 9 4 9 B A 4 } "   T o u r I d = " 5 a 0 5 7 a 4 a - d 7 3 a - 4 3 1 f - 9 3 d 2 - 1 2 0 7 4 d a 3 8 4 9 3 "   X m l V e r = " 1 "   M i n X m l V e r = " 1 " > < D e s c r i p t i o n > S o m e   d e s c r i p t i o n   f o r   t h e   t o u r   g o e s   h e r e < / D e s c r i p t i o n > < I m a g e > i V B O R w 0 K G g o A A A A N S U h E U g A A A N Q A A A B 1 C A Y A A A A 2 n s 9 T A A A A A X N S R 0 I A r s 4 c 6 Q A A A A R n Q U 1 B A A C x j w v 8 Y Q U A A A A J c E h Z c w A A A n w A A A J 8 A Y E U K K M A A E / u S U R B V H h e 7 b 0 H e F z X d S 2 8 U Q a D 3 n s H S J A g C I K 9 i i I l i q J k S b Y l W S 6 R e 4 / j x P 7 f S 1 7 i 9 9 K c x P 6 e 8 7 8 v z 7 + d O I 6 d O L E d x 0 W 2 b M u W L V k S J a q y U y Q B E m A B S T Q C I H r H o P 5 r n T t n 5 s 7 M n Y Z G S N T W B 5 H E 3 L n l 3 L P P 2 W X t t S N + d m R w V p a B r C m I k U t t P T I x L d I z E q X u K C I C P / h z Z 9 m E X O q K l p S 4 G c l O n J F X r 8 S o z 7 e V T M q N 4 Q i 5 M R Q l K 7 O m J c k + 4 / M k 6 1 Y U y e N H h + T u S s d N e c p n G + w L e l 1 b 1 K x s L J q U l N h Z 4 b n 3 r 3 b I c x c W 9 h o L e s P O k / F d z p p m 2 k t n a 4 X / 3 F O d L x G R G Y t x y U U 5 p 3 3 y I s 7 r O 8 / 0 x S I X 5 a p h n j Q a + v N S f b + U Z 0 5 L V v y k 6 9 t 8 A T P 4 o Q J V Z E 3 J p R v R H m c + 1 m S T a z 3 R M j o R I Q 2 d h h L 2 j 1 E F D c n M y J V f H B t S f + 8 Z X v p H d U y 5 7 y X M I f F 7 + L q 8 K a V M W l 5 v s d 2 0 x S K c Z z I r E 7 + 3 p 2 a d 7 M X P G 0 m Z Q n n e p Z 9 l X n c V H R U h 7 X 2 j r t 8 2 d M V a 3 r f e l c 5 3 R M t t 5 R P q m N x k b G e Q m v w p S Y g x J l l q n H u y v X Z h X C k k 5 V S r T a 3 o Z 5 x / h j I 4 8 z 0 m B r t J X o p x j w s l D V h U H F P u s + W n + l 8 t F + q a 8 z 1 P p J 9 1 h b v W k f r z k h a / / J / B P Q Z 8 G P 8 / N 1 W h V m X 2 S 0 X G g O t e t d L o X + y C q e c t f a O R L p O v Y 9 D Y l c 5 e j 5 a q X G O W R e I t p S T G S X l h o c 9 3 K 7 K n Z B z z e 6 n M P 0 6 Y a u w o t 6 3 w f Y 6 5 T l L H Z I T Y s V F r M 6 8 W z 7 5 c T T 4 + f x Q W T L 2 o e T / z i z D 7 H J P T c m d 1 i t y 2 O m 6 u Q 7 K k 3 1 N u S I C f m 6 Z Q W Y m G a T c 9 Y 6 x O 2 U m + q 9 R r V w 1 f y S x r o D j 0 q b R Q k f S O x d / h / c j A 8 J i M T / h O 4 v a B K N k O v 2 u p 5 E p P l N o V B 0 x m 6 H y v P Y 0 d d x x K Z T a h v M 2 p + V 7 D 6 v t 2 W 4 R Q A c I R 3 t c 0 b 9 g p K f G R c u / 6 B D U h o 7 B t 6 f v + / L + 9 J q c a u y X B H q l + v x i y S K f 1 u d W b o l B 3 r 4 u X t N g R u Q D z 5 W y b T T Y W T i G w Y N z K 6 q x x i Y 5 0 v 4 R C m D R J 8 B m o N O v y J + V C Z z R 2 I V H / r s G / G 7 u j 8 B O t X g 5 9 q p b e K E z g S H n y Z J / P w 4 5 h I p p l a m Z x X p 6 + x q T T h 6 q 7 b l v Q O f J y o + 9 C s 6 A X 8 D o Z z f J n T o a n T F b 3 s 6 M i X p p 7 s A C u i p P m j i Z 5 7 + 4 V r t 3 r t y e v y G + P n 5 H n T 5 + V O 6 o W f r f y t 0 s u 9 L h F 3 I w o n z 1 q V F J j J 6 W u 3 a a s 0 V 1 O n 0 i b f B s L J 6 U L Q Y T W / i h Z X z A p Q + O R k p E w I z H R s 8 r c 4 3 c y E O 2 L g g 5 2 D l q v C S U Z C F Z M + k 4 8 f i c f f k 1 r X 5 S K M l F K 0 q d l F c z B h Z a B 8 Q j p h 4 n a 1 h 8 p I x M 3 Z e 2 a 8 y M V Z d g k K m J Y v v c 8 o 1 o i a Y k J U l N e H v R 8 e W n R 8 I k 9 x z I n J U r a e z r l X E u v f P F 9 m + V z / / p a w P P Y b d G y Y 8 2 a o N e y O q C 7 r 0 0 K s g t l 9 + p Y O V g 3 5 n M I 3 / / 0 P F y 2 2 K n L O O c y i / K t K 0 l V y k R l S Y y d U T s K R f t M 8 Q g w c J J T z m A H G 3 Z E S C 8 m J n / K M q a k N G N a u q F w K z O n V B A i z j Y r i X Z j F + M P z c C 0 p H j L F 8 L B b D E p E w 9 q w q 5 G B V 5 o 6 R 2 J V M / x R l O m W G y o P 3 j h l F K m l P g Y u X t T T U j K x P E z K x M n 7 / p i m z x 5 t E 5 e P t 8 u v U O O o M r E c x S m W 7 + 7 Q O 8 n K R Z j n R m t l P b w + X o s w p P K R C 1 I 9 4 w M z 0 e Z e P 1 l 6 U N F R h j B B C p L v N M a 4 k p + G b m m H c X u V S U t 3 t h D b m C y 5 y R N y 3 X s W M k w / 7 j D a J t 4 b d 6 k b E J e h s q p h V G j t t 7 w d h y a j Q s t W Q m z 8 v x F + 5 I F Q R b i / h P s E f I 7 p 3 n 3 8 f 2 V s m H l a p m Y C i 1 V W Z H n t g h S 4 6 N k c K R D v v 7 k K a Q 1 f N + F n t j e Z j i f o b F z M O x H G R q f k S m n X T c 0 N i n f / G 2 d R E O j O Q 8 Y S R w Z b Z c N p Y u f r 7 s p J h 8 H + 1 K H k R / S o g M L 3 p E + q 5 H d X D Q h J 1 t i V K i 8 A g n d B I u E 7 s X u 1 L B f y r b S C Y 8 c T 9 g n 8 P r C F D Z Z 7 s S c P N x d 3 w j C B P u / P H V S P n W g U i 5 0 z M 3 3 W w X F W p E T J V / 4 / j G / j 8 x k f D K s E 5 r z W V g s t U x x r I Z n 5 d 2 7 a + Y 0 X G v y I 3 H f s z L j 5 T Q V Z U R I S 0 9 o C 0 O g C 8 d N B z b 5 l l y h G C q n M I j A R G 0 X z K K F l m h s X 2 k I n Y c r V F D t z 4 X 7 X a v j j y N I M o 3 A x x B M 1 j e K T E 1 2 y e m r f b K j c r V r x Q / n 3 m k 5 r M q P k a K 0 C P m L H 5 7 w + 1 V G K m k S E v l h F k Z i 1 x X Z Z G 1 p h e S k R E v n Q G i W R n J c p A y O G b 5 N T V G k n G 2 Z h 6 M U 4 I H j p h v x 6 T L y o a r L i 9 T t 0 h Z d l e M Z 8 j Y / h x 0 B C H O o k x G + 7 S V G K J y + l v a X + G + a g T T 7 K A x e x M f M S F x M + J N 4 o S J B j T B d R 4 D e K E y b l m H 8 + U a R v W v s 8 l p 9 h 3 z u g T V z U i Y + K d W j a 2 B c / p / v v h 7 w s W P h 9 2 p l 4 r h z F 6 c y p c V O S A d S k 1 w U I 7 1 i 3 W X Z N t m 6 w j r x r 5 W J F 7 2 I H a q n v 3 V x h j 1 w X l d u 2 g 6 l n 5 Y 7 1 W n 4 U o Q P a Y n G y k W U Q Q 3 8 o i P X E N X D R 9 u g T J P T E X I K U B t t H h 5 r o s 0 + q z B 9 h O D U F E x h 1 Z u V d i R 8 8 4 C i i I q M l P o b y S E P L N / f P m D j 5 q M C o 1 h 5 m 3 s j Z X Y G 9 j s i k E u R I w r 5 A Y M c u H u 1 T W 4 M j M q l T p v f + + a 7 e G h r o v z 8 2 L A 6 G 5 1 + 7 a + a 8 1 R U r F D H k c d 2 Q J m y V O R 2 B u 8 7 Q s a R c o j F o k q h o m k h 8 u S e j a V S l p s o 9 W 3 W V 2 A u q y R j Q g Y d s d I 9 u L B I l f i Z Z b Z D m d 8 p U Q 9 8 Q Q y T E 6 v H 6 N y K d I d a 5 Q g A p T J R C l N m s G K J i u Z R h h C O H s Q P k 7 i l 6 c b 2 C 9 1 B m N w 4 e 3 b i t N Q D o n S m 1 f 0 i Q p l 0 X C n r g D y Y j 3 B h S M Y i W p k 7 G f K E m s / 1 F u q 7 J V l R 8 u W f n l J 5 o U C L w J r 8 a f m T 7 x 6 V 8 p x o 6 e j r g P 8 a o d 5 h o V c 0 L V R l 4 v 0 T / Z E O y y I a i + i s 8 + J a m f g 5 l c j Y 0 Q Q B k g j 5 7 q E W + d v H z k t L V 6 e f x 5 8 F y N o u 9 G E X X p Y R 9 O i + j Q m u 5 5 v C b n P h h n v C E y l B 8 y g L f + o I E H c p C h H l Z k l A i L z W m S z N d j q 0 V K 5 E J 5 7 v d e D 1 B u D s r o Z J u T K j 3 8 N 0 D D b A R T D T 5 i O Z m B i R 2 C U Z 3 V s o E 3 I + 9 x P q d 2 d n j T F O S U g K + J V v P n V e J h E 5 + P u f n 5 V D d b 2 Y 2 G f k 4 O t 1 Q E Q 4 5 P 1 3 b g z 1 c h 7 H U V l o 4 l O 4 O 1 k J I 7 c 8 h r l I y g z u 9 9 W G H n F M 9 D u / B 9 M f f t S + 6 j h 5 5 l S d / N e h M / K L 1 8 7 I / n V 2 2 V t l k 3 I s 2 A s i Q U y + h Y 8 I B L j r 7 7 3 Y J W N O 0 6 4 e i A f i 3 M x S l G p M 5 r X O 3 2 8 u N r Y c o r Y v I o A x 6 H T u B y w i Z n E I S O l 3 s Q X f 2 4 G I H W 3 0 a Z x y e n o Y m L L Q h p N 5 r a P O n T G 0 b 3 g e x U B L L h a F u 2 A 6 x j t f / l z O s 9 T f u d z W p i 7 Z a Q I q e 9 + D e a 5 z 0 e P O Y S T Y Z + W H L 5 6 T n O Q Z 2 b Q y L + R b t 8 r P + V M o n j Q J U U E K r 6 u B 0 b 8 4 e l 1 + / P J 5 + d F L 5 + X b z 9 T J Z 7 5 1 w o W 0 i Y y Y V V j B v / 3 x K f m H X 1 0 I + b 7 m c 2 B I P l R 8 V K / s X l s k z 5 w d m f O 1 N p X F y u / O 9 P p 8 n 6 F q m 0 m t p 6 E B U c 7 Z T x j Y E S 8 8 H 8 1 D J n 5 P w m d i p I h S i u Q p j y 3 2 s 7 v U I n S 9 F i Z Y 3 0 S G 9 A w F 3 4 F S U X f F 5 D F t + r k I 8 X s E 4 P Y j Y c 1 I n z + h w t M v X A i h / 8 c d 0 Y 7 B d E y G f 9 / x C O L s q L D J X / / o p C q r s B K z j 0 S / h h O b Y W / W s C X H O M R m s 8 k I F j 1 a E P O R y c l J d a 5 g o s H R W r m C H c / x 2 b d h n T J p i U 1 0 T I Z / n z Y g J W I C L M 4 B d 6 g t p Y i W 9 F 6 D r T o o P z p 0 T l 5 r a J X 0 x C g p R k Y 6 X L F S J p 6 j A b m O K 0 i q W u 0 K g J A B o u Q 5 O Y i u p l C x t B R g Z z M r U y e C E u f a 3 f e 4 D s l f T t u e / n 7 Z F Q T V T D t + K 4 I c V w F s D V e Y Q 9 G v i E l q s x 9 g d a 6 F U q Z 3 b U + S i Y l u 2 V S K V d w + K v m p v p C b Y M 8 y O g E z 9 d y E f O 0 T u 6 B Y v i k H 4 v n M o v / F X Y O R V a 0 A g 1 C w + U o w Z d I Y T C p S q M r E e + K i c + h M r U J Q P H P y r P r z Q g u D D K F L j F r s / d t 9 f n e o 3 r 4 m l 4 N o v h y 1 n D d G L Y 9 B p G B 8 N k E e 3 p 4 j r 1 y w t l H 5 s k 9 f G 5 e o m W 5 5 t d F 3 1 V m b 0 a c i e l q 4 5 c c l u H 0 t / r 4 b u S q C Y i k r Y Q v n w K T i 9 c 1 o d L 5 U F t 5 l I C B B h e I x 2 t 7 W 5 + a O d g l + W y L 8 h E k / 2 X 8 6 x 4 w Q c m J U w g c L R z g 2 B O e W Y H f j q v 3 i p c X N z H N s Z z A Q v / 8 v R w G 9 Q j A m 2 S 7 r S 9 L k z g 1 F 8 p t T 7 h q z c J 5 B H 3 v 4 / D n Z W b X W 4 6 t W O 5 T 3 u Q k J y 5 z j z j 4 N O z K K y a k F F p q n g U 7 7 Z + / a I k c u u S u 6 i T 2 0 Y Q F Z U x g t z 5 4 d 9 7 i b B L m K f / u 3 A C w V q h D A 0 j O X m B E O X b Z V Z M M / m p L r Q 8 n q Z i q z R 7 G l O p T J t s N Z b n G y G W Y a / C G G v Z u 6 A F A d M l Z C c / m F v u I p I C E 2 A R F B F H o z s H f 0 o + h z X e 2 J l L H J S F X C 0 Q a z 4 5 p p J + F 5 u N u 1 O w G z C X B 2 N z j z U / q 8 i B X J i s I s e f q 0 / w m 3 B T v U C Z h q 8 6 m b Y o 3 S Y o b M H 9 6 W J B / / x m H s S I i M O R 9 u b U G i T C K R / K G 7 V s u f / + c J + b t H t 8 n B c 4 F 3 q 8 L U c Y C Q f X M 7 M d E R c v B 0 r U I c v O u 2 V d I 9 Z I d l Y p P / f P 6 U u p o 2 + V z j i o e d o U K w / H o R h c G m F C + r J d j l 9 C b g 7 z h W e f O c s T H R k p M a J w 1 t I w p f 6 l 0 c + n 8 + u k N e O F k X n k J t K J l F 1 K Y p 2 D 3 6 f F 6 Y E S 9 F G U a Y O y 0 1 R 1 o 6 u h T w 1 Z 9 M o l 7 J F h O D l R w F a D i s H 2 F w O v M U h s u L 0 2 Y A Y o 1 U o V T t K 2 0 v n V Q O J 8 0 p 7 l Q U f l / 7 K W b 4 k k Y V c z c 1 1 0 + 9 3 h w j G S k J O G d g + 3 k + q I m F 5 p E w j y G h Q V W F d u S L x u R L j 7 0 u H 7 q z Q n 5 5 5 K p k I F a f A L 9 g D K Z b 4 w 0 j R 5 S O b a t 3 2 C E Z S X a p L l v l O o 3 2 t / i L j P h h 6 R l N V C v 4 / Z s S 5 J k z Y w r z d u J y B 3 a 9 a H n i 2 B W l s D F Q l N 1 r q + Q F m E w U Q o d o 4 N K f S F 3 m F b d c 2 P w E D 5 U P q 8 z X W c y t a L e b 4 L 1 g 6 M E 7 s D Z O b R j + x G N / 5 U V f O N 0 c t j J 5 f 6 G v v 1 N N 9 F C E 5 h 6 d d 6 I L i O P j D z F e D r h I x Q g 2 a G V S z 4 z / G E W L c 4 b H + T t t L j L 3 R G H J B 0 W H Y d f D 1 3 o N 5 9 T q s 7 F 4 Q q a n B i U 3 1 b 8 f S F O R p l + o 0 o B E K M G 1 V K T F V C b e z 2 r A e p 4 4 3 i 7 / / m y D n G s d l j / 9 / u t S 3 z q k l M n 1 3 M 6 H p T J R e o D y f r m u w f U 4 X L F p v i m / E s q U k z w i x y 8 0 y C A S e b 8 7 e U b + / v F j c q i 2 R S k T Z Q p B g k k k d Q 6 d P e c 6 h w 0 L W x I 2 N i o T U x b e s h i 7 8 1 z r 1 / w p E 9 E s E T M T K p l s V i Y + i z / q A o b r Q y 6 B 5 y C k p Z U o h M F 8 h C 8 g 3 g l Y H f R T r c r d i R E 9 C h 1 L D S X i n 0 z 4 l q E 0 g 7 4 M / 7 0 V Y X D + y Y I 9 K l + B F 0 8 D w 6 M V 2 c a 5 C p 2 h d y Z Y G a i I g 3 J w f p l f c B l 8 n N n J X j j v 1 u Y J k R e M 8 o U q 3 E m v o N B x s Y W g 4 s M X x + R G 7 y A i r l 2 u Z x o E 0 l p L J N 7 d 1 h U p P r c y M 2 O U M 1 B W Y 5 d j h O z n R x r k l b p z 8 t g r V 6 S 1 d 1 r + 5 s c n X d + b d i b R m G h l k G B y Y h L X c 1 + H p r s N E 5 F i X v T c F w 5 t Q Q 1 n z B a q 8 p n 3 T r 8 q N m p a o v F s g U L 1 3 v c X Q d U I o F O R 9 q g + n 2 f a V F G o a L v m K t E o E I u e M V Z H f y F U m n U j k y g C H P Y N x W t c n r 6 + D i 4 w X M 4 a K G / Z W W Z E / G g K m p O p 9 L 1 0 4 I J m j r m K g J R k g 8 P 9 s h n h f G 8 h y s L s m w U a B + b H l k r 6 R 6 e l v b d L 1 h S n e l y S k 9 / t S a F y u X F A f f 7 x u y s t b + 1 C 2 4 Q q h 5 l A W F J T E N i i Z m B 6 4 w c z z f z D y c b F y B Z j B J S 4 o G m w r 3 a X W F G t h e e g Y F M M W a Y m Q w v + M P C 0 E M L o K 0 3 c u Q R A E k j o E U C i M r e + + 4 s H 1 q e D Z i s K x W Q I A L R f l U M N m O S Y g M z 6 h y r J K G x K w Q p q C I C N z l w S J z L N O W 1 C U Z G I a O h E s I F 2 e F l 2 F F 4 k 6 p t M u y I h J v 7 E b O 6 Z j 6 H i s L a G S u Q t 2 r e i X T y N L Z t 4 Q C I z m H 3 v G L b L q M P T n 2 K y c k 2 Q C B + j j s 2 I 6 B E 3 a C U c y w 1 F 0 8 C 6 o V g O Y 1 B V Y J f t K + O A P w t G 2 O L f t 3 v X 9 m T 5 5 m 9 q 5 b H D v s D P 6 s J E 1 0 r 7 0 M 4 y O d n Y g + e a h O 9 U I W / b V C T F W X b J y y i U c U e X b F m R L K + c a 8 X 7 i p A J B 0 w e a A Z N G f o G U / i T I f I I v D j + q L e J P x g U I v z L Q D U w y W p 9 n 1 R G v k u + Q 3 + m l v d 4 R S 5 C Z C / Y v O V 9 8 v m 4 A I S z Q 1 X l x 6 p A D T 0 v y / + G 4 M U + W w u 6 L e h O x H S n d M P Z n Y u Y g x L 6 + 4 5 x h 9 h j j d A x i w P z n e Y Y / S S + E C L I z Y Y B V 6 q e s R i V c Q 9 V d I C C + L 6 z X t w N a d i F + r C i l q Z P S Y G T b o u r 7 W E o t Q L f F s f K N Q t T j R N n b 4 X D L 2 Q p F D 9 p d S 4 Q 0 5 g o 4 4 4 h i R J 3 z u z 6 c L o M m 0 w 0 3 + f 0 r 1 B N n S y S S 5 K / / k m d m r C U t U U p 8 r 4 9 R r L y / F U j p 7 K l I l e + + 8 I l 9 f d H 7 9 j g A q + e v H g B 1 / Y k q a F J x w k 1 i H G i J U C F 0 c L P + G N e 7 E J 9 L / o 4 l q 8 Q S b F c R T 9 / q P f 3 0 O Y U + I z + 3 Y H I t l 4 W Y x m n i 7 L l q g l O K q 6 7 N 5 W p 3 1 l V V F p e 3 M I L n Z 5 y b + V a m f h d T b D i b W X T V G S V 7 o Q D A N k Q v V p G + / p G k b t C g J H n z T H l Q K o Q Z m c + K s G U D u K q W Q X U B F f c 0 Q l r s h M m a A n Y t B I z 8 j n Q S 7 D Z 7 D I 2 P u C h T D x + x B H 6 Y m E + / 2 2 r 4 + V a Z 4 9 8 4 6 k L L m X i 5 3 / 2 c I 1 0 9 E 9 h 1 3 C b z t P Y 8 b W U o + R h 1 6 p o u X O t X b 7 8 g a 0 + t 0 x l Y v 4 n G Y u P W Z l 4 I D 8 L 1 R w z n 1 i b f f y d R b G u z z 3 M B J i g o U 7 0 U I / z f h 6 9 O / H 3 H A c r I f q D 7 5 2 w u W C 7 W W R d i 9 v Y Z Q l x e n q p C k y c u m a s K h r h H f y G f S d g P I g 9 B v t 9 f T R / 5 y K S e B g W U Y z d H v D G C a x l A p F C R M R 5 o C 2 0 A m b C N 4 h 3 r r L c C W l a 8 p h u J 6 s S v 0 O 8 X j m 4 K W 4 E g P a T k c l K r K q D r Y 7 j u K 4 r w z b l F I 7 m p Z 7 U O e W m V q I C 9 q 9 + e F y x B E 1 4 v f Q L 7 V M w m 2 P k 9 U s d r m v V X u 1 2 / f 1 L j x 2 X S P z 3 R U C K S N e l f U z z e h X I l 4 i x u x e d U J X L v K P 5 M 9 H N Y 0 b 3 Y C o E a D g X Q f J 0 h C s M k m n h o m 0 p m L 7 + x o F x A I 1 4 D 3 Z t l d j d V B o t 8 W D m e K X B M P c y k w B G b b 4 W 8 i 7 B 7 5 B Y o y g z P H o r k q + Q X I U K w n x T u M L v k 5 e C w v x U s L A q d 7 A Z m C B n r x O H B v 4 + R 6 L f S 9 L s u 3 2 F A / f l e U g o 5 p 7 3 S V m f o 6 N m w Z / R c x y I s T v S c E X 6 E L y 5 3 E m + Q W P 3 I d D j b 9 5 7 m + w A J d d / H n S H s / X 5 z z Y P I M k b 5 U o f 6 N 8 z g q q Z W q d g Q X i H i 1 0 L A H 2 L A N F e K p f f y R n 8 I S 2 P Y C R x e N I u a S H 6 7 l w U 6 P v R i v U X / O J u G Y r J a s a Q B r r 9 h z a n Y b 7 6 D 6 I o d T 9 1 b c q l T B t K o q X u y l W l T G a e 8 D m O k f q a V S S P v 6 c y U U 6 3 G a s G I 2 t n n X 8 P d j 3 u I F q Z 1 A S D o t A v M j v C 9 N H M 1 + G O x T o q F i J e 6 w k c 1 q X Z d w O B G r O Q H 2 I u E k i Z A j n u b 9 u Y K L 8 + V q e U S Y m T 3 I Z / / c / P 7 8 V q P S 3 9 I 5 5 B D u p b K 2 j L M p E k Y i 7 O m 8 u C y q Q X n l l t 6 1 s 8 l L c y E Q R r F r M y T Z h I R W m u U z E o 4 Z a v c O L P I g U S q j A 1 Q v + M y m T e c c 3 u Q j A T T V + L e U 8 z J Z 1 S V o y P T u 3 8 + b s 3 I W q 6 D o s U B j h Q 2 N z 7 5 n / 6 6 h V l o 7 f C Z k w x 8 Y S b j z O R g Y b 0 7 D T 9 u B r 6 E 2 7 l n O z E w H G y h y L a 5 D M f y 2 S y e W D p B 3 F X I i N S i b M Q 8 R x C 4 o c R E U z z 8 2 z m 8 5 k B t v w 9 c 1 o L L Y F c x a 8 / W e 9 B + r l 7 d Y b r 8 q 0 9 x k 4 1 P m k o P e + M E 5 g m 7 t u 3 Z M P m N y Y 1 I 9 L e / q g m E m U u 0 E p 4 P N + X A 8 q h h S B Y 7 m 5 W 9 x t j O g / N d R 2 1 C 5 W t V S s g o 4 3 p T q a r U M Y 5 3 o R q N 1 d 8 a y U K F n C g X 6 R 9 4 g G H Z z C M C x 0 V v K I g T a H v X 7 k w C Q s h + F 3 5 G K T 7 N 6 y Q y 8 j 6 5 8 E X s V r D L z A / h R d H 0 v p L X S C L d M 6 x q Q C r H W + D p s X Q g J E f 8 R Y m a p m Q D T U V 2 G X y h / w 9 I l 9 m p o n e u T B 1 S q r R V E B L 7 1 h o i d g T L d F C D C L B s t c s Q v L B h z j 0 I 6 o K P S d 4 S Z Y n P 1 1 u u h s F P g 6 I E S U j 0 X i F e u w + f X e x f P / Q J a A e p m U S I X G i T l Q u i b k q v K z x s X F h 9 F U p j S n / w / C 5 D i b w e J b Q 2 K E c Z m X k 7 k Y s n V m 4 i P G c O i L I + a D L b 0 J 9 c p 3 j C n S 8 Y d 5 5 k l S a 5 4 t e 6 s w B k U C 7 U 5 e C T h l C p b K y F N Y W p 0 t R d k m o j 6 G O i 3 r P J / 7 n F / U 3 N g L H R 7 t 7 d B Q 5 D O w a 3 n U f f C j W C n F Q / / R B 8 L V N x 8 t t V T k y E 5 k i X U M j c q 3 L g S g b z j E + L t c H k A A E C 0 1 s N K M n q F f C D 7 P S + u / m P 5 P s U 5 I U g + P g m E 5 O 4 s X i Q l b H 6 d / V d T B s F 1 j 9 O M A k b z F H r n p R + c v E J C U V 1 4 y M C o 4 G H w c Q l 5 F O I j 4 W o z 2 N + W 2 R g O R S h 9 u E e 8 + u X H n q V I s 6 h J G m x u s D q D 8 y F o W X z 7 f I A 1 t L Q N d l l 0 0 V O R I X m y J j 0 0 l S U 5 I o u y q z w Z p 6 A 3 4 x w x H 0 I Y z o F H 9 U 0 h 2 L m 5 p s H E I M F P M p 3 B 3 M E 5 D K R s X w n p Q R S N j z d 5 p A h S g V I i n 0 + V X O C g o b D l D W K h f E u a B M Q N 4 f b 9 X 5 4 2 / X A 6 5 V S S g m H p E d 5 h 2 N 3 2 P Q o Q O g a l u 0 T T 6 w d 6 U 8 c l s 5 8 q S + h J u x k Y N O i 8 9 P H s q K i p k 3 / 1 p 9 K y B B M 2 h + F q F W + i Q k Y 6 8 P x 8 q D W 4 t A R G h N u M / 3 U 5 o x I o c b b s i 7 d p Z I V 3 / 4 h I X H r r F 0 H a X Y U F x / E g p 3 H 7 9 r h W L X 3 9 1 Q M C H b K g v l F 8 c N I O n N E l I e s 9 i N Y N d B t W u 6 z U o m c k l b T M f 7 / 3 x k m 9 z 3 p Y O G A m C g S 3 O S 5 f 4 t V e q 2 m T D + 0 N d e U H 9 / x + Y c u X L D H U K n O c U d g C B Q F j T S l I u K o k J h 4 s O k 4 y 6 k R f k L 8 N O Y Z / X + j M e Y H X y G u n X y X n + f E 9 W 8 g A U L C F i d g + f i j h c b Z 8 1 u Z P W e G O 4 2 K z m P + f P 3 b E Z c w L 0 4 1 Z T E S i n q + N r 7 C F q I Q v S a Q A A H w M M T w E W e V w p m h 6 + z b 3 1 g C u j k 6 G Y o l H / T P 2 D F 7 q s o K K Q U p 7 H / E t r A b F o l p 5 s A L g 2 S S j l 7 t U X 1 M H p 0 h z t 7 H 8 q E N R x B d 8 U u v 1 O L I A V N N e 8 t m U l c J n M D C W n H v K N 0 v A Y n F 5 O Y S Q m J c r J p 6 a B D 3 v f K 6 F 8 V S E / G x w Z l T D K l F U T 6 Z o X i 0 x 2 u r 3 f x f H / j N 0 f U b s l U x m f v 3 6 E m P t 9 F d R F y X o 5 R + e / / c V x W 5 a K 7 h U x j 1 4 h W K A g d 9 m 6 H x Z A H s p t A w u P p V 3 G s F e L B h G D Q i s n v c w f i B D a H 1 P V 5 i b e 0 a d 4 H 2 G j e V G C h z A P z M X q H C u d 7 p d l J U p J b G v Q r 3 O 0 0 e p 5 m 3 + / d X h V A V Y z T B V M o Z f 9 k o A r X n 9 C B T U t O k O z M M v n 1 i f a g y s T z r C s r U B C f 1 6 9 Y + 0 z + r m V l x 6 5 D k E L / n m F y L e y 8 U R K E U O W o o h n z F J 5 L Y w P 7 B w f k Q E 3 4 P N p B 3 1 S I B z D 6 l + h c i e M j 3 L k j / X W u g y T N 3 1 0 Z L 7 k p T C 1 E K m W i I h q h e A F y I h Y W Q Z M 8 f v g q F A v I 8 Z Q Y p U z c i c w T P i f J M K l 5 T l c U D n 4 v y 2 i 0 0 B w k A p v i D Q c y + z n M 1 + h z G 2 a 6 2 2 L R y q R O Y h H B 0 L + i z 0 U U S 6 C g D M 1 O 9 e 4 D x I K 8 A y 4 s e g 1 F m X h 7 W p n 4 9 6 9 + t C a o M h n j F C D E R 8 g d D + k Z 9 o V S J M L + T o N D + 5 E 7 C / H S s x B 7 B 6 d 4 h j v K F G j O G K e d V a x G 0 T b P c u q g f g g G b 8 T h d n w 1 + J R h b I b Z V a T J e X E S S e 4 s 9 a y o 1 P d l 5 q n w d 6 / 0 E R J i Q w t O h K g j Y R 9 G V B h 9 0 i t o b e p P O r v a Z X 1 Z g n z h k Z 3 q k P / x 4 F p X X o s I h + K M O N l U l q I m Z 2 q C c R 5 z 7 o W T j q g V / k 7 5 J v A T K J O q 7 g K K 6 U y q E q M W G w k U C X x g 7 l Y 0 A c 3 B B n 1 / U a a 6 I U 5 4 X b I + A f P S g f i z p k H W W E D z c + n F 0 U B o G B R k / i S U P J e 3 z + R d Z e z v 3 M U Z n u j d v / / F m Z D e X W B 1 w r h b n W V k f F B O X L q G x C c I / D v D z 0 z z n L d V F k k S Q q C / O t G p E r d a d J 2 S + b r 9 g A 6 5 B H + N A / M r 5 S p w d r r N D B O t F E a a 9 N H M e X C S 0 F c i h X K s z W 3 S k K d k O w h g r G R s z E h g M + p 4 7 k q L 8 k F u h m S D a j g r 2 a b G h 8 i N d c X W Q R J O u g Q k e K t R W P i X S O Y O m R L S p y / f k F 8 e a 5 E X 6 j r l 4 R 0 l o M 3 K l E / u K 8 J E N Q Z M R / N o y o 1 D U e i 3 0 J L j 7 + 1 2 m w o U j U 0 b S s i d R w U t 8 D u W a u h o n R F w I H v U t P z R A y i L N + 0 Y Z j 8 q B r 4 a z z n t T H z S N K T 4 g 3 F 5 7 y 4 9 X i g I v Z P y h Q e D o n E x e e f O D S E D c l 8 6 1 + 7 x y h / d s 1 7 9 m 9 X q A S W I R n l o y x 2 o R j x 8 o R U c E I P y m X t X I 1 p U 6 J d 7 I d g E p D l S k p 2 L 9 p w Z L n A k k 6 p W k m r O P W B g d C S n D E 2 s 9 a S g 3 2 P O C z F Z z J y H F p 5 5 c x F g O J i Y F J q E W g m 9 r x l p i 1 e l 8 k k p K e q j v v 5 2 u X P N 3 B a O Y O P g 7 / P N 5 b G y u R S h + L Z O G Z s B y Q o m t W P U O t H x L w f b F c D 1 R S D E + 5 H M X Z n D b o J 1 Q O 0 P S 3 Z a g r x / z w p B x T q q b 9 2 W x j u 3 G + F e o / w C k V e Y Z X H x q D b 1 y j 1 x k 4 q N R K 0 Z T D + 9 2 q u Q e a w R F I j G 9 z + w d 4 W a q P z 9 P z 5 5 T v 7 m 0 S 0 u c + 4 9 u 0 p d 7 8 h b c f T b t p s A t + b x I A e j W Q g 9 M 4 u 5 n D 5 Y 9 I 4 6 / q 2 n a 7 H o G C F w W l i B Z O f q b N f H u e k Z c t 3 Z 0 4 p + L I N E c 5 W I u p b x 2 Y a 2 P j l 6 s U / i 7 F H y 8 X 1 l c r z R 2 o w K 9 y L 7 A M j 8 y e E + V Q Z C 0 k l v 0 W X w 5 t / T / P D m J W C 0 q L b d r v p E c T c a H x 2 V 2 H h r 3 4 e 1 O u y K S D Q 7 l c p K h g e H Z N q W 4 o o k l u R k S l M n f J i I a L n Y 5 R + O F O 7 z B z p + X 3 W 8 t H Z c V w G S t J R s E D a O Y F I P S 3 x i N h Y 0 Y 2 X P S X b I M H b T 3 5 5 0 l 2 v c s 7 F Q f v e 6 b / k G d y W z p C b G y 9 / / s k G Z e h S O K R E N s U 5 F 4 e 8 4 r o 7 p K B W Z 4 3 F m G B J X / C L k v V p 6 x y x X f f p w j I q N I v p U k Z M I + m b P a K k K u z t D 8 b r q Q E X 9 s H P q 2 i 2 z k r D g U b E n + Y G g v X 1 L o T x 5 v E V u R 5 r m p f o b r k d l N J L 3 r X d T 3 v f 4 V K T c t y l X Z i L 8 u y g 7 w e z 0 F V Q m E 4 p 2 5 4 Z q v 6 + q u i g G J T e T L h M 7 x d Y a M M o X F b v + 0 S 8 e 2 J A l S X E p k p m c 6 N L U h Z g 8 V 0 H E M g a 7 m i F J o o 7 T 0 S / J L F 3 D N q w k n r 9 j A t I b e 6 U y 9 g j 1 E v 5 C v y k Q z R R r d d h Q j a u d P 5 4 + 7 m y c R D r / M T C i C V u Q J h g N P V w 7 n z H K T 0 U u Z G x E 0 t O y 8 V y 4 l 8 l + d b p J K F b f G O 4 B i + R X f n 5 C B g Z H X J g 6 j i E p 3 b x 9 9 E 0 r M p D i M E w V P U k j I 6 N Q 8 4 X J 0 A r E O y a 2 k V N C X o o 1 Q M o 3 M g I P D D o Z I W d j R d d j w m j r n r V 5 c r n D O v V h R E u N H a Y H p f b e O w j x b k b i G L w T A N j S P K c p y e e q R s l J 1 5 C x K 3 I R G 8 C u m w X C W h 1 U 5 G 7 q n R x u a O 1 X 4 9 D U P S K 2 C B R B O g 1 / K p O 5 x I S 7 E y O h k 1 M T k p 3 q X 6 F 6 R m b k 8 v V O K J M 1 B 6 F + t w X p k f L T w 0 3 S 0 j 0 I j C H A 4 / F c p A 2 I m + X P U r Q E L c 2 K l N q m Q U W 8 4 r 3 N e 0 9 K v U O x e I + c E p T h w W H p n k p R h J b k H j c j H q w m N Z O g 3 K m Y R 6 M w m c u 8 F j d y U j h r j J / 5 u y x 8 X A t u 9 f b h 5 P n o S c j f N Q e v 8 t F G M z E a E 3 d 2 Q k X Z 7 L H p 8 p 1 n T 8 v I m A N + q K d f t S o / R S 4 i w e s t Z D z S 5 l 0 M C g Q 1 1 2 U s / J o j F 2 4 o v 4 Z m H A M H K s F r S u R m g c T l x q A D 9 F / R y D t O y b a V m X L 0 U j e O o + q G Z v 7 s r s w B b 2 O n F G Q k o A + T k Q f T g F P v 0 H d d y 7 B K q 3 x g d 4 H U X u s J C r L d g g X j B A o m V Z 4 M t x Q D x I F O 3 X j D i 6 h M a w u T Z P / G F c p 3 u 9 b l v 0 k 5 O z V 6 l Y d Z v j + O Q H E W 6 L 1 H o c z T X c B C + k 8 / h M Q c G / I s C X D g q l x E m C b 6 V O 2 S m b e N P A F m z C B N D 3 M U S S n U 0 L A k J i W q Q e Q q x o g f i W c C R Y j M t 0 K F I s J D i 5 n n j 2 F o X f N V k I r m B Z F x e N k B 4 r Q L M R i m c + S C 1 6 I 8 J 0 Z x R S j Y D r u H d D V h T K J g L U y g y b O b 7 m x 9 W Y b 8 1 0 s G X + L / / d g W + Y / n D H r h 3 N R Y j K k n c F c j + f l 5 J v j 6 + q E o p 5 v 6 1 X e p U M z h f X B P s V x u 6 5 G 6 N t / k t r / 8 j 1 Y x J p u J k r A S Z Z Y S 4 Y H r F K Q n g D H Y 8 A 1 X 5 8 Z K e W 6 q P H X a K D X h + + P k v 3 B 9 B N y O + W j n 2 a 9 + z 2 u v L c k Q O 8 y / 1 6 / 2 q u s Y 5 C i + Y l Y o W j D E H G 5 e k S m 7 q / L l C v r i D D p 8 F 0 i e y Q a n M 9 T O j O a r p s Y E N v m W z B O / 2 A F z C q Y M E e w 5 m Z k Y T Z S e o 5 G z e i n 4 e 1 l B r q w t K 5 S V x Y X q 3 7 M R M X K 9 1 4 F o Y 7 e c b x t V f 4 + M i l H f u Q o T 2 k w Y c r E z c O j b r E x k n i W y W F O L a W X K A m t S a f q 4 F K f 2 I Q Q d H J K 0 U H r V 0 T + N Q N A Y z A l k 7 5 G L u t H d p B a L 4 f F p F P 1 F y U f 3 r X B d 6 v S V H p i q U b K z M h P t N o 3 w N E 2 0 0 g z f + 2 W K o d v J A d + N 3 W c K q 3 t a v G E W 9 q C W j D 5 m J 1 r X W C m T n u x W z 6 i n t T 9 l c m A T o Y / 3 i Q N r h D u R V i Y C q i 9 0 j L u U S S t O X c u Q M h 1 / 8 l q r X G g f R a O 8 e M X m 9 N i r T Z K e F K c g V 2 Z l c i C c r 2 X / u j y 1 O G h E u O Y + r y 7 N k 6 F R h 9 S 2 W H M v Z s I 8 n o s y G d c N H O Z b s h 1 K D w K p n c 0 Q F Z o i h M J 4 C 7 k h t A 9 k Z X i o 3 A r s / J L c X M B H U E e D 6 t v d K 9 z b O 3 c z M s i a K 4 U V L 4 J M y R i C G p c G 0 t H + x r 3 q k U O C x X B c 2 R 0 z V P a l U 6 r M p G i p b 7 q K H I Z v P j A n x Y 5 d a h J m 1 L C s Q E + k c y 0 D S p G q C l P k G v j 3 x r F d P 7 K j V F J h t n 0 L n T E Y x j b z S z B 5 S i q A N E B d D l / q V b s v p q g a 7 s / e t 1 a + + X T 9 Q q 0 N 7 v M 4 X x g h O v S f G 7 0 C F q F e 8 N u f 2 Q 4 f b l h + c / y a U h w W C i o / z C S r 8 5 O l E X 4 e 3 7 d O W u / f s g k M u u j h 3 B T q l U I / L t X e N n f o U e i X C f 3 I 4 d F B J A 5 7 X V 8 w K x R X s Q A c g j 4 X 6 U c 6 C U S f q o M 7 l e O R j b E S 7 W T n G R 0 Z k X h Q O m v y e j K B J k Y 7 5 N j V E d m 5 K l U p 2 2 U v P o n K / C S J Q c g 0 F / m h 1 0 E f v d T S B / p r A o O 1 z C A X d J a r L C j A P n j H S q k q y Z R n T 7 e B B i x V / v U Z Q x E y E 2 N Q v e x e t S N x 7 B + 9 Y w M W B p G n T r a o M p U H b 0 N 7 T 8 y 4 v / v h Y Y T N u V A Y Z h / z P J 9 / 5 3 r 8 K w 6 7 1 a T 8 / L W z H o + s Y U 7 + x o F j q D p N w s 4 h q p 0 R s w g E D J L B R 8 A u 7 F q 4 U 8 1 V t q 3 M k J r S N P i B H S q w Y U 6 V 6 H P S 1 9 P t e N 6 7 Z w M o A a b B Y 9 8 m 2 e m F H o W d z P P V N o d B x 2 R x 0 2 l B F M o D b T 7 X h w 7 n e 1 t X x I F M 5 L o r U q e j S y p S E 4 J T p G 3 m 8 f E x I D g I + o Q S z o 7 B n L S r i T U 6 m Q B F A d 0 y m i Z T O h E V A 9 Q S 0 Z k Z r F j D y v / K S 7 F J U 5 9 N M R s V p F K L k 7 A 7 I c G J k g g S q J C j 4 W b I q s J 0 6 e j t c 1 2 a k z 4 j A d i 9 2 C Q Z Q i S y I C N J c t P i M f E b F d l K a g K B t Z H K P N T y o X 2 V k o y F p L Z l G s 8 Z I d t W Z 0 n X D X B R / O 6 C 8 k 2 N y J T K l K p g Q E J c L i J u 0 7 J 9 R Q z y X E a y c 3 9 N v n T 2 k 4 c v 8 D j Q r N S 9 n b g O F K T H Q p E N e j K X 4 I O e 4 a m w S / 8 f 2 F I g i f B v x 5 F G a c X u T O H 9 M w R P 3 k g d V U w C 0 o U E Q X 0 w g Y s y E z G v j N z i 7 V X Z L n I a f S 8 3 B k L n W v T 3 / u O i h 5 1 h G m v T b 8 l 8 K N d q d a 1 D 4 u L c y A S N W t A D x A K 5 Q K I z 5 r G x x j l Y D D m M M p L K 7 C l J x g v O S I p y o c y Z v L 0 G x / 5 K e 5 + 8 W N u B l w P o 0 k S C 5 O U U q k h h z 3 i q N A + Q i / 1 m q I / v N Y v S f R 3 v f C j Q h 5 1 + 1 M X r E / A n M V m q 8 x F 6 T p a B 4 T F p 7 0 e j M y R e l c A E / v H L j e D l M 1 b h i d l k O d O M 5 P F Q q n z m v s 0 K x a 1 h R k x F P L i j T J l J O y t i 5 W 9 + Y p B c l i O n 9 N z Z 6 6 B z n g T O 0 c 2 J E W y E S D 3 W 3 m + x q 0 N 5 1 x Q k K J x h c W Z w R A r N R B 5 7 r X N A J r y C a c Q n k k W L 4 X M X 2 g W L S W P n i M I 5 l u e X u W 7 z H 3 9 9 E o x Q t o B N A o I 9 0 1 w + X / I d q r e / 2 y O P w h 1 K 1 b 3 g 7 j m d d F m 8 f p j B Q Z i I e P n 8 M S p D a a 4 Y S s c B 5 n d b Q F G m O Q T L M 4 E f R A Q n 0 p Y k 5 5 s 7 X P k V + m m 7 q l f j 2 7 H w R 6 Z Q G h 6 r d i t 1 n v k v X H M Z e 9 V p r x V t L a + 0 d 0 n z j U 4 w 5 U a h h s y h / I G M 9 B L w R W S A N z B R 5 a l 2 V 2 X I s Y Z m S U 9 O w 6 I R J 2 u L E 7 G T O u Q P 7 1 8 r x 2 A O X e + D / Y t x + e Q 9 m 0 B I 4 / t A X S C k q S j K h z / W L 2 X p K F 3 A 5 s P c T k l O N l h j p w C y j Z c L b f 0 I C s R g t Z 9 A X h I c 6 S b f J x l w M I c T Q m a D k j C x + w j 4 / 9 K w S / a C 1 d L B n F M Q C 4 P A V c o 4 d r E 0 5 M j G n P w Y 5 s H 7 2 J 1 l 2 F m s g w n M U X J R I F C X u c g a c B G e w U 5 c m m 2 X z a v c p J 5 b y 6 P l l f p 2 P M c Y x i o 1 J E B 3 q C 8 w z j Z k P K a f n y U P S n T 1 N M O 0 C 0 6 l 5 a 9 j g k G K 6 b m l D I 3 B X p 8 k P m 9 W 3 r a z R g 6 e u Q r b 3 n O n o 0 m f n Z G O c O n S 5 J l C e U G v n m v A 7 l I m 3 3 v + o s f h N q y 2 u 0 D M r y V q t k u m I 7 I U F d j P X r 4 o m 1 f m y L X e W N m x 0 i b / + 2 c n k e h E A S c I y 7 Y h X 3 P 7 u j I 5 c R V l G 1 h U X q o 9 L 7 v W 5 C B i m u 4 y u S J m + u W f n m q A q R Y p 7 9 y a L 4 / s X i 2 H z o 1 K b i K r e 0 f l x Y Y B R E D j 4 a v Y 5 N s H W 1 w 6 s h r 5 r w v I f 9 0 B U + q F c x 1 I f 7 j J S 1 n q w e s c u d j l u m f 6 U 2 y N a h Z v I h S a i f / z k Q 3 y j S d r k T f 0 X A T 4 m e K 8 c J q o 5 s T x P R s L Z G J s V J J S C 5 A b 8 t 3 V y z I n g A M N j z A o l P f F Y 9 J j r y + v o M T 4 a J u M + M m m s Z g x w w t N Y f W g U 1 O T K p o 1 g 6 2 F U R 9 v Z 9 W 7 s O 3 B X V X y c s P 8 + i W F O u D h H P f P v z 0 s a / M B o S I K 3 J l j + + A d q 8 F I 6 x n J 6 u l t U j s W h a U 2 F 5 u v y C f v r Z b L 7 Y B Q T Q x J Z W k B / M N x R L Z i g Y z o Q 8 C i Q V U H + J P f v 3 c N I o S j 8 v Q p I w z 2 w L Y a x R e 4 M s M 3 Y f z t 5 x B h c y 5 g j C 5 + / K 4 V c u Z q D 5 R r S K q K U p H O G J G 2 v v k 5 + t 7 3 S b O U C 2 c 0 i g C 5 G 5 B i 7 K 5 N G x Q 3 O w H A F 1 u Z m w J k C 3 R 3 V v L a + f N y G x a k Q K U h 4 b w n 8 7 H p s e 0 B F W r J f a i V B S j H 9 S O h K B O / q i A 0 + N E J Y M 3 Q Q 7 O Q O D G j d B o h 2 x F k 5 B 3 j S 6 p M o R K T 8 D n U C 8 c X + I e G 3 X g r E 4 9 L S 3 P j 9 F h q s 6 4 s X 3 5 + b A g R Q F C h j Z P K G g x V g O + w v u q b T 9 W 7 l M n M O m T u l v j V J + o R O U u R D W X p s n 1 V F k x K R O h w E z n p h k N v l k / t L 0 V r V C O t 8 f v 3 r A H F c 7 e K G B b D b D z e 2 B u S M i n O d P y w J I S w I u 5 o B r E k a 6 k 8 A x a M P B p Y T g P h / h f v 2 a S U i c 3 l P n X v Z g x U m r q X d D / K x M / Y K a Q c X I U 3 Q 5 Z c o V r 7 o m F O G M 6 p F S Q / F E Y l v f 2 r p J 7 T j z L K E e w y 7 S Q e 4 W f x q M j d u 7 F i S c e V E / P u G s 8 O j I F v w O h P p I I D 4 I K w E i 4 e l O j Z H h k Z b k P 2 3 z 1 Z t l X m A r 7 T J 5 v L 4 3 x w m G b l 1 q B T K j H R 3 / / j + 3 V y G i i E B h N K Y n I 6 U n 7 w 8 n V 5 A i U 3 o y 5 8 o 8 i D 2 / L k 4 3 v z U a I / i e h p A v w V J F S x a H 2 e p R x B R O P s u M g R 0 0 f f h x h C j S 8 k B M p Q L C P M r j F 8 u q D x S 4 + d U r + v b 5 3 A r j i B c p c o + f D + K g S Z 0 I 6 H 5 q D X 9 S s L D P + u s T M Y h 3 y w O / f z e e C 8 r i y 5 D 6 V v k w l e r V S B o P k 6 C 8 4 X o o 8 b B w J b l y E Q Y G l H x E / X 6 + j z a + j M + o r V i D 7 d n D B 4 K K + s B D w H z A F N z U S q n W V N A f g G L z c h O A G z F g / F v F Q d + j 9 9 4 I 6 N Q H 5 b 4 9 L 2 r I m X k 1 f G 0 E I o E v 1 x 4 + X f A U n K y 8 i X / q E O K c j K k 7 1 r 4 q S 2 E a k K + F V P n O w C f 8 U 4 E t 6 x 4 J s 3 o n K c I 0 V Z i Q D e D n s E j B 7 Y U o R A C X z P t F T 5 8 u N G K x z K / Z s L 5 R t P X 0 a 4 f k r + 6 j 3 V 8 v P D x r s 0 C 3 c g o l n o 7 1 p 1 N T T n H K 3 o v r z N 9 j v W G / z t l M 3 l E f J / f 3 l W 9 O 9 Y q s F 0 x + H 6 8 z K B P M r G 8 k x J T g y 9 G 3 0 o 7 0 k f k x H X E R h t b m Y 9 C u f E 8 z 0 2 J R b o B v h S w e p c y I J k g y 2 t X r w z i u S g E p H / D U r G g R + l Q z s 7 j R I I E J K o X M W Y A o J y t Y u P S 5 0 H z G S + T x n 8 + 0 U Z U d L Y 2 o L S 9 j H p 6 r 2 B a F + f K 4 + j v a A b g x P y 8 M 4 C A D 2 t w 5 F N 3 Z O q F L 4 T e R Y m L h P i 2 H s X 4 X U 0 6 G 7 s Q g J 3 r A P j Y g R y X m 4 w k u o D g O b o a K n x b 9 8 V / U b f q L T 2 T c q T p v I R 4 z 0 Q h T A g / / 6 H u x R y Y 3 9 N n g L F X m p 3 I 9 P V L o T x V 7 u r B Q x P d V F 0 d r 4 w k s z o A k K / 2 A k 8 1 W Y 7 P 3 v 4 t g 0 e H V K I B b 1 n Y z G Q 5 9 O g o b b J 4 6 + c Q Z u f b v C 8 r 1 f 0 1 9 O z q C 9 b J D x m v E 3 n o a z f 7 U 3 b o T j G B a i O r G t s x O p M O I x h 9 n i P P X 0 g u 9 0 o q V B d k H A s I S j M m J s / 0 4 / H 5 C w L x P b W l C B n Y / E m g 8 / x J T u C y P u G p m b X 9 b i i m y c 5 P 2 C V 7 W U o z K 4 1 h V h Y U s O + N 8 K p C h L 7 V U v P f 3 6 2 y b U o M Y I W i G q Z F 3 o A O 5 G 3 M t H X Y 4 K c w n x R N B c 1 b B 1 m h I f 5 J m n K m c t t z A q j d z G F f n d C i s z 0 0 L R O a B B T O U k 2 q Y X F m S e v j A v 7 D E 9 i q 3 u l v g 8 5 x m h F 5 r / Y k h E f e I d a c h 9 K P z C V h 9 W R G y t K A a I c A q M S I j b O P Z 0 R n i l Q P D H I Q A d W i x p c R s Q i n Q p m E c a J Q 6 n 4 2 7 d X B l W m x R / 6 w K + W q 7 x Z m U q z E 9 D u 0 z c o w I J A 9 t G t R t f B V Z k D 6 s c s / P e a n F H 0 N y Y 3 n u 8 1 b 1 s Z I 6 9 d H p a G j k n Z h 5 3 E J c z / B c k b e a P u S d f V 3 O O O 6 N 1 R X a B K G f w B Z U n U Y 1 Y m f p 9 B B 4 2 O I V K D p j u V S d M e s 7 6 J f 6 c Z q H Y 4 K B M p E u 7 b 6 C 4 o p T J R u m A q / / b U I E L 4 R L n c 7 D d q j O x N 2 6 H M r / 7 l 2 j r U r 6 x D o t M T S / a R O 1 c C b e 4 u C 7 f K T X F 3 s 6 n m Y A y f j y r A b H 6 e d e e + x V 6 9 w j l / V a F N X j 5 r 9 H C K j U A V 8 q z / q F Q U s G r b K o z o l n t B Q u 3 S e L J k x h o m X A Q m 4 b c P t S n 6 A C 5 W e q 2 x w 2 + i Y p h 9 E s Y V a R P w G D K / W v F 8 G N d x 2 w w E 0 n 7 m W 0 f V b / V 7 q A I C Q t O E v W N r s V x C n q q + z T f 0 7 j 0 u 3 k 0 K d B S Q 1 o c O R r B f F d H j 1 H k u q p 9 7 5 1 a Y s 5 5 m q R N B 5 T P s t F A c Q Z q S h / O u z M d m x n c u r 7 C 5 + e b 0 A n n 7 u m q E O c H 9 h 2 S i W b 7 7 w m W 0 v 0 x T 9 j p F 2 d 3 4 c 0 V R u W R m l M q W 1 S v l 0 T u r j R Y 8 S P L l 5 F Q A D Z C N b o E 3 j 2 s v 2 I u q Q G s a y i u 1 l x H V y 1 W 7 R C B l 4 r F c 6 b 0 F 2 G u X M v G z T G f I m 5 N d K 5 M N K / y X P r B d h d U 9 W J A w J d 6 H 1 j g f 3 r d K D m x a K 3 / 2 L t + + U T x n C o o b S 7 J T g F y Y c C m T f g + P 3 l 7 s w b l 3 9 E K n / P R I G / J S E 5 b R W 5 a d / L f 7 D I i U N 8 8 9 / 0 1 l M k u C b R K g Z y M C y F 1 q Y N i 3 c t h f n m m x l C n Y u 1 V j E 8 p B i 3 W M H h A q y r 8 8 f V 6 2 r 6 m U P B S k m e W n r z U r N p 4 Y v J A x l F 9 k Q X n 6 U b 7 M 7 1 7 t m p K D t Z 4 9 e o c B 0 3 n 9 s t s v W a x 7 n 8 t 5 2 S U 1 C q i G x i t n U P 4 + C h 6 P D r + + R 9 j n t z D f U l F 0 e O j 8 q C X Z 5 I 9 f a Z T v v w C E x k y f H L k 0 J u + 9 f Z W 6 p H l a M 1 B B k C q h S F q o G B / b V y 5 n r 7 k r B v h Z J 2 q u N p U l A 8 W R j n q m E T m P m q a N K I i k 6 f b V j 2 2 X v 3 h o h X z t q S v y 6 X 2 F e M c I G j g 7 d G j 0 h D e / O S O D 2 e D X 5 0 J A P 6 y l z 5 O a g B H N m y J B w u Y 3 6 a 4 8 h 4 K L E 5 3 O l h t N s q q w 3 H K c T l 3 t l 3 w T W b 6 / w Y y I z k D p u D E B 7 t + 0 N I Q r o b 5 Y d k J 5 t a 5 R 3 n f X e n n 7 z k r 5 0 a v t U l 1 q n X s y n 1 P T c o V 6 H X 1 c F 8 L j D C c X Z Y K w w Y + 8 W N e G p G m y d A z E 4 B 1 U g 5 F 2 s 4 I R a f 3 8 7 L e P q W 8 q 0 w v v a Q z h 8 G O X 3 C Q p 5 t M S Z d 7 e O 6 y C F e v w k 4 V K Y V b R / u G / H p O / e O y i f G R P n u K C Y A C D l G N q 9 4 H C u A l W w M 7 k V D S e l 3 9 n w O I v 3 7 v V B / U w 6 u w E u T w 8 J / c o L A u F 0 r e z t 7 o I t U p x c u + W G s v X / 2 q D G y v m b 4 K s B X d d c b 6 h l E + d G p Y 1 + P d y k Z w k Y z f 9 y i / O y S f + + Y j a D c q R 6 G F Y P B D C g s D e h A T / S h H o + R p Q u F i e b w 3 R 0 d / 7 6 q 9 q Y X L b h K U 1 Y 2 N D s A a y Z A / M c C r Y Z + 7 b o W i f / w B / p i f F I z y f J u k A 0 A Y T 5 p l 6 U X a f D J D t 5 + 5 f r Q 6 n 4 j C H q H t a 6 W Y E O t e o E r / O e j Y i K I i E + a P 7 q + X w 5 W m p z L L 2 z f w D r I L d 4 d w + 9 9 u s W s U j n c y x V q d O R h f z p Z Z L H U C O d 4 + r u q Q D m 3 2 V y o 6 + t Y E E P c b g y C J M G z G g O t L T 3 6 p v d Q h J U J a D n G v q k h Q w u z a 0 u f 2 B 5 8 5 c V w Q p Z x H p r C k D N Y A f m Q T r C j F t 2 S l J c v R y f 9 B C T E 6 0 I R C V 3 r O p Q J 3 x z v X + q b K u d g 7 J 8 Y v X 5 F L b D f m n p y / K P 4 F D f W j U 0 6 T j O d 6 / t w b 3 n 6 A I 9 k O R 8 8 0 9 w s J O l s R / d E + + + k o s S n f + / F 3 G v Z A b r w B W x / t u d 1 s l V C 7 F D Q E O w T 9 7 Z B v G x d i D Z q K D 7 + S h 3 N N i H + O 3 f M P s 2 O 1 b m w B / x T 9 7 z E L e 5 K C z C T 3 h I 0 0 o j D N z R 5 C a q j T H E w u 4 M g d F h W C 6 n Z q N U 1 R l M 7 O R K J i z A U 2 N j h Z 9 H V h N k 1 T 7 z J v p q H J 8 D t S A 0 J 8 l 9 5 H R q D 5 1 8 5 h n o H R 9 e N y Y o L X N K K c A n x b 5 H 7 Q w J L 2 l P A n j Y J h H I 8 D D t W L R a e 7 B T 9 c o S C 9 B X g M T K i H O L i / X u 3 d w T k N G 7 8 6 A V c g W M Y 7 G C C n g H r Q 2 1 X g t o i c u I E K 3 p i g N f w 7 K 3 u p C 7 K C + H R s L M l B D d q N b N T o P F H X f v 7 5 U P n 0 v o q 2 R q f K B P Y X S B 6 I d L a N 4 h g 0 I z q S h e L I P d G K t C G R 8 D B w U B 5 A 6 Y b 4 t M S 5 N C s A 7 Q n J P L V Z 0 4 Q s 5 7 0 I 9 V 0 I M a N 0 C + F E h b U P P n 0 P Z e E V I h 4 Z 6 X 0 G P Y 6 Y 7 w i K M s 3 O V p 7 n x n W c v y F b 0 R 9 J y v c + Y j A O j M 1 j x C 8 B p g C p c 9 K n a V R E F Q s b Q V t a g N z e H A 5 6 r d c i X f 1 Y r X / 2 V J 4 f D i + c 8 J / l x 0 G X V N h s 7 2 I r c Z N m O c L l 3 H 1 z W L F G o Y C / W 9 y i m 3 6 / 8 v M 7 v X W l u v U C 7 F O f I n z x U I 0 8 c b c F 4 Z k B J r Y s B C Y / a X V 2 l y k P 8 S U 1 p h k z O J g I T O K Q O + f W p E R D w u A G + k z M o 2 0 c N F d E u e 0 B c + d 4 9 F Q D a o j K 3 a 0 C V l V i 1 E g 2 H G m E O r y e M r w S O S o S s J Y c v B a 9 h C u O u Q j r 0 N r y 4 / / X u b b D p 3 b f 5 F d T / n L 5 8 E b U + t c j j 1 A L X l a 4 S f 1 Z i j z S 2 u 2 3 g L s 9 K i R N 7 T L K s z I 1 x U Y p N j s + d 6 y C k B z A d 5 K / f r C a L N J + P J P v k h M h O t n 4 9 C m p l k j G U t v q j 2 d K H 3 b s + Q U 3 U E m D 2 z B I X Y 1 z j A G q M P v L 1 1 2 B + l c m 2 V c E B x X 9 w n z V B 5 O 6 q X H R r 8 c X R / d K p X K M I G J 0 A H / s l w I Z S k p J V k r 6 j z / C P + l D 0 + Q I W b y t Z Y V F a E u 4 7 W I j j g w T 5 b m 7 Y P J Q H f B U U W z v X r I U P s E 6 q S 4 z k 5 g e R 8 B 0 A R R b N w r T E W I V f K 8 7 0 N U 8 u d h q / Y 1 j 4 i R P D Q G Q A x o M O g b q L o S 0 W H A R L V P 4 e A Z P t 7 Z v z j a I 5 C 5 l G Q Z 5 Z q s C u a i V M g o 6 r r h m h S y l K z / / r h f M I a 8 c i P L 7 G I 0 9 E Z a R U 5 K e q 4 E N G s v / y G v M V r 3 X 7 h g N 2 r y 1 C I M G / H 0 i f b i w y T 9 6 x o 1 w F K J 4 + 2 S y v n A f P 3 f S 4 r C u Y t q w 0 5 j U 3 4 r 4 D 9 r Q J f S j m f 2 Q Q j V o W S I m 5 P C V 9 p N + d P I t G 1 3 H S 1 G P s R O / e V Y b O 7 c s j V E 6 T y A z Q P H a h H k 3 R D J + A G 6 5 m d j U / + 9 / + H h h 7 Q C o z C e Y i f 3 L 4 I l d z z 8 l M n b i I g j 9 / c q A 6 X W K B h + w Z G p f o 2 H x 5 C Y 0 G z G c w m I L C R + S / W n f e x a K a i G D D 5 g o 3 h 6 D 7 X n y t h / 6 B a w i Z G 0 f M I p d Q n p M q W U C / N / U n W h Z G 0 m e p y h u X c 9 e X h i Y 7 0 H z M T u y C D + U / t h i y y T e X S b + Y 3 x k H t I S 5 q 4 r i C v n a J 3 a p S z 1 + 5 F r Y l 5 x v h z 1 / F / R G O 3 / h 4 Y 0 g 3 4 + H S Y C q 1 w N u a J Q q M 8 H v P n J 7 r r R 0 9 s j 4 x L g q v i O c 6 v P f q w c 3 R i J K M N L k T 3 5 Q L 6 e w E 7 8 H / o a 3 + R h I m X h / R d i h c l K i w O W X I A f W 2 W X / h k L 5 k w c 3 q r A 4 f 7 Q y h Z v T W V n g j r y V Z g U n Y N F j 9 f Y t x f L g r k q 5 o 6 Y I S j I q P 3 i t Q w 6 e b p Y N x d a j y T G q L M p S R Y b e H S n D f u H z / k L g L e o N u 0 N 5 j 0 u y f Q h k I W P g 5 f M N r 1 Y X o n F A V q x c 6 R y V Z p D N j 0 4 Y u 1 g S 6 m h Y r b p U w g n R 2 9 O h g g x E E H z n 0 H W U Z I z I x 1 C 8 R y E i n E n P U Z C L / K / H m y 1 R F F 9 8 3 z q A a j 2 7 H X b 0 D Q k e y 0 f I v U D 6 5 r 7 + P t d n 5 a i Y P o P u H u 0 D s w D U R q O p + A R K y r H q 2 k I z 9 f S J j A 6 K s 3 L o T J 2 K e v 3 e 3 m o U O F q N J C m b j a S w l g P V N n m m D u 1 1 A G R + + s R Z + e N 3 1 s D a u C p 5 2 a U q U u s t B 9 b F o w n 3 K D g w k t S 1 H j / q f z d e 7 H e Z k 6 g 5 3 6 2 v 9 I b d o b w f Z 2 w q C a F j G 3 B 8 x i N t K D X 8 p 9 z k U e R V z s q n v 3 k C / Y P q 5 K k T V x U 3 w d n G i / L k s T P o s b R 0 L 4 c T Y c g R J T 9 4 F Q B L z I w P 7 S 1 R k 8 2 B i N o g m G / / 4 L v 1 c N R T J C 4 h H h P Q V 9 F 5 b D R 8 s W m n H 0 a I 6 4 r U C V T U F i I h n q W 6 l 6 / K S w R d y y y 6 G s Y j / 9 P m o U w c j y v o R 9 X Y 1 i T k q T h 9 q V G O 1 L d I T m r 4 b V G p T J S d a 4 w A x P o S / 4 l n 7 x 1 V t + N h v v F j d 2 + S g 6 A t y w C k z E q Z u C M 9 U z u K U D r f 6 6 w c u + z M q y y g 5 o R D W x C E i V m W n E Z s A c f B 4 1 R 8 a Q z 1 R k X O S O 9 g N 3 Y B Q F 8 S R + W / X r y s V r V s l E 4 7 T A S M 3 c P A A 2 J 0 r n T 0 y y f v K k D n 9 K X Z q c Z B 8 / z K + S b w k Y O k E 4 G I Y 5 f 7 0 J m k D 8 l S B z j b R 1 W 5 Q 3 5 S B C a R k V j l c / H O + N L X F Z H A c h C N q R N B o R W P X T d e E h O N r h u Z 4 E b / 3 o v X Q C o J c C q e a w A V v / / v h 7 d g L H y 3 L j Y X K E y L k b s 2 l o N w B b R u 8 0 i a R k f F I z e Y j e v 0 Y c d 3 9 + h 1 v x z D k C Q C X F f i 7 F + f p Z R n C O m M P u A y Y + 3 B l Z F 5 x L w U 0 m j 3 o G g 0 C e X 4 C / e + v D 0 i o 8 O j d d + R R P t o w P z b m 2 a H 0 i + w Y 4 D d y b N U 2 b v D 5 P k P k o g O g 8 R W L c y l k P + P i U + y k D Z 1 d K P O C E l V R A o r E F Z f T O k F y Q p 9 P 3 t s P C p 1 3 a a b b l 7 d g H 5 O O S D i / N o n d r v K J P 7 o v l V y Z 3 W m w s F t Q p p g L Q v 7 Y s g C 6 / Z 6 I p G o + f D t n k 3 X / v R 7 J 9 B 0 z E + b U T z 3 9 5 9 v A L N s 6 G S W 5 n H h W J l l 2 B G H B c J / y J Q K o W / 3 + b o x 2 Y o i w R U 5 g R E s 5 V k z C h J F 2 Y L j n z / P k n q g a c D 1 v p h C x c 8 D u o a 0 3 L 5 y i / h Q V g O 8 p S x C / u E J z x o r 1 3 F Y g r g y V Y M K K z / V h u K + R O x g 0 6 D w Q u k 4 8 I S 1 7 Q k A j I Y f + Q r n R e 9 c h c h W 9 x R K H q j s B t + g u f I 1 C g i H W X H I 0 Q t d Q I M Y R X U s x f j 0 f s N 7 z w e l d A u c p / L 8 L G D k B r E r Y 9 e L S g Z p S 7 f 8 C t 3 + u M r O o F D z Y / t X w j 8 z d j k H t o b r 8 J + u A 8 T K N V j T k 4 V z 3 + E d 6 5 6 U + a n R 8 q O X X l c L y p m r j d i p b y B U b z T i 9 p a H 4 W 9 + 9 O u v A M t X B Y L N O G l 3 t u z k c b d X x r u Y r L y j q e H d W / h H 5 y b 1 v D m j f M G G g q / x n 0 H o a C W q S z m W y z g 0 7 j q H H a E o J 1 0 p E w M F q 7 B q E j P 3 5 H H / y I N g 1 w 7 1 8 8 M X x w 1 l o k R Q m T y / O T 0 b i 9 + l y N Z V K 1 X O z S C e i Z B C m F j f P t g M 8 z A a 4 F r k q 9 C o j Z W 9 Z B C K i x i R b W V x z j 5 Q O B 9 W 9 G 8 d b J V / f b 4 F f 7 b I 8 a v D i k u P y p S V E R g 0 G + g 5 G N A I V 7 h A f f K e z c q H 3 V C + Q j 1 T T Y l d d I 2 Y D b s s C V e u 9 7 T J 3 X / 9 L I C 1 7 N c V 7 6 F M v C Y 5 F r M R t a Q s F n e E f j Y f e F W Q P N S b z u T T A x E Z 0 Y d V 3 Z O A k U V s n J S P 7 C q R P Z V Y 1 Z 0 m 4 b 8 f v C i v X B y S f 3 u h V f 7 x d 1 f l r 3 9 2 W Z F x J o R Z c x O k o j z c + e c 6 n q v w 3 z 2 6 W Z V F v G 1 9 t v z V D 0 / I A Y S + N T K L K I k p U 2 K Y n Q + p e I M A m c Y C w U 1 C f 9 c E w V + y E I T g z u Q P v R H K j Z L O O l z h 9 T K S I u X d u 1 c i O l g r T / 3 l f m V i X 2 q f Q G A k G o l e N O K 2 D 8 v F l m 4 0 Y j P q 4 m a m D V I U I v V Z 5 f z O L Y a / V V W w N B n 5 w n T v h W O B o E f h D t 5 S H P 8 Q S D q s u n 2 X Z 0 f J 8 2 e Q g c c K W J A G H 0 L P P E w y T v q f H 2 m W g + e 6 V e 8 i 3 b T s f I s 7 5 q u g P / C 5 f n v 8 j O w C d j A P L z s U 8 V d B G s p 3 3 c f 4 v r A k + 7 j 8 8 N A F V R 4 Q h 6 w w l W U V k A 1 a g Q m g Z a 9 c L W e v z 6 j P 1 x S m K h I T s 5 R k g x E p k q m F Y C C a h f r c 8 + m 5 K w + M x Y P y L F o + / 2 9 H F M 8 8 p R M + 7 5 c / s E V + g m Y H J I / R d 9 3 S a 0 e 4 P F F S E 9 O k E O S a x A f y u U e A u t h b h Y A I a J c 3 l E Q B t R 7 a O w r v X a C n c Z g L x x t 6 h / o F 2 F N Z Q O c t 2 l n n S 2 s B K p t v g K y n d 6 8 3 Q r x 0 O q l I 8 W A E Y m L X K A + P k D H w z P W M G E O S G B e t G s O R O / x H L 5 5 C v m Y Y G X 2 j H c x S i 2 p i D d l b U y i v X u y R t 2 1 C 1 W u S f 8 e 8 B w j u E 1 c G w P J K V I X I H z 9 o l M L k p i X I 8 J T / R s 5 L 9 V w M U L x 9 + z r V / v T v f n J c J W y 5 M D J Y o R P t f E f 3 b C p W u + h / + 8 5 h + Y + D Z 1 X 1 s R 7 / E 4 3 j A A W P o y d x H N i z 7 A q Z P j 3 V p c z J n a v Q o c P 0 M P c A x 0 h Z m e M L T w v 3 m Y M u M 6 E 2 r a Y 9 u 5 C h y n A f J J z j d 6 + O F j K O m q N g N P c + u m + l f P d Q o + t U 7 G j I A Y p B t C 8 U I e c 2 Q x l M z N 6 D I s h x 5 F G W S m w R U 3 I e x Y I T m G m f v i M X L Y H Q R Q R d H o v S f H F 9 z 9 U N Y v I Z f W y 1 f A r o j E v A N g Y z 8 1 h a r q t h F / v Z c p I n 5 b F X G p A U X o W k s G c 0 M j 8 t C l H A G P h L Y 1 K Z R 9 r m W R B u J g u x n T q p T A Q 6 N 2 C a x P V N j W D R M l I E C Q j f l 6 n W O b 5 B l 7 u R J H 4 W e a 2 5 S l 5 K b 8 C g x J s G K W E e o H h b v + r e t x D i z W q q e e b 0 7 8 1 8 c Q t x v U D n 2 F 8 5 g w R w B C Y M q L d m / C P l f 3 G y H 7 u T Z 1 k I + z f d t t Z / k e F i 3 7 u / 8 6 / E r l 9 T E o c d F f V d 4 B 9 U C m G P g E n n X q w Y M u f n f A a r J g h 6 N + I 3 X j 1 3 z m i Z W u D G d N a s X C G R M 4 O o I w M z b n R 4 i B D v + 8 5 L 6 b v 1 o n y j k 6 l A k b u t 2 Y / v X + 1 i J P X 3 Y n U j M u / P 9 S 7 n Y h J C 4 p U s p 2 T q 0 a X b S z U Z D z Z E A u n R J D 9 7 5 Z K 6 9 r P H r 8 h P X m 3 1 u f y 9 N b 4 9 k Q J 1 4 1 i q + 7 e 6 z u X O K d X 4 I D p y F P 2 P e 5 X J V g W o W L 7 T J 6 K y U J k I h u Y z c H c q S D X g T D m p h u 9 E R d L q V 1 m Y o X Y o y q f e t k 6 S 4 1 H I G O d A D 7 E E D 2 W i 6 X g n C m c X 2 o J / U + 5 Q H E w O + A u I J L k E q x Z Z h + i k K y Y d k G j a U O B G 5 d A 8 6 Q b d l n u I N T + 6 P o c K t + O X p L X i 3 5 P i Y 2 X L K o M t a C m E t 9 b V c 8 3 j U i z n e H S 3 U e Z O 6 U M 5 / T 8 8 3 S Q x u M f C z H j g F 9 0 7 2 V L u p g s x H l Q i K k o i r M E B I I 4 U 9 3 s u s I c 3 Y g I 3 U c M 7 W p F r A / J k S p m 4 b K F 0 / 7 Y y + G k x Q K T M e H R j K U G D v u r i O P k N + E d C k b z U W 3 C H 4 s B w I E k 9 5 h L M x o / e V a l I P y j v R y 9 a C p X J T Q / s u V 5 p B 9 i B r n k U F c B w 7 n z s y b u U y q S f K Q 6 B F r M Y T L q J M o I m 3 R S a S 7 0 I r N D X + s C e l a 5 D m e P J T 1 4 6 3 G I o k z P Y M a w o Y A C j Z x j 0 2 1 A m N k W o 7 3 A r E 9 9 P S R Y Y c 5 0 n c g W M 8 J f c V L x X 5 7 Y V G 1 8 A c O 2 E / O b 1 E Q X o N W P 3 y I 8 e q j L x M g s W l A j 2 8 M v x c w 4 w 8 x 1 m e f e O Y h A y G r x 9 9 y N a 9 p t T r Y o r X X N r W z 0 H K a F Z r q 2 F O 9 d d Y L o 1 s U Q v y e P z Z X Y 7 u 5 Z 4 X B A o i 7 M t I 0 r h U 0 E C s 6 c q H 0 i J Z r k 9 b 0 x a p 3 M k A d F M C v v Q p q Q U w 7 w y n H k + x 5 Z y O 0 y q h W 2 Y t l i D c d + G B P n t a T c 2 s R x B i + h p w 1 f k s 7 c M p i F / a E R 9 C 1 L G p G M o 3 q M L / H z u S y P m 8 1 P 7 A / t Q K m L 8 J h V O G O 9 6 p 0 P n 3 d T O V C Z K R k r g f k 4 K 0 m P i i 3 s A t M N L r U y 8 z / E x d K y 2 k L o 2 N 5 l l P 6 i 7 q E z Z K X a 5 5 6 7 d K P l H P x q n K J M V Q o y w 9 g k H B z t V G 5 z l L m + D M g 2 D i 6 8 U O x L D 7 B l o A h c 5 1 e / x b G Y i n g S b Q / Z V L V x u K l h 0 V N 9 I p J + K 7 O U + v i H f 3 + 3 V 1 S i T d x e / D Y 7 6 Z v i 3 V W S S f t H y n O S R I 3 O t 5 o t j d O + 1 E P g B Q 7 7 B M A 4 c Z i / h E G T 3 6 n T Z s 7 Z A f n z o I l Z q 9 / P e v 9 3 N F b G v O k 4 B g i k k q F x O s g N d 6 d c V x y h k x J 7 K O N m 3 F j s N 1 o L a F o f E R w G d 3 9 g i a f Z u m G 6 e p D v v 2 O J Z r d 3 U 0 Y V y l v D B z s Q K + h P V H T W A 3 T e n o A T P t 3 Q Z m I V 7 1 Y f O n P X I T Z n P n B q P b u Y o o a D C M I J n N v G 8 7 4 B R w 8 t w j J d a u r q v g B f P 6 L L B f k 8 r c t P k M q r 6 3 r F j p d Q B E F u H X k 1 D o + i S 7 q Q I m p 6 e l P F p J D M j o m V F f p E L N R E N + 6 U 8 3 Y 0 M u d i d u t S P E v R 6 K e C F r M y P w T 2 T X s 2 h 7 r 0 i g + Z W 0 K 9 K U W 6 B t H Q Y u / k s Y F m X e o B 3 D E M y k 6 J 8 + C 1 o y X G X P H 0 V T a s X u g T + j a h M H M / P 3 l c D Z L k d D q 5 7 d B P A + v P x / a v Q g D n d R Q t M Z f I m t N f f Y F S w r d + 6 J G I D m k Z n 4 G U s l j y w c w 1 q i K Z l c H R a e s A 2 e + x i J x Q s R r 7 7 3 H n F J F S Q b n c p k 3 E P E Z K E I E U x y k H M E C R 2 L N G S m 5 G 2 W L c 7 r / O S B u 7 o 5 X E 5 d X V c 3 f t D g B + F o k y 8 q F Y m N Q K Y / D t Q P R C O d A + h L 5 W X 4 t K S O w L Y V L A 4 + / I 3 n s M Z i S D H X u x g W x c g H U x z f g w A 2 e 8 8 d 1 F O N H r S P L O U Q g v h S I Q h U T Z V 5 C p m W 2 + h 0 / q F H 5 w C s e b i L T d H L / k G D 0 Y B 4 t X S i A 6 C M w h Q a C G F 8 w f v q v K 5 V / a S 0 n K 6 2 X P m p M a x 6 m p 5 S H V R l G w u G V e m 6 b m r v v m 2 U O + y t 7 c d o N r g 5 D 1 m 1 I k V L l O R b Q Z 5 v b e U Q s W j R U o H V v b 3 7 y l X o V N t G v H F 0 I 8 o d D Y j Y G c I N s P W k h Y 3 h d J z d p h n A M O d 8 z G / U C 7 6 7 7 u 9 C s j p x f V H C n P c 1 + f q 2 + H s k 6 v v J Q k t g Q a w i x 0 A D o 7 y / Y P n f e Z d W q y B 8 a N 4 w 8 l I s b Z 4 S 0 K o K g D q s C K H T I z 1 y N C I k b K Y r 5 y 9 3 C a 7 K w N T e R P K F V S C x M 1 v K Y W q L o l X P t I T x 0 i A Y i R 5 + e c 7 t x u T r 7 V 3 T G 4 H k y k 7 Q z A I o b v U P 7 K 7 R u 7 a s h k s P W i c H H T E F / e A z G R P 8 8 W M V 8 x G a f t R g G J b e k b l y R P G i p 5 t x R c R b Z h 5 K Y n h c 0 k s 7 t M Z Z + e c H U E w a C H F B r z m j W 5 3 h H e u 5 5 5 z s 4 C 5 X n A 5 f + 9 b T 9 f L u 3 a W q e 7 l Z n n i a L M r 2 d d q o g / i Z N 2 / s Q a J x e V i B F m V E x i t M 1 m W 8 X y d 2 2 x l 5 H I t i v i m I r J 8 X s n Z J r R a j c 6 S 4 9 e W P r A S y v x I T + Q u u T h j r i O b o d z H X I 6 5 p X a o X h A 9 s m G Y l W w o Z v 1 Q C k h b Q D S J R K 8 W 7 3 q i u Q z y Y n 0 n H n X t Z 8 G D f q a p H w n q 6 + o y D q e v t 7 o w D b 2 a / H O 5 X 0 b P 3 e U q P Y A H G a C j N 5 7 c U g r F V / R D F L B Z y S l M S u Z 5 W N y m G y 1 H W V B 5 L Y d X n J V e I G u L 0 + V G P x O 6 n q / w v 7 / D g F T 9 1 Q 9 P 4 l l C 8 A m W w w N Z 3 E N e t s F V O F c h + s X 8 4 0 D 1 9 m B f / 1 x P 5 / 7 e W z 6 U a S z 8 K I h a C / G / D e X u 4 j v m O n e v X z / / F 7 A I Z 5 h B m 5 k n j r f K 1 R 7 3 D q R T A S / V N q k r s m H a G 1 l e q p 9 7 z R K f m 1 A y 8 4 8 9 1 i 7 J a a n z H p K 3 f C j T E H 7 W C Y z 1 H t U Z 8 D F E z k 7 J r 8 k U 5 I S O v P + O t f M e / M U 8 w V 0 b P e 9 P p w J q W 0 f l g / s 2 L e a l l + T c w e g E Y g F q z s c u V l H M P l a h + 1 u E k S 2 m v C l N v n g k M 8 k 3 4 C 1 f / 7 U n U F Z / z k Z o c U 4 O N p p 8 p A b u 6 F / e Q 0 N + B W 9 h M p I l G r p Q b z E n z s 0 6 9 + W e V C G y 4 + z 1 e F U S T 6 T 4 p W 4 D C U G O x U B C / O X 5 j s C 4 z a D P F c T k m x P 0 K O h F l + E B F b l T a I o 9 J L 8 7 b Z 0 g z E p N k m s 3 h g H 7 t 8 m m l U Z P 2 O U u x R k T c h 2 o j e V a P D j f 8 a v M H k T 0 N U I a b o B Y J k i M g n i / 4 y h E 3 F Q 8 K + 0 9 f Z Y V B N H 2 b D n f F l 7 T v U I k w V t N x J p F m W B h W m j o 0 X w H 6 m Z 8 / 9 + e q Q e K w f 9 2 3 9 U / J F 9 4 e P 0 b R p k 4 h s 0 9 M W 9 a Z e L z N d x I l v O d w Z W J x z 5 / b l T 2 o l 7 q x Q v O U h X 4 U B Q G I 7 r Q W p Y B i n C V i d 9 n Z 5 L V w B R q C V Y P t b z t m g X S v A z w m l N + 9 M r V g G e s b Q m v k d k C 3 d 5 b p 1 m g E X j S o u q W w Y i s 7 A y f t q q h X p K 7 / 4 R j U B 3 O b i H B 5 J Z Q q A F i s C B W X R a i g X f 7 K M C x T O A G c 4 S D D e Z b n y + P E a C P R V 8 r O T l X S v M L g D a H 3 9 U z d x A w m 3 4 z I c w K 4 m A l u 7 e E Q l X k 2 V W n P C s 7 / M C m K n T e A L e E F y H k 8 p g a b 9 3 F X E e A 7 7 o f q P x n z o 4 o Y p f 5 S G F O v l S W a K b e w E b f L a F Q 5 H h L T / I E R j 4 K v o V 3 7 t z g Q V c 1 n 0 F / 6 7 v L b w S I B u H O U g p i l b n I 9 g q 7 r M 0 d Q Y 3 Z h P z q p E H i 8 p Y P h U F o 7 x 1 C o 2 v P y N 1 j r z a i n c 1 c h v m t 7 7 y R R s A e C w q A q L m F y v v 6 O i U T y e D j V 0 P n c b 8 l d q j y 3 B T 5 / 3 7 l 2 d b m c 2 / f I J 0 D b w U h 3 k j K M Z d 7 r W 2 N R H V 1 e M l c U P n J S l Q H F 2 Z l y s k r X n N E b V H 4 n 5 + f W 0 K h 2 D 1 P Z 9 P Z N f C h H e U Y q N B X n b m 8 y L e + 8 8 Y c A d I 6 F y b 3 q w D W 8 / V T i h g m H H n T K 1 Q Z W H I 6 + s Y Q o T F C 5 z Y Q 1 A 8 5 g l d v h j O I y / 3 Y b S v Q A d 6 6 L t J 1 6 y a i 3 e X + O I t 6 f w y T p 6 X m S h 4 C E V Z y y / t Q T e D L v t 4 / J g / v c A / Q c 6 + T r G V R 3 8 u y O j n r u q K i A l e r 3 g x a t G U 1 S L i Z J H Q A I U s S E R c v I l H s L f 0 j K H q 8 1 d H m h K R c a U e 9 E L j q t H x w 3 8 Z b K u d 0 9 P K U Y g 5 6 S w K P Q D K Y l l 5 u 6 A e N t b U 7 s D r f 6 O g R 6 O d N b / I 1 o 2 / Q I 7 v K Z R Z U W p T R y W i A R 9 / y n 9 5 S L v 8 j 0 G I q i z E f V d f C X S u w a f O m V 6 h L 1 w 0 w J P s r U d 6 + 1 Z c F 6 K 3 J 9 d Y I e I 9 A W o J v c W Z u K r t 1 G O E t f z 9 v e o X S A / X H D 2 + U f e v y 5 I 6 q 8 E K o b 0 2 1 W 3 M E + k E Y 6 i 1 s N H D L + 1 A a 9 V + c l S j 3 b S m V g d H l y 6 V w a 0 7 d 5 f P U 7 C j / w d s z 5 W N 3 Z K N p t j 9 G q F v c h + L r e v w o G h 3 j T + Y Y L r T 2 o x v F / B O 6 R e n z P 8 f y m U q 3 7 p 1 s W e E u z e g a n J a n z 4 z K r 4 F a r 2 u Z 2 8 J 7 y 5 h 8 V C r y Z N + 9 s V D u 3 Y g O 6 v O c Q y 2 9 b 1 w C l H k + + p v q 6 8 l o T h 6 u B N y j Q m 1 a H e 5 F l / P x z E G 9 V a q x n N / Q 8 r 2 3 s r x x y z I g f c e 3 z A 5 l f k V v K d P y n b B v 9 D v 7 / w E a R c O X Q P 6 3 n A A A A A B J R U 5 E r k J g g g = = < / I m a g e > < / T o u r > < / T o u r s > < C o l o r s / > < / V i s u a l i z a t i o n > 
</file>

<file path=customXml/itemProps1.xml><?xml version="1.0" encoding="utf-8"?>
<ds:datastoreItem xmlns:ds="http://schemas.openxmlformats.org/officeDocument/2006/customXml" ds:itemID="{906F8120-D2C8-41E3-A2D9-A47272949BA4}">
  <ds:schemaRefs>
    <ds:schemaRef ds:uri="http://www.w3.org/2001/XMLSchema"/>
    <ds:schemaRef ds:uri="http://microsoft.data.visualization.engine.tours/1.0"/>
  </ds:schemaRefs>
</ds:datastoreItem>
</file>

<file path=customXml/itemProps2.xml><?xml version="1.0" encoding="utf-8"?>
<ds:datastoreItem xmlns:ds="http://schemas.openxmlformats.org/officeDocument/2006/customXml" ds:itemID="{07757BB6-617B-443D-A078-BBC1E8D6AB89}">
  <ds:schemaRefs>
    <ds:schemaRef ds:uri="http://www.w3.org/2001/XMLSchema"/>
    <ds:schemaRef ds:uri="http://microsoft.data.visualization.Client.Excel.LState/1.0"/>
  </ds:schemaRefs>
</ds:datastoreItem>
</file>

<file path=customXml/itemProps3.xml><?xml version="1.0" encoding="utf-8"?>
<ds:datastoreItem xmlns:ds="http://schemas.openxmlformats.org/officeDocument/2006/customXml" ds:itemID="{AADC4746-435B-482C-80CF-F813A0292B8E}">
  <ds:schemaRefs>
    <ds:schemaRef ds:uri="http://www.w3.org/2001/XMLSchema"/>
    <ds:schemaRef ds:uri="http://microsoft.data.visualization.Client.Excel.PState/1.0"/>
  </ds:schemaRefs>
</ds:datastoreItem>
</file>

<file path=customXml/itemProps4.xml><?xml version="1.0" encoding="utf-8"?>
<ds:datastoreItem xmlns:ds="http://schemas.openxmlformats.org/officeDocument/2006/customXml" ds:itemID="{35492A36-F0D0-4B39-BB49-C92E21F203C3}">
  <ds:schemaRefs>
    <ds:schemaRef ds:uri="http://www.w3.org/2001/XMLSchema"/>
    <ds:schemaRef ds:uri="http://microsoft.data.visualization.Client.Excel/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Contents</vt:lpstr>
      <vt:lpstr>ID4D</vt:lpstr>
      <vt:lpstr>ID4D Stats</vt:lpstr>
      <vt:lpstr>Metadata</vt:lpstr>
      <vt:lpstr>summary</vt:lpstr>
      <vt:lpstr>stats</vt:lpstr>
      <vt:lpstr>ICAO ePassport</vt:lpstr>
      <vt:lpstr>CRVS</vt:lpstr>
      <vt:lpstr>UN Min</vt:lpstr>
      <vt:lpstr>RTI</vt:lpstr>
      <vt:lpstr>ID4D Projects</vt:lpstr>
      <vt:lpstr>'ID4D Stats'!Print_Area</vt:lpstr>
    </vt:vector>
  </TitlesOfParts>
  <Company>The World Bank Group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Cem Dener</dc:creator>
  <cp:lastModifiedBy>Cem Dener</cp:lastModifiedBy>
  <cp:lastPrinted>2015-01-15T18:56:56Z</cp:lastPrinted>
  <dcterms:created xsi:type="dcterms:W3CDTF">2012-04-09T18:33:15Z</dcterms:created>
  <dcterms:modified xsi:type="dcterms:W3CDTF">2016-02-07T18:54:39Z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